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yt\Desktop\1999简历作品\"/>
    </mc:Choice>
  </mc:AlternateContent>
  <xr:revisionPtr revIDLastSave="0" documentId="13_ncr:1_{284370FD-1F0B-40B2-8458-9D990BAE7774}" xr6:coauthVersionLast="47" xr6:coauthVersionMax="47" xr10:uidLastSave="{00000000-0000-0000-0000-000000000000}"/>
  <workbookProtection workbookAlgorithmName="SHA-512" workbookHashValue="909mq2Bm/QbjbAtXyUwLxV35hS4llBoSawWRbHtnngZZm05MRh47oAlYYCrCH/G0RwEYG9dqr6yaHmPV0/UYFg==" workbookSaltValue="WbBfocSfiaYs9FfsldgS3Q==" workbookSpinCount="100000" lockStructure="1"/>
  <bookViews>
    <workbookView xWindow="-120" yWindow="-120" windowWidth="38640" windowHeight="21240" activeTab="10" xr2:uid="{00000000-000D-0000-FFFF-FFFF00000000}"/>
  </bookViews>
  <sheets>
    <sheet name="角色面板" sheetId="1" r:id="rId1"/>
    <sheet name="技能数据库" sheetId="2" r:id="rId2"/>
    <sheet name="Boss参数" sheetId="3" r:id="rId3"/>
    <sheet name="行动模拟" sheetId="4" r:id="rId4"/>
    <sheet name="验证表" sheetId="5" r:id="rId5"/>
    <sheet name="后台计算" sheetId="6" r:id="rId6"/>
    <sheet name="回合状态" sheetId="7" r:id="rId7"/>
    <sheet name="核对说明" sheetId="8" r:id="rId8"/>
    <sheet name="使用说明" sheetId="9" r:id="rId9"/>
    <sheet name="雨声层数明细" sheetId="10" r:id="rId10"/>
    <sheet name="伤害统计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11" l="1"/>
  <c r="G109" i="11"/>
  <c r="G110" i="11"/>
  <c r="G111" i="11"/>
  <c r="G112" i="11"/>
  <c r="G113" i="11"/>
  <c r="G114" i="11"/>
  <c r="G108" i="11"/>
  <c r="Y245" i="11"/>
  <c r="X245" i="11"/>
  <c r="W245" i="11"/>
  <c r="V245" i="11"/>
  <c r="U245" i="11"/>
  <c r="Y244" i="11"/>
  <c r="X244" i="11"/>
  <c r="W244" i="11"/>
  <c r="V244" i="11"/>
  <c r="U244" i="11"/>
  <c r="Y243" i="11"/>
  <c r="X243" i="11"/>
  <c r="W243" i="11"/>
  <c r="V243" i="11"/>
  <c r="U243" i="11"/>
  <c r="Y242" i="11"/>
  <c r="X242" i="11"/>
  <c r="W242" i="11"/>
  <c r="V242" i="11"/>
  <c r="U242" i="11"/>
  <c r="Y241" i="11"/>
  <c r="X241" i="11"/>
  <c r="W241" i="11"/>
  <c r="V241" i="11"/>
  <c r="U241" i="11"/>
  <c r="Y240" i="11"/>
  <c r="X240" i="11"/>
  <c r="W240" i="11"/>
  <c r="V240" i="11"/>
  <c r="U240" i="11"/>
  <c r="Y239" i="11"/>
  <c r="X239" i="11"/>
  <c r="W239" i="11"/>
  <c r="V239" i="11"/>
  <c r="U239" i="11"/>
  <c r="Y238" i="11"/>
  <c r="X238" i="11"/>
  <c r="W238" i="11"/>
  <c r="V238" i="11"/>
  <c r="U238" i="11"/>
  <c r="Y237" i="11"/>
  <c r="X237" i="11"/>
  <c r="W237" i="11"/>
  <c r="V237" i="11"/>
  <c r="U237" i="11"/>
  <c r="Y236" i="11"/>
  <c r="X236" i="11"/>
  <c r="W236" i="11"/>
  <c r="V236" i="11"/>
  <c r="U236" i="11"/>
  <c r="Y235" i="11"/>
  <c r="X235" i="11"/>
  <c r="W235" i="11"/>
  <c r="V235" i="11"/>
  <c r="U235" i="11"/>
  <c r="Y234" i="11"/>
  <c r="X234" i="11"/>
  <c r="W234" i="11"/>
  <c r="V234" i="11"/>
  <c r="U234" i="11"/>
  <c r="Y233" i="11"/>
  <c r="X233" i="11"/>
  <c r="W233" i="11"/>
  <c r="V233" i="11"/>
  <c r="U233" i="11"/>
  <c r="Y232" i="11"/>
  <c r="X232" i="11"/>
  <c r="W232" i="11"/>
  <c r="V232" i="11"/>
  <c r="U232" i="11"/>
  <c r="Y231" i="11"/>
  <c r="X231" i="11"/>
  <c r="W231" i="11"/>
  <c r="V231" i="11"/>
  <c r="U231" i="11"/>
  <c r="Y230" i="11"/>
  <c r="X230" i="11"/>
  <c r="W230" i="11"/>
  <c r="V230" i="11"/>
  <c r="U230" i="11"/>
  <c r="Y229" i="11"/>
  <c r="X229" i="11"/>
  <c r="W229" i="11"/>
  <c r="V229" i="11"/>
  <c r="U229" i="11"/>
  <c r="Y228" i="11"/>
  <c r="X228" i="11"/>
  <c r="W228" i="11"/>
  <c r="V228" i="11"/>
  <c r="U228" i="11"/>
  <c r="Y227" i="11"/>
  <c r="X227" i="11"/>
  <c r="W227" i="11"/>
  <c r="V227" i="11"/>
  <c r="U227" i="11"/>
  <c r="Y226" i="11"/>
  <c r="X226" i="11"/>
  <c r="W226" i="11"/>
  <c r="V226" i="11"/>
  <c r="U226" i="11"/>
  <c r="Y225" i="11"/>
  <c r="X225" i="11"/>
  <c r="W225" i="11"/>
  <c r="V225" i="11"/>
  <c r="U225" i="11"/>
  <c r="Y224" i="11"/>
  <c r="X224" i="11"/>
  <c r="W224" i="11"/>
  <c r="V224" i="11"/>
  <c r="U224" i="11"/>
  <c r="Y223" i="11"/>
  <c r="X223" i="11"/>
  <c r="W223" i="11"/>
  <c r="V223" i="11"/>
  <c r="U223" i="11"/>
  <c r="Y222" i="11"/>
  <c r="X222" i="11"/>
  <c r="W222" i="11"/>
  <c r="V222" i="11"/>
  <c r="U222" i="11"/>
  <c r="Y221" i="11"/>
  <c r="X221" i="11"/>
  <c r="W221" i="11"/>
  <c r="V221" i="11"/>
  <c r="U221" i="11"/>
  <c r="Y220" i="11"/>
  <c r="X220" i="11"/>
  <c r="W220" i="11"/>
  <c r="V220" i="11"/>
  <c r="U220" i="11"/>
  <c r="Y219" i="11"/>
  <c r="X219" i="11"/>
  <c r="W219" i="11"/>
  <c r="V219" i="11"/>
  <c r="U219" i="11"/>
  <c r="Y218" i="11"/>
  <c r="X218" i="11"/>
  <c r="W218" i="11"/>
  <c r="V218" i="11"/>
  <c r="U218" i="11"/>
  <c r="Y217" i="11"/>
  <c r="X217" i="11"/>
  <c r="W217" i="11"/>
  <c r="V217" i="11"/>
  <c r="U217" i="11"/>
  <c r="Y216" i="11"/>
  <c r="X216" i="11"/>
  <c r="W216" i="11"/>
  <c r="V216" i="11"/>
  <c r="U216" i="11"/>
  <c r="Y215" i="11"/>
  <c r="X215" i="11"/>
  <c r="W215" i="11"/>
  <c r="V215" i="11"/>
  <c r="U215" i="11"/>
  <c r="Y214" i="11"/>
  <c r="X214" i="11"/>
  <c r="W214" i="11"/>
  <c r="V214" i="11"/>
  <c r="U214" i="11"/>
  <c r="Y213" i="11"/>
  <c r="X213" i="11"/>
  <c r="W213" i="11"/>
  <c r="V213" i="11"/>
  <c r="U213" i="11"/>
  <c r="Y212" i="11"/>
  <c r="X212" i="11"/>
  <c r="W212" i="11"/>
  <c r="V212" i="11"/>
  <c r="U212" i="11"/>
  <c r="Y211" i="11"/>
  <c r="X211" i="11"/>
  <c r="W211" i="11"/>
  <c r="V211" i="11"/>
  <c r="U211" i="11"/>
  <c r="Y210" i="11"/>
  <c r="X210" i="11"/>
  <c r="W210" i="11"/>
  <c r="V210" i="11"/>
  <c r="U210" i="11"/>
  <c r="Y209" i="11"/>
  <c r="X209" i="11"/>
  <c r="W209" i="11"/>
  <c r="V209" i="11"/>
  <c r="U209" i="11"/>
  <c r="Y208" i="11"/>
  <c r="X208" i="11"/>
  <c r="W208" i="11"/>
  <c r="V208" i="11"/>
  <c r="U208" i="11"/>
  <c r="Y207" i="11"/>
  <c r="X207" i="11"/>
  <c r="W207" i="11"/>
  <c r="V207" i="11"/>
  <c r="U207" i="11"/>
  <c r="Y206" i="11"/>
  <c r="X206" i="11"/>
  <c r="W206" i="11"/>
  <c r="V206" i="11"/>
  <c r="U206" i="11"/>
  <c r="Y205" i="11"/>
  <c r="X205" i="11"/>
  <c r="W205" i="11"/>
  <c r="V205" i="11"/>
  <c r="U205" i="11"/>
  <c r="Y204" i="11"/>
  <c r="X204" i="11"/>
  <c r="W204" i="11"/>
  <c r="V204" i="11"/>
  <c r="U204" i="11"/>
  <c r="Y203" i="11"/>
  <c r="X203" i="11"/>
  <c r="W203" i="11"/>
  <c r="V203" i="11"/>
  <c r="U203" i="11"/>
  <c r="Y202" i="11"/>
  <c r="X202" i="11"/>
  <c r="W202" i="11"/>
  <c r="V202" i="11"/>
  <c r="U202" i="11"/>
  <c r="Y201" i="11"/>
  <c r="X201" i="11"/>
  <c r="W201" i="11"/>
  <c r="V201" i="11"/>
  <c r="U201" i="11"/>
  <c r="Y200" i="11"/>
  <c r="X200" i="11"/>
  <c r="W200" i="11"/>
  <c r="V200" i="11"/>
  <c r="U200" i="11"/>
  <c r="Y199" i="11"/>
  <c r="X199" i="11"/>
  <c r="W199" i="11"/>
  <c r="V199" i="11"/>
  <c r="U199" i="11"/>
  <c r="Y198" i="11"/>
  <c r="X198" i="11"/>
  <c r="W198" i="11"/>
  <c r="V198" i="11"/>
  <c r="U198" i="11"/>
  <c r="Y197" i="11"/>
  <c r="X197" i="11"/>
  <c r="W197" i="11"/>
  <c r="V197" i="11"/>
  <c r="U197" i="11"/>
  <c r="Y196" i="11"/>
  <c r="X196" i="11"/>
  <c r="W196" i="11"/>
  <c r="V196" i="11"/>
  <c r="U196" i="11"/>
  <c r="Y195" i="11"/>
  <c r="X195" i="11"/>
  <c r="W195" i="11"/>
  <c r="V195" i="11"/>
  <c r="U195" i="11"/>
  <c r="Y194" i="11"/>
  <c r="X194" i="11"/>
  <c r="W194" i="11"/>
  <c r="V194" i="11"/>
  <c r="U194" i="11"/>
  <c r="Y193" i="11"/>
  <c r="X193" i="11"/>
  <c r="W193" i="11"/>
  <c r="V193" i="11"/>
  <c r="U193" i="11"/>
  <c r="Y192" i="11"/>
  <c r="X192" i="11"/>
  <c r="W192" i="11"/>
  <c r="V192" i="11"/>
  <c r="U192" i="11"/>
  <c r="Y191" i="11"/>
  <c r="X191" i="11"/>
  <c r="W191" i="11"/>
  <c r="V191" i="11"/>
  <c r="U191" i="11"/>
  <c r="Y190" i="11"/>
  <c r="X190" i="11"/>
  <c r="W190" i="11"/>
  <c r="V190" i="11"/>
  <c r="U190" i="11"/>
  <c r="Y189" i="11"/>
  <c r="X189" i="11"/>
  <c r="W189" i="11"/>
  <c r="V189" i="11"/>
  <c r="U189" i="11"/>
  <c r="Y188" i="11"/>
  <c r="X188" i="11"/>
  <c r="W188" i="11"/>
  <c r="V188" i="11"/>
  <c r="U188" i="11"/>
  <c r="Y187" i="11"/>
  <c r="X187" i="11"/>
  <c r="W187" i="11"/>
  <c r="V187" i="11"/>
  <c r="U187" i="11"/>
  <c r="Y186" i="11"/>
  <c r="X186" i="11"/>
  <c r="W186" i="11"/>
  <c r="V186" i="11"/>
  <c r="U186" i="11"/>
  <c r="Y185" i="11"/>
  <c r="X185" i="11"/>
  <c r="W185" i="11"/>
  <c r="V185" i="11"/>
  <c r="U185" i="11"/>
  <c r="Y184" i="11"/>
  <c r="X184" i="11"/>
  <c r="W184" i="11"/>
  <c r="V184" i="11"/>
  <c r="U184" i="11"/>
  <c r="Y183" i="11"/>
  <c r="X183" i="11"/>
  <c r="W183" i="11"/>
  <c r="V183" i="11"/>
  <c r="U183" i="11"/>
  <c r="Y182" i="11"/>
  <c r="X182" i="11"/>
  <c r="W182" i="11"/>
  <c r="V182" i="11"/>
  <c r="U182" i="11"/>
  <c r="Y181" i="11"/>
  <c r="X181" i="11"/>
  <c r="W181" i="11"/>
  <c r="V181" i="11"/>
  <c r="U181" i="11"/>
  <c r="Y180" i="11"/>
  <c r="X180" i="11"/>
  <c r="W180" i="11"/>
  <c r="V180" i="11"/>
  <c r="U180" i="11"/>
  <c r="Y179" i="11"/>
  <c r="X179" i="11"/>
  <c r="W179" i="11"/>
  <c r="V179" i="11"/>
  <c r="U179" i="11"/>
  <c r="Y178" i="11"/>
  <c r="X178" i="11"/>
  <c r="W178" i="11"/>
  <c r="V178" i="11"/>
  <c r="U178" i="11"/>
  <c r="Y177" i="11"/>
  <c r="X177" i="11"/>
  <c r="W177" i="11"/>
  <c r="V177" i="11"/>
  <c r="U177" i="11"/>
  <c r="Y176" i="11"/>
  <c r="X176" i="11"/>
  <c r="W176" i="11"/>
  <c r="V176" i="11"/>
  <c r="U176" i="11"/>
  <c r="Y175" i="11"/>
  <c r="X175" i="11"/>
  <c r="W175" i="11"/>
  <c r="V175" i="11"/>
  <c r="U175" i="11"/>
  <c r="Y174" i="11"/>
  <c r="X174" i="11"/>
  <c r="W174" i="11"/>
  <c r="V174" i="11"/>
  <c r="U174" i="11"/>
  <c r="Y173" i="11"/>
  <c r="X173" i="11"/>
  <c r="W173" i="11"/>
  <c r="V173" i="11"/>
  <c r="U173" i="11"/>
  <c r="Y172" i="11"/>
  <c r="X172" i="11"/>
  <c r="W172" i="11"/>
  <c r="V172" i="11"/>
  <c r="U172" i="11"/>
  <c r="Y171" i="11"/>
  <c r="X171" i="11"/>
  <c r="W171" i="11"/>
  <c r="V171" i="11"/>
  <c r="U171" i="11"/>
  <c r="Y170" i="11"/>
  <c r="X170" i="11"/>
  <c r="W170" i="11"/>
  <c r="V170" i="11"/>
  <c r="U170" i="11"/>
  <c r="Y169" i="11"/>
  <c r="X169" i="11"/>
  <c r="W169" i="11"/>
  <c r="V169" i="11"/>
  <c r="U169" i="11"/>
  <c r="Y168" i="11"/>
  <c r="X168" i="11"/>
  <c r="W168" i="11"/>
  <c r="V168" i="11"/>
  <c r="U168" i="11"/>
  <c r="Y167" i="11"/>
  <c r="X167" i="11"/>
  <c r="W167" i="11"/>
  <c r="V167" i="11"/>
  <c r="U167" i="11"/>
  <c r="Y166" i="11"/>
  <c r="X166" i="11"/>
  <c r="W166" i="11"/>
  <c r="V166" i="11"/>
  <c r="U166" i="11"/>
  <c r="Y165" i="11"/>
  <c r="X165" i="11"/>
  <c r="W165" i="11"/>
  <c r="V165" i="11"/>
  <c r="U165" i="11"/>
  <c r="Y164" i="11"/>
  <c r="X164" i="11"/>
  <c r="W164" i="11"/>
  <c r="V164" i="11"/>
  <c r="U164" i="11"/>
  <c r="Y163" i="11"/>
  <c r="X163" i="11"/>
  <c r="W163" i="11"/>
  <c r="V163" i="11"/>
  <c r="U163" i="11"/>
  <c r="Y162" i="11"/>
  <c r="X162" i="11"/>
  <c r="W162" i="11"/>
  <c r="V162" i="11"/>
  <c r="U162" i="11"/>
  <c r="Y161" i="11"/>
  <c r="X161" i="11"/>
  <c r="W161" i="11"/>
  <c r="V161" i="11"/>
  <c r="U161" i="11"/>
  <c r="Y160" i="11"/>
  <c r="X160" i="11"/>
  <c r="W160" i="11"/>
  <c r="V160" i="11"/>
  <c r="U160" i="11"/>
  <c r="Y159" i="11"/>
  <c r="X159" i="11"/>
  <c r="W159" i="11"/>
  <c r="V159" i="11"/>
  <c r="U159" i="11"/>
  <c r="Y158" i="11"/>
  <c r="X158" i="11"/>
  <c r="W158" i="11"/>
  <c r="V158" i="11"/>
  <c r="U158" i="11"/>
  <c r="Y157" i="11"/>
  <c r="X157" i="11"/>
  <c r="W157" i="11"/>
  <c r="V157" i="11"/>
  <c r="U157" i="11"/>
  <c r="Y156" i="11"/>
  <c r="X156" i="11"/>
  <c r="W156" i="11"/>
  <c r="V156" i="11"/>
  <c r="U156" i="11"/>
  <c r="Y155" i="11"/>
  <c r="X155" i="11"/>
  <c r="W155" i="11"/>
  <c r="V155" i="11"/>
  <c r="U155" i="11"/>
  <c r="Y154" i="11"/>
  <c r="X154" i="11"/>
  <c r="W154" i="11"/>
  <c r="V154" i="11"/>
  <c r="U154" i="11"/>
  <c r="Y153" i="11"/>
  <c r="X153" i="11"/>
  <c r="W153" i="11"/>
  <c r="V153" i="11"/>
  <c r="U153" i="11"/>
  <c r="Y152" i="11"/>
  <c r="X152" i="11"/>
  <c r="W152" i="11"/>
  <c r="V152" i="11"/>
  <c r="U152" i="11"/>
  <c r="Y151" i="11"/>
  <c r="X151" i="11"/>
  <c r="W151" i="11"/>
  <c r="V151" i="11"/>
  <c r="U151" i="11"/>
  <c r="Y150" i="11"/>
  <c r="X150" i="11"/>
  <c r="W150" i="11"/>
  <c r="V150" i="11"/>
  <c r="U150" i="11"/>
  <c r="Y149" i="11"/>
  <c r="X149" i="11"/>
  <c r="W149" i="11"/>
  <c r="V149" i="11"/>
  <c r="U149" i="11"/>
  <c r="Y148" i="11"/>
  <c r="X148" i="11"/>
  <c r="W148" i="11"/>
  <c r="V148" i="11"/>
  <c r="U148" i="11"/>
  <c r="Y147" i="11"/>
  <c r="X147" i="11"/>
  <c r="W147" i="11"/>
  <c r="V147" i="11"/>
  <c r="U147" i="11"/>
  <c r="Y146" i="11"/>
  <c r="X146" i="11"/>
  <c r="W146" i="11"/>
  <c r="V146" i="11"/>
  <c r="U146" i="11"/>
  <c r="Y145" i="11"/>
  <c r="X145" i="11"/>
  <c r="W145" i="11"/>
  <c r="V145" i="11"/>
  <c r="U145" i="11"/>
  <c r="Y144" i="11"/>
  <c r="X144" i="11"/>
  <c r="W144" i="11"/>
  <c r="V144" i="11"/>
  <c r="U144" i="11"/>
  <c r="Y143" i="11"/>
  <c r="X143" i="11"/>
  <c r="W143" i="11"/>
  <c r="V143" i="11"/>
  <c r="U143" i="11"/>
  <c r="Y142" i="11"/>
  <c r="X142" i="11"/>
  <c r="W142" i="11"/>
  <c r="V142" i="11"/>
  <c r="U142" i="11"/>
  <c r="Y141" i="11"/>
  <c r="X141" i="11"/>
  <c r="W141" i="11"/>
  <c r="V141" i="11"/>
  <c r="U141" i="11"/>
  <c r="Y140" i="11"/>
  <c r="X140" i="11"/>
  <c r="W140" i="11"/>
  <c r="V140" i="11"/>
  <c r="U140" i="11"/>
  <c r="Y139" i="11"/>
  <c r="X139" i="11"/>
  <c r="W139" i="11"/>
  <c r="V139" i="11"/>
  <c r="U139" i="11"/>
  <c r="Y138" i="11"/>
  <c r="X138" i="11"/>
  <c r="W138" i="11"/>
  <c r="V138" i="11"/>
  <c r="U138" i="11"/>
  <c r="Y137" i="11"/>
  <c r="X137" i="11"/>
  <c r="W137" i="11"/>
  <c r="V137" i="11"/>
  <c r="U137" i="11"/>
  <c r="Y136" i="11"/>
  <c r="X136" i="11"/>
  <c r="W136" i="11"/>
  <c r="V136" i="11"/>
  <c r="U136" i="11"/>
  <c r="Y135" i="11"/>
  <c r="X135" i="11"/>
  <c r="W135" i="11"/>
  <c r="V135" i="11"/>
  <c r="U135" i="11"/>
  <c r="Y134" i="11"/>
  <c r="X134" i="11"/>
  <c r="W134" i="11"/>
  <c r="V134" i="11"/>
  <c r="U134" i="11"/>
  <c r="Y133" i="11"/>
  <c r="X133" i="11"/>
  <c r="W133" i="11"/>
  <c r="V133" i="11"/>
  <c r="U133" i="11"/>
  <c r="Y132" i="11"/>
  <c r="X132" i="11"/>
  <c r="U132" i="11"/>
  <c r="Y131" i="11"/>
  <c r="X131" i="11"/>
  <c r="U131" i="11"/>
  <c r="Y130" i="11"/>
  <c r="X130" i="11"/>
  <c r="U130" i="11"/>
  <c r="Y129" i="11"/>
  <c r="X129" i="11"/>
  <c r="U129" i="11"/>
  <c r="Y128" i="11"/>
  <c r="X128" i="11"/>
  <c r="U128" i="11"/>
  <c r="Y127" i="11"/>
  <c r="X127" i="11"/>
  <c r="U127" i="11"/>
  <c r="Y126" i="11"/>
  <c r="X126" i="11"/>
  <c r="U126" i="11"/>
  <c r="Y125" i="11"/>
  <c r="X125" i="11"/>
  <c r="U125" i="11"/>
  <c r="Y124" i="11"/>
  <c r="X124" i="11"/>
  <c r="U124" i="11"/>
  <c r="Y123" i="11"/>
  <c r="X123" i="11"/>
  <c r="U123" i="11"/>
  <c r="Y122" i="11"/>
  <c r="X122" i="11"/>
  <c r="U122" i="11"/>
  <c r="Y121" i="11"/>
  <c r="X121" i="11"/>
  <c r="U121" i="11"/>
  <c r="N121" i="11"/>
  <c r="Y120" i="11"/>
  <c r="X120" i="11"/>
  <c r="U120" i="11"/>
  <c r="Y119" i="11"/>
  <c r="X119" i="11"/>
  <c r="U119" i="11"/>
  <c r="Y118" i="11"/>
  <c r="X118" i="11"/>
  <c r="U118" i="11"/>
  <c r="Y117" i="11"/>
  <c r="X117" i="11"/>
  <c r="U117" i="11"/>
  <c r="Y116" i="11"/>
  <c r="X116" i="11"/>
  <c r="U116" i="11"/>
  <c r="Y115" i="11"/>
  <c r="X115" i="11"/>
  <c r="U115" i="11"/>
  <c r="Y114" i="11"/>
  <c r="X114" i="11"/>
  <c r="U114" i="11"/>
  <c r="Y113" i="11"/>
  <c r="X113" i="11"/>
  <c r="U113" i="11"/>
  <c r="Y112" i="11"/>
  <c r="X112" i="11"/>
  <c r="U112" i="11"/>
  <c r="Y111" i="11"/>
  <c r="X111" i="11"/>
  <c r="U111" i="11"/>
  <c r="Y110" i="11"/>
  <c r="X110" i="11"/>
  <c r="U110" i="11"/>
  <c r="Y109" i="11"/>
  <c r="X109" i="11"/>
  <c r="U109" i="11"/>
  <c r="Y108" i="11"/>
  <c r="X108" i="11"/>
  <c r="U108" i="11"/>
  <c r="Y107" i="11"/>
  <c r="X107" i="11"/>
  <c r="U107" i="11"/>
  <c r="Y106" i="11"/>
  <c r="X106" i="11"/>
  <c r="U106" i="11"/>
  <c r="Y105" i="11"/>
  <c r="X105" i="11"/>
  <c r="U105" i="11"/>
  <c r="Y104" i="11"/>
  <c r="X104" i="11"/>
  <c r="U104" i="11"/>
  <c r="Y103" i="11"/>
  <c r="X103" i="11"/>
  <c r="U103" i="11"/>
  <c r="Y102" i="11"/>
  <c r="X102" i="11"/>
  <c r="U102" i="11"/>
  <c r="Y101" i="11"/>
  <c r="X101" i="11"/>
  <c r="U101" i="11"/>
  <c r="Y100" i="11"/>
  <c r="X100" i="11"/>
  <c r="U100" i="11"/>
  <c r="Y99" i="11"/>
  <c r="X99" i="11"/>
  <c r="U99" i="11"/>
  <c r="Y98" i="11"/>
  <c r="X98" i="11"/>
  <c r="U98" i="11"/>
  <c r="Y97" i="11"/>
  <c r="X97" i="11"/>
  <c r="U97" i="11"/>
  <c r="Y96" i="11"/>
  <c r="X96" i="11"/>
  <c r="U96" i="11"/>
  <c r="Y95" i="11"/>
  <c r="X95" i="11"/>
  <c r="U95" i="11"/>
  <c r="Y94" i="11"/>
  <c r="X94" i="11"/>
  <c r="U94" i="11"/>
  <c r="Y93" i="11"/>
  <c r="X93" i="11"/>
  <c r="U93" i="11"/>
  <c r="Y92" i="11"/>
  <c r="X92" i="11"/>
  <c r="U92" i="11"/>
  <c r="Y91" i="11"/>
  <c r="X91" i="11"/>
  <c r="U91" i="11"/>
  <c r="Y90" i="11"/>
  <c r="X90" i="11"/>
  <c r="U90" i="11"/>
  <c r="Y89" i="11"/>
  <c r="X89" i="11"/>
  <c r="U89" i="11"/>
  <c r="Y88" i="11"/>
  <c r="X88" i="11"/>
  <c r="U88" i="11"/>
  <c r="Y87" i="11"/>
  <c r="X87" i="11"/>
  <c r="U87" i="11"/>
  <c r="Y86" i="11"/>
  <c r="X86" i="11"/>
  <c r="U86" i="11"/>
  <c r="Y85" i="11"/>
  <c r="X85" i="11"/>
  <c r="U85" i="11"/>
  <c r="Y84" i="11"/>
  <c r="X84" i="11"/>
  <c r="U84" i="11"/>
  <c r="Y83" i="11"/>
  <c r="X83" i="11"/>
  <c r="U83" i="11"/>
  <c r="Y82" i="11"/>
  <c r="X82" i="11"/>
  <c r="U82" i="11"/>
  <c r="Y81" i="11"/>
  <c r="X81" i="11"/>
  <c r="U81" i="11"/>
  <c r="Y80" i="11"/>
  <c r="X80" i="11"/>
  <c r="U80" i="11"/>
  <c r="Y79" i="11"/>
  <c r="X79" i="11"/>
  <c r="U79" i="11"/>
  <c r="Y78" i="11"/>
  <c r="X78" i="11"/>
  <c r="U78" i="11"/>
  <c r="Y77" i="11"/>
  <c r="X77" i="11"/>
  <c r="U77" i="11"/>
  <c r="Y76" i="11"/>
  <c r="X76" i="11"/>
  <c r="U76" i="11"/>
  <c r="Y75" i="11"/>
  <c r="X75" i="11"/>
  <c r="U75" i="11"/>
  <c r="Y74" i="11"/>
  <c r="X74" i="11"/>
  <c r="U74" i="11"/>
  <c r="Y73" i="11"/>
  <c r="X73" i="11"/>
  <c r="U73" i="11"/>
  <c r="Y72" i="11"/>
  <c r="X72" i="11"/>
  <c r="U72" i="11"/>
  <c r="Y71" i="11"/>
  <c r="X71" i="11"/>
  <c r="U71" i="11"/>
  <c r="Y70" i="11"/>
  <c r="X70" i="11"/>
  <c r="U70" i="11"/>
  <c r="Y69" i="11"/>
  <c r="X69" i="11"/>
  <c r="U69" i="11"/>
  <c r="Y68" i="11"/>
  <c r="X68" i="11"/>
  <c r="U68" i="11"/>
  <c r="Y67" i="11"/>
  <c r="X67" i="11"/>
  <c r="U67" i="11"/>
  <c r="Y66" i="11"/>
  <c r="X66" i="11"/>
  <c r="U66" i="11"/>
  <c r="Y65" i="11"/>
  <c r="X65" i="11"/>
  <c r="U65" i="11"/>
  <c r="Y64" i="11"/>
  <c r="X64" i="11"/>
  <c r="U64" i="11"/>
  <c r="Y63" i="11"/>
  <c r="X63" i="11"/>
  <c r="U63" i="11"/>
  <c r="Y62" i="11"/>
  <c r="X62" i="11"/>
  <c r="U62" i="11"/>
  <c r="Y61" i="11"/>
  <c r="X61" i="11"/>
  <c r="U61" i="11"/>
  <c r="Y60" i="11"/>
  <c r="X60" i="11"/>
  <c r="U60" i="11"/>
  <c r="Y59" i="11"/>
  <c r="X59" i="11"/>
  <c r="U59" i="11"/>
  <c r="Y58" i="11"/>
  <c r="X58" i="11"/>
  <c r="U58" i="11"/>
  <c r="Y57" i="11"/>
  <c r="X57" i="11"/>
  <c r="U57" i="11"/>
  <c r="Y56" i="11"/>
  <c r="X56" i="11"/>
  <c r="U56" i="11"/>
  <c r="Y55" i="11"/>
  <c r="X55" i="11"/>
  <c r="U55" i="11"/>
  <c r="Y54" i="11"/>
  <c r="X54" i="11"/>
  <c r="U54" i="11"/>
  <c r="Y53" i="11"/>
  <c r="X53" i="11"/>
  <c r="U53" i="11"/>
  <c r="Y52" i="11"/>
  <c r="X52" i="11"/>
  <c r="U52" i="11"/>
  <c r="Y51" i="11"/>
  <c r="X51" i="11"/>
  <c r="U51" i="11"/>
  <c r="Y50" i="11"/>
  <c r="X50" i="11"/>
  <c r="U50" i="11"/>
  <c r="Y49" i="11"/>
  <c r="X49" i="11"/>
  <c r="U49" i="11"/>
  <c r="Y48" i="11"/>
  <c r="X48" i="11"/>
  <c r="U48" i="11"/>
  <c r="Y47" i="11"/>
  <c r="X47" i="11"/>
  <c r="U47" i="11"/>
  <c r="Y46" i="11"/>
  <c r="X46" i="11"/>
  <c r="U46" i="11"/>
  <c r="Y45" i="11"/>
  <c r="X45" i="11"/>
  <c r="U45" i="11"/>
  <c r="Y44" i="11"/>
  <c r="X44" i="11"/>
  <c r="U44" i="11"/>
  <c r="Y43" i="11"/>
  <c r="X43" i="11"/>
  <c r="U43" i="11"/>
  <c r="Y42" i="11"/>
  <c r="X42" i="11"/>
  <c r="U42" i="11"/>
  <c r="Y41" i="11"/>
  <c r="X41" i="11"/>
  <c r="U41" i="11"/>
  <c r="Y40" i="11"/>
  <c r="X40" i="11"/>
  <c r="U40" i="11"/>
  <c r="Y39" i="11"/>
  <c r="X39" i="11"/>
  <c r="U39" i="11"/>
  <c r="Y38" i="11"/>
  <c r="X38" i="11"/>
  <c r="U38" i="11"/>
  <c r="Y37" i="11"/>
  <c r="X37" i="11"/>
  <c r="U37" i="11"/>
  <c r="Y36" i="11"/>
  <c r="X36" i="11"/>
  <c r="U36" i="11"/>
  <c r="Y35" i="11"/>
  <c r="X35" i="11"/>
  <c r="U35" i="11"/>
  <c r="Y34" i="11"/>
  <c r="X34" i="11"/>
  <c r="U34" i="11"/>
  <c r="Y33" i="11"/>
  <c r="X33" i="11"/>
  <c r="U33" i="11"/>
  <c r="Y32" i="11"/>
  <c r="X32" i="11"/>
  <c r="U32" i="11"/>
  <c r="Y31" i="11"/>
  <c r="X31" i="11"/>
  <c r="U31" i="11"/>
  <c r="Y30" i="11"/>
  <c r="X30" i="11"/>
  <c r="U30" i="11"/>
  <c r="Y29" i="11"/>
  <c r="X29" i="11"/>
  <c r="U29" i="11"/>
  <c r="Y28" i="11"/>
  <c r="X28" i="11"/>
  <c r="U28" i="11"/>
  <c r="Y27" i="11"/>
  <c r="X27" i="11"/>
  <c r="U27" i="11"/>
  <c r="Y26" i="11"/>
  <c r="X26" i="11"/>
  <c r="U26" i="11"/>
  <c r="Y25" i="11"/>
  <c r="X25" i="11"/>
  <c r="U25" i="11"/>
  <c r="Y24" i="11"/>
  <c r="X24" i="11"/>
  <c r="U24" i="11"/>
  <c r="Y23" i="11"/>
  <c r="X23" i="11"/>
  <c r="U23" i="11"/>
  <c r="Y22" i="11"/>
  <c r="X22" i="11"/>
  <c r="U22" i="11"/>
  <c r="Y21" i="11"/>
  <c r="X21" i="11"/>
  <c r="U21" i="11"/>
  <c r="Y20" i="11"/>
  <c r="X20" i="11"/>
  <c r="U20" i="11"/>
  <c r="Y19" i="11"/>
  <c r="X19" i="11"/>
  <c r="U19" i="11"/>
  <c r="Y18" i="11"/>
  <c r="X18" i="11"/>
  <c r="U18" i="11"/>
  <c r="Y17" i="11"/>
  <c r="X17" i="11"/>
  <c r="U17" i="11"/>
  <c r="Y16" i="11"/>
  <c r="X16" i="11"/>
  <c r="U16" i="11"/>
  <c r="Y15" i="11"/>
  <c r="X15" i="11"/>
  <c r="U15" i="11"/>
  <c r="Y14" i="11"/>
  <c r="X14" i="11"/>
  <c r="U14" i="11"/>
  <c r="Y13" i="11"/>
  <c r="X13" i="11"/>
  <c r="U13" i="11"/>
  <c r="Y12" i="11"/>
  <c r="X12" i="11"/>
  <c r="U12" i="11"/>
  <c r="Y11" i="11"/>
  <c r="X11" i="11"/>
  <c r="U11" i="11"/>
  <c r="Y10" i="11"/>
  <c r="X10" i="11"/>
  <c r="U10" i="11"/>
  <c r="Y9" i="11"/>
  <c r="X9" i="11"/>
  <c r="U9" i="11"/>
  <c r="Y8" i="11"/>
  <c r="X8" i="11"/>
  <c r="U8" i="11"/>
  <c r="Y7" i="11"/>
  <c r="X7" i="11"/>
  <c r="U7" i="11"/>
  <c r="Y6" i="11"/>
  <c r="X6" i="11"/>
  <c r="U6" i="11"/>
  <c r="H245" i="10"/>
  <c r="D245" i="10"/>
  <c r="A245" i="10"/>
  <c r="H244" i="10"/>
  <c r="D244" i="10"/>
  <c r="A244" i="10"/>
  <c r="H243" i="10"/>
  <c r="D243" i="10"/>
  <c r="A243" i="10" s="1"/>
  <c r="H242" i="10"/>
  <c r="D242" i="10"/>
  <c r="A242" i="10" s="1"/>
  <c r="D241" i="10"/>
  <c r="H240" i="10"/>
  <c r="D240" i="10"/>
  <c r="A240" i="10" s="1"/>
  <c r="H239" i="10"/>
  <c r="D239" i="10"/>
  <c r="A239" i="10"/>
  <c r="D238" i="10"/>
  <c r="H238" i="10" s="1"/>
  <c r="A238" i="10"/>
  <c r="H237" i="10"/>
  <c r="D237" i="10"/>
  <c r="A237" i="10" s="1"/>
  <c r="D236" i="10"/>
  <c r="H235" i="10"/>
  <c r="D235" i="10"/>
  <c r="A235" i="10" s="1"/>
  <c r="H234" i="10"/>
  <c r="D234" i="10"/>
  <c r="A234" i="10" s="1"/>
  <c r="D233" i="10"/>
  <c r="H233" i="10" s="1"/>
  <c r="A233" i="10"/>
  <c r="H232" i="10"/>
  <c r="D232" i="10"/>
  <c r="A232" i="10" s="1"/>
  <c r="H231" i="10"/>
  <c r="D231" i="10"/>
  <c r="A231" i="10" s="1"/>
  <c r="H230" i="10"/>
  <c r="D230" i="10"/>
  <c r="A230" i="10"/>
  <c r="H229" i="10"/>
  <c r="D229" i="10"/>
  <c r="A229" i="10" s="1"/>
  <c r="D228" i="10"/>
  <c r="H227" i="10"/>
  <c r="D227" i="10"/>
  <c r="A227" i="10"/>
  <c r="H226" i="10"/>
  <c r="D226" i="10"/>
  <c r="A226" i="10" s="1"/>
  <c r="D225" i="10"/>
  <c r="H225" i="10" s="1"/>
  <c r="A225" i="10"/>
  <c r="H224" i="10"/>
  <c r="D224" i="10"/>
  <c r="A224" i="10"/>
  <c r="D223" i="10"/>
  <c r="D222" i="10"/>
  <c r="H222" i="10" s="1"/>
  <c r="A222" i="10"/>
  <c r="H221" i="10"/>
  <c r="D221" i="10"/>
  <c r="A221" i="10"/>
  <c r="D220" i="10"/>
  <c r="D219" i="10"/>
  <c r="H219" i="10" s="1"/>
  <c r="A219" i="10"/>
  <c r="H218" i="10"/>
  <c r="D218" i="10"/>
  <c r="A218" i="10"/>
  <c r="H217" i="10"/>
  <c r="D217" i="10"/>
  <c r="A217" i="10" s="1"/>
  <c r="D216" i="10"/>
  <c r="H215" i="10"/>
  <c r="D215" i="10"/>
  <c r="A215" i="10"/>
  <c r="H214" i="10"/>
  <c r="D214" i="10"/>
  <c r="A214" i="10" s="1"/>
  <c r="D213" i="10"/>
  <c r="H213" i="10" s="1"/>
  <c r="H212" i="10"/>
  <c r="D212" i="10"/>
  <c r="A212" i="10"/>
  <c r="D211" i="10"/>
  <c r="D210" i="10"/>
  <c r="H210" i="10" s="1"/>
  <c r="A210" i="10"/>
  <c r="H209" i="10"/>
  <c r="D209" i="10"/>
  <c r="A209" i="10"/>
  <c r="D208" i="10"/>
  <c r="D207" i="10"/>
  <c r="H207" i="10" s="1"/>
  <c r="A207" i="10"/>
  <c r="H206" i="10"/>
  <c r="D206" i="10"/>
  <c r="A206" i="10"/>
  <c r="D205" i="10"/>
  <c r="D204" i="10"/>
  <c r="H203" i="10"/>
  <c r="D203" i="10"/>
  <c r="A203" i="10"/>
  <c r="H202" i="10"/>
  <c r="D202" i="10"/>
  <c r="A202" i="10" s="1"/>
  <c r="D201" i="10"/>
  <c r="H201" i="10" s="1"/>
  <c r="A201" i="10"/>
  <c r="H200" i="10"/>
  <c r="D200" i="10"/>
  <c r="A200" i="10"/>
  <c r="D199" i="10"/>
  <c r="H199" i="10" s="1"/>
  <c r="A199" i="10"/>
  <c r="D198" i="10"/>
  <c r="H198" i="10" s="1"/>
  <c r="A198" i="10"/>
  <c r="H197" i="10"/>
  <c r="D197" i="10"/>
  <c r="A197" i="10"/>
  <c r="H196" i="10"/>
  <c r="D196" i="10"/>
  <c r="A196" i="10"/>
  <c r="D195" i="10"/>
  <c r="H195" i="10" s="1"/>
  <c r="H194" i="10"/>
  <c r="D194" i="10"/>
  <c r="A194" i="10"/>
  <c r="D193" i="10"/>
  <c r="D192" i="10"/>
  <c r="H192" i="10" s="1"/>
  <c r="A192" i="10"/>
  <c r="H191" i="10"/>
  <c r="D191" i="10"/>
  <c r="A191" i="10"/>
  <c r="H190" i="10"/>
  <c r="D190" i="10"/>
  <c r="A190" i="10"/>
  <c r="H189" i="10"/>
  <c r="D189" i="10"/>
  <c r="A189" i="10"/>
  <c r="D188" i="10"/>
  <c r="H187" i="10"/>
  <c r="D187" i="10"/>
  <c r="A187" i="10"/>
  <c r="H186" i="10"/>
  <c r="D186" i="10"/>
  <c r="A186" i="10"/>
  <c r="D185" i="10"/>
  <c r="H184" i="10"/>
  <c r="D184" i="10"/>
  <c r="A184" i="10"/>
  <c r="H183" i="10"/>
  <c r="D183" i="10"/>
  <c r="A183" i="10"/>
  <c r="D182" i="10"/>
  <c r="H181" i="10"/>
  <c r="D181" i="10"/>
  <c r="A181" i="10"/>
  <c r="H180" i="10"/>
  <c r="D180" i="10"/>
  <c r="A180" i="10"/>
  <c r="D179" i="10"/>
  <c r="H178" i="10"/>
  <c r="D178" i="10"/>
  <c r="A178" i="10"/>
  <c r="H177" i="10"/>
  <c r="D177" i="10"/>
  <c r="A177" i="10"/>
  <c r="D176" i="10"/>
  <c r="H175" i="10"/>
  <c r="D175" i="10"/>
  <c r="A175" i="10"/>
  <c r="H174" i="10"/>
  <c r="D174" i="10"/>
  <c r="A174" i="10"/>
  <c r="D173" i="10"/>
  <c r="H172" i="10"/>
  <c r="D172" i="10"/>
  <c r="A172" i="10"/>
  <c r="H171" i="10"/>
  <c r="D171" i="10"/>
  <c r="A171" i="10"/>
  <c r="D170" i="10"/>
  <c r="H169" i="10"/>
  <c r="D169" i="10"/>
  <c r="A169" i="10"/>
  <c r="H168" i="10"/>
  <c r="D168" i="10"/>
  <c r="A168" i="10"/>
  <c r="D167" i="10"/>
  <c r="H166" i="10"/>
  <c r="D166" i="10"/>
  <c r="A166" i="10"/>
  <c r="H165" i="10"/>
  <c r="D165" i="10"/>
  <c r="A165" i="10"/>
  <c r="D164" i="10"/>
  <c r="H163" i="10"/>
  <c r="D163" i="10"/>
  <c r="A163" i="10"/>
  <c r="D162" i="10"/>
  <c r="H162" i="10" s="1"/>
  <c r="A162" i="10"/>
  <c r="D161" i="10"/>
  <c r="H160" i="10"/>
  <c r="D160" i="10"/>
  <c r="A160" i="10"/>
  <c r="D159" i="10"/>
  <c r="D158" i="10"/>
  <c r="H157" i="10"/>
  <c r="D157" i="10"/>
  <c r="A157" i="10"/>
  <c r="D156" i="10"/>
  <c r="H156" i="10" s="1"/>
  <c r="A156" i="10"/>
  <c r="D155" i="10"/>
  <c r="H154" i="10"/>
  <c r="D154" i="10"/>
  <c r="A154" i="10"/>
  <c r="H153" i="10"/>
  <c r="D153" i="10"/>
  <c r="A153" i="10"/>
  <c r="D152" i="10"/>
  <c r="H151" i="10"/>
  <c r="D151" i="10"/>
  <c r="A151" i="10"/>
  <c r="H150" i="10"/>
  <c r="D150" i="10"/>
  <c r="A150" i="10"/>
  <c r="D149" i="10"/>
  <c r="H148" i="10"/>
  <c r="D148" i="10"/>
  <c r="A148" i="10"/>
  <c r="D147" i="10"/>
  <c r="H147" i="10" s="1"/>
  <c r="A147" i="10"/>
  <c r="D146" i="10"/>
  <c r="H145" i="10"/>
  <c r="D145" i="10"/>
  <c r="A145" i="10"/>
  <c r="D144" i="10"/>
  <c r="D143" i="10"/>
  <c r="H142" i="10"/>
  <c r="D142" i="10"/>
  <c r="A142" i="10"/>
  <c r="H141" i="10"/>
  <c r="D141" i="10"/>
  <c r="A141" i="10" s="1"/>
  <c r="D140" i="10"/>
  <c r="H139" i="10"/>
  <c r="D139" i="10"/>
  <c r="A139" i="10"/>
  <c r="D138" i="10"/>
  <c r="H138" i="10" s="1"/>
  <c r="A138" i="10"/>
  <c r="D137" i="10"/>
  <c r="D136" i="10"/>
  <c r="H136" i="10" s="1"/>
  <c r="A136" i="10"/>
  <c r="H135" i="10"/>
  <c r="D135" i="10"/>
  <c r="A135" i="10"/>
  <c r="H134" i="10"/>
  <c r="D134" i="10"/>
  <c r="A134" i="10" s="1"/>
  <c r="H133" i="10"/>
  <c r="D133" i="10"/>
  <c r="A133" i="10"/>
  <c r="D132" i="10"/>
  <c r="A132" i="10"/>
  <c r="D131" i="10"/>
  <c r="D130" i="10"/>
  <c r="D129" i="10"/>
  <c r="A129" i="10"/>
  <c r="D128" i="10"/>
  <c r="A128" i="10"/>
  <c r="D127" i="10"/>
  <c r="D126" i="10"/>
  <c r="A126" i="10"/>
  <c r="D125" i="10"/>
  <c r="A125" i="10"/>
  <c r="D124" i="10"/>
  <c r="D123" i="10"/>
  <c r="A123" i="10"/>
  <c r="D122" i="10"/>
  <c r="D121" i="10"/>
  <c r="D120" i="10"/>
  <c r="A120" i="10"/>
  <c r="D119" i="10"/>
  <c r="A119" i="10"/>
  <c r="D118" i="10"/>
  <c r="D117" i="10"/>
  <c r="A117" i="10"/>
  <c r="D116" i="10"/>
  <c r="A116" i="10"/>
  <c r="D115" i="10"/>
  <c r="D114" i="10"/>
  <c r="A114" i="10"/>
  <c r="D113" i="10"/>
  <c r="D112" i="10"/>
  <c r="D111" i="10"/>
  <c r="A111" i="10"/>
  <c r="D110" i="10"/>
  <c r="A110" i="10"/>
  <c r="D109" i="10"/>
  <c r="D108" i="10"/>
  <c r="A108" i="10"/>
  <c r="D107" i="10"/>
  <c r="A107" i="10"/>
  <c r="D106" i="10"/>
  <c r="D105" i="10"/>
  <c r="A105" i="10"/>
  <c r="D104" i="10"/>
  <c r="A104" i="10"/>
  <c r="D103" i="10"/>
  <c r="D102" i="10"/>
  <c r="A102" i="10"/>
  <c r="D101" i="10"/>
  <c r="A101" i="10" s="1"/>
  <c r="D100" i="10"/>
  <c r="D99" i="10"/>
  <c r="A99" i="10"/>
  <c r="D98" i="10"/>
  <c r="A98" i="10"/>
  <c r="D97" i="10"/>
  <c r="D96" i="10"/>
  <c r="A96" i="10"/>
  <c r="D95" i="10"/>
  <c r="A95" i="10"/>
  <c r="D94" i="10"/>
  <c r="D93" i="10"/>
  <c r="A93" i="10"/>
  <c r="D92" i="10"/>
  <c r="D91" i="10"/>
  <c r="D90" i="10"/>
  <c r="A90" i="10"/>
  <c r="D89" i="10"/>
  <c r="A89" i="10" s="1"/>
  <c r="D88" i="10"/>
  <c r="D87" i="10"/>
  <c r="A87" i="10"/>
  <c r="D86" i="10"/>
  <c r="A86" i="10"/>
  <c r="D85" i="10"/>
  <c r="D84" i="10"/>
  <c r="A84" i="10"/>
  <c r="D83" i="10"/>
  <c r="D82" i="10"/>
  <c r="D81" i="10"/>
  <c r="A81" i="10"/>
  <c r="D80" i="10"/>
  <c r="A80" i="10" s="1"/>
  <c r="D79" i="10"/>
  <c r="D78" i="10"/>
  <c r="A78" i="10"/>
  <c r="D77" i="10"/>
  <c r="D76" i="10"/>
  <c r="D75" i="10"/>
  <c r="A75" i="10"/>
  <c r="D74" i="10"/>
  <c r="A74" i="10" s="1"/>
  <c r="D73" i="10"/>
  <c r="D72" i="10"/>
  <c r="A72" i="10"/>
  <c r="D71" i="10"/>
  <c r="A71" i="10"/>
  <c r="D70" i="10"/>
  <c r="D69" i="10"/>
  <c r="A69" i="10"/>
  <c r="D68" i="10"/>
  <c r="A68" i="10"/>
  <c r="D67" i="10"/>
  <c r="D66" i="10"/>
  <c r="A66" i="10"/>
  <c r="D65" i="10"/>
  <c r="A65" i="10" s="1"/>
  <c r="D64" i="10"/>
  <c r="D63" i="10"/>
  <c r="A63" i="10"/>
  <c r="D62" i="10"/>
  <c r="A62" i="10"/>
  <c r="D61" i="10"/>
  <c r="D60" i="10"/>
  <c r="A60" i="10"/>
  <c r="D59" i="10"/>
  <c r="D58" i="10"/>
  <c r="D57" i="10"/>
  <c r="A57" i="10"/>
  <c r="D56" i="10"/>
  <c r="A56" i="10"/>
  <c r="D55" i="10"/>
  <c r="D54" i="10"/>
  <c r="A54" i="10"/>
  <c r="D53" i="10"/>
  <c r="A53" i="10" s="1"/>
  <c r="D52" i="10"/>
  <c r="D51" i="10"/>
  <c r="A51" i="10"/>
  <c r="D50" i="10"/>
  <c r="A50" i="10" s="1"/>
  <c r="D49" i="10"/>
  <c r="D48" i="10"/>
  <c r="A48" i="10"/>
  <c r="D47" i="10"/>
  <c r="A47" i="10"/>
  <c r="D46" i="10"/>
  <c r="D45" i="10"/>
  <c r="A45" i="10"/>
  <c r="D44" i="10"/>
  <c r="D43" i="10"/>
  <c r="D42" i="10"/>
  <c r="A42" i="10"/>
  <c r="D41" i="10"/>
  <c r="A41" i="10"/>
  <c r="D40" i="10"/>
  <c r="D39" i="10"/>
  <c r="A39" i="10"/>
  <c r="D38" i="10"/>
  <c r="A38" i="10" s="1"/>
  <c r="D37" i="10"/>
  <c r="D36" i="10"/>
  <c r="A36" i="10"/>
  <c r="D35" i="10"/>
  <c r="A35" i="10" s="1"/>
  <c r="D34" i="10"/>
  <c r="D33" i="10"/>
  <c r="A33" i="10"/>
  <c r="D32" i="10"/>
  <c r="A32" i="10"/>
  <c r="D31" i="10"/>
  <c r="D30" i="10"/>
  <c r="A30" i="10"/>
  <c r="D29" i="10"/>
  <c r="A29" i="10"/>
  <c r="D28" i="10"/>
  <c r="D27" i="10"/>
  <c r="A27" i="10"/>
  <c r="D26" i="10"/>
  <c r="D25" i="10"/>
  <c r="D24" i="10"/>
  <c r="A24" i="10"/>
  <c r="D23" i="10"/>
  <c r="A23" i="10" s="1"/>
  <c r="D22" i="10"/>
  <c r="D21" i="10"/>
  <c r="A21" i="10"/>
  <c r="D20" i="10"/>
  <c r="A20" i="10"/>
  <c r="D19" i="10"/>
  <c r="D18" i="10"/>
  <c r="A18" i="10"/>
  <c r="D17" i="10"/>
  <c r="D16" i="10"/>
  <c r="A16" i="10" s="1"/>
  <c r="D15" i="10"/>
  <c r="A15" i="10"/>
  <c r="D14" i="10"/>
  <c r="D13" i="10"/>
  <c r="D12" i="10"/>
  <c r="D11" i="10"/>
  <c r="D10" i="10"/>
  <c r="A10" i="10" s="1"/>
  <c r="D9" i="10"/>
  <c r="A9" i="10"/>
  <c r="D8" i="10"/>
  <c r="A8" i="10" s="1"/>
  <c r="D7" i="10"/>
  <c r="H6" i="10"/>
  <c r="D6" i="10"/>
  <c r="A6" i="10"/>
  <c r="E8" i="7"/>
  <c r="E9" i="7" s="1"/>
  <c r="E10" i="7" s="1"/>
  <c r="E11" i="7" s="1"/>
  <c r="E12" i="7" s="1"/>
  <c r="E13" i="7" s="1"/>
  <c r="E14" i="7" s="1"/>
  <c r="E15" i="7" s="1"/>
  <c r="E16" i="7" s="1"/>
  <c r="E17" i="7" s="1"/>
  <c r="E7" i="7"/>
  <c r="FE242" i="6"/>
  <c r="EU242" i="6"/>
  <c r="DU242" i="6"/>
  <c r="DM242" i="6"/>
  <c r="DK242" i="6"/>
  <c r="DH242" i="6"/>
  <c r="DG242" i="6"/>
  <c r="BU242" i="6"/>
  <c r="BN242" i="6"/>
  <c r="BA242" i="6"/>
  <c r="AE242" i="6"/>
  <c r="T242" i="6"/>
  <c r="L242" i="6"/>
  <c r="H242" i="6"/>
  <c r="F242" i="6"/>
  <c r="E242" i="6"/>
  <c r="D242" i="6"/>
  <c r="EX242" i="6" s="1"/>
  <c r="C242" i="6"/>
  <c r="FE241" i="6"/>
  <c r="FA241" i="6"/>
  <c r="EU241" i="6"/>
  <c r="DU241" i="6"/>
  <c r="DM241" i="6"/>
  <c r="DL241" i="6"/>
  <c r="DJ241" i="6"/>
  <c r="DI241" i="6"/>
  <c r="BC241" i="6" s="1"/>
  <c r="BX241" i="6"/>
  <c r="BV241" i="6"/>
  <c r="BQ241" i="6"/>
  <c r="BO241" i="6"/>
  <c r="BG241" i="6"/>
  <c r="BR241" i="6" s="1"/>
  <c r="AZ241" i="6"/>
  <c r="AE241" i="6"/>
  <c r="T241" i="6"/>
  <c r="J241" i="6"/>
  <c r="H241" i="6"/>
  <c r="F241" i="6"/>
  <c r="E241" i="6"/>
  <c r="D241" i="6"/>
  <c r="C241" i="6"/>
  <c r="FA240" i="6"/>
  <c r="EX240" i="6"/>
  <c r="DL240" i="6"/>
  <c r="DK240" i="6"/>
  <c r="DG240" i="6"/>
  <c r="BW240" i="6"/>
  <c r="BU240" i="6"/>
  <c r="BT240" i="6"/>
  <c r="BJ240" i="6"/>
  <c r="BH240" i="6"/>
  <c r="BS240" i="6" s="1"/>
  <c r="AE240" i="6"/>
  <c r="T240" i="6"/>
  <c r="K240" i="6"/>
  <c r="I240" i="6"/>
  <c r="H240" i="6"/>
  <c r="G240" i="6"/>
  <c r="F240" i="6"/>
  <c r="D240" i="6"/>
  <c r="C240" i="6"/>
  <c r="B240" i="6"/>
  <c r="FA239" i="6"/>
  <c r="EU239" i="6"/>
  <c r="DU239" i="6"/>
  <c r="DL239" i="6"/>
  <c r="DJ239" i="6"/>
  <c r="DG239" i="6"/>
  <c r="BX239" i="6"/>
  <c r="BU239" i="6"/>
  <c r="BQ239" i="6"/>
  <c r="BK239" i="6"/>
  <c r="BI239" i="6"/>
  <c r="BG239" i="6"/>
  <c r="BR239" i="6" s="1"/>
  <c r="T239" i="6"/>
  <c r="L239" i="6"/>
  <c r="DH239" i="6" s="1"/>
  <c r="K239" i="6"/>
  <c r="J239" i="6"/>
  <c r="I239" i="6"/>
  <c r="BJ239" i="6" s="1"/>
  <c r="G239" i="6"/>
  <c r="E239" i="6"/>
  <c r="BN239" i="6" s="1"/>
  <c r="D239" i="6"/>
  <c r="C239" i="6"/>
  <c r="B239" i="6"/>
  <c r="T238" i="6"/>
  <c r="E238" i="6"/>
  <c r="D238" i="6"/>
  <c r="C238" i="6"/>
  <c r="FA237" i="6"/>
  <c r="EY237" i="6"/>
  <c r="EX237" i="6"/>
  <c r="EU237" i="6"/>
  <c r="DU237" i="6"/>
  <c r="DT237" i="6"/>
  <c r="DL237" i="6"/>
  <c r="DJ237" i="6"/>
  <c r="DI237" i="6"/>
  <c r="DG237" i="6"/>
  <c r="BX237" i="6"/>
  <c r="BW237" i="6"/>
  <c r="BV237" i="6"/>
  <c r="BU237" i="6"/>
  <c r="BK237" i="6"/>
  <c r="BI237" i="6"/>
  <c r="BG237" i="6"/>
  <c r="BE237" i="6"/>
  <c r="T237" i="6"/>
  <c r="L237" i="6"/>
  <c r="K237" i="6"/>
  <c r="J237" i="6"/>
  <c r="I237" i="6"/>
  <c r="BJ237" i="6" s="1"/>
  <c r="H237" i="6"/>
  <c r="G237" i="6"/>
  <c r="E237" i="6"/>
  <c r="BP237" i="6" s="1"/>
  <c r="D237" i="6"/>
  <c r="FE237" i="6" s="1"/>
  <c r="C237" i="6"/>
  <c r="B237" i="6"/>
  <c r="FE236" i="6"/>
  <c r="FA236" i="6"/>
  <c r="EX236" i="6"/>
  <c r="EU236" i="6"/>
  <c r="DT236" i="6"/>
  <c r="DM236" i="6"/>
  <c r="DL236" i="6"/>
  <c r="DK236" i="6"/>
  <c r="DJ236" i="6"/>
  <c r="DH236" i="6"/>
  <c r="DG236" i="6"/>
  <c r="BX236" i="6"/>
  <c r="BV236" i="6"/>
  <c r="BU236" i="6"/>
  <c r="BO236" i="6"/>
  <c r="BN236" i="6"/>
  <c r="BI236" i="6"/>
  <c r="BH236" i="6"/>
  <c r="BG236" i="6"/>
  <c r="BR236" i="6" s="1"/>
  <c r="BA236" i="6"/>
  <c r="AZ236" i="6"/>
  <c r="AE236" i="6"/>
  <c r="CI236" i="6" s="1"/>
  <c r="T236" i="6"/>
  <c r="L236" i="6"/>
  <c r="K236" i="6"/>
  <c r="J236" i="6"/>
  <c r="DS236" i="6" s="1"/>
  <c r="H236" i="6"/>
  <c r="G236" i="6"/>
  <c r="F236" i="6"/>
  <c r="E236" i="6"/>
  <c r="D236" i="6"/>
  <c r="BW236" i="6" s="1"/>
  <c r="C236" i="6"/>
  <c r="B236" i="6"/>
  <c r="FE235" i="6"/>
  <c r="EU235" i="6"/>
  <c r="DM235" i="6"/>
  <c r="DL235" i="6"/>
  <c r="DK235" i="6"/>
  <c r="BW235" i="6"/>
  <c r="BV235" i="6"/>
  <c r="BU235" i="6"/>
  <c r="BH235" i="6"/>
  <c r="BS235" i="6" s="1"/>
  <c r="AE235" i="6"/>
  <c r="T235" i="6"/>
  <c r="L235" i="6"/>
  <c r="K235" i="6"/>
  <c r="I235" i="6"/>
  <c r="BJ235" i="6" s="1"/>
  <c r="H235" i="6"/>
  <c r="G235" i="6"/>
  <c r="F235" i="6"/>
  <c r="D235" i="6"/>
  <c r="DU235" i="6" s="1"/>
  <c r="C235" i="6"/>
  <c r="FE234" i="6"/>
  <c r="FA234" i="6"/>
  <c r="DG234" i="6"/>
  <c r="T234" i="6"/>
  <c r="J234" i="6"/>
  <c r="D234" i="6"/>
  <c r="C234" i="6"/>
  <c r="BU233" i="6"/>
  <c r="BG233" i="6"/>
  <c r="AE233" i="6"/>
  <c r="T233" i="6"/>
  <c r="K233" i="6"/>
  <c r="J233" i="6"/>
  <c r="G233" i="6"/>
  <c r="D233" i="6"/>
  <c r="EU233" i="6" s="1"/>
  <c r="C233" i="6"/>
  <c r="FE232" i="6"/>
  <c r="EY232" i="6"/>
  <c r="EX232" i="6"/>
  <c r="DU232" i="6"/>
  <c r="DM232" i="6"/>
  <c r="DL232" i="6"/>
  <c r="DI232" i="6"/>
  <c r="BD232" i="6" s="1"/>
  <c r="DH232" i="6"/>
  <c r="DG232" i="6"/>
  <c r="BX232" i="6"/>
  <c r="BW232" i="6"/>
  <c r="BS232" i="6"/>
  <c r="BQ232" i="6"/>
  <c r="BP232" i="6"/>
  <c r="BK232" i="6"/>
  <c r="BH232" i="6"/>
  <c r="BT232" i="6" s="1"/>
  <c r="BG232" i="6"/>
  <c r="BR232" i="6" s="1"/>
  <c r="BA232" i="6"/>
  <c r="AZ232" i="6"/>
  <c r="AY232" i="6"/>
  <c r="AE232" i="6"/>
  <c r="CI232" i="6" s="1"/>
  <c r="T232" i="6"/>
  <c r="L232" i="6"/>
  <c r="K232" i="6"/>
  <c r="J232" i="6"/>
  <c r="I232" i="6"/>
  <c r="BJ232" i="6" s="1"/>
  <c r="F232" i="6"/>
  <c r="E232" i="6"/>
  <c r="DT232" i="6" s="1"/>
  <c r="D232" i="6"/>
  <c r="C232" i="6"/>
  <c r="B232" i="6"/>
  <c r="EU231" i="6"/>
  <c r="EE231" i="6"/>
  <c r="DM231" i="6"/>
  <c r="DK231" i="6"/>
  <c r="DJ231" i="6"/>
  <c r="DG231" i="6"/>
  <c r="BV231" i="6"/>
  <c r="BS231" i="6"/>
  <c r="BO231" i="6"/>
  <c r="BN231" i="6"/>
  <c r="BH231" i="6"/>
  <c r="BT231" i="6" s="1"/>
  <c r="BG231" i="6"/>
  <c r="BB231" i="6"/>
  <c r="AE231" i="6"/>
  <c r="CI231" i="6" s="1"/>
  <c r="T231" i="6"/>
  <c r="L231" i="6"/>
  <c r="H231" i="6"/>
  <c r="F231" i="6"/>
  <c r="E231" i="6"/>
  <c r="BP231" i="6" s="1"/>
  <c r="D231" i="6"/>
  <c r="FE231" i="6" s="1"/>
  <c r="C231" i="6"/>
  <c r="B231" i="6"/>
  <c r="DJ230" i="6"/>
  <c r="DI230" i="6"/>
  <c r="BK230" i="6"/>
  <c r="T230" i="6"/>
  <c r="E230" i="6"/>
  <c r="D230" i="6"/>
  <c r="DU230" i="6" s="1"/>
  <c r="C230" i="6"/>
  <c r="BP229" i="6"/>
  <c r="BN229" i="6"/>
  <c r="BK229" i="6"/>
  <c r="AZ229" i="6"/>
  <c r="AY229" i="6"/>
  <c r="AE229" i="6"/>
  <c r="CI229" i="6" s="1"/>
  <c r="T229" i="6"/>
  <c r="L229" i="6"/>
  <c r="F229" i="6"/>
  <c r="E229" i="6"/>
  <c r="D229" i="6"/>
  <c r="C229" i="6"/>
  <c r="B229" i="6"/>
  <c r="EU228" i="6"/>
  <c r="DU228" i="6"/>
  <c r="DM228" i="6"/>
  <c r="DK228" i="6"/>
  <c r="BR228" i="6"/>
  <c r="BG228" i="6"/>
  <c r="BQ228" i="6" s="1"/>
  <c r="AY228" i="6"/>
  <c r="T228" i="6"/>
  <c r="H228" i="6"/>
  <c r="F228" i="6"/>
  <c r="E228" i="6"/>
  <c r="D228" i="6"/>
  <c r="EX228" i="6" s="1"/>
  <c r="C228" i="6"/>
  <c r="FA227" i="6"/>
  <c r="EY227" i="6"/>
  <c r="EX227" i="6"/>
  <c r="DM227" i="6"/>
  <c r="DL227" i="6"/>
  <c r="DK227" i="6"/>
  <c r="BX227" i="6"/>
  <c r="BW227" i="6"/>
  <c r="BV227" i="6"/>
  <c r="BU227" i="6"/>
  <c r="BH227" i="6"/>
  <c r="BT227" i="6" s="1"/>
  <c r="T227" i="6"/>
  <c r="L227" i="6"/>
  <c r="K227" i="6"/>
  <c r="J227" i="6"/>
  <c r="I227" i="6"/>
  <c r="BJ227" i="6" s="1"/>
  <c r="H227" i="6"/>
  <c r="G227" i="6"/>
  <c r="F227" i="6"/>
  <c r="D227" i="6"/>
  <c r="FE227" i="6" s="1"/>
  <c r="C227" i="6"/>
  <c r="B227" i="6"/>
  <c r="FE226" i="6"/>
  <c r="FA226" i="6"/>
  <c r="DT226" i="6"/>
  <c r="DJ226" i="6"/>
  <c r="DG226" i="6"/>
  <c r="BX226" i="6"/>
  <c r="BW226" i="6"/>
  <c r="BQ226" i="6"/>
  <c r="BP226" i="6"/>
  <c r="BO226" i="6"/>
  <c r="BN226" i="6"/>
  <c r="BK226" i="6"/>
  <c r="BG226" i="6"/>
  <c r="BR226" i="6" s="1"/>
  <c r="BE226" i="6"/>
  <c r="BB226" i="6"/>
  <c r="BA226" i="6"/>
  <c r="AZ226" i="6"/>
  <c r="AY226" i="6"/>
  <c r="AE226" i="6"/>
  <c r="T226" i="6"/>
  <c r="L226" i="6"/>
  <c r="K226" i="6"/>
  <c r="J226" i="6"/>
  <c r="I226" i="6"/>
  <c r="BJ226" i="6" s="1"/>
  <c r="G226" i="6"/>
  <c r="F226" i="6"/>
  <c r="E226" i="6"/>
  <c r="BI226" i="6" s="1"/>
  <c r="D226" i="6"/>
  <c r="C226" i="6"/>
  <c r="B226" i="6"/>
  <c r="EU225" i="6"/>
  <c r="DU225" i="6"/>
  <c r="DT225" i="6"/>
  <c r="DJ225" i="6"/>
  <c r="DI225" i="6"/>
  <c r="BD225" i="6" s="1"/>
  <c r="DG225" i="6"/>
  <c r="BT225" i="6"/>
  <c r="BO225" i="6"/>
  <c r="BH225" i="6"/>
  <c r="BS225" i="6" s="1"/>
  <c r="BG225" i="6"/>
  <c r="BR225" i="6" s="1"/>
  <c r="BE225" i="6"/>
  <c r="T225" i="6"/>
  <c r="L225" i="6"/>
  <c r="F225" i="6"/>
  <c r="E225" i="6"/>
  <c r="D225" i="6"/>
  <c r="FE225" i="6" s="1"/>
  <c r="C225" i="6"/>
  <c r="B225" i="6"/>
  <c r="FE224" i="6"/>
  <c r="EX224" i="6"/>
  <c r="EU224" i="6"/>
  <c r="DM224" i="6"/>
  <c r="DL224" i="6"/>
  <c r="DK224" i="6"/>
  <c r="DJ224" i="6"/>
  <c r="BV224" i="6"/>
  <c r="BU224" i="6"/>
  <c r="BK224" i="6"/>
  <c r="BE224" i="6"/>
  <c r="AE224" i="6"/>
  <c r="T224" i="6"/>
  <c r="L224" i="6"/>
  <c r="H224" i="6"/>
  <c r="G224" i="6"/>
  <c r="F224" i="6"/>
  <c r="E224" i="6"/>
  <c r="DI224" i="6" s="1"/>
  <c r="D224" i="6"/>
  <c r="C224" i="6"/>
  <c r="B224" i="6"/>
  <c r="EU223" i="6"/>
  <c r="DJ223" i="6"/>
  <c r="BX223" i="6"/>
  <c r="T223" i="6"/>
  <c r="J223" i="6"/>
  <c r="D223" i="6"/>
  <c r="C223" i="6"/>
  <c r="FA222" i="6"/>
  <c r="EX222" i="6"/>
  <c r="EE222" i="6"/>
  <c r="DM222" i="6"/>
  <c r="DL222" i="6"/>
  <c r="DK222" i="6"/>
  <c r="DG222" i="6"/>
  <c r="BW222" i="6"/>
  <c r="BV222" i="6"/>
  <c r="BU222" i="6"/>
  <c r="BJ222" i="6"/>
  <c r="BH222" i="6"/>
  <c r="BS222" i="6" s="1"/>
  <c r="AE222" i="6"/>
  <c r="CI222" i="6" s="1"/>
  <c r="T222" i="6"/>
  <c r="L222" i="6"/>
  <c r="K222" i="6"/>
  <c r="DS222" i="6" s="1"/>
  <c r="J222" i="6"/>
  <c r="I222" i="6"/>
  <c r="H222" i="6"/>
  <c r="G222" i="6"/>
  <c r="F222" i="6"/>
  <c r="D222" i="6"/>
  <c r="FE222" i="6" s="1"/>
  <c r="C222" i="6"/>
  <c r="B222" i="6"/>
  <c r="FA221" i="6"/>
  <c r="BX221" i="6"/>
  <c r="T221" i="6"/>
  <c r="I221" i="6"/>
  <c r="BJ221" i="6" s="1"/>
  <c r="D221" i="6"/>
  <c r="DU221" i="6" s="1"/>
  <c r="C221" i="6"/>
  <c r="FE220" i="6"/>
  <c r="EX220" i="6"/>
  <c r="EU220" i="6"/>
  <c r="DM220" i="6"/>
  <c r="DL220" i="6"/>
  <c r="DK220" i="6"/>
  <c r="DJ220" i="6"/>
  <c r="DG220" i="6"/>
  <c r="BV220" i="6"/>
  <c r="BU220" i="6"/>
  <c r="BS220" i="6"/>
  <c r="BO220" i="6"/>
  <c r="BH220" i="6"/>
  <c r="BT220" i="6" s="1"/>
  <c r="BG220" i="6"/>
  <c r="AE220" i="6"/>
  <c r="CI220" i="6" s="1"/>
  <c r="T220" i="6"/>
  <c r="L220" i="6"/>
  <c r="H220" i="6"/>
  <c r="G220" i="6"/>
  <c r="F220" i="6"/>
  <c r="E220" i="6"/>
  <c r="D220" i="6"/>
  <c r="C220" i="6"/>
  <c r="B220" i="6"/>
  <c r="BW219" i="6"/>
  <c r="BV219" i="6"/>
  <c r="T219" i="6"/>
  <c r="F219" i="6"/>
  <c r="D219" i="6"/>
  <c r="C219" i="6"/>
  <c r="FA218" i="6"/>
  <c r="EX218" i="6"/>
  <c r="DM218" i="6"/>
  <c r="DL218" i="6"/>
  <c r="DK218" i="6"/>
  <c r="DG218" i="6"/>
  <c r="BW218" i="6"/>
  <c r="BV218" i="6"/>
  <c r="BU218" i="6"/>
  <c r="BH218" i="6"/>
  <c r="AE218" i="6"/>
  <c r="CI218" i="6" s="1"/>
  <c r="T218" i="6"/>
  <c r="L218" i="6"/>
  <c r="K218" i="6"/>
  <c r="I218" i="6"/>
  <c r="BJ218" i="6" s="1"/>
  <c r="H218" i="6"/>
  <c r="G218" i="6"/>
  <c r="F218" i="6"/>
  <c r="D218" i="6"/>
  <c r="FE218" i="6" s="1"/>
  <c r="C218" i="6"/>
  <c r="B218" i="6"/>
  <c r="FA217" i="6"/>
  <c r="T217" i="6"/>
  <c r="D217" i="6"/>
  <c r="C217" i="6"/>
  <c r="FE216" i="6"/>
  <c r="EX216" i="6"/>
  <c r="EU216" i="6"/>
  <c r="DM216" i="6"/>
  <c r="DL216" i="6"/>
  <c r="DK216" i="6"/>
  <c r="DJ216" i="6"/>
  <c r="DG216" i="6"/>
  <c r="BV216" i="6"/>
  <c r="BU216" i="6"/>
  <c r="BQ216" i="6"/>
  <c r="BP216" i="6"/>
  <c r="BI216" i="6"/>
  <c r="BH216" i="6"/>
  <c r="BS216" i="6" s="1"/>
  <c r="BG216" i="6"/>
  <c r="BR216" i="6" s="1"/>
  <c r="BE216" i="6"/>
  <c r="BB216" i="6"/>
  <c r="AE216" i="6"/>
  <c r="T216" i="6"/>
  <c r="L216" i="6"/>
  <c r="J216" i="6"/>
  <c r="H216" i="6"/>
  <c r="G216" i="6"/>
  <c r="F216" i="6"/>
  <c r="E216" i="6"/>
  <c r="DT216" i="6" s="1"/>
  <c r="D216" i="6"/>
  <c r="C216" i="6"/>
  <c r="B216" i="6"/>
  <c r="FE215" i="6"/>
  <c r="FA215" i="6"/>
  <c r="BX215" i="6"/>
  <c r="BG215" i="6"/>
  <c r="T215" i="6"/>
  <c r="H215" i="6"/>
  <c r="D215" i="6"/>
  <c r="C215" i="6"/>
  <c r="FA214" i="6"/>
  <c r="EX214" i="6"/>
  <c r="EE214" i="6"/>
  <c r="DM214" i="6"/>
  <c r="DL214" i="6"/>
  <c r="DK214" i="6"/>
  <c r="DG214" i="6"/>
  <c r="BW214" i="6"/>
  <c r="BV214" i="6"/>
  <c r="BU214" i="6"/>
  <c r="BT214" i="6"/>
  <c r="BJ214" i="6"/>
  <c r="BH214" i="6"/>
  <c r="BS214" i="6" s="1"/>
  <c r="AE214" i="6"/>
  <c r="CI214" i="6" s="1"/>
  <c r="T214" i="6"/>
  <c r="L214" i="6"/>
  <c r="K214" i="6"/>
  <c r="I214" i="6"/>
  <c r="H214" i="6"/>
  <c r="G214" i="6"/>
  <c r="F214" i="6"/>
  <c r="D214" i="6"/>
  <c r="FE214" i="6" s="1"/>
  <c r="C214" i="6"/>
  <c r="B214" i="6"/>
  <c r="FA213" i="6"/>
  <c r="EY213" i="6"/>
  <c r="EU213" i="6"/>
  <c r="DT213" i="6"/>
  <c r="DL213" i="6"/>
  <c r="DJ213" i="6"/>
  <c r="DI213" i="6"/>
  <c r="DG213" i="6"/>
  <c r="BX213" i="6"/>
  <c r="BW213" i="6"/>
  <c r="BU213" i="6"/>
  <c r="BP213" i="6"/>
  <c r="BN213" i="6"/>
  <c r="BK213" i="6"/>
  <c r="BI213" i="6"/>
  <c r="BG213" i="6"/>
  <c r="BE213" i="6"/>
  <c r="BA213" i="6"/>
  <c r="AZ213" i="6"/>
  <c r="AY213" i="6"/>
  <c r="T213" i="6"/>
  <c r="L213" i="6"/>
  <c r="K213" i="6"/>
  <c r="J213" i="6"/>
  <c r="I213" i="6"/>
  <c r="BJ213" i="6" s="1"/>
  <c r="H213" i="6"/>
  <c r="G213" i="6"/>
  <c r="E213" i="6"/>
  <c r="BB213" i="6" s="1"/>
  <c r="D213" i="6"/>
  <c r="C213" i="6"/>
  <c r="B213" i="6"/>
  <c r="DU212" i="6"/>
  <c r="T212" i="6"/>
  <c r="K212" i="6"/>
  <c r="D212" i="6"/>
  <c r="C212" i="6"/>
  <c r="DL211" i="6"/>
  <c r="BW211" i="6"/>
  <c r="T211" i="6"/>
  <c r="I211" i="6"/>
  <c r="BJ211" i="6" s="1"/>
  <c r="G211" i="6"/>
  <c r="D211" i="6"/>
  <c r="FE211" i="6" s="1"/>
  <c r="C211" i="6"/>
  <c r="DM210" i="6"/>
  <c r="DK210" i="6"/>
  <c r="DJ210" i="6"/>
  <c r="BH210" i="6"/>
  <c r="T210" i="6"/>
  <c r="L210" i="6"/>
  <c r="G210" i="6"/>
  <c r="E210" i="6"/>
  <c r="DT210" i="6" s="1"/>
  <c r="D210" i="6"/>
  <c r="EX210" i="6" s="1"/>
  <c r="C210" i="6"/>
  <c r="FE209" i="6"/>
  <c r="FA209" i="6"/>
  <c r="EX209" i="6"/>
  <c r="DM209" i="6"/>
  <c r="DL209" i="6"/>
  <c r="DK209" i="6"/>
  <c r="DG209" i="6"/>
  <c r="BX209" i="6"/>
  <c r="BW209" i="6"/>
  <c r="BV209" i="6"/>
  <c r="BU209" i="6"/>
  <c r="BJ209" i="6"/>
  <c r="BH209" i="6"/>
  <c r="BS209" i="6" s="1"/>
  <c r="AE209" i="6"/>
  <c r="T209" i="6"/>
  <c r="K209" i="6"/>
  <c r="J209" i="6"/>
  <c r="I209" i="6"/>
  <c r="H209" i="6"/>
  <c r="G209" i="6"/>
  <c r="F209" i="6"/>
  <c r="D209" i="6"/>
  <c r="C209" i="6"/>
  <c r="B209" i="6"/>
  <c r="BG208" i="6"/>
  <c r="T208" i="6"/>
  <c r="K208" i="6"/>
  <c r="J208" i="6"/>
  <c r="D208" i="6"/>
  <c r="DU208" i="6" s="1"/>
  <c r="C208" i="6"/>
  <c r="FE207" i="6"/>
  <c r="EU207" i="6"/>
  <c r="DU207" i="6"/>
  <c r="DM207" i="6"/>
  <c r="DL207" i="6"/>
  <c r="DJ207" i="6"/>
  <c r="DG207" i="6"/>
  <c r="BX207" i="6"/>
  <c r="BW207" i="6"/>
  <c r="BU207" i="6"/>
  <c r="BJ207" i="6"/>
  <c r="BG207" i="6"/>
  <c r="BR207" i="6" s="1"/>
  <c r="AE207" i="6"/>
  <c r="T207" i="6"/>
  <c r="L207" i="6"/>
  <c r="J207" i="6"/>
  <c r="I207" i="6"/>
  <c r="H207" i="6"/>
  <c r="D207" i="6"/>
  <c r="C207" i="6"/>
  <c r="B207" i="6"/>
  <c r="FE206" i="6"/>
  <c r="EX206" i="6"/>
  <c r="DU206" i="6"/>
  <c r="DM206" i="6"/>
  <c r="DJ206" i="6"/>
  <c r="BH206" i="6"/>
  <c r="AZ206" i="6"/>
  <c r="AE206" i="6"/>
  <c r="T206" i="6"/>
  <c r="L206" i="6"/>
  <c r="G206" i="6"/>
  <c r="E206" i="6"/>
  <c r="BO206" i="6" s="1"/>
  <c r="D206" i="6"/>
  <c r="C206" i="6"/>
  <c r="T205" i="6"/>
  <c r="I205" i="6"/>
  <c r="BJ205" i="6" s="1"/>
  <c r="H205" i="6"/>
  <c r="G205" i="6"/>
  <c r="D205" i="6"/>
  <c r="C205" i="6"/>
  <c r="FE204" i="6"/>
  <c r="FA204" i="6"/>
  <c r="EX204" i="6"/>
  <c r="DM204" i="6"/>
  <c r="DL204" i="6"/>
  <c r="DG204" i="6"/>
  <c r="BX204" i="6"/>
  <c r="BW204" i="6"/>
  <c r="BV204" i="6"/>
  <c r="BU204" i="6"/>
  <c r="BJ204" i="6"/>
  <c r="AE204" i="6"/>
  <c r="CI204" i="6" s="1"/>
  <c r="T204" i="6"/>
  <c r="L204" i="6"/>
  <c r="K204" i="6"/>
  <c r="J204" i="6"/>
  <c r="I204" i="6"/>
  <c r="H204" i="6"/>
  <c r="G204" i="6"/>
  <c r="D204" i="6"/>
  <c r="C204" i="6"/>
  <c r="B204" i="6"/>
  <c r="DU203" i="6"/>
  <c r="BX203" i="6"/>
  <c r="BG203" i="6"/>
  <c r="T203" i="6"/>
  <c r="K203" i="6"/>
  <c r="J203" i="6"/>
  <c r="F203" i="6"/>
  <c r="D203" i="6"/>
  <c r="C203" i="6"/>
  <c r="B203" i="6"/>
  <c r="EX202" i="6"/>
  <c r="EU202" i="6"/>
  <c r="DM202" i="6"/>
  <c r="DJ202" i="6"/>
  <c r="BW202" i="6"/>
  <c r="BV202" i="6"/>
  <c r="BI202" i="6"/>
  <c r="BH202" i="6"/>
  <c r="BG202" i="6"/>
  <c r="BR202" i="6" s="1"/>
  <c r="AE202" i="6"/>
  <c r="T202" i="6"/>
  <c r="G202" i="6"/>
  <c r="F202" i="6"/>
  <c r="E202" i="6"/>
  <c r="BE202" i="6" s="1"/>
  <c r="D202" i="6"/>
  <c r="DK202" i="6" s="1"/>
  <c r="C202" i="6"/>
  <c r="B202" i="6"/>
  <c r="FA201" i="6"/>
  <c r="EU201" i="6"/>
  <c r="DU201" i="6"/>
  <c r="DM201" i="6"/>
  <c r="DL201" i="6"/>
  <c r="DK201" i="6"/>
  <c r="DJ201" i="6"/>
  <c r="BX201" i="6"/>
  <c r="BW201" i="6"/>
  <c r="BV201" i="6"/>
  <c r="BS201" i="6"/>
  <c r="BH201" i="6"/>
  <c r="BT201" i="6" s="1"/>
  <c r="BG201" i="6"/>
  <c r="BQ201" i="6" s="1"/>
  <c r="T201" i="6"/>
  <c r="K201" i="6"/>
  <c r="J201" i="6"/>
  <c r="I201" i="6"/>
  <c r="BJ201" i="6" s="1"/>
  <c r="H201" i="6"/>
  <c r="G201" i="6"/>
  <c r="F201" i="6"/>
  <c r="D201" i="6"/>
  <c r="C201" i="6"/>
  <c r="FE200" i="6"/>
  <c r="FA200" i="6"/>
  <c r="EY200" i="6"/>
  <c r="EX200" i="6"/>
  <c r="EE200" i="6"/>
  <c r="DM200" i="6"/>
  <c r="DL200" i="6"/>
  <c r="DK200" i="6"/>
  <c r="DJ200" i="6"/>
  <c r="DG200" i="6"/>
  <c r="CI200" i="6"/>
  <c r="BX200" i="6"/>
  <c r="BW200" i="6"/>
  <c r="BV200" i="6"/>
  <c r="BU200" i="6"/>
  <c r="BS200" i="6"/>
  <c r="BO200" i="6"/>
  <c r="BK200" i="6"/>
  <c r="BH200" i="6"/>
  <c r="BT200" i="6" s="1"/>
  <c r="BG200" i="6"/>
  <c r="BR200" i="6" s="1"/>
  <c r="AZ200" i="6"/>
  <c r="AY200" i="6"/>
  <c r="AE200" i="6"/>
  <c r="T200" i="6"/>
  <c r="L200" i="6"/>
  <c r="K200" i="6"/>
  <c r="J200" i="6"/>
  <c r="I200" i="6"/>
  <c r="BJ200" i="6" s="1"/>
  <c r="H200" i="6"/>
  <c r="G200" i="6"/>
  <c r="F200" i="6"/>
  <c r="E200" i="6"/>
  <c r="BI200" i="6" s="1"/>
  <c r="D200" i="6"/>
  <c r="C200" i="6"/>
  <c r="B200" i="6"/>
  <c r="FA199" i="6"/>
  <c r="AE199" i="6"/>
  <c r="T199" i="6"/>
  <c r="L199" i="6"/>
  <c r="K199" i="6"/>
  <c r="D199" i="6"/>
  <c r="FE199" i="6" s="1"/>
  <c r="C199" i="6"/>
  <c r="DU198" i="6"/>
  <c r="DG198" i="6"/>
  <c r="T198" i="6"/>
  <c r="G198" i="6"/>
  <c r="D198" i="6"/>
  <c r="C198" i="6"/>
  <c r="B198" i="6"/>
  <c r="FA197" i="6"/>
  <c r="EU197" i="6"/>
  <c r="DL197" i="6"/>
  <c r="DK197" i="6"/>
  <c r="DJ197" i="6"/>
  <c r="BX197" i="6"/>
  <c r="BU197" i="6"/>
  <c r="BH197" i="6"/>
  <c r="BT197" i="6" s="1"/>
  <c r="BG197" i="6"/>
  <c r="T197" i="6"/>
  <c r="K197" i="6"/>
  <c r="J197" i="6"/>
  <c r="G197" i="6"/>
  <c r="F197" i="6"/>
  <c r="E197" i="6"/>
  <c r="BI197" i="6" s="1"/>
  <c r="D197" i="6"/>
  <c r="FE197" i="6" s="1"/>
  <c r="C197" i="6"/>
  <c r="B197" i="6"/>
  <c r="FA196" i="6"/>
  <c r="EY196" i="6"/>
  <c r="EX196" i="6"/>
  <c r="EU196" i="6"/>
  <c r="EE196" i="6"/>
  <c r="DM196" i="6"/>
  <c r="DL196" i="6"/>
  <c r="DK196" i="6"/>
  <c r="DJ196" i="6"/>
  <c r="DG196" i="6"/>
  <c r="BX196" i="6"/>
  <c r="BW196" i="6"/>
  <c r="BV196" i="6"/>
  <c r="BU196" i="6"/>
  <c r="BS196" i="6"/>
  <c r="BJ196" i="6"/>
  <c r="BI196" i="6"/>
  <c r="BH196" i="6"/>
  <c r="BT196" i="6" s="1"/>
  <c r="BG196" i="6"/>
  <c r="AZ196" i="6"/>
  <c r="AE196" i="6"/>
  <c r="CI196" i="6" s="1"/>
  <c r="T196" i="6"/>
  <c r="L196" i="6"/>
  <c r="K196" i="6"/>
  <c r="J196" i="6"/>
  <c r="DS196" i="6" s="1"/>
  <c r="I196" i="6"/>
  <c r="H196" i="6"/>
  <c r="G196" i="6"/>
  <c r="F196" i="6"/>
  <c r="E196" i="6"/>
  <c r="BK196" i="6" s="1"/>
  <c r="D196" i="6"/>
  <c r="FE196" i="6" s="1"/>
  <c r="C196" i="6"/>
  <c r="B196" i="6"/>
  <c r="EX195" i="6"/>
  <c r="DU195" i="6"/>
  <c r="BX195" i="6"/>
  <c r="BV195" i="6"/>
  <c r="BG195" i="6"/>
  <c r="BQ195" i="6" s="1"/>
  <c r="AZ195" i="6"/>
  <c r="AE195" i="6"/>
  <c r="CI195" i="6" s="1"/>
  <c r="T195" i="6"/>
  <c r="L195" i="6"/>
  <c r="K195" i="6"/>
  <c r="J195" i="6"/>
  <c r="H195" i="6"/>
  <c r="E195" i="6"/>
  <c r="BA195" i="6" s="1"/>
  <c r="D195" i="6"/>
  <c r="DM195" i="6" s="1"/>
  <c r="C195" i="6"/>
  <c r="FE194" i="6"/>
  <c r="FA194" i="6"/>
  <c r="EX194" i="6"/>
  <c r="DU194" i="6"/>
  <c r="DM194" i="6"/>
  <c r="DG194" i="6"/>
  <c r="AE194" i="6"/>
  <c r="T194" i="6"/>
  <c r="K194" i="6"/>
  <c r="H194" i="6"/>
  <c r="D194" i="6"/>
  <c r="C194" i="6"/>
  <c r="B194" i="6"/>
  <c r="EU193" i="6"/>
  <c r="DG193" i="6"/>
  <c r="BP193" i="6"/>
  <c r="BH193" i="6"/>
  <c r="BT193" i="6" s="1"/>
  <c r="T193" i="6"/>
  <c r="K193" i="6"/>
  <c r="J193" i="6"/>
  <c r="E193" i="6"/>
  <c r="BE193" i="6" s="1"/>
  <c r="D193" i="6"/>
  <c r="BX193" i="6" s="1"/>
  <c r="C193" i="6"/>
  <c r="FA192" i="6"/>
  <c r="EU192" i="6"/>
  <c r="DM192" i="6"/>
  <c r="DK192" i="6"/>
  <c r="DJ192" i="6"/>
  <c r="DG192" i="6"/>
  <c r="BX192" i="6"/>
  <c r="BK192" i="6"/>
  <c r="BJ192" i="6"/>
  <c r="T192" i="6"/>
  <c r="I192" i="6"/>
  <c r="H192" i="6"/>
  <c r="E192" i="6"/>
  <c r="AY192" i="6" s="1"/>
  <c r="D192" i="6"/>
  <c r="C192" i="6"/>
  <c r="B192" i="6"/>
  <c r="EU191" i="6"/>
  <c r="T191" i="6"/>
  <c r="D191" i="6"/>
  <c r="C191" i="6"/>
  <c r="FE190" i="6"/>
  <c r="FA190" i="6"/>
  <c r="EY190" i="6"/>
  <c r="EX190" i="6"/>
  <c r="EL190" i="6"/>
  <c r="DT190" i="6"/>
  <c r="DM190" i="6"/>
  <c r="DL190" i="6"/>
  <c r="DH190" i="6"/>
  <c r="DG190" i="6"/>
  <c r="BX190" i="6"/>
  <c r="BW190" i="6"/>
  <c r="BV190" i="6"/>
  <c r="BU190" i="6"/>
  <c r="BP190" i="6"/>
  <c r="BK190" i="6"/>
  <c r="BJ190" i="6"/>
  <c r="BI190" i="6"/>
  <c r="BH190" i="6"/>
  <c r="BT190" i="6" s="1"/>
  <c r="BE190" i="6"/>
  <c r="BA190" i="6"/>
  <c r="AZ190" i="6"/>
  <c r="AY190" i="6"/>
  <c r="T190" i="6"/>
  <c r="L190" i="6"/>
  <c r="K190" i="6"/>
  <c r="DS190" i="6" s="1"/>
  <c r="J190" i="6"/>
  <c r="I190" i="6"/>
  <c r="H190" i="6"/>
  <c r="G190" i="6"/>
  <c r="F190" i="6"/>
  <c r="E190" i="6"/>
  <c r="D190" i="6"/>
  <c r="C190" i="6"/>
  <c r="B190" i="6"/>
  <c r="FA189" i="6"/>
  <c r="EU189" i="6"/>
  <c r="DK189" i="6"/>
  <c r="DJ189" i="6"/>
  <c r="DG189" i="6"/>
  <c r="BX189" i="6"/>
  <c r="BV189" i="6"/>
  <c r="BT189" i="6"/>
  <c r="BN189" i="6"/>
  <c r="BH189" i="6"/>
  <c r="BS189" i="6" s="1"/>
  <c r="BG189" i="6"/>
  <c r="BR189" i="6" s="1"/>
  <c r="BB189" i="6"/>
  <c r="BA189" i="6"/>
  <c r="AZ189" i="6"/>
  <c r="AE189" i="6"/>
  <c r="T189" i="6"/>
  <c r="L189" i="6"/>
  <c r="K189" i="6"/>
  <c r="J189" i="6"/>
  <c r="I189" i="6"/>
  <c r="BJ189" i="6" s="1"/>
  <c r="H189" i="6"/>
  <c r="F189" i="6"/>
  <c r="E189" i="6"/>
  <c r="BK189" i="6" s="1"/>
  <c r="D189" i="6"/>
  <c r="FE189" i="6" s="1"/>
  <c r="C189" i="6"/>
  <c r="B189" i="6"/>
  <c r="FE188" i="6"/>
  <c r="EX188" i="6"/>
  <c r="EU188" i="6"/>
  <c r="DM188" i="6"/>
  <c r="DJ188" i="6"/>
  <c r="DG188" i="6"/>
  <c r="BW188" i="6"/>
  <c r="BV188" i="6"/>
  <c r="BG188" i="6"/>
  <c r="AE188" i="6"/>
  <c r="T188" i="6"/>
  <c r="I188" i="6"/>
  <c r="BJ188" i="6" s="1"/>
  <c r="H188" i="6"/>
  <c r="E188" i="6"/>
  <c r="D188" i="6"/>
  <c r="C188" i="6"/>
  <c r="B188" i="6"/>
  <c r="DU187" i="6"/>
  <c r="T187" i="6"/>
  <c r="D187" i="6"/>
  <c r="C187" i="6"/>
  <c r="FE186" i="6"/>
  <c r="FA186" i="6"/>
  <c r="EX186" i="6"/>
  <c r="DT186" i="6"/>
  <c r="DM186" i="6"/>
  <c r="DL186" i="6"/>
  <c r="DJ186" i="6"/>
  <c r="DG186" i="6"/>
  <c r="BX186" i="6"/>
  <c r="BW186" i="6"/>
  <c r="BV186" i="6"/>
  <c r="BU186" i="6"/>
  <c r="BQ186" i="6"/>
  <c r="BP186" i="6"/>
  <c r="BK186" i="6"/>
  <c r="BI186" i="6"/>
  <c r="BG186" i="6"/>
  <c r="BR186" i="6" s="1"/>
  <c r="BE186" i="6"/>
  <c r="BA186" i="6"/>
  <c r="AZ186" i="6"/>
  <c r="AY186" i="6"/>
  <c r="T186" i="6"/>
  <c r="K186" i="6"/>
  <c r="J186" i="6"/>
  <c r="I186" i="6"/>
  <c r="BJ186" i="6" s="1"/>
  <c r="H186" i="6"/>
  <c r="G186" i="6"/>
  <c r="E186" i="6"/>
  <c r="D186" i="6"/>
  <c r="C186" i="6"/>
  <c r="B186" i="6"/>
  <c r="FA185" i="6"/>
  <c r="EU185" i="6"/>
  <c r="EE185" i="6"/>
  <c r="DM185" i="6"/>
  <c r="DK185" i="6"/>
  <c r="DJ185" i="6"/>
  <c r="DG185" i="6"/>
  <c r="BX185" i="6"/>
  <c r="BV185" i="6"/>
  <c r="BT185" i="6"/>
  <c r="BP185" i="6"/>
  <c r="BN185" i="6"/>
  <c r="BH185" i="6"/>
  <c r="BS185" i="6" s="1"/>
  <c r="BG185" i="6"/>
  <c r="BB185" i="6"/>
  <c r="BA185" i="6"/>
  <c r="AE185" i="6"/>
  <c r="CI185" i="6" s="1"/>
  <c r="T185" i="6"/>
  <c r="L185" i="6"/>
  <c r="K185" i="6"/>
  <c r="J185" i="6"/>
  <c r="DS185" i="6" s="1"/>
  <c r="H185" i="6"/>
  <c r="F185" i="6"/>
  <c r="E185" i="6"/>
  <c r="BO185" i="6" s="1"/>
  <c r="D185" i="6"/>
  <c r="FE185" i="6" s="1"/>
  <c r="C185" i="6"/>
  <c r="B185" i="6"/>
  <c r="FE184" i="6"/>
  <c r="EU184" i="6"/>
  <c r="DU184" i="6"/>
  <c r="DG184" i="6"/>
  <c r="BW184" i="6"/>
  <c r="BV184" i="6"/>
  <c r="AE184" i="6"/>
  <c r="T184" i="6"/>
  <c r="E184" i="6"/>
  <c r="D184" i="6"/>
  <c r="BG184" i="6" s="1"/>
  <c r="C184" i="6"/>
  <c r="B184" i="6"/>
  <c r="FA183" i="6"/>
  <c r="EX183" i="6"/>
  <c r="EU183" i="6"/>
  <c r="DM183" i="6"/>
  <c r="DK183" i="6"/>
  <c r="DJ183" i="6"/>
  <c r="DG183" i="6"/>
  <c r="BV183" i="6"/>
  <c r="BH183" i="6"/>
  <c r="BG183" i="6"/>
  <c r="T183" i="6"/>
  <c r="L183" i="6"/>
  <c r="K183" i="6"/>
  <c r="H183" i="6"/>
  <c r="G183" i="6"/>
  <c r="F183" i="6"/>
  <c r="E183" i="6"/>
  <c r="D183" i="6"/>
  <c r="C183" i="6"/>
  <c r="B183" i="6"/>
  <c r="FE182" i="6"/>
  <c r="FA182" i="6"/>
  <c r="DT182" i="6"/>
  <c r="DM182" i="6"/>
  <c r="DL182" i="6"/>
  <c r="DK182" i="6"/>
  <c r="DJ182" i="6"/>
  <c r="BX182" i="6"/>
  <c r="BV182" i="6"/>
  <c r="BU182" i="6"/>
  <c r="BQ182" i="6"/>
  <c r="BO182" i="6"/>
  <c r="BN182" i="6"/>
  <c r="BH182" i="6"/>
  <c r="BG182" i="6"/>
  <c r="BR182" i="6" s="1"/>
  <c r="BE182" i="6"/>
  <c r="BB182" i="6"/>
  <c r="BA182" i="6"/>
  <c r="AE182" i="6"/>
  <c r="T182" i="6"/>
  <c r="L182" i="6"/>
  <c r="K182" i="6"/>
  <c r="J182" i="6"/>
  <c r="H182" i="6"/>
  <c r="G182" i="6"/>
  <c r="F182" i="6"/>
  <c r="E182" i="6"/>
  <c r="AZ182" i="6" s="1"/>
  <c r="D182" i="6"/>
  <c r="EU182" i="6" s="1"/>
  <c r="C182" i="6"/>
  <c r="FE181" i="6"/>
  <c r="DU181" i="6"/>
  <c r="DK181" i="6"/>
  <c r="DG181" i="6"/>
  <c r="BH181" i="6"/>
  <c r="BS181" i="6" s="1"/>
  <c r="T181" i="6"/>
  <c r="I181" i="6"/>
  <c r="BJ181" i="6" s="1"/>
  <c r="D181" i="6"/>
  <c r="C181" i="6"/>
  <c r="B181" i="6"/>
  <c r="FA180" i="6"/>
  <c r="EU180" i="6"/>
  <c r="DL180" i="6"/>
  <c r="DK180" i="6"/>
  <c r="DJ180" i="6"/>
  <c r="DG180" i="6"/>
  <c r="BW180" i="6"/>
  <c r="BU180" i="6"/>
  <c r="BN180" i="6"/>
  <c r="BK180" i="6"/>
  <c r="BI180" i="6"/>
  <c r="BH180" i="6"/>
  <c r="BG180" i="6"/>
  <c r="BB180" i="6"/>
  <c r="BA180" i="6"/>
  <c r="AE180" i="6"/>
  <c r="T180" i="6"/>
  <c r="L180" i="6"/>
  <c r="K180" i="6"/>
  <c r="I180" i="6"/>
  <c r="BJ180" i="6" s="1"/>
  <c r="G180" i="6"/>
  <c r="F180" i="6"/>
  <c r="E180" i="6"/>
  <c r="D180" i="6"/>
  <c r="FE180" i="6" s="1"/>
  <c r="C180" i="6"/>
  <c r="B180" i="6"/>
  <c r="EX179" i="6"/>
  <c r="DU179" i="6"/>
  <c r="DT179" i="6"/>
  <c r="DM179" i="6"/>
  <c r="DI179" i="6"/>
  <c r="BD179" i="6" s="1"/>
  <c r="DG179" i="6"/>
  <c r="BX179" i="6"/>
  <c r="BW179" i="6"/>
  <c r="BV179" i="6"/>
  <c r="BP179" i="6"/>
  <c r="BN179" i="6"/>
  <c r="BK179" i="6"/>
  <c r="BE179" i="6"/>
  <c r="T179" i="6"/>
  <c r="J179" i="6"/>
  <c r="I179" i="6"/>
  <c r="BJ179" i="6" s="1"/>
  <c r="H179" i="6"/>
  <c r="E179" i="6"/>
  <c r="AY179" i="6" s="1"/>
  <c r="D179" i="6"/>
  <c r="C179" i="6"/>
  <c r="B179" i="6"/>
  <c r="FE178" i="6"/>
  <c r="FA178" i="6"/>
  <c r="EX178" i="6"/>
  <c r="EU178" i="6"/>
  <c r="EE178" i="6"/>
  <c r="DT178" i="6"/>
  <c r="DM178" i="6"/>
  <c r="DL178" i="6"/>
  <c r="DK178" i="6"/>
  <c r="DJ178" i="6"/>
  <c r="BX178" i="6"/>
  <c r="BV178" i="6"/>
  <c r="BU178" i="6"/>
  <c r="BT178" i="6"/>
  <c r="BS178" i="6"/>
  <c r="BQ178" i="6"/>
  <c r="BN178" i="6"/>
  <c r="BH178" i="6"/>
  <c r="BG178" i="6"/>
  <c r="BR178" i="6" s="1"/>
  <c r="BE178" i="6"/>
  <c r="AE178" i="6"/>
  <c r="T178" i="6"/>
  <c r="L178" i="6"/>
  <c r="K178" i="6"/>
  <c r="J178" i="6"/>
  <c r="H178" i="6"/>
  <c r="G178" i="6"/>
  <c r="F178" i="6"/>
  <c r="E178" i="6"/>
  <c r="BB178" i="6" s="1"/>
  <c r="D178" i="6"/>
  <c r="C178" i="6"/>
  <c r="FE177" i="6"/>
  <c r="EX177" i="6"/>
  <c r="DU177" i="6"/>
  <c r="DM177" i="6"/>
  <c r="DK177" i="6"/>
  <c r="BX177" i="6"/>
  <c r="BH177" i="6"/>
  <c r="BS177" i="6" s="1"/>
  <c r="AE177" i="6"/>
  <c r="T177" i="6"/>
  <c r="I177" i="6"/>
  <c r="BJ177" i="6" s="1"/>
  <c r="H177" i="6"/>
  <c r="F177" i="6"/>
  <c r="D177" i="6"/>
  <c r="BV177" i="6" s="1"/>
  <c r="C177" i="6"/>
  <c r="EU176" i="6"/>
  <c r="BU176" i="6"/>
  <c r="AE176" i="6"/>
  <c r="T176" i="6"/>
  <c r="K176" i="6"/>
  <c r="I176" i="6"/>
  <c r="BJ176" i="6" s="1"/>
  <c r="D176" i="6"/>
  <c r="C176" i="6"/>
  <c r="EE175" i="6"/>
  <c r="DU175" i="6"/>
  <c r="DH175" i="6"/>
  <c r="DG175" i="6"/>
  <c r="BX175" i="6"/>
  <c r="BW175" i="6"/>
  <c r="BV175" i="6"/>
  <c r="BQ175" i="6"/>
  <c r="BG175" i="6"/>
  <c r="BR175" i="6" s="1"/>
  <c r="AE175" i="6"/>
  <c r="CI175" i="6" s="1"/>
  <c r="T175" i="6"/>
  <c r="L175" i="6"/>
  <c r="J175" i="6"/>
  <c r="E175" i="6"/>
  <c r="D175" i="6"/>
  <c r="DM175" i="6" s="1"/>
  <c r="C175" i="6"/>
  <c r="FA174" i="6"/>
  <c r="EU174" i="6"/>
  <c r="DK174" i="6"/>
  <c r="DJ174" i="6"/>
  <c r="BX174" i="6"/>
  <c r="T174" i="6"/>
  <c r="J174" i="6"/>
  <c r="H174" i="6"/>
  <c r="G174" i="6"/>
  <c r="F174" i="6"/>
  <c r="D174" i="6"/>
  <c r="C174" i="6"/>
  <c r="DG173" i="6"/>
  <c r="BW173" i="6"/>
  <c r="T173" i="6"/>
  <c r="K173" i="6"/>
  <c r="F173" i="6"/>
  <c r="D173" i="6"/>
  <c r="FE173" i="6" s="1"/>
  <c r="C173" i="6"/>
  <c r="B173" i="6"/>
  <c r="FA172" i="6"/>
  <c r="EX172" i="6"/>
  <c r="EU172" i="6"/>
  <c r="EE172" i="6"/>
  <c r="DS172" i="6"/>
  <c r="DM172" i="6"/>
  <c r="DL172" i="6"/>
  <c r="DK172" i="6"/>
  <c r="DJ172" i="6"/>
  <c r="DG172" i="6"/>
  <c r="BW172" i="6"/>
  <c r="BV172" i="6"/>
  <c r="BU172" i="6"/>
  <c r="BT172" i="6"/>
  <c r="BP172" i="6"/>
  <c r="BO172" i="6"/>
  <c r="BJ172" i="6"/>
  <c r="BI172" i="6"/>
  <c r="BH172" i="6"/>
  <c r="BS172" i="6" s="1"/>
  <c r="BG172" i="6"/>
  <c r="AE172" i="6"/>
  <c r="CI172" i="6" s="1"/>
  <c r="T172" i="6"/>
  <c r="L172" i="6"/>
  <c r="K172" i="6"/>
  <c r="J172" i="6"/>
  <c r="I172" i="6"/>
  <c r="H172" i="6"/>
  <c r="G172" i="6"/>
  <c r="F172" i="6"/>
  <c r="E172" i="6"/>
  <c r="D172" i="6"/>
  <c r="FE172" i="6" s="1"/>
  <c r="C172" i="6"/>
  <c r="B172" i="6"/>
  <c r="FA171" i="6"/>
  <c r="EU171" i="6"/>
  <c r="DU171" i="6"/>
  <c r="DM171" i="6"/>
  <c r="DJ171" i="6"/>
  <c r="BX171" i="6"/>
  <c r="BW171" i="6"/>
  <c r="BV171" i="6"/>
  <c r="BG171" i="6"/>
  <c r="BQ171" i="6" s="1"/>
  <c r="AZ171" i="6"/>
  <c r="T171" i="6"/>
  <c r="K171" i="6"/>
  <c r="I171" i="6"/>
  <c r="BJ171" i="6" s="1"/>
  <c r="H171" i="6"/>
  <c r="E171" i="6"/>
  <c r="BA171" i="6" s="1"/>
  <c r="D171" i="6"/>
  <c r="C171" i="6"/>
  <c r="B171" i="6"/>
  <c r="FA170" i="6"/>
  <c r="EX170" i="6"/>
  <c r="EU170" i="6"/>
  <c r="EE170" i="6"/>
  <c r="DM170" i="6"/>
  <c r="DL170" i="6"/>
  <c r="DK170" i="6"/>
  <c r="DJ170" i="6"/>
  <c r="DG170" i="6"/>
  <c r="BV170" i="6"/>
  <c r="BU170" i="6"/>
  <c r="BS170" i="6"/>
  <c r="BN170" i="6"/>
  <c r="BI170" i="6"/>
  <c r="BH170" i="6"/>
  <c r="BT170" i="6" s="1"/>
  <c r="BG170" i="6"/>
  <c r="BB170" i="6"/>
  <c r="AE170" i="6"/>
  <c r="CI170" i="6" s="1"/>
  <c r="T170" i="6"/>
  <c r="L170" i="6"/>
  <c r="K170" i="6"/>
  <c r="H170" i="6"/>
  <c r="G170" i="6"/>
  <c r="F170" i="6"/>
  <c r="E170" i="6"/>
  <c r="D170" i="6"/>
  <c r="FE170" i="6" s="1"/>
  <c r="C170" i="6"/>
  <c r="B170" i="6"/>
  <c r="FE169" i="6"/>
  <c r="T169" i="6"/>
  <c r="D169" i="6"/>
  <c r="C169" i="6"/>
  <c r="FA168" i="6"/>
  <c r="EX168" i="6"/>
  <c r="EU168" i="6"/>
  <c r="EE168" i="6"/>
  <c r="DM168" i="6"/>
  <c r="DL168" i="6"/>
  <c r="DK168" i="6"/>
  <c r="DJ168" i="6"/>
  <c r="DG168" i="6"/>
  <c r="BX168" i="6"/>
  <c r="BV168" i="6"/>
  <c r="BU168" i="6"/>
  <c r="BS168" i="6"/>
  <c r="BP168" i="6"/>
  <c r="BO168" i="6"/>
  <c r="BI168" i="6"/>
  <c r="BH168" i="6"/>
  <c r="BT168" i="6" s="1"/>
  <c r="BG168" i="6"/>
  <c r="BA168" i="6"/>
  <c r="AE168" i="6"/>
  <c r="CI168" i="6" s="1"/>
  <c r="T168" i="6"/>
  <c r="L168" i="6"/>
  <c r="K168" i="6"/>
  <c r="J168" i="6"/>
  <c r="H168" i="6"/>
  <c r="G168" i="6"/>
  <c r="F168" i="6"/>
  <c r="E168" i="6"/>
  <c r="D168" i="6"/>
  <c r="FE168" i="6" s="1"/>
  <c r="C168" i="6"/>
  <c r="B168" i="6"/>
  <c r="FA167" i="6"/>
  <c r="BV167" i="6"/>
  <c r="AE167" i="6"/>
  <c r="T167" i="6"/>
  <c r="K167" i="6"/>
  <c r="J167" i="6"/>
  <c r="I167" i="6"/>
  <c r="BJ167" i="6" s="1"/>
  <c r="D167" i="6"/>
  <c r="DG167" i="6" s="1"/>
  <c r="C167" i="6"/>
  <c r="FA166" i="6"/>
  <c r="EX166" i="6"/>
  <c r="DL166" i="6"/>
  <c r="DK166" i="6"/>
  <c r="BV166" i="6"/>
  <c r="BG166" i="6"/>
  <c r="BQ166" i="6" s="1"/>
  <c r="AE166" i="6"/>
  <c r="T166" i="6"/>
  <c r="L166" i="6"/>
  <c r="H166" i="6"/>
  <c r="G166" i="6"/>
  <c r="D166" i="6"/>
  <c r="DU166" i="6" s="1"/>
  <c r="C166" i="6"/>
  <c r="FE165" i="6"/>
  <c r="BW165" i="6"/>
  <c r="BV165" i="6"/>
  <c r="BU165" i="6"/>
  <c r="BH165" i="6"/>
  <c r="AE165" i="6"/>
  <c r="T165" i="6"/>
  <c r="K165" i="6"/>
  <c r="J165" i="6"/>
  <c r="F165" i="6"/>
  <c r="D165" i="6"/>
  <c r="C165" i="6"/>
  <c r="B165" i="6"/>
  <c r="EX164" i="6"/>
  <c r="EU164" i="6"/>
  <c r="DU164" i="6"/>
  <c r="DJ164" i="6"/>
  <c r="DG164" i="6"/>
  <c r="BX164" i="6"/>
  <c r="BU164" i="6"/>
  <c r="BH164" i="6"/>
  <c r="BG164" i="6"/>
  <c r="T164" i="6"/>
  <c r="J164" i="6"/>
  <c r="I164" i="6"/>
  <c r="BJ164" i="6" s="1"/>
  <c r="G164" i="6"/>
  <c r="F164" i="6"/>
  <c r="E164" i="6"/>
  <c r="D164" i="6"/>
  <c r="C164" i="6"/>
  <c r="B164" i="6"/>
  <c r="BX163" i="6"/>
  <c r="T163" i="6"/>
  <c r="J163" i="6"/>
  <c r="D163" i="6"/>
  <c r="C163" i="6"/>
  <c r="FE162" i="6"/>
  <c r="FA162" i="6"/>
  <c r="DM162" i="6"/>
  <c r="DL162" i="6"/>
  <c r="BU162" i="6"/>
  <c r="T162" i="6"/>
  <c r="K162" i="6"/>
  <c r="H162" i="6"/>
  <c r="G162" i="6"/>
  <c r="D162" i="6"/>
  <c r="C162" i="6"/>
  <c r="FA161" i="6"/>
  <c r="DL161" i="6"/>
  <c r="DG161" i="6"/>
  <c r="BX161" i="6"/>
  <c r="BU161" i="6"/>
  <c r="BH161" i="6"/>
  <c r="AE161" i="6"/>
  <c r="T161" i="6"/>
  <c r="G161" i="6"/>
  <c r="F161" i="6"/>
  <c r="D161" i="6"/>
  <c r="B161" i="6" s="1"/>
  <c r="C161" i="6"/>
  <c r="DU160" i="6"/>
  <c r="BX160" i="6"/>
  <c r="BH160" i="6"/>
  <c r="BT160" i="6" s="1"/>
  <c r="T160" i="6"/>
  <c r="I160" i="6"/>
  <c r="BJ160" i="6" s="1"/>
  <c r="D160" i="6"/>
  <c r="C160" i="6"/>
  <c r="B160" i="6"/>
  <c r="EX159" i="6"/>
  <c r="DU159" i="6"/>
  <c r="DM159" i="6"/>
  <c r="DL159" i="6"/>
  <c r="BW159" i="6"/>
  <c r="BV159" i="6"/>
  <c r="BU159" i="6"/>
  <c r="BO159" i="6"/>
  <c r="AE159" i="6"/>
  <c r="T159" i="6"/>
  <c r="I159" i="6"/>
  <c r="BJ159" i="6" s="1"/>
  <c r="G159" i="6"/>
  <c r="E159" i="6"/>
  <c r="D159" i="6"/>
  <c r="C159" i="6"/>
  <c r="FE158" i="6"/>
  <c r="EX158" i="6"/>
  <c r="EE158" i="6"/>
  <c r="DM158" i="6"/>
  <c r="DH158" i="6"/>
  <c r="BV158" i="6"/>
  <c r="T158" i="6"/>
  <c r="L158" i="6"/>
  <c r="J158" i="6"/>
  <c r="H158" i="6"/>
  <c r="G158" i="6"/>
  <c r="D158" i="6"/>
  <c r="C158" i="6"/>
  <c r="FE157" i="6"/>
  <c r="FA157" i="6"/>
  <c r="EX157" i="6"/>
  <c r="DU157" i="6"/>
  <c r="DM157" i="6"/>
  <c r="DL157" i="6"/>
  <c r="DK157" i="6"/>
  <c r="DG157" i="6"/>
  <c r="BW157" i="6"/>
  <c r="BV157" i="6"/>
  <c r="BU157" i="6"/>
  <c r="BH157" i="6"/>
  <c r="AE157" i="6"/>
  <c r="T157" i="6"/>
  <c r="K157" i="6"/>
  <c r="J157" i="6"/>
  <c r="I157" i="6"/>
  <c r="BJ157" i="6" s="1"/>
  <c r="F157" i="6"/>
  <c r="D157" i="6"/>
  <c r="C157" i="6"/>
  <c r="B157" i="6"/>
  <c r="FA156" i="6"/>
  <c r="EE156" i="6"/>
  <c r="DL156" i="6"/>
  <c r="DJ156" i="6"/>
  <c r="DI156" i="6"/>
  <c r="BC156" i="6" s="1"/>
  <c r="DG156" i="6"/>
  <c r="BX156" i="6"/>
  <c r="BP156" i="6"/>
  <c r="BB156" i="6"/>
  <c r="AZ156" i="6"/>
  <c r="T156" i="6"/>
  <c r="L156" i="6"/>
  <c r="I156" i="6"/>
  <c r="BJ156" i="6" s="1"/>
  <c r="F156" i="6"/>
  <c r="E156" i="6"/>
  <c r="D156" i="6"/>
  <c r="C156" i="6"/>
  <c r="FE155" i="6"/>
  <c r="EX155" i="6"/>
  <c r="EU155" i="6"/>
  <c r="DT155" i="6"/>
  <c r="DM155" i="6"/>
  <c r="DL155" i="6"/>
  <c r="DH155" i="6"/>
  <c r="CI155" i="6"/>
  <c r="BX155" i="6"/>
  <c r="BV155" i="6"/>
  <c r="BU155" i="6"/>
  <c r="BP155" i="6"/>
  <c r="BO155" i="6"/>
  <c r="BN155" i="6"/>
  <c r="BG155" i="6"/>
  <c r="BQ155" i="6" s="1"/>
  <c r="BB155" i="6"/>
  <c r="AY155" i="6"/>
  <c r="AE155" i="6"/>
  <c r="T155" i="6"/>
  <c r="L155" i="6"/>
  <c r="J155" i="6"/>
  <c r="I155" i="6"/>
  <c r="BJ155" i="6" s="1"/>
  <c r="H155" i="6"/>
  <c r="E155" i="6"/>
  <c r="D155" i="6"/>
  <c r="C155" i="6"/>
  <c r="B155" i="6"/>
  <c r="FA154" i="6"/>
  <c r="EU154" i="6"/>
  <c r="EE154" i="6"/>
  <c r="DK154" i="6"/>
  <c r="DJ154" i="6"/>
  <c r="T154" i="6"/>
  <c r="L154" i="6"/>
  <c r="F154" i="6"/>
  <c r="D154" i="6"/>
  <c r="C154" i="6"/>
  <c r="FE153" i="6"/>
  <c r="FA153" i="6"/>
  <c r="EX153" i="6"/>
  <c r="DL153" i="6"/>
  <c r="DK153" i="6"/>
  <c r="BW153" i="6"/>
  <c r="BU153" i="6"/>
  <c r="BH153" i="6"/>
  <c r="T153" i="6"/>
  <c r="K153" i="6"/>
  <c r="I153" i="6"/>
  <c r="BJ153" i="6" s="1"/>
  <c r="G153" i="6"/>
  <c r="F153" i="6"/>
  <c r="D153" i="6"/>
  <c r="DG153" i="6" s="1"/>
  <c r="C153" i="6"/>
  <c r="B153" i="6"/>
  <c r="FA152" i="6"/>
  <c r="EY152" i="6"/>
  <c r="EU152" i="6"/>
  <c r="DU152" i="6"/>
  <c r="DL152" i="6"/>
  <c r="DK152" i="6"/>
  <c r="DJ152" i="6"/>
  <c r="DG152" i="6"/>
  <c r="BX152" i="6"/>
  <c r="BW152" i="6"/>
  <c r="BT152" i="6"/>
  <c r="BR152" i="6"/>
  <c r="BP152" i="6"/>
  <c r="BN152" i="6"/>
  <c r="BK152" i="6"/>
  <c r="BH152" i="6"/>
  <c r="BS152" i="6" s="1"/>
  <c r="BG152" i="6"/>
  <c r="BQ152" i="6" s="1"/>
  <c r="BB152" i="6"/>
  <c r="BA152" i="6"/>
  <c r="AZ152" i="6"/>
  <c r="AY152" i="6"/>
  <c r="T152" i="6"/>
  <c r="L152" i="6"/>
  <c r="J152" i="6"/>
  <c r="I152" i="6"/>
  <c r="BJ152" i="6" s="1"/>
  <c r="G152" i="6"/>
  <c r="F152" i="6"/>
  <c r="E152" i="6"/>
  <c r="DI152" i="6" s="1"/>
  <c r="BD152" i="6" s="1"/>
  <c r="D152" i="6"/>
  <c r="C152" i="6"/>
  <c r="B152" i="6"/>
  <c r="BU151" i="6"/>
  <c r="T151" i="6"/>
  <c r="D151" i="6"/>
  <c r="C151" i="6"/>
  <c r="FA150" i="6"/>
  <c r="EU150" i="6"/>
  <c r="DK150" i="6"/>
  <c r="BU150" i="6"/>
  <c r="BR150" i="6"/>
  <c r="BQ150" i="6"/>
  <c r="BG150" i="6"/>
  <c r="T150" i="6"/>
  <c r="K150" i="6"/>
  <c r="J150" i="6"/>
  <c r="H150" i="6"/>
  <c r="G150" i="6"/>
  <c r="F150" i="6"/>
  <c r="D150" i="6"/>
  <c r="DJ150" i="6" s="1"/>
  <c r="C150" i="6"/>
  <c r="FE149" i="6"/>
  <c r="FA149" i="6"/>
  <c r="EY149" i="6"/>
  <c r="EX149" i="6"/>
  <c r="EE149" i="6"/>
  <c r="DU149" i="6"/>
  <c r="DM149" i="6"/>
  <c r="DG149" i="6"/>
  <c r="BX149" i="6"/>
  <c r="BW149" i="6"/>
  <c r="BV149" i="6"/>
  <c r="BJ149" i="6"/>
  <c r="BG149" i="6"/>
  <c r="T149" i="6"/>
  <c r="L149" i="6"/>
  <c r="DH149" i="6" s="1"/>
  <c r="K149" i="6"/>
  <c r="J149" i="6"/>
  <c r="I149" i="6"/>
  <c r="H149" i="6"/>
  <c r="DS149" i="6" s="1"/>
  <c r="E149" i="6"/>
  <c r="BK149" i="6" s="1"/>
  <c r="D149" i="6"/>
  <c r="C149" i="6"/>
  <c r="FE148" i="6"/>
  <c r="FA148" i="6"/>
  <c r="EX148" i="6"/>
  <c r="EU148" i="6"/>
  <c r="DT148" i="6"/>
  <c r="DM148" i="6"/>
  <c r="DL148" i="6"/>
  <c r="DK148" i="6"/>
  <c r="DJ148" i="6"/>
  <c r="DG148" i="6"/>
  <c r="BW148" i="6"/>
  <c r="BV148" i="6"/>
  <c r="BU148" i="6"/>
  <c r="BQ148" i="6"/>
  <c r="BP148" i="6"/>
  <c r="BO148" i="6"/>
  <c r="BN148" i="6"/>
  <c r="BJ148" i="6"/>
  <c r="BH148" i="6"/>
  <c r="BT148" i="6" s="1"/>
  <c r="BG148" i="6"/>
  <c r="BR148" i="6" s="1"/>
  <c r="BE148" i="6"/>
  <c r="BB148" i="6"/>
  <c r="BA148" i="6"/>
  <c r="AE148" i="6"/>
  <c r="CI148" i="6" s="1"/>
  <c r="T148" i="6"/>
  <c r="L148" i="6"/>
  <c r="K148" i="6"/>
  <c r="I148" i="6"/>
  <c r="H148" i="6"/>
  <c r="G148" i="6"/>
  <c r="F148" i="6"/>
  <c r="E148" i="6"/>
  <c r="AZ148" i="6" s="1"/>
  <c r="D148" i="6"/>
  <c r="C148" i="6"/>
  <c r="B148" i="6"/>
  <c r="FE147" i="6"/>
  <c r="FA147" i="6"/>
  <c r="T147" i="6"/>
  <c r="K147" i="6"/>
  <c r="D147" i="6"/>
  <c r="C147" i="6"/>
  <c r="B147" i="6"/>
  <c r="FE146" i="6"/>
  <c r="FA146" i="6"/>
  <c r="EY146" i="6"/>
  <c r="EX146" i="6"/>
  <c r="EU146" i="6"/>
  <c r="DM146" i="6"/>
  <c r="DL146" i="6"/>
  <c r="DK146" i="6"/>
  <c r="DJ146" i="6"/>
  <c r="DG146" i="6"/>
  <c r="CI146" i="6"/>
  <c r="BW146" i="6"/>
  <c r="BV146" i="6"/>
  <c r="BU146" i="6"/>
  <c r="BH146" i="6"/>
  <c r="BT146" i="6" s="1"/>
  <c r="BG146" i="6"/>
  <c r="AE146" i="6"/>
  <c r="T146" i="6"/>
  <c r="L146" i="6"/>
  <c r="K146" i="6"/>
  <c r="I146" i="6"/>
  <c r="BJ146" i="6" s="1"/>
  <c r="H146" i="6"/>
  <c r="G146" i="6"/>
  <c r="F146" i="6"/>
  <c r="E146" i="6"/>
  <c r="D146" i="6"/>
  <c r="BX146" i="6" s="1"/>
  <c r="C146" i="6"/>
  <c r="B146" i="6"/>
  <c r="FE145" i="6"/>
  <c r="FA145" i="6"/>
  <c r="EY145" i="6"/>
  <c r="EX145" i="6"/>
  <c r="EU145" i="6"/>
  <c r="DM145" i="6"/>
  <c r="DJ145" i="6"/>
  <c r="BX145" i="6"/>
  <c r="BW145" i="6"/>
  <c r="BV145" i="6"/>
  <c r="BJ145" i="6"/>
  <c r="BG145" i="6"/>
  <c r="AY145" i="6"/>
  <c r="T145" i="6"/>
  <c r="L145" i="6"/>
  <c r="K145" i="6"/>
  <c r="J145" i="6"/>
  <c r="I145" i="6"/>
  <c r="H145" i="6"/>
  <c r="E145" i="6"/>
  <c r="BB145" i="6" s="1"/>
  <c r="D145" i="6"/>
  <c r="C145" i="6"/>
  <c r="FE144" i="6"/>
  <c r="FA144" i="6"/>
  <c r="EX144" i="6"/>
  <c r="EU144" i="6"/>
  <c r="DT144" i="6"/>
  <c r="DM144" i="6"/>
  <c r="DL144" i="6"/>
  <c r="DK144" i="6"/>
  <c r="DJ144" i="6"/>
  <c r="DG144" i="6"/>
  <c r="BW144" i="6"/>
  <c r="BV144" i="6"/>
  <c r="BU144" i="6"/>
  <c r="BQ144" i="6"/>
  <c r="BP144" i="6"/>
  <c r="BO144" i="6"/>
  <c r="BN144" i="6"/>
  <c r="BJ144" i="6"/>
  <c r="BH144" i="6"/>
  <c r="BT144" i="6" s="1"/>
  <c r="BG144" i="6"/>
  <c r="BR144" i="6" s="1"/>
  <c r="BE144" i="6"/>
  <c r="BB144" i="6"/>
  <c r="BA144" i="6"/>
  <c r="AE144" i="6"/>
  <c r="T144" i="6"/>
  <c r="L144" i="6"/>
  <c r="K144" i="6"/>
  <c r="I144" i="6"/>
  <c r="H144" i="6"/>
  <c r="G144" i="6"/>
  <c r="F144" i="6"/>
  <c r="E144" i="6"/>
  <c r="AZ144" i="6" s="1"/>
  <c r="D144" i="6"/>
  <c r="C144" i="6"/>
  <c r="B144" i="6"/>
  <c r="BW143" i="6"/>
  <c r="T143" i="6"/>
  <c r="K143" i="6"/>
  <c r="D143" i="6"/>
  <c r="FE143" i="6" s="1"/>
  <c r="C143" i="6"/>
  <c r="FE142" i="6"/>
  <c r="FA142" i="6"/>
  <c r="EX142" i="6"/>
  <c r="EU142" i="6"/>
  <c r="DM142" i="6"/>
  <c r="DL142" i="6"/>
  <c r="DK142" i="6"/>
  <c r="DJ142" i="6"/>
  <c r="DG142" i="6"/>
  <c r="BW142" i="6"/>
  <c r="BV142" i="6"/>
  <c r="BU142" i="6"/>
  <c r="BT142" i="6"/>
  <c r="BN142" i="6"/>
  <c r="BK142" i="6"/>
  <c r="BH142" i="6"/>
  <c r="BS142" i="6" s="1"/>
  <c r="BG142" i="6"/>
  <c r="BB142" i="6"/>
  <c r="AE142" i="6"/>
  <c r="T142" i="6"/>
  <c r="L142" i="6"/>
  <c r="K142" i="6"/>
  <c r="I142" i="6"/>
  <c r="BJ142" i="6" s="1"/>
  <c r="H142" i="6"/>
  <c r="G142" i="6"/>
  <c r="F142" i="6"/>
  <c r="E142" i="6"/>
  <c r="D142" i="6"/>
  <c r="BX142" i="6" s="1"/>
  <c r="C142" i="6"/>
  <c r="B142" i="6"/>
  <c r="FA141" i="6"/>
  <c r="EU141" i="6"/>
  <c r="DM141" i="6"/>
  <c r="DJ141" i="6"/>
  <c r="BR141" i="6"/>
  <c r="BG141" i="6"/>
  <c r="BQ141" i="6" s="1"/>
  <c r="T141" i="6"/>
  <c r="L141" i="6"/>
  <c r="K141" i="6"/>
  <c r="J141" i="6"/>
  <c r="H141" i="6"/>
  <c r="D141" i="6"/>
  <c r="BX141" i="6" s="1"/>
  <c r="C141" i="6"/>
  <c r="B141" i="6"/>
  <c r="FE140" i="6"/>
  <c r="FA140" i="6"/>
  <c r="EX140" i="6"/>
  <c r="EU140" i="6"/>
  <c r="EE140" i="6"/>
  <c r="DT140" i="6"/>
  <c r="DM140" i="6"/>
  <c r="DL140" i="6"/>
  <c r="DK140" i="6"/>
  <c r="DJ140" i="6"/>
  <c r="DG140" i="6"/>
  <c r="BW140" i="6"/>
  <c r="BV140" i="6"/>
  <c r="BU140" i="6"/>
  <c r="BT140" i="6"/>
  <c r="BS140" i="6"/>
  <c r="BQ140" i="6"/>
  <c r="BO140" i="6"/>
  <c r="BN140" i="6"/>
  <c r="BK140" i="6"/>
  <c r="BJ140" i="6"/>
  <c r="BI140" i="6"/>
  <c r="BH140" i="6"/>
  <c r="BG140" i="6"/>
  <c r="BR140" i="6" s="1"/>
  <c r="BE140" i="6"/>
  <c r="BA140" i="6"/>
  <c r="AY140" i="6"/>
  <c r="AE140" i="6"/>
  <c r="CI140" i="6" s="1"/>
  <c r="T140" i="6"/>
  <c r="L140" i="6"/>
  <c r="K140" i="6"/>
  <c r="I140" i="6"/>
  <c r="H140" i="6"/>
  <c r="G140" i="6"/>
  <c r="F140" i="6"/>
  <c r="E140" i="6"/>
  <c r="D140" i="6"/>
  <c r="C140" i="6"/>
  <c r="B140" i="6"/>
  <c r="FE139" i="6"/>
  <c r="EY139" i="6"/>
  <c r="EX139" i="6"/>
  <c r="EU139" i="6"/>
  <c r="DU139" i="6"/>
  <c r="DM139" i="6"/>
  <c r="DG139" i="6"/>
  <c r="BX139" i="6"/>
  <c r="BW139" i="6"/>
  <c r="BV139" i="6"/>
  <c r="BH139" i="6"/>
  <c r="BG139" i="6"/>
  <c r="BR139" i="6" s="1"/>
  <c r="T139" i="6"/>
  <c r="L139" i="6"/>
  <c r="K139" i="6"/>
  <c r="J139" i="6"/>
  <c r="H139" i="6"/>
  <c r="D139" i="6"/>
  <c r="C139" i="6"/>
  <c r="FE138" i="6"/>
  <c r="FA138" i="6"/>
  <c r="EX138" i="6"/>
  <c r="EU138" i="6"/>
  <c r="EE138" i="6"/>
  <c r="DT138" i="6"/>
  <c r="DM138" i="6"/>
  <c r="DL138" i="6"/>
  <c r="DK138" i="6"/>
  <c r="DJ138" i="6"/>
  <c r="DH138" i="6"/>
  <c r="DG138" i="6"/>
  <c r="BW138" i="6"/>
  <c r="BV138" i="6"/>
  <c r="BU138" i="6"/>
  <c r="BQ138" i="6"/>
  <c r="BO138" i="6"/>
  <c r="BN138" i="6"/>
  <c r="BK138" i="6"/>
  <c r="BJ138" i="6"/>
  <c r="BH138" i="6"/>
  <c r="BT138" i="6" s="1"/>
  <c r="BG138" i="6"/>
  <c r="BR138" i="6" s="1"/>
  <c r="BE138" i="6"/>
  <c r="BA138" i="6"/>
  <c r="AY138" i="6"/>
  <c r="AE138" i="6"/>
  <c r="CI138" i="6" s="1"/>
  <c r="T138" i="6"/>
  <c r="L138" i="6"/>
  <c r="K138" i="6"/>
  <c r="I138" i="6"/>
  <c r="H138" i="6"/>
  <c r="G138" i="6"/>
  <c r="F138" i="6"/>
  <c r="E138" i="6"/>
  <c r="D138" i="6"/>
  <c r="BX138" i="6" s="1"/>
  <c r="C138" i="6"/>
  <c r="B138" i="6"/>
  <c r="T137" i="6"/>
  <c r="D137" i="6"/>
  <c r="C137" i="6"/>
  <c r="FE136" i="6"/>
  <c r="FA136" i="6"/>
  <c r="EX136" i="6"/>
  <c r="EU136" i="6"/>
  <c r="DM136" i="6"/>
  <c r="DL136" i="6"/>
  <c r="DK136" i="6"/>
  <c r="DJ136" i="6"/>
  <c r="DH136" i="6"/>
  <c r="BV136" i="6"/>
  <c r="BU136" i="6"/>
  <c r="BT136" i="6"/>
  <c r="BS136" i="6"/>
  <c r="BQ136" i="6"/>
  <c r="BH136" i="6"/>
  <c r="BG136" i="6"/>
  <c r="BR136" i="6" s="1"/>
  <c r="BE136" i="6"/>
  <c r="AE136" i="6"/>
  <c r="T136" i="6"/>
  <c r="L136" i="6"/>
  <c r="K136" i="6"/>
  <c r="I136" i="6"/>
  <c r="BJ136" i="6" s="1"/>
  <c r="H136" i="6"/>
  <c r="G136" i="6"/>
  <c r="F136" i="6"/>
  <c r="E136" i="6"/>
  <c r="D136" i="6"/>
  <c r="C136" i="6"/>
  <c r="B136" i="6"/>
  <c r="BW135" i="6"/>
  <c r="T135" i="6"/>
  <c r="L135" i="6"/>
  <c r="EY135" i="6" s="1"/>
  <c r="I135" i="6"/>
  <c r="BJ135" i="6" s="1"/>
  <c r="D135" i="6"/>
  <c r="FE135" i="6" s="1"/>
  <c r="C135" i="6"/>
  <c r="FE134" i="6"/>
  <c r="FA134" i="6"/>
  <c r="EX134" i="6"/>
  <c r="EU134" i="6"/>
  <c r="DT134" i="6"/>
  <c r="DM134" i="6"/>
  <c r="DL134" i="6"/>
  <c r="DK134" i="6"/>
  <c r="DJ134" i="6"/>
  <c r="DG134" i="6"/>
  <c r="BX134" i="6"/>
  <c r="BW134" i="6"/>
  <c r="BV134" i="6"/>
  <c r="BU134" i="6"/>
  <c r="BT134" i="6"/>
  <c r="BN134" i="6"/>
  <c r="BH134" i="6"/>
  <c r="BS134" i="6" s="1"/>
  <c r="BG134" i="6"/>
  <c r="BE134" i="6"/>
  <c r="BB134" i="6"/>
  <c r="AE134" i="6"/>
  <c r="CI134" i="6" s="1"/>
  <c r="T134" i="6"/>
  <c r="L134" i="6"/>
  <c r="K134" i="6"/>
  <c r="J134" i="6"/>
  <c r="I134" i="6"/>
  <c r="BJ134" i="6" s="1"/>
  <c r="H134" i="6"/>
  <c r="G134" i="6"/>
  <c r="F134" i="6"/>
  <c r="E134" i="6"/>
  <c r="BI134" i="6" s="1"/>
  <c r="D134" i="6"/>
  <c r="C134" i="6"/>
  <c r="B134" i="6"/>
  <c r="FE133" i="6"/>
  <c r="EX133" i="6"/>
  <c r="DM133" i="6"/>
  <c r="DK133" i="6"/>
  <c r="DG133" i="6"/>
  <c r="BX133" i="6"/>
  <c r="BW133" i="6"/>
  <c r="BV133" i="6"/>
  <c r="BJ133" i="6"/>
  <c r="BH133" i="6"/>
  <c r="BS133" i="6" s="1"/>
  <c r="T133" i="6"/>
  <c r="J133" i="6"/>
  <c r="I133" i="6"/>
  <c r="H133" i="6"/>
  <c r="F133" i="6"/>
  <c r="D133" i="6"/>
  <c r="C133" i="6"/>
  <c r="B133" i="6"/>
  <c r="FE132" i="6"/>
  <c r="FA132" i="6"/>
  <c r="EX132" i="6"/>
  <c r="EU132" i="6"/>
  <c r="EE132" i="6"/>
  <c r="DM132" i="6"/>
  <c r="DL132" i="6"/>
  <c r="DK132" i="6"/>
  <c r="DJ132" i="6"/>
  <c r="DG132" i="6"/>
  <c r="BW132" i="6"/>
  <c r="BV132" i="6"/>
  <c r="BU132" i="6"/>
  <c r="BS132" i="6"/>
  <c r="BO132" i="6"/>
  <c r="BN132" i="6"/>
  <c r="BK132" i="6"/>
  <c r="BH132" i="6"/>
  <c r="BT132" i="6" s="1"/>
  <c r="BG132" i="6"/>
  <c r="BB132" i="6"/>
  <c r="AY132" i="6"/>
  <c r="AE132" i="6"/>
  <c r="CI132" i="6" s="1"/>
  <c r="T132" i="6"/>
  <c r="L132" i="6"/>
  <c r="K132" i="6"/>
  <c r="I132" i="6"/>
  <c r="BJ132" i="6" s="1"/>
  <c r="H132" i="6"/>
  <c r="G132" i="6"/>
  <c r="F132" i="6"/>
  <c r="E132" i="6"/>
  <c r="D132" i="6"/>
  <c r="C132" i="6"/>
  <c r="B132" i="6"/>
  <c r="FE131" i="6"/>
  <c r="EY131" i="6"/>
  <c r="DU131" i="6"/>
  <c r="DM131" i="6"/>
  <c r="DH131" i="6"/>
  <c r="BX131" i="6"/>
  <c r="BW131" i="6"/>
  <c r="T131" i="6"/>
  <c r="L131" i="6"/>
  <c r="J131" i="6"/>
  <c r="I131" i="6"/>
  <c r="BJ131" i="6" s="1"/>
  <c r="H131" i="6"/>
  <c r="D131" i="6"/>
  <c r="C131" i="6"/>
  <c r="B131" i="6"/>
  <c r="FE130" i="6"/>
  <c r="FA130" i="6"/>
  <c r="EX130" i="6"/>
  <c r="EU130" i="6"/>
  <c r="EE130" i="6"/>
  <c r="DM130" i="6"/>
  <c r="DL130" i="6"/>
  <c r="DK130" i="6"/>
  <c r="DJ130" i="6"/>
  <c r="DH130" i="6"/>
  <c r="DG130" i="6"/>
  <c r="BW130" i="6"/>
  <c r="BV130" i="6"/>
  <c r="BU130" i="6"/>
  <c r="BT130" i="6"/>
  <c r="BQ130" i="6"/>
  <c r="BO130" i="6"/>
  <c r="BN130" i="6"/>
  <c r="BH130" i="6"/>
  <c r="BS130" i="6" s="1"/>
  <c r="BG130" i="6"/>
  <c r="BR130" i="6" s="1"/>
  <c r="AE130" i="6"/>
  <c r="CI130" i="6" s="1"/>
  <c r="T130" i="6"/>
  <c r="L130" i="6"/>
  <c r="K130" i="6"/>
  <c r="I130" i="6"/>
  <c r="BJ130" i="6" s="1"/>
  <c r="H130" i="6"/>
  <c r="G130" i="6"/>
  <c r="F130" i="6"/>
  <c r="E130" i="6"/>
  <c r="D130" i="6"/>
  <c r="BX130" i="6" s="1"/>
  <c r="C130" i="6"/>
  <c r="B130" i="6"/>
  <c r="T129" i="6"/>
  <c r="J129" i="6"/>
  <c r="I129" i="6"/>
  <c r="BJ129" i="6" s="1"/>
  <c r="F129" i="6"/>
  <c r="W132" i="11" s="1"/>
  <c r="D129" i="6"/>
  <c r="C129" i="6"/>
  <c r="DG128" i="6"/>
  <c r="EX128" i="6" s="1"/>
  <c r="T128" i="6"/>
  <c r="L128" i="6"/>
  <c r="K128" i="6"/>
  <c r="BH128" i="6" s="1"/>
  <c r="BS128" i="6" s="1"/>
  <c r="I128" i="6"/>
  <c r="BJ128" i="6" s="1"/>
  <c r="H128" i="6"/>
  <c r="G128" i="6"/>
  <c r="F128" i="6"/>
  <c r="W131" i="11" s="1"/>
  <c r="E128" i="6"/>
  <c r="D128" i="6"/>
  <c r="C128" i="6"/>
  <c r="B128" i="6"/>
  <c r="DG127" i="6"/>
  <c r="T127" i="6"/>
  <c r="L127" i="6"/>
  <c r="I127" i="6"/>
  <c r="BJ127" i="6" s="1"/>
  <c r="H127" i="6"/>
  <c r="D127" i="6"/>
  <c r="C127" i="6"/>
  <c r="B127" i="6"/>
  <c r="DG126" i="6"/>
  <c r="EX126" i="6" s="1"/>
  <c r="BT126" i="6"/>
  <c r="BH126" i="6"/>
  <c r="BS126" i="6" s="1"/>
  <c r="T126" i="6"/>
  <c r="L126" i="6"/>
  <c r="K126" i="6"/>
  <c r="I126" i="6"/>
  <c r="BJ126" i="6" s="1"/>
  <c r="H126" i="6"/>
  <c r="G126" i="6"/>
  <c r="F126" i="6"/>
  <c r="W129" i="11" s="1"/>
  <c r="E126" i="6"/>
  <c r="D126" i="6"/>
  <c r="C126" i="6"/>
  <c r="B126" i="6"/>
  <c r="T125" i="6"/>
  <c r="L125" i="6"/>
  <c r="J125" i="6"/>
  <c r="D125" i="6"/>
  <c r="C125" i="6"/>
  <c r="EY124" i="6"/>
  <c r="EE124" i="6"/>
  <c r="DG124" i="6"/>
  <c r="EX124" i="6" s="1"/>
  <c r="BT124" i="6"/>
  <c r="T124" i="6"/>
  <c r="L124" i="6"/>
  <c r="K124" i="6"/>
  <c r="BH124" i="6" s="1"/>
  <c r="BS124" i="6" s="1"/>
  <c r="I124" i="6"/>
  <c r="BJ124" i="6" s="1"/>
  <c r="H124" i="6"/>
  <c r="G124" i="6"/>
  <c r="F124" i="6"/>
  <c r="W127" i="11" s="1"/>
  <c r="E124" i="6"/>
  <c r="D124" i="6"/>
  <c r="C124" i="6"/>
  <c r="B124" i="6"/>
  <c r="BJ123" i="6"/>
  <c r="BG123" i="6"/>
  <c r="T123" i="6"/>
  <c r="L123" i="6"/>
  <c r="J123" i="6"/>
  <c r="I123" i="6"/>
  <c r="H123" i="6"/>
  <c r="F123" i="6"/>
  <c r="W126" i="11" s="1"/>
  <c r="E123" i="6"/>
  <c r="D123" i="6"/>
  <c r="C123" i="6"/>
  <c r="EX122" i="6"/>
  <c r="DH122" i="6"/>
  <c r="DG122" i="6"/>
  <c r="T122" i="6"/>
  <c r="L122" i="6"/>
  <c r="K122" i="6"/>
  <c r="BH122" i="6" s="1"/>
  <c r="I122" i="6"/>
  <c r="BJ122" i="6" s="1"/>
  <c r="H122" i="6"/>
  <c r="G122" i="6"/>
  <c r="F122" i="6"/>
  <c r="W125" i="11" s="1"/>
  <c r="E122" i="6"/>
  <c r="D122" i="6"/>
  <c r="C122" i="6"/>
  <c r="B122" i="6"/>
  <c r="EX121" i="6"/>
  <c r="DS121" i="6"/>
  <c r="DG121" i="6"/>
  <c r="BS121" i="6"/>
  <c r="BJ121" i="6"/>
  <c r="T121" i="6"/>
  <c r="L121" i="6"/>
  <c r="K121" i="6"/>
  <c r="BH121" i="6" s="1"/>
  <c r="BT121" i="6" s="1"/>
  <c r="J121" i="6"/>
  <c r="I121" i="6"/>
  <c r="H121" i="6"/>
  <c r="F121" i="6"/>
  <c r="W124" i="11" s="1"/>
  <c r="E121" i="6"/>
  <c r="D121" i="6"/>
  <c r="C121" i="6"/>
  <c r="B121" i="6"/>
  <c r="DG120" i="6"/>
  <c r="T120" i="6"/>
  <c r="L120" i="6"/>
  <c r="K120" i="6"/>
  <c r="BH120" i="6" s="1"/>
  <c r="BS120" i="6" s="1"/>
  <c r="I120" i="6"/>
  <c r="BJ120" i="6" s="1"/>
  <c r="H120" i="6"/>
  <c r="G120" i="6"/>
  <c r="F120" i="6"/>
  <c r="W123" i="11" s="1"/>
  <c r="E120" i="6"/>
  <c r="D120" i="6"/>
  <c r="C120" i="6"/>
  <c r="T119" i="6"/>
  <c r="L119" i="6"/>
  <c r="D119" i="6"/>
  <c r="C119" i="6"/>
  <c r="EY118" i="6"/>
  <c r="DG118" i="6"/>
  <c r="BJ118" i="6"/>
  <c r="T118" i="6"/>
  <c r="L118" i="6"/>
  <c r="K118" i="6"/>
  <c r="BH118" i="6" s="1"/>
  <c r="BT118" i="6" s="1"/>
  <c r="I118" i="6"/>
  <c r="H118" i="6"/>
  <c r="G118" i="6"/>
  <c r="F118" i="6"/>
  <c r="W121" i="11" s="1"/>
  <c r="E118" i="6"/>
  <c r="D118" i="6"/>
  <c r="C118" i="6"/>
  <c r="B118" i="6"/>
  <c r="T117" i="6"/>
  <c r="E117" i="6"/>
  <c r="D117" i="6"/>
  <c r="C117" i="6"/>
  <c r="T116" i="6"/>
  <c r="H116" i="6"/>
  <c r="G116" i="6"/>
  <c r="F116" i="6"/>
  <c r="W119" i="11" s="1"/>
  <c r="D116" i="6"/>
  <c r="C116" i="6"/>
  <c r="T115" i="6"/>
  <c r="K115" i="6"/>
  <c r="J115" i="6"/>
  <c r="I115" i="6"/>
  <c r="BJ115" i="6" s="1"/>
  <c r="D115" i="6"/>
  <c r="C115" i="6"/>
  <c r="DG114" i="6"/>
  <c r="BJ114" i="6"/>
  <c r="T114" i="6"/>
  <c r="L114" i="6"/>
  <c r="J114" i="6"/>
  <c r="I114" i="6"/>
  <c r="H114" i="6"/>
  <c r="G114" i="6"/>
  <c r="D114" i="6"/>
  <c r="C114" i="6"/>
  <c r="T113" i="6"/>
  <c r="K113" i="6"/>
  <c r="J113" i="6"/>
  <c r="D113" i="6"/>
  <c r="C113" i="6"/>
  <c r="DG112" i="6"/>
  <c r="T112" i="6"/>
  <c r="H112" i="6"/>
  <c r="G112" i="6"/>
  <c r="F112" i="6"/>
  <c r="W115" i="11" s="1"/>
  <c r="D112" i="6"/>
  <c r="C112" i="6"/>
  <c r="T111" i="6"/>
  <c r="D111" i="6"/>
  <c r="C111" i="6"/>
  <c r="DG110" i="6"/>
  <c r="BJ110" i="6"/>
  <c r="T110" i="6"/>
  <c r="L110" i="6"/>
  <c r="J110" i="6"/>
  <c r="I110" i="6"/>
  <c r="H110" i="6"/>
  <c r="G110" i="6"/>
  <c r="D110" i="6"/>
  <c r="C110" i="6"/>
  <c r="T109" i="6"/>
  <c r="G109" i="6"/>
  <c r="D109" i="6"/>
  <c r="C109" i="6"/>
  <c r="DG108" i="6"/>
  <c r="T108" i="6"/>
  <c r="J108" i="6"/>
  <c r="H108" i="6"/>
  <c r="G108" i="6"/>
  <c r="F108" i="6"/>
  <c r="W111" i="11" s="1"/>
  <c r="D108" i="6"/>
  <c r="C108" i="6"/>
  <c r="T107" i="6"/>
  <c r="K107" i="6"/>
  <c r="BH107" i="6" s="1"/>
  <c r="BT107" i="6" s="1"/>
  <c r="J107" i="6"/>
  <c r="I107" i="6"/>
  <c r="BJ107" i="6" s="1"/>
  <c r="G107" i="6"/>
  <c r="F107" i="6"/>
  <c r="W110" i="11" s="1"/>
  <c r="E107" i="6"/>
  <c r="D107" i="6"/>
  <c r="C107" i="6"/>
  <c r="T106" i="6"/>
  <c r="G106" i="6"/>
  <c r="D106" i="6"/>
  <c r="C106" i="6"/>
  <c r="T105" i="6"/>
  <c r="D105" i="6"/>
  <c r="C105" i="6"/>
  <c r="EX104" i="6"/>
  <c r="DG104" i="6"/>
  <c r="T104" i="6"/>
  <c r="K104" i="6"/>
  <c r="BH104" i="6" s="1"/>
  <c r="J104" i="6"/>
  <c r="H104" i="6"/>
  <c r="G104" i="6"/>
  <c r="F104" i="6"/>
  <c r="W107" i="11" s="1"/>
  <c r="D104" i="6"/>
  <c r="C104" i="6"/>
  <c r="B104" i="6"/>
  <c r="DG103" i="6"/>
  <c r="BH103" i="6"/>
  <c r="T103" i="6"/>
  <c r="K103" i="6"/>
  <c r="J103" i="6"/>
  <c r="I103" i="6"/>
  <c r="BJ103" i="6" s="1"/>
  <c r="G103" i="6"/>
  <c r="F103" i="6"/>
  <c r="W106" i="11" s="1"/>
  <c r="E103" i="6"/>
  <c r="D103" i="6"/>
  <c r="C103" i="6"/>
  <c r="EE102" i="6"/>
  <c r="DG102" i="6"/>
  <c r="EX102" i="6" s="1"/>
  <c r="BJ102" i="6"/>
  <c r="T102" i="6"/>
  <c r="L102" i="6"/>
  <c r="J102" i="6"/>
  <c r="I102" i="6"/>
  <c r="H102" i="6"/>
  <c r="F102" i="6"/>
  <c r="W105" i="11" s="1"/>
  <c r="E102" i="6"/>
  <c r="D102" i="6"/>
  <c r="C102" i="6"/>
  <c r="B102" i="6"/>
  <c r="T101" i="6"/>
  <c r="K101" i="6"/>
  <c r="J101" i="6"/>
  <c r="H101" i="6"/>
  <c r="G101" i="6"/>
  <c r="E101" i="6"/>
  <c r="D101" i="6"/>
  <c r="C101" i="6"/>
  <c r="BH100" i="6"/>
  <c r="T100" i="6"/>
  <c r="K100" i="6"/>
  <c r="J100" i="6"/>
  <c r="DS100" i="6" s="1"/>
  <c r="H100" i="6"/>
  <c r="G100" i="6"/>
  <c r="F100" i="6"/>
  <c r="W103" i="11" s="1"/>
  <c r="D100" i="6"/>
  <c r="C100" i="6"/>
  <c r="DG99" i="6"/>
  <c r="T99" i="6"/>
  <c r="K99" i="6"/>
  <c r="BH99" i="6" s="1"/>
  <c r="J99" i="6"/>
  <c r="I99" i="6"/>
  <c r="BJ99" i="6" s="1"/>
  <c r="G99" i="6"/>
  <c r="F99" i="6"/>
  <c r="W102" i="11" s="1"/>
  <c r="E99" i="6"/>
  <c r="D99" i="6"/>
  <c r="C99" i="6"/>
  <c r="B99" i="6"/>
  <c r="EY98" i="6"/>
  <c r="DG98" i="6"/>
  <c r="BJ98" i="6"/>
  <c r="T98" i="6"/>
  <c r="L98" i="6"/>
  <c r="EE98" i="6" s="1"/>
  <c r="J98" i="6"/>
  <c r="I98" i="6"/>
  <c r="H98" i="6"/>
  <c r="F98" i="6"/>
  <c r="W101" i="11" s="1"/>
  <c r="E98" i="6"/>
  <c r="D98" i="6"/>
  <c r="C98" i="6"/>
  <c r="B98" i="6"/>
  <c r="T97" i="6"/>
  <c r="L97" i="6"/>
  <c r="J97" i="6"/>
  <c r="I97" i="6"/>
  <c r="BJ97" i="6" s="1"/>
  <c r="H97" i="6"/>
  <c r="E97" i="6"/>
  <c r="D97" i="6"/>
  <c r="K97" i="6" s="1"/>
  <c r="C97" i="6"/>
  <c r="T96" i="6"/>
  <c r="D96" i="6"/>
  <c r="C96" i="6"/>
  <c r="T95" i="6"/>
  <c r="D95" i="6"/>
  <c r="C95" i="6"/>
  <c r="T94" i="6"/>
  <c r="J94" i="6"/>
  <c r="I94" i="6"/>
  <c r="BJ94" i="6" s="1"/>
  <c r="G94" i="6"/>
  <c r="F94" i="6"/>
  <c r="W97" i="11" s="1"/>
  <c r="E94" i="6"/>
  <c r="D94" i="6"/>
  <c r="C94" i="6"/>
  <c r="T93" i="6"/>
  <c r="K93" i="6"/>
  <c r="J93" i="6"/>
  <c r="D93" i="6"/>
  <c r="C93" i="6"/>
  <c r="T92" i="6"/>
  <c r="J92" i="6"/>
  <c r="H92" i="6"/>
  <c r="G92" i="6"/>
  <c r="D92" i="6"/>
  <c r="C92" i="6"/>
  <c r="T91" i="6"/>
  <c r="D91" i="6"/>
  <c r="C91" i="6"/>
  <c r="T90" i="6"/>
  <c r="J90" i="6"/>
  <c r="I90" i="6"/>
  <c r="BJ90" i="6" s="1"/>
  <c r="G90" i="6"/>
  <c r="F90" i="6"/>
  <c r="W93" i="11" s="1"/>
  <c r="E90" i="6"/>
  <c r="D90" i="6"/>
  <c r="C90" i="6"/>
  <c r="T89" i="6"/>
  <c r="K89" i="6"/>
  <c r="J89" i="6"/>
  <c r="D89" i="6"/>
  <c r="C89" i="6"/>
  <c r="T88" i="6"/>
  <c r="J88" i="6"/>
  <c r="H88" i="6"/>
  <c r="G88" i="6"/>
  <c r="D88" i="6"/>
  <c r="C88" i="6"/>
  <c r="T87" i="6"/>
  <c r="D87" i="6"/>
  <c r="C87" i="6"/>
  <c r="DG86" i="6"/>
  <c r="T86" i="6"/>
  <c r="L86" i="6"/>
  <c r="H86" i="6"/>
  <c r="G86" i="6"/>
  <c r="F86" i="6"/>
  <c r="W89" i="11" s="1"/>
  <c r="D86" i="6"/>
  <c r="C86" i="6"/>
  <c r="EY85" i="6"/>
  <c r="T85" i="6"/>
  <c r="L85" i="6"/>
  <c r="K85" i="6"/>
  <c r="J85" i="6"/>
  <c r="G85" i="6"/>
  <c r="D85" i="6"/>
  <c r="C85" i="6"/>
  <c r="DG84" i="6"/>
  <c r="BH84" i="6"/>
  <c r="BT84" i="6" s="1"/>
  <c r="T84" i="6"/>
  <c r="K84" i="6"/>
  <c r="J84" i="6"/>
  <c r="G84" i="6"/>
  <c r="F84" i="6"/>
  <c r="W87" i="11" s="1"/>
  <c r="E84" i="6"/>
  <c r="D84" i="6"/>
  <c r="C84" i="6"/>
  <c r="B84" i="6"/>
  <c r="T83" i="6"/>
  <c r="L83" i="6"/>
  <c r="K83" i="6"/>
  <c r="J83" i="6"/>
  <c r="G83" i="6"/>
  <c r="E83" i="6"/>
  <c r="D83" i="6"/>
  <c r="C83" i="6"/>
  <c r="EX82" i="6"/>
  <c r="EE82" i="6"/>
  <c r="DS82" i="6"/>
  <c r="DG82" i="6"/>
  <c r="T82" i="6"/>
  <c r="L82" i="6"/>
  <c r="K82" i="6"/>
  <c r="BH82" i="6" s="1"/>
  <c r="J82" i="6"/>
  <c r="BG82" i="6" s="1"/>
  <c r="H82" i="6"/>
  <c r="BE82" i="6" s="1"/>
  <c r="G82" i="6"/>
  <c r="F82" i="6"/>
  <c r="W85" i="11" s="1"/>
  <c r="E82" i="6"/>
  <c r="V85" i="11" s="1"/>
  <c r="D82" i="6"/>
  <c r="C82" i="6"/>
  <c r="B82" i="6"/>
  <c r="T81" i="6"/>
  <c r="D81" i="6"/>
  <c r="C81" i="6"/>
  <c r="DG80" i="6"/>
  <c r="T80" i="6"/>
  <c r="L80" i="6"/>
  <c r="I80" i="6"/>
  <c r="BJ80" i="6" s="1"/>
  <c r="H80" i="6"/>
  <c r="G80" i="6"/>
  <c r="E80" i="6"/>
  <c r="D80" i="6"/>
  <c r="C80" i="6"/>
  <c r="T79" i="6"/>
  <c r="L79" i="6"/>
  <c r="K79" i="6"/>
  <c r="J79" i="6"/>
  <c r="H79" i="6"/>
  <c r="G79" i="6"/>
  <c r="D79" i="6"/>
  <c r="C79" i="6"/>
  <c r="EX78" i="6"/>
  <c r="EE78" i="6"/>
  <c r="DH78" i="6"/>
  <c r="DG78" i="6"/>
  <c r="BH78" i="6"/>
  <c r="BE78" i="6"/>
  <c r="T78" i="6"/>
  <c r="L78" i="6"/>
  <c r="K78" i="6"/>
  <c r="DS78" i="6" s="1"/>
  <c r="J78" i="6"/>
  <c r="H78" i="6"/>
  <c r="G78" i="6"/>
  <c r="F78" i="6"/>
  <c r="W81" i="11" s="1"/>
  <c r="E78" i="6"/>
  <c r="V81" i="11" s="1"/>
  <c r="D78" i="6"/>
  <c r="C78" i="6"/>
  <c r="B78" i="6"/>
  <c r="T77" i="6"/>
  <c r="H77" i="6"/>
  <c r="F77" i="6"/>
  <c r="W80" i="11" s="1"/>
  <c r="E77" i="6"/>
  <c r="D77" i="6"/>
  <c r="C77" i="6"/>
  <c r="T76" i="6"/>
  <c r="L76" i="6"/>
  <c r="K76" i="6"/>
  <c r="I76" i="6"/>
  <c r="BJ76" i="6" s="1"/>
  <c r="H76" i="6"/>
  <c r="D76" i="6"/>
  <c r="C76" i="6"/>
  <c r="EX75" i="6"/>
  <c r="DG75" i="6"/>
  <c r="T75" i="6"/>
  <c r="L75" i="6"/>
  <c r="J75" i="6"/>
  <c r="H75" i="6"/>
  <c r="D75" i="6"/>
  <c r="C75" i="6"/>
  <c r="B75" i="6"/>
  <c r="DG74" i="6"/>
  <c r="T74" i="6"/>
  <c r="L74" i="6"/>
  <c r="K74" i="6"/>
  <c r="J74" i="6"/>
  <c r="H74" i="6"/>
  <c r="BE74" i="6" s="1"/>
  <c r="G74" i="6"/>
  <c r="F74" i="6"/>
  <c r="W77" i="11" s="1"/>
  <c r="E74" i="6"/>
  <c r="D74" i="6"/>
  <c r="C74" i="6"/>
  <c r="T73" i="6"/>
  <c r="D73" i="6"/>
  <c r="C73" i="6"/>
  <c r="T72" i="6"/>
  <c r="E72" i="6"/>
  <c r="D72" i="6"/>
  <c r="C72" i="6"/>
  <c r="T71" i="6"/>
  <c r="J71" i="6"/>
  <c r="I71" i="6"/>
  <c r="BJ71" i="6" s="1"/>
  <c r="H71" i="6"/>
  <c r="E71" i="6"/>
  <c r="D71" i="6"/>
  <c r="DG71" i="6" s="1"/>
  <c r="C71" i="6"/>
  <c r="T70" i="6"/>
  <c r="L70" i="6"/>
  <c r="K70" i="6"/>
  <c r="I70" i="6"/>
  <c r="BJ70" i="6" s="1"/>
  <c r="H70" i="6"/>
  <c r="E70" i="6"/>
  <c r="D70" i="6"/>
  <c r="C70" i="6"/>
  <c r="EX69" i="6"/>
  <c r="DG69" i="6"/>
  <c r="T69" i="6"/>
  <c r="L69" i="6"/>
  <c r="K69" i="6"/>
  <c r="BH69" i="6" s="1"/>
  <c r="J69" i="6"/>
  <c r="DS69" i="6" s="1"/>
  <c r="H69" i="6"/>
  <c r="BE69" i="6" s="1"/>
  <c r="G69" i="6"/>
  <c r="F69" i="6"/>
  <c r="W72" i="11" s="1"/>
  <c r="E69" i="6"/>
  <c r="V72" i="11" s="1"/>
  <c r="D69" i="6"/>
  <c r="C69" i="6"/>
  <c r="EX68" i="6"/>
  <c r="DG68" i="6"/>
  <c r="T68" i="6"/>
  <c r="K68" i="6"/>
  <c r="BH68" i="6" s="1"/>
  <c r="J68" i="6"/>
  <c r="DS68" i="6" s="1"/>
  <c r="I68" i="6"/>
  <c r="BJ68" i="6" s="1"/>
  <c r="H68" i="6"/>
  <c r="BE68" i="6" s="1"/>
  <c r="F68" i="6"/>
  <c r="W71" i="11" s="1"/>
  <c r="E68" i="6"/>
  <c r="D68" i="6"/>
  <c r="C68" i="6"/>
  <c r="B68" i="6"/>
  <c r="EX67" i="6"/>
  <c r="DG67" i="6"/>
  <c r="T67" i="6"/>
  <c r="L67" i="6"/>
  <c r="K67" i="6"/>
  <c r="BH67" i="6" s="1"/>
  <c r="I67" i="6"/>
  <c r="BJ67" i="6" s="1"/>
  <c r="F67" i="6"/>
  <c r="W70" i="11" s="1"/>
  <c r="E67" i="6"/>
  <c r="D67" i="6"/>
  <c r="C67" i="6"/>
  <c r="T66" i="6"/>
  <c r="J66" i="6"/>
  <c r="I66" i="6"/>
  <c r="BJ66" i="6" s="1"/>
  <c r="G66" i="6"/>
  <c r="D66" i="6"/>
  <c r="C66" i="6"/>
  <c r="BS65" i="6"/>
  <c r="BH65" i="6"/>
  <c r="BT65" i="6" s="1"/>
  <c r="T65" i="6"/>
  <c r="L65" i="6"/>
  <c r="K65" i="6"/>
  <c r="J65" i="6"/>
  <c r="I65" i="6"/>
  <c r="BJ65" i="6" s="1"/>
  <c r="F65" i="6"/>
  <c r="W68" i="11" s="1"/>
  <c r="E65" i="6"/>
  <c r="D65" i="6"/>
  <c r="DG65" i="6" s="1"/>
  <c r="C65" i="6"/>
  <c r="EY64" i="6"/>
  <c r="EX64" i="6"/>
  <c r="DG64" i="6"/>
  <c r="T64" i="6"/>
  <c r="L64" i="6"/>
  <c r="I64" i="6"/>
  <c r="BJ64" i="6" s="1"/>
  <c r="H64" i="6"/>
  <c r="F64" i="6"/>
  <c r="W67" i="11" s="1"/>
  <c r="D64" i="6"/>
  <c r="C64" i="6"/>
  <c r="T63" i="6"/>
  <c r="D63" i="6"/>
  <c r="C63" i="6"/>
  <c r="EY62" i="6"/>
  <c r="EX62" i="6"/>
  <c r="DT62" i="6"/>
  <c r="DH62" i="6"/>
  <c r="DG62" i="6"/>
  <c r="B62" i="6" s="1"/>
  <c r="BT62" i="6"/>
  <c r="BH62" i="6"/>
  <c r="BS62" i="6" s="1"/>
  <c r="AY62" i="6"/>
  <c r="T62" i="6"/>
  <c r="L62" i="6"/>
  <c r="K62" i="6"/>
  <c r="J62" i="6"/>
  <c r="I62" i="6"/>
  <c r="BJ62" i="6" s="1"/>
  <c r="H62" i="6"/>
  <c r="BE62" i="6" s="1"/>
  <c r="G62" i="6"/>
  <c r="F62" i="6"/>
  <c r="W65" i="11" s="1"/>
  <c r="E62" i="6"/>
  <c r="V65" i="11" s="1"/>
  <c r="D62" i="6"/>
  <c r="C62" i="6"/>
  <c r="DG61" i="6"/>
  <c r="BJ61" i="6"/>
  <c r="BE61" i="6"/>
  <c r="T61" i="6"/>
  <c r="L61" i="6"/>
  <c r="EY61" i="6" s="1"/>
  <c r="K61" i="6"/>
  <c r="BH61" i="6" s="1"/>
  <c r="J61" i="6"/>
  <c r="DS61" i="6" s="1"/>
  <c r="I61" i="6"/>
  <c r="H61" i="6"/>
  <c r="F61" i="6"/>
  <c r="W64" i="11" s="1"/>
  <c r="E61" i="6"/>
  <c r="D61" i="6"/>
  <c r="C61" i="6"/>
  <c r="T60" i="6"/>
  <c r="L60" i="6"/>
  <c r="EY60" i="6" s="1"/>
  <c r="D60" i="6"/>
  <c r="C60" i="6"/>
  <c r="DG59" i="6"/>
  <c r="BE59" i="6"/>
  <c r="T59" i="6"/>
  <c r="L59" i="6"/>
  <c r="K59" i="6"/>
  <c r="BH59" i="6" s="1"/>
  <c r="H59" i="6"/>
  <c r="F59" i="6"/>
  <c r="W62" i="11" s="1"/>
  <c r="E59" i="6"/>
  <c r="V62" i="11" s="1"/>
  <c r="D59" i="6"/>
  <c r="C59" i="6"/>
  <c r="B59" i="6"/>
  <c r="BJ58" i="6"/>
  <c r="BH58" i="6"/>
  <c r="BT58" i="6" s="1"/>
  <c r="BE58" i="6"/>
  <c r="T58" i="6"/>
  <c r="K58" i="6"/>
  <c r="I58" i="6"/>
  <c r="H58" i="6"/>
  <c r="F58" i="6"/>
  <c r="W61" i="11" s="1"/>
  <c r="E58" i="6"/>
  <c r="V61" i="11" s="1"/>
  <c r="D58" i="6"/>
  <c r="C58" i="6"/>
  <c r="EY57" i="6"/>
  <c r="DG57" i="6"/>
  <c r="T57" i="6"/>
  <c r="L57" i="6"/>
  <c r="K57" i="6"/>
  <c r="DS57" i="6" s="1"/>
  <c r="J57" i="6"/>
  <c r="I57" i="6"/>
  <c r="BJ57" i="6" s="1"/>
  <c r="H57" i="6"/>
  <c r="G57" i="6"/>
  <c r="F57" i="6"/>
  <c r="W60" i="11" s="1"/>
  <c r="E57" i="6"/>
  <c r="V60" i="11" s="1"/>
  <c r="D57" i="6"/>
  <c r="C57" i="6"/>
  <c r="B57" i="6"/>
  <c r="DS56" i="6"/>
  <c r="DG56" i="6"/>
  <c r="T56" i="6"/>
  <c r="L56" i="6"/>
  <c r="K56" i="6"/>
  <c r="J56" i="6"/>
  <c r="I56" i="6"/>
  <c r="BJ56" i="6" s="1"/>
  <c r="H56" i="6"/>
  <c r="E56" i="6"/>
  <c r="V59" i="11" s="1"/>
  <c r="D56" i="6"/>
  <c r="C56" i="6"/>
  <c r="B56" i="6"/>
  <c r="EX55" i="6"/>
  <c r="DG55" i="6"/>
  <c r="BH55" i="6"/>
  <c r="BE55" i="6"/>
  <c r="T55" i="6"/>
  <c r="L55" i="6"/>
  <c r="K55" i="6"/>
  <c r="H55" i="6"/>
  <c r="F55" i="6"/>
  <c r="W58" i="11" s="1"/>
  <c r="E55" i="6"/>
  <c r="V58" i="11" s="1"/>
  <c r="D55" i="6"/>
  <c r="C55" i="6"/>
  <c r="B55" i="6"/>
  <c r="EX54" i="6"/>
  <c r="DG54" i="6"/>
  <c r="BJ54" i="6"/>
  <c r="BH54" i="6"/>
  <c r="BS54" i="6" s="1"/>
  <c r="T54" i="6"/>
  <c r="K54" i="6"/>
  <c r="I54" i="6"/>
  <c r="H54" i="6"/>
  <c r="BE54" i="6" s="1"/>
  <c r="F54" i="6"/>
  <c r="W57" i="11" s="1"/>
  <c r="E54" i="6"/>
  <c r="V57" i="11" s="1"/>
  <c r="D54" i="6"/>
  <c r="C54" i="6"/>
  <c r="B54" i="6"/>
  <c r="EY53" i="6"/>
  <c r="DG53" i="6"/>
  <c r="T53" i="6"/>
  <c r="L53" i="6"/>
  <c r="K53" i="6"/>
  <c r="J53" i="6"/>
  <c r="I53" i="6"/>
  <c r="BJ53" i="6" s="1"/>
  <c r="H53" i="6"/>
  <c r="G53" i="6"/>
  <c r="F53" i="6"/>
  <c r="W56" i="11" s="1"/>
  <c r="E53" i="6"/>
  <c r="V56" i="11" s="1"/>
  <c r="D53" i="6"/>
  <c r="C53" i="6"/>
  <c r="B53" i="6"/>
  <c r="DS52" i="6"/>
  <c r="DG52" i="6"/>
  <c r="T52" i="6"/>
  <c r="L52" i="6"/>
  <c r="K52" i="6"/>
  <c r="J52" i="6"/>
  <c r="I52" i="6"/>
  <c r="BJ52" i="6" s="1"/>
  <c r="H52" i="6"/>
  <c r="E52" i="6"/>
  <c r="V55" i="11" s="1"/>
  <c r="D52" i="6"/>
  <c r="C52" i="6"/>
  <c r="B52" i="6"/>
  <c r="EX51" i="6"/>
  <c r="DH51" i="6"/>
  <c r="DG51" i="6"/>
  <c r="CE51" i="6"/>
  <c r="CC51" i="6"/>
  <c r="BS51" i="6"/>
  <c r="BH51" i="6"/>
  <c r="BT51" i="6" s="1"/>
  <c r="T51" i="6"/>
  <c r="L51" i="6"/>
  <c r="K51" i="6"/>
  <c r="H51" i="6"/>
  <c r="F51" i="6"/>
  <c r="W54" i="11" s="1"/>
  <c r="E51" i="6"/>
  <c r="D51" i="6"/>
  <c r="C51" i="6"/>
  <c r="B51" i="6"/>
  <c r="EX50" i="6"/>
  <c r="DG50" i="6"/>
  <c r="BJ50" i="6"/>
  <c r="BH50" i="6"/>
  <c r="BS50" i="6" s="1"/>
  <c r="T50" i="6"/>
  <c r="K50" i="6"/>
  <c r="I50" i="6"/>
  <c r="H50" i="6"/>
  <c r="F50" i="6"/>
  <c r="W53" i="11" s="1"/>
  <c r="E50" i="6"/>
  <c r="V53" i="11" s="1"/>
  <c r="D50" i="6"/>
  <c r="C50" i="6"/>
  <c r="B50" i="6"/>
  <c r="EY49" i="6"/>
  <c r="DG49" i="6"/>
  <c r="T49" i="6"/>
  <c r="L49" i="6"/>
  <c r="K49" i="6"/>
  <c r="BH49" i="6" s="1"/>
  <c r="J49" i="6"/>
  <c r="I49" i="6"/>
  <c r="BJ49" i="6" s="1"/>
  <c r="H49" i="6"/>
  <c r="G49" i="6"/>
  <c r="F49" i="6"/>
  <c r="W52" i="11" s="1"/>
  <c r="E49" i="6"/>
  <c r="V52" i="11" s="1"/>
  <c r="D49" i="6"/>
  <c r="C49" i="6"/>
  <c r="DS48" i="6"/>
  <c r="DG48" i="6"/>
  <c r="T48" i="6"/>
  <c r="L48" i="6"/>
  <c r="K48" i="6"/>
  <c r="J48" i="6"/>
  <c r="I48" i="6"/>
  <c r="BJ48" i="6" s="1"/>
  <c r="H48" i="6"/>
  <c r="E48" i="6"/>
  <c r="D48" i="6"/>
  <c r="C48" i="6"/>
  <c r="B48" i="6"/>
  <c r="EX47" i="6"/>
  <c r="DG47" i="6"/>
  <c r="BS47" i="6"/>
  <c r="BH47" i="6"/>
  <c r="BT47" i="6" s="1"/>
  <c r="T47" i="6"/>
  <c r="L47" i="6"/>
  <c r="K47" i="6"/>
  <c r="H47" i="6"/>
  <c r="F47" i="6"/>
  <c r="W50" i="11" s="1"/>
  <c r="E47" i="6"/>
  <c r="D47" i="6"/>
  <c r="C47" i="6"/>
  <c r="B47" i="6"/>
  <c r="BT46" i="6"/>
  <c r="BJ46" i="6"/>
  <c r="BH46" i="6"/>
  <c r="BS46" i="6" s="1"/>
  <c r="T46" i="6"/>
  <c r="K46" i="6"/>
  <c r="J46" i="6"/>
  <c r="I46" i="6"/>
  <c r="H46" i="6"/>
  <c r="F46" i="6"/>
  <c r="W49" i="11" s="1"/>
  <c r="E46" i="6"/>
  <c r="V49" i="11" s="1"/>
  <c r="D46" i="6"/>
  <c r="C46" i="6"/>
  <c r="EX45" i="6"/>
  <c r="DG45" i="6"/>
  <c r="BJ45" i="6"/>
  <c r="T45" i="6"/>
  <c r="L45" i="6"/>
  <c r="K45" i="6"/>
  <c r="BH45" i="6" s="1"/>
  <c r="J45" i="6"/>
  <c r="I45" i="6"/>
  <c r="H45" i="6"/>
  <c r="G45" i="6"/>
  <c r="F45" i="6"/>
  <c r="W48" i="11" s="1"/>
  <c r="E45" i="6"/>
  <c r="V48" i="11" s="1"/>
  <c r="D45" i="6"/>
  <c r="C45" i="6"/>
  <c r="B45" i="6"/>
  <c r="T44" i="6"/>
  <c r="E44" i="6"/>
  <c r="D44" i="6"/>
  <c r="C44" i="6"/>
  <c r="DH43" i="6"/>
  <c r="DG43" i="6"/>
  <c r="BH43" i="6"/>
  <c r="BT43" i="6" s="1"/>
  <c r="T43" i="6"/>
  <c r="L43" i="6"/>
  <c r="K43" i="6"/>
  <c r="H43" i="6"/>
  <c r="G43" i="6"/>
  <c r="F43" i="6"/>
  <c r="W46" i="11" s="1"/>
  <c r="E43" i="6"/>
  <c r="D43" i="6"/>
  <c r="C43" i="6"/>
  <c r="B43" i="6"/>
  <c r="BH42" i="6"/>
  <c r="BS42" i="6" s="1"/>
  <c r="T42" i="6"/>
  <c r="K42" i="6"/>
  <c r="J42" i="6"/>
  <c r="F42" i="6"/>
  <c r="W45" i="11" s="1"/>
  <c r="E42" i="6"/>
  <c r="D42" i="6"/>
  <c r="C42" i="6"/>
  <c r="EY41" i="6"/>
  <c r="EX41" i="6"/>
  <c r="EE41" i="6"/>
  <c r="DS41" i="6"/>
  <c r="DG41" i="6"/>
  <c r="T41" i="6"/>
  <c r="L41" i="6"/>
  <c r="K41" i="6"/>
  <c r="BH41" i="6" s="1"/>
  <c r="J41" i="6"/>
  <c r="I41" i="6"/>
  <c r="BJ41" i="6" s="1"/>
  <c r="H41" i="6"/>
  <c r="G41" i="6"/>
  <c r="F41" i="6"/>
  <c r="W44" i="11" s="1"/>
  <c r="E41" i="6"/>
  <c r="D41" i="6"/>
  <c r="C41" i="6"/>
  <c r="B41" i="6"/>
  <c r="T40" i="6"/>
  <c r="I40" i="6"/>
  <c r="BJ40" i="6" s="1"/>
  <c r="D40" i="6"/>
  <c r="C40" i="6"/>
  <c r="DH39" i="6"/>
  <c r="DG39" i="6"/>
  <c r="EL39" i="6" s="1"/>
  <c r="T39" i="6"/>
  <c r="L39" i="6"/>
  <c r="K39" i="6"/>
  <c r="BH39" i="6" s="1"/>
  <c r="H39" i="6"/>
  <c r="G39" i="6"/>
  <c r="F39" i="6"/>
  <c r="W42" i="11" s="1"/>
  <c r="E39" i="6"/>
  <c r="D39" i="6"/>
  <c r="C39" i="6"/>
  <c r="EX38" i="6"/>
  <c r="DG38" i="6"/>
  <c r="BJ38" i="6"/>
  <c r="T38" i="6"/>
  <c r="K38" i="6"/>
  <c r="J38" i="6"/>
  <c r="I38" i="6"/>
  <c r="H38" i="6"/>
  <c r="F38" i="6"/>
  <c r="W41" i="11" s="1"/>
  <c r="E38" i="6"/>
  <c r="D38" i="6"/>
  <c r="C38" i="6"/>
  <c r="B38" i="6"/>
  <c r="EY37" i="6"/>
  <c r="EE37" i="6"/>
  <c r="DG37" i="6"/>
  <c r="T37" i="6"/>
  <c r="L37" i="6"/>
  <c r="K37" i="6"/>
  <c r="J37" i="6"/>
  <c r="I37" i="6"/>
  <c r="BJ37" i="6" s="1"/>
  <c r="H37" i="6"/>
  <c r="G37" i="6"/>
  <c r="F37" i="6"/>
  <c r="W40" i="11" s="1"/>
  <c r="E37" i="6"/>
  <c r="D37" i="6"/>
  <c r="C37" i="6"/>
  <c r="B37" i="6"/>
  <c r="DG36" i="6"/>
  <c r="T36" i="6"/>
  <c r="J36" i="6"/>
  <c r="H36" i="6"/>
  <c r="E36" i="6"/>
  <c r="D36" i="6"/>
  <c r="C36" i="6"/>
  <c r="B36" i="6"/>
  <c r="EX35" i="6"/>
  <c r="EE35" i="6"/>
  <c r="DH35" i="6"/>
  <c r="DG35" i="6"/>
  <c r="CE35" i="6"/>
  <c r="T35" i="6"/>
  <c r="L35" i="6"/>
  <c r="K35" i="6"/>
  <c r="BH35" i="6" s="1"/>
  <c r="H35" i="6"/>
  <c r="G35" i="6"/>
  <c r="F35" i="6"/>
  <c r="W38" i="11" s="1"/>
  <c r="E35" i="6"/>
  <c r="D35" i="6"/>
  <c r="C35" i="6"/>
  <c r="DS34" i="6"/>
  <c r="DG34" i="6"/>
  <c r="AE35" i="6" s="1"/>
  <c r="CI35" i="6" s="1"/>
  <c r="T34" i="6"/>
  <c r="K34" i="6"/>
  <c r="BH34" i="6" s="1"/>
  <c r="J34" i="6"/>
  <c r="I34" i="6"/>
  <c r="BJ34" i="6" s="1"/>
  <c r="H34" i="6"/>
  <c r="F34" i="6"/>
  <c r="W37" i="11" s="1"/>
  <c r="D34" i="6"/>
  <c r="C34" i="6"/>
  <c r="B34" i="6"/>
  <c r="EX33" i="6"/>
  <c r="DG33" i="6"/>
  <c r="T33" i="6"/>
  <c r="L33" i="6"/>
  <c r="K33" i="6"/>
  <c r="J33" i="6"/>
  <c r="I33" i="6"/>
  <c r="BJ33" i="6" s="1"/>
  <c r="H33" i="6"/>
  <c r="G33" i="6"/>
  <c r="F33" i="6"/>
  <c r="W36" i="11" s="1"/>
  <c r="E33" i="6"/>
  <c r="D33" i="6"/>
  <c r="C33" i="6"/>
  <c r="B33" i="6"/>
  <c r="T32" i="6"/>
  <c r="J32" i="6"/>
  <c r="D32" i="6"/>
  <c r="C32" i="6"/>
  <c r="T31" i="6"/>
  <c r="L31" i="6"/>
  <c r="G31" i="6"/>
  <c r="D31" i="6"/>
  <c r="C31" i="6"/>
  <c r="T30" i="6"/>
  <c r="D30" i="6"/>
  <c r="C30" i="6"/>
  <c r="EY29" i="6"/>
  <c r="EE29" i="6"/>
  <c r="DG29" i="6"/>
  <c r="EX29" i="6" s="1"/>
  <c r="BT29" i="6"/>
  <c r="BH29" i="6"/>
  <c r="BS29" i="6" s="1"/>
  <c r="T29" i="6"/>
  <c r="L29" i="6"/>
  <c r="K29" i="6"/>
  <c r="J29" i="6"/>
  <c r="I29" i="6"/>
  <c r="BJ29" i="6" s="1"/>
  <c r="H29" i="6"/>
  <c r="G29" i="6"/>
  <c r="F29" i="6"/>
  <c r="W32" i="11" s="1"/>
  <c r="E29" i="6"/>
  <c r="V32" i="11" s="1"/>
  <c r="D29" i="6"/>
  <c r="C29" i="6"/>
  <c r="B29" i="6"/>
  <c r="DG28" i="6"/>
  <c r="BJ28" i="6"/>
  <c r="T28" i="6"/>
  <c r="L28" i="6"/>
  <c r="J28" i="6"/>
  <c r="I28" i="6"/>
  <c r="H28" i="6"/>
  <c r="D28" i="6"/>
  <c r="C28" i="6"/>
  <c r="B28" i="6"/>
  <c r="T27" i="6"/>
  <c r="K27" i="6"/>
  <c r="G27" i="6"/>
  <c r="E27" i="6"/>
  <c r="D27" i="6"/>
  <c r="C27" i="6"/>
  <c r="T26" i="6"/>
  <c r="J26" i="6"/>
  <c r="H26" i="6"/>
  <c r="F26" i="6"/>
  <c r="W29" i="11" s="1"/>
  <c r="D26" i="6"/>
  <c r="DG26" i="6" s="1"/>
  <c r="C26" i="6"/>
  <c r="EE25" i="6"/>
  <c r="DG25" i="6"/>
  <c r="EX25" i="6" s="1"/>
  <c r="T25" i="6"/>
  <c r="L25" i="6"/>
  <c r="K25" i="6"/>
  <c r="BH25" i="6" s="1"/>
  <c r="BT25" i="6" s="1"/>
  <c r="J25" i="6"/>
  <c r="I25" i="6"/>
  <c r="BJ25" i="6" s="1"/>
  <c r="H25" i="6"/>
  <c r="G25" i="6"/>
  <c r="F25" i="6"/>
  <c r="W28" i="11" s="1"/>
  <c r="E25" i="6"/>
  <c r="D25" i="6"/>
  <c r="C25" i="6"/>
  <c r="B25" i="6"/>
  <c r="DG24" i="6"/>
  <c r="T24" i="6"/>
  <c r="J24" i="6"/>
  <c r="I24" i="6"/>
  <c r="BJ24" i="6" s="1"/>
  <c r="D24" i="6"/>
  <c r="C24" i="6"/>
  <c r="B24" i="6"/>
  <c r="T23" i="6"/>
  <c r="D23" i="6"/>
  <c r="C23" i="6"/>
  <c r="DG22" i="6"/>
  <c r="B22" i="6" s="1"/>
  <c r="BJ22" i="6"/>
  <c r="BE22" i="6"/>
  <c r="T22" i="6"/>
  <c r="K22" i="6"/>
  <c r="BH22" i="6" s="1"/>
  <c r="BT22" i="6" s="1"/>
  <c r="J22" i="6"/>
  <c r="DS22" i="6" s="1"/>
  <c r="I22" i="6"/>
  <c r="H22" i="6"/>
  <c r="G22" i="6"/>
  <c r="F22" i="6"/>
  <c r="W25" i="11" s="1"/>
  <c r="E22" i="6"/>
  <c r="D22" i="6"/>
  <c r="C22" i="6"/>
  <c r="EX21" i="6"/>
  <c r="DS21" i="6"/>
  <c r="DG21" i="6"/>
  <c r="BH21" i="6"/>
  <c r="T21" i="6"/>
  <c r="L21" i="6"/>
  <c r="EY21" i="6" s="1"/>
  <c r="K21" i="6"/>
  <c r="J21" i="6"/>
  <c r="I21" i="6"/>
  <c r="BJ21" i="6" s="1"/>
  <c r="H21" i="6"/>
  <c r="G21" i="6"/>
  <c r="F21" i="6"/>
  <c r="W24" i="11" s="1"/>
  <c r="E21" i="6"/>
  <c r="D21" i="6"/>
  <c r="C21" i="6"/>
  <c r="B21" i="6"/>
  <c r="T20" i="6"/>
  <c r="K20" i="6"/>
  <c r="H20" i="6"/>
  <c r="E20" i="6"/>
  <c r="D20" i="6"/>
  <c r="C20" i="6"/>
  <c r="T19" i="6"/>
  <c r="D19" i="6"/>
  <c r="C19" i="6"/>
  <c r="DG18" i="6"/>
  <c r="B18" i="6" s="1"/>
  <c r="BS18" i="6"/>
  <c r="BJ18" i="6"/>
  <c r="BE18" i="6"/>
  <c r="T18" i="6"/>
  <c r="K18" i="6"/>
  <c r="BH18" i="6" s="1"/>
  <c r="BT18" i="6" s="1"/>
  <c r="J18" i="6"/>
  <c r="DS18" i="6" s="1"/>
  <c r="I18" i="6"/>
  <c r="H18" i="6"/>
  <c r="G18" i="6"/>
  <c r="F18" i="6"/>
  <c r="W21" i="11" s="1"/>
  <c r="E18" i="6"/>
  <c r="D18" i="6"/>
  <c r="C18" i="6"/>
  <c r="EX17" i="6"/>
  <c r="DG17" i="6"/>
  <c r="BH17" i="6"/>
  <c r="T17" i="6"/>
  <c r="L17" i="6"/>
  <c r="EY17" i="6" s="1"/>
  <c r="K17" i="6"/>
  <c r="J17" i="6"/>
  <c r="I17" i="6"/>
  <c r="BJ17" i="6" s="1"/>
  <c r="H17" i="6"/>
  <c r="G17" i="6"/>
  <c r="F17" i="6"/>
  <c r="W20" i="11" s="1"/>
  <c r="E17" i="6"/>
  <c r="D17" i="6"/>
  <c r="C17" i="6"/>
  <c r="B17" i="6"/>
  <c r="T16" i="6"/>
  <c r="K16" i="6"/>
  <c r="H16" i="6"/>
  <c r="G16" i="6"/>
  <c r="D16" i="6"/>
  <c r="C16" i="6"/>
  <c r="T15" i="6"/>
  <c r="K15" i="6"/>
  <c r="J15" i="6"/>
  <c r="G15" i="6"/>
  <c r="D15" i="6"/>
  <c r="C15" i="6"/>
  <c r="DG14" i="6"/>
  <c r="T14" i="6"/>
  <c r="J14" i="6"/>
  <c r="G14" i="6"/>
  <c r="F14" i="6"/>
  <c r="W17" i="11" s="1"/>
  <c r="D14" i="6"/>
  <c r="C14" i="6"/>
  <c r="B14" i="6"/>
  <c r="T13" i="6"/>
  <c r="I13" i="6"/>
  <c r="BJ13" i="6" s="1"/>
  <c r="E13" i="6"/>
  <c r="D13" i="6"/>
  <c r="C13" i="6"/>
  <c r="T12" i="6"/>
  <c r="L12" i="6"/>
  <c r="H12" i="6"/>
  <c r="G12" i="6"/>
  <c r="D12" i="6"/>
  <c r="C12" i="6"/>
  <c r="T11" i="6"/>
  <c r="K11" i="6"/>
  <c r="J11" i="6"/>
  <c r="G11" i="6"/>
  <c r="D11" i="6"/>
  <c r="C11" i="6"/>
  <c r="DG10" i="6"/>
  <c r="T10" i="6"/>
  <c r="J10" i="6"/>
  <c r="G10" i="6"/>
  <c r="F10" i="6"/>
  <c r="W13" i="11" s="1"/>
  <c r="D10" i="6"/>
  <c r="C10" i="6"/>
  <c r="B10" i="6"/>
  <c r="T9" i="6"/>
  <c r="I9" i="6"/>
  <c r="BJ9" i="6" s="1"/>
  <c r="E9" i="6"/>
  <c r="D9" i="6"/>
  <c r="C9" i="6"/>
  <c r="T8" i="6"/>
  <c r="D8" i="6"/>
  <c r="C8" i="6"/>
  <c r="T7" i="6"/>
  <c r="K7" i="6"/>
  <c r="J7" i="6"/>
  <c r="G7" i="6"/>
  <c r="D7" i="6"/>
  <c r="C7" i="6"/>
  <c r="DG6" i="6"/>
  <c r="T6" i="6"/>
  <c r="J6" i="6"/>
  <c r="G6" i="6"/>
  <c r="F6" i="6"/>
  <c r="W9" i="11" s="1"/>
  <c r="D6" i="6"/>
  <c r="C6" i="6"/>
  <c r="B6" i="6"/>
  <c r="T5" i="6"/>
  <c r="J5" i="6"/>
  <c r="I5" i="6"/>
  <c r="BJ5" i="6" s="1"/>
  <c r="D5" i="6"/>
  <c r="C5" i="6"/>
  <c r="T4" i="6"/>
  <c r="D4" i="6"/>
  <c r="C4" i="6"/>
  <c r="FE3" i="6"/>
  <c r="FD3" i="6"/>
  <c r="FC3" i="6"/>
  <c r="FB3" i="6"/>
  <c r="ES3" i="6"/>
  <c r="EQ3" i="6"/>
  <c r="EV3" i="6" s="1"/>
  <c r="EW3" i="6" s="1"/>
  <c r="EP3" i="6"/>
  <c r="EM3" i="6"/>
  <c r="EL3" i="6"/>
  <c r="EH3" i="6"/>
  <c r="EF3" i="6"/>
  <c r="ED3" i="6"/>
  <c r="DY3" i="6"/>
  <c r="DM3" i="6"/>
  <c r="DL3" i="6"/>
  <c r="DK3" i="6"/>
  <c r="DJ3" i="6"/>
  <c r="AX3" i="6"/>
  <c r="AW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D3" i="6"/>
  <c r="AC3" i="6"/>
  <c r="AB3" i="6"/>
  <c r="AA3" i="6"/>
  <c r="Z3" i="6"/>
  <c r="Y3" i="6"/>
  <c r="X3" i="6"/>
  <c r="W3" i="6"/>
  <c r="V3" i="6"/>
  <c r="BZ3" i="6" s="1"/>
  <c r="U3" i="6"/>
  <c r="T3" i="6"/>
  <c r="D3" i="6"/>
  <c r="C3" i="6"/>
  <c r="DF1" i="6"/>
  <c r="DE1" i="6"/>
  <c r="DD1" i="6"/>
  <c r="DC1" i="6"/>
  <c r="T248" i="5"/>
  <c r="Q248" i="5"/>
  <c r="O248" i="5"/>
  <c r="N248" i="5"/>
  <c r="H248" i="5"/>
  <c r="P248" i="5" s="1"/>
  <c r="R248" i="5" s="1"/>
  <c r="G248" i="5"/>
  <c r="D248" i="5"/>
  <c r="X248" i="5" s="1"/>
  <c r="C248" i="5"/>
  <c r="B248" i="5"/>
  <c r="X247" i="5"/>
  <c r="Q247" i="5"/>
  <c r="P247" i="5"/>
  <c r="R247" i="5" s="1"/>
  <c r="O247" i="5"/>
  <c r="N247" i="5"/>
  <c r="I247" i="5"/>
  <c r="L247" i="5" s="1"/>
  <c r="H247" i="5"/>
  <c r="Y247" i="5" s="1"/>
  <c r="G247" i="5"/>
  <c r="D247" i="5"/>
  <c r="C247" i="5"/>
  <c r="B247" i="5"/>
  <c r="Y246" i="5"/>
  <c r="O246" i="5"/>
  <c r="N246" i="5"/>
  <c r="M246" i="5"/>
  <c r="H246" i="5"/>
  <c r="P246" i="5" s="1"/>
  <c r="R246" i="5" s="1"/>
  <c r="G246" i="5"/>
  <c r="D246" i="5"/>
  <c r="C246" i="5"/>
  <c r="B246" i="5"/>
  <c r="T245" i="5"/>
  <c r="O245" i="5"/>
  <c r="N245" i="5"/>
  <c r="M245" i="5"/>
  <c r="I245" i="5"/>
  <c r="H245" i="5"/>
  <c r="Y245" i="5" s="1"/>
  <c r="G245" i="5"/>
  <c r="D245" i="5"/>
  <c r="X245" i="5" s="1"/>
  <c r="C245" i="5"/>
  <c r="B245" i="5"/>
  <c r="X244" i="5"/>
  <c r="O244" i="5"/>
  <c r="N244" i="5"/>
  <c r="I244" i="5"/>
  <c r="L244" i="5" s="1"/>
  <c r="H244" i="5"/>
  <c r="Q244" i="5" s="1"/>
  <c r="G244" i="5"/>
  <c r="D244" i="5"/>
  <c r="C244" i="5"/>
  <c r="B244" i="5"/>
  <c r="Y243" i="5"/>
  <c r="P243" i="5"/>
  <c r="O243" i="5"/>
  <c r="S243" i="5" s="1"/>
  <c r="N243" i="5"/>
  <c r="M243" i="5"/>
  <c r="I243" i="5"/>
  <c r="J243" i="5" s="1"/>
  <c r="K243" i="5" s="1"/>
  <c r="H243" i="5"/>
  <c r="Q243" i="5" s="1"/>
  <c r="G243" i="5"/>
  <c r="D243" i="5"/>
  <c r="C243" i="5"/>
  <c r="B243" i="5"/>
  <c r="T242" i="5"/>
  <c r="P242" i="5"/>
  <c r="O242" i="5"/>
  <c r="N242" i="5"/>
  <c r="H242" i="5"/>
  <c r="Q242" i="5" s="1"/>
  <c r="G242" i="5"/>
  <c r="D242" i="5"/>
  <c r="C242" i="5"/>
  <c r="B242" i="5"/>
  <c r="Y241" i="5"/>
  <c r="X241" i="5"/>
  <c r="Q241" i="5"/>
  <c r="P241" i="5"/>
  <c r="R241" i="5" s="1"/>
  <c r="O241" i="5"/>
  <c r="N241" i="5"/>
  <c r="M241" i="5"/>
  <c r="I241" i="5"/>
  <c r="J241" i="5" s="1"/>
  <c r="K241" i="5" s="1"/>
  <c r="H241" i="5"/>
  <c r="G241" i="5"/>
  <c r="D241" i="5"/>
  <c r="C241" i="5"/>
  <c r="B241" i="5"/>
  <c r="Y240" i="5"/>
  <c r="R240" i="5"/>
  <c r="Q240" i="5"/>
  <c r="S240" i="5" s="1"/>
  <c r="P240" i="5"/>
  <c r="O240" i="5"/>
  <c r="N240" i="5"/>
  <c r="M240" i="5"/>
  <c r="L240" i="5"/>
  <c r="J240" i="5"/>
  <c r="K240" i="5" s="1"/>
  <c r="I240" i="5"/>
  <c r="H240" i="5"/>
  <c r="G240" i="5"/>
  <c r="D240" i="5"/>
  <c r="C240" i="5"/>
  <c r="B240" i="5"/>
  <c r="X239" i="5"/>
  <c r="O239" i="5"/>
  <c r="N239" i="5"/>
  <c r="H239" i="5"/>
  <c r="G239" i="5"/>
  <c r="D239" i="5"/>
  <c r="C239" i="5"/>
  <c r="B239" i="5"/>
  <c r="O238" i="5"/>
  <c r="N238" i="5"/>
  <c r="H238" i="5"/>
  <c r="P238" i="5" s="1"/>
  <c r="R238" i="5" s="1"/>
  <c r="G238" i="5"/>
  <c r="D238" i="5"/>
  <c r="C238" i="5"/>
  <c r="B238" i="5"/>
  <c r="Y237" i="5"/>
  <c r="Q237" i="5"/>
  <c r="S237" i="5" s="1"/>
  <c r="P237" i="5"/>
  <c r="O237" i="5"/>
  <c r="N237" i="5"/>
  <c r="M237" i="5"/>
  <c r="I237" i="5"/>
  <c r="J237" i="5" s="1"/>
  <c r="K237" i="5" s="1"/>
  <c r="H237" i="5"/>
  <c r="G237" i="5"/>
  <c r="D237" i="5"/>
  <c r="C237" i="5"/>
  <c r="B237" i="5"/>
  <c r="Q236" i="5"/>
  <c r="O236" i="5"/>
  <c r="N236" i="5"/>
  <c r="H236" i="5"/>
  <c r="G236" i="5"/>
  <c r="D236" i="5"/>
  <c r="X236" i="5" s="1"/>
  <c r="C236" i="5"/>
  <c r="B236" i="5"/>
  <c r="X235" i="5"/>
  <c r="Q235" i="5"/>
  <c r="P235" i="5"/>
  <c r="R235" i="5" s="1"/>
  <c r="O235" i="5"/>
  <c r="N235" i="5"/>
  <c r="I235" i="5"/>
  <c r="H235" i="5"/>
  <c r="Y235" i="5" s="1"/>
  <c r="G235" i="5"/>
  <c r="D235" i="5"/>
  <c r="C235" i="5"/>
  <c r="B235" i="5"/>
  <c r="Y234" i="5"/>
  <c r="P234" i="5"/>
  <c r="R234" i="5" s="1"/>
  <c r="O234" i="5"/>
  <c r="N234" i="5"/>
  <c r="H234" i="5"/>
  <c r="G234" i="5"/>
  <c r="D234" i="5"/>
  <c r="C234" i="5"/>
  <c r="B234" i="5"/>
  <c r="Y233" i="5"/>
  <c r="X233" i="5"/>
  <c r="O233" i="5"/>
  <c r="N233" i="5"/>
  <c r="H233" i="5"/>
  <c r="Q233" i="5" s="1"/>
  <c r="S233" i="5" s="1"/>
  <c r="G233" i="5"/>
  <c r="D233" i="5"/>
  <c r="C233" i="5"/>
  <c r="B233" i="5"/>
  <c r="X232" i="5"/>
  <c r="O232" i="5"/>
  <c r="N232" i="5"/>
  <c r="I232" i="5"/>
  <c r="L232" i="5" s="1"/>
  <c r="H232" i="5"/>
  <c r="Q232" i="5" s="1"/>
  <c r="G232" i="5"/>
  <c r="D232" i="5"/>
  <c r="C232" i="5"/>
  <c r="B232" i="5"/>
  <c r="Y231" i="5"/>
  <c r="P231" i="5"/>
  <c r="O231" i="5"/>
  <c r="N231" i="5"/>
  <c r="M231" i="5"/>
  <c r="I231" i="5"/>
  <c r="J231" i="5" s="1"/>
  <c r="K231" i="5" s="1"/>
  <c r="H231" i="5"/>
  <c r="Q231" i="5" s="1"/>
  <c r="S231" i="5" s="1"/>
  <c r="G231" i="5"/>
  <c r="D231" i="5"/>
  <c r="C231" i="5"/>
  <c r="B231" i="5"/>
  <c r="X230" i="5"/>
  <c r="O230" i="5"/>
  <c r="N230" i="5"/>
  <c r="H230" i="5"/>
  <c r="G230" i="5"/>
  <c r="D230" i="5"/>
  <c r="C230" i="5"/>
  <c r="B230" i="5"/>
  <c r="Y229" i="5"/>
  <c r="X229" i="5"/>
  <c r="Q229" i="5"/>
  <c r="P229" i="5"/>
  <c r="R229" i="5" s="1"/>
  <c r="O229" i="5"/>
  <c r="N229" i="5"/>
  <c r="M229" i="5"/>
  <c r="I229" i="5"/>
  <c r="L229" i="5" s="1"/>
  <c r="H229" i="5"/>
  <c r="G229" i="5"/>
  <c r="D229" i="5"/>
  <c r="C229" i="5"/>
  <c r="B229" i="5"/>
  <c r="Y228" i="5"/>
  <c r="S228" i="5"/>
  <c r="Q228" i="5"/>
  <c r="P228" i="5"/>
  <c r="R228" i="5" s="1"/>
  <c r="O228" i="5"/>
  <c r="N228" i="5"/>
  <c r="M228" i="5"/>
  <c r="I228" i="5"/>
  <c r="L228" i="5" s="1"/>
  <c r="H228" i="5"/>
  <c r="G228" i="5"/>
  <c r="D228" i="5"/>
  <c r="C228" i="5"/>
  <c r="B228" i="5"/>
  <c r="Y227" i="5"/>
  <c r="Q227" i="5"/>
  <c r="S227" i="5" s="1"/>
  <c r="O227" i="5"/>
  <c r="N227" i="5"/>
  <c r="M227" i="5"/>
  <c r="H227" i="5"/>
  <c r="G227" i="5"/>
  <c r="D227" i="5"/>
  <c r="X227" i="5" s="1"/>
  <c r="C227" i="5"/>
  <c r="B227" i="5"/>
  <c r="O226" i="5"/>
  <c r="N226" i="5"/>
  <c r="H226" i="5"/>
  <c r="G226" i="5"/>
  <c r="D226" i="5"/>
  <c r="C226" i="5"/>
  <c r="B226" i="5"/>
  <c r="Y225" i="5"/>
  <c r="Q225" i="5"/>
  <c r="P225" i="5"/>
  <c r="O225" i="5"/>
  <c r="N225" i="5"/>
  <c r="M225" i="5"/>
  <c r="J225" i="5"/>
  <c r="K225" i="5" s="1"/>
  <c r="I225" i="5"/>
  <c r="H225" i="5"/>
  <c r="L225" i="5" s="1"/>
  <c r="G225" i="5"/>
  <c r="D225" i="5"/>
  <c r="C225" i="5"/>
  <c r="B225" i="5"/>
  <c r="O224" i="5"/>
  <c r="N224" i="5"/>
  <c r="H224" i="5"/>
  <c r="G224" i="5"/>
  <c r="D224" i="5"/>
  <c r="X224" i="5" s="1"/>
  <c r="C224" i="5"/>
  <c r="B224" i="5"/>
  <c r="X223" i="5"/>
  <c r="Q223" i="5"/>
  <c r="S223" i="5" s="1"/>
  <c r="O223" i="5"/>
  <c r="N223" i="5"/>
  <c r="I223" i="5"/>
  <c r="H223" i="5"/>
  <c r="P223" i="5" s="1"/>
  <c r="R223" i="5" s="1"/>
  <c r="G223" i="5"/>
  <c r="D223" i="5"/>
  <c r="C223" i="5"/>
  <c r="B223" i="5"/>
  <c r="O222" i="5"/>
  <c r="N222" i="5"/>
  <c r="M222" i="5"/>
  <c r="H222" i="5"/>
  <c r="G222" i="5"/>
  <c r="D222" i="5"/>
  <c r="C222" i="5"/>
  <c r="B222" i="5"/>
  <c r="Y221" i="5"/>
  <c r="X221" i="5"/>
  <c r="O221" i="5"/>
  <c r="N221" i="5"/>
  <c r="I221" i="5"/>
  <c r="H221" i="5"/>
  <c r="Q221" i="5" s="1"/>
  <c r="S221" i="5" s="1"/>
  <c r="G221" i="5"/>
  <c r="D221" i="5"/>
  <c r="C221" i="5"/>
  <c r="B221" i="5"/>
  <c r="O220" i="5"/>
  <c r="N220" i="5"/>
  <c r="H220" i="5"/>
  <c r="M220" i="5" s="1"/>
  <c r="G220" i="5"/>
  <c r="D220" i="5"/>
  <c r="C220" i="5"/>
  <c r="B220" i="5"/>
  <c r="Y219" i="5"/>
  <c r="X219" i="5"/>
  <c r="Q219" i="5"/>
  <c r="S219" i="5" s="1"/>
  <c r="P219" i="5"/>
  <c r="R219" i="5" s="1"/>
  <c r="O219" i="5"/>
  <c r="N219" i="5"/>
  <c r="M219" i="5"/>
  <c r="I219" i="5"/>
  <c r="J219" i="5" s="1"/>
  <c r="K219" i="5" s="1"/>
  <c r="H219" i="5"/>
  <c r="G219" i="5"/>
  <c r="D219" i="5"/>
  <c r="C219" i="5"/>
  <c r="B219" i="5"/>
  <c r="Y218" i="5"/>
  <c r="X218" i="5"/>
  <c r="O218" i="5"/>
  <c r="N218" i="5"/>
  <c r="M218" i="5"/>
  <c r="H218" i="5"/>
  <c r="G218" i="5"/>
  <c r="D218" i="5"/>
  <c r="C218" i="5"/>
  <c r="B218" i="5"/>
  <c r="X217" i="5"/>
  <c r="O217" i="5"/>
  <c r="N217" i="5"/>
  <c r="H217" i="5"/>
  <c r="G217" i="5"/>
  <c r="D217" i="5"/>
  <c r="C217" i="5"/>
  <c r="B217" i="5"/>
  <c r="O216" i="5"/>
  <c r="N216" i="5"/>
  <c r="I216" i="5"/>
  <c r="H216" i="5"/>
  <c r="G216" i="5"/>
  <c r="D216" i="5"/>
  <c r="X216" i="5" s="1"/>
  <c r="C216" i="5"/>
  <c r="B216" i="5"/>
  <c r="Y215" i="5"/>
  <c r="Q215" i="5"/>
  <c r="P215" i="5"/>
  <c r="O215" i="5"/>
  <c r="S215" i="5" s="1"/>
  <c r="N215" i="5"/>
  <c r="M215" i="5"/>
  <c r="I215" i="5"/>
  <c r="J215" i="5" s="1"/>
  <c r="K215" i="5" s="1"/>
  <c r="H215" i="5"/>
  <c r="G215" i="5"/>
  <c r="D215" i="5"/>
  <c r="X215" i="5" s="1"/>
  <c r="C215" i="5"/>
  <c r="B215" i="5"/>
  <c r="Q214" i="5"/>
  <c r="P214" i="5"/>
  <c r="R214" i="5" s="1"/>
  <c r="O214" i="5"/>
  <c r="S214" i="5" s="1"/>
  <c r="N214" i="5"/>
  <c r="I214" i="5"/>
  <c r="L214" i="5" s="1"/>
  <c r="H214" i="5"/>
  <c r="Y214" i="5" s="1"/>
  <c r="G214" i="5"/>
  <c r="D214" i="5"/>
  <c r="C214" i="5"/>
  <c r="B214" i="5"/>
  <c r="Y213" i="5"/>
  <c r="X213" i="5"/>
  <c r="Q213" i="5"/>
  <c r="S213" i="5" s="1"/>
  <c r="P213" i="5"/>
  <c r="R213" i="5" s="1"/>
  <c r="O213" i="5"/>
  <c r="N213" i="5"/>
  <c r="M213" i="5"/>
  <c r="J213" i="5"/>
  <c r="K213" i="5" s="1"/>
  <c r="I213" i="5"/>
  <c r="L213" i="5" s="1"/>
  <c r="H213" i="5"/>
  <c r="G213" i="5"/>
  <c r="D213" i="5"/>
  <c r="C213" i="5"/>
  <c r="B213" i="5"/>
  <c r="Y212" i="5"/>
  <c r="X212" i="5"/>
  <c r="O212" i="5"/>
  <c r="N212" i="5"/>
  <c r="M212" i="5"/>
  <c r="H212" i="5"/>
  <c r="P212" i="5" s="1"/>
  <c r="R212" i="5" s="1"/>
  <c r="G212" i="5"/>
  <c r="D212" i="5"/>
  <c r="C212" i="5"/>
  <c r="B212" i="5"/>
  <c r="Y211" i="5"/>
  <c r="X211" i="5"/>
  <c r="O211" i="5"/>
  <c r="N211" i="5"/>
  <c r="M211" i="5"/>
  <c r="H211" i="5"/>
  <c r="Q211" i="5" s="1"/>
  <c r="S211" i="5" s="1"/>
  <c r="G211" i="5"/>
  <c r="D211" i="5"/>
  <c r="C211" i="5"/>
  <c r="B211" i="5"/>
  <c r="O210" i="5"/>
  <c r="N210" i="5"/>
  <c r="H210" i="5"/>
  <c r="G210" i="5"/>
  <c r="D210" i="5"/>
  <c r="X210" i="5" s="1"/>
  <c r="C210" i="5"/>
  <c r="B210" i="5"/>
  <c r="Y209" i="5"/>
  <c r="Q209" i="5"/>
  <c r="P209" i="5"/>
  <c r="O209" i="5"/>
  <c r="N209" i="5"/>
  <c r="M209" i="5"/>
  <c r="I209" i="5"/>
  <c r="J209" i="5" s="1"/>
  <c r="K209" i="5" s="1"/>
  <c r="H209" i="5"/>
  <c r="G209" i="5"/>
  <c r="D209" i="5"/>
  <c r="C209" i="5"/>
  <c r="B209" i="5"/>
  <c r="Q208" i="5"/>
  <c r="P208" i="5"/>
  <c r="R208" i="5" s="1"/>
  <c r="O208" i="5"/>
  <c r="N208" i="5"/>
  <c r="H208" i="5"/>
  <c r="Y208" i="5" s="1"/>
  <c r="G208" i="5"/>
  <c r="D208" i="5"/>
  <c r="X208" i="5" s="1"/>
  <c r="C208" i="5"/>
  <c r="B208" i="5"/>
  <c r="Y207" i="5"/>
  <c r="X207" i="5"/>
  <c r="Q207" i="5"/>
  <c r="S207" i="5" s="1"/>
  <c r="P207" i="5"/>
  <c r="R207" i="5" s="1"/>
  <c r="O207" i="5"/>
  <c r="N207" i="5"/>
  <c r="M207" i="5"/>
  <c r="I207" i="5"/>
  <c r="J207" i="5" s="1"/>
  <c r="K207" i="5" s="1"/>
  <c r="H207" i="5"/>
  <c r="G207" i="5"/>
  <c r="D207" i="5"/>
  <c r="C207" i="5"/>
  <c r="B207" i="5"/>
  <c r="Y206" i="5"/>
  <c r="X206" i="5"/>
  <c r="O206" i="5"/>
  <c r="N206" i="5"/>
  <c r="M206" i="5"/>
  <c r="H206" i="5"/>
  <c r="G206" i="5"/>
  <c r="D206" i="5"/>
  <c r="C206" i="5"/>
  <c r="B206" i="5"/>
  <c r="Y205" i="5"/>
  <c r="X205" i="5"/>
  <c r="O205" i="5"/>
  <c r="N205" i="5"/>
  <c r="H205" i="5"/>
  <c r="G205" i="5"/>
  <c r="D205" i="5"/>
  <c r="C205" i="5"/>
  <c r="B205" i="5"/>
  <c r="O204" i="5"/>
  <c r="N204" i="5"/>
  <c r="I204" i="5"/>
  <c r="H204" i="5"/>
  <c r="G204" i="5"/>
  <c r="D204" i="5"/>
  <c r="X204" i="5" s="1"/>
  <c r="C204" i="5"/>
  <c r="B204" i="5"/>
  <c r="Y203" i="5"/>
  <c r="Q203" i="5"/>
  <c r="P203" i="5"/>
  <c r="O203" i="5"/>
  <c r="N203" i="5"/>
  <c r="R203" i="5" s="1"/>
  <c r="M203" i="5"/>
  <c r="I203" i="5"/>
  <c r="J203" i="5" s="1"/>
  <c r="K203" i="5" s="1"/>
  <c r="H203" i="5"/>
  <c r="G203" i="5"/>
  <c r="D203" i="5"/>
  <c r="X203" i="5" s="1"/>
  <c r="C203" i="5"/>
  <c r="B203" i="5"/>
  <c r="Q202" i="5"/>
  <c r="P202" i="5"/>
  <c r="O202" i="5"/>
  <c r="N202" i="5"/>
  <c r="L202" i="5"/>
  <c r="I202" i="5"/>
  <c r="J202" i="5" s="1"/>
  <c r="K202" i="5" s="1"/>
  <c r="H202" i="5"/>
  <c r="Y202" i="5" s="1"/>
  <c r="G202" i="5"/>
  <c r="D202" i="5"/>
  <c r="C202" i="5"/>
  <c r="B202" i="5"/>
  <c r="Y201" i="5"/>
  <c r="X201" i="5"/>
  <c r="Q201" i="5"/>
  <c r="P201" i="5"/>
  <c r="R201" i="5" s="1"/>
  <c r="O201" i="5"/>
  <c r="N201" i="5"/>
  <c r="M201" i="5"/>
  <c r="I201" i="5"/>
  <c r="L201" i="5" s="1"/>
  <c r="H201" i="5"/>
  <c r="G201" i="5"/>
  <c r="D201" i="5"/>
  <c r="C201" i="5"/>
  <c r="B201" i="5"/>
  <c r="Y200" i="5"/>
  <c r="X200" i="5"/>
  <c r="O200" i="5"/>
  <c r="N200" i="5"/>
  <c r="M200" i="5"/>
  <c r="H200" i="5"/>
  <c r="P200" i="5" s="1"/>
  <c r="R200" i="5" s="1"/>
  <c r="G200" i="5"/>
  <c r="D200" i="5"/>
  <c r="C200" i="5"/>
  <c r="B200" i="5"/>
  <c r="Y199" i="5"/>
  <c r="X199" i="5"/>
  <c r="O199" i="5"/>
  <c r="N199" i="5"/>
  <c r="M199" i="5"/>
  <c r="H199" i="5"/>
  <c r="Q199" i="5" s="1"/>
  <c r="S199" i="5" s="1"/>
  <c r="G199" i="5"/>
  <c r="D199" i="5"/>
  <c r="C199" i="5"/>
  <c r="B199" i="5"/>
  <c r="O198" i="5"/>
  <c r="N198" i="5"/>
  <c r="H198" i="5"/>
  <c r="G198" i="5"/>
  <c r="D198" i="5"/>
  <c r="X198" i="5" s="1"/>
  <c r="C198" i="5"/>
  <c r="B198" i="5"/>
  <c r="Y197" i="5"/>
  <c r="Q197" i="5"/>
  <c r="P197" i="5"/>
  <c r="O197" i="5"/>
  <c r="N197" i="5"/>
  <c r="R197" i="5" s="1"/>
  <c r="M197" i="5"/>
  <c r="I197" i="5"/>
  <c r="J197" i="5" s="1"/>
  <c r="K197" i="5" s="1"/>
  <c r="H197" i="5"/>
  <c r="G197" i="5"/>
  <c r="D197" i="5"/>
  <c r="C197" i="5"/>
  <c r="B197" i="5"/>
  <c r="T196" i="5"/>
  <c r="Q196" i="5"/>
  <c r="P196" i="5"/>
  <c r="R196" i="5" s="1"/>
  <c r="O196" i="5"/>
  <c r="N196" i="5"/>
  <c r="H196" i="5"/>
  <c r="Y196" i="5" s="1"/>
  <c r="G196" i="5"/>
  <c r="D196" i="5"/>
  <c r="X196" i="5" s="1"/>
  <c r="C196" i="5"/>
  <c r="B196" i="5"/>
  <c r="Y195" i="5"/>
  <c r="X195" i="5"/>
  <c r="Q195" i="5"/>
  <c r="S195" i="5" s="1"/>
  <c r="P195" i="5"/>
  <c r="R195" i="5" s="1"/>
  <c r="O195" i="5"/>
  <c r="N195" i="5"/>
  <c r="M195" i="5"/>
  <c r="L195" i="5"/>
  <c r="I195" i="5"/>
  <c r="J195" i="5" s="1"/>
  <c r="K195" i="5" s="1"/>
  <c r="H195" i="5"/>
  <c r="G195" i="5"/>
  <c r="D195" i="5"/>
  <c r="C195" i="5"/>
  <c r="B195" i="5"/>
  <c r="Y194" i="5"/>
  <c r="X194" i="5"/>
  <c r="O194" i="5"/>
  <c r="N194" i="5"/>
  <c r="M194" i="5"/>
  <c r="H194" i="5"/>
  <c r="G194" i="5"/>
  <c r="D194" i="5"/>
  <c r="C194" i="5"/>
  <c r="B194" i="5"/>
  <c r="Y193" i="5"/>
  <c r="X193" i="5"/>
  <c r="O193" i="5"/>
  <c r="N193" i="5"/>
  <c r="M193" i="5"/>
  <c r="H193" i="5"/>
  <c r="G193" i="5"/>
  <c r="D193" i="5"/>
  <c r="C193" i="5"/>
  <c r="B193" i="5"/>
  <c r="A193" i="5"/>
  <c r="X192" i="5"/>
  <c r="O192" i="5"/>
  <c r="N192" i="5"/>
  <c r="I192" i="5"/>
  <c r="H192" i="5"/>
  <c r="G192" i="5"/>
  <c r="D192" i="5"/>
  <c r="C192" i="5"/>
  <c r="B192" i="5"/>
  <c r="Y191" i="5"/>
  <c r="P191" i="5"/>
  <c r="O191" i="5"/>
  <c r="N191" i="5"/>
  <c r="R191" i="5" s="1"/>
  <c r="M191" i="5"/>
  <c r="I191" i="5"/>
  <c r="J191" i="5" s="1"/>
  <c r="K191" i="5" s="1"/>
  <c r="H191" i="5"/>
  <c r="G191" i="5"/>
  <c r="D191" i="5"/>
  <c r="X191" i="5" s="1"/>
  <c r="C191" i="5"/>
  <c r="B191" i="5"/>
  <c r="Q190" i="5"/>
  <c r="P190" i="5"/>
  <c r="O190" i="5"/>
  <c r="N190" i="5"/>
  <c r="J190" i="5"/>
  <c r="K190" i="5" s="1"/>
  <c r="I190" i="5"/>
  <c r="L190" i="5" s="1"/>
  <c r="H190" i="5"/>
  <c r="Y190" i="5" s="1"/>
  <c r="G190" i="5"/>
  <c r="D190" i="5"/>
  <c r="C190" i="5"/>
  <c r="B190" i="5"/>
  <c r="Y189" i="5"/>
  <c r="X189" i="5"/>
  <c r="Q189" i="5"/>
  <c r="P189" i="5"/>
  <c r="R189" i="5" s="1"/>
  <c r="O189" i="5"/>
  <c r="N189" i="5"/>
  <c r="M189" i="5"/>
  <c r="L189" i="5"/>
  <c r="J189" i="5"/>
  <c r="K189" i="5" s="1"/>
  <c r="I189" i="5"/>
  <c r="H189" i="5"/>
  <c r="G189" i="5"/>
  <c r="D189" i="5"/>
  <c r="C189" i="5"/>
  <c r="B189" i="5"/>
  <c r="Y188" i="5"/>
  <c r="X188" i="5"/>
  <c r="P188" i="5"/>
  <c r="R188" i="5" s="1"/>
  <c r="O188" i="5"/>
  <c r="N188" i="5"/>
  <c r="M188" i="5"/>
  <c r="H188" i="5"/>
  <c r="G188" i="5"/>
  <c r="D188" i="5"/>
  <c r="C188" i="5"/>
  <c r="B188" i="5"/>
  <c r="Y187" i="5"/>
  <c r="X187" i="5"/>
  <c r="O187" i="5"/>
  <c r="N187" i="5"/>
  <c r="M187" i="5"/>
  <c r="H187" i="5"/>
  <c r="Q187" i="5" s="1"/>
  <c r="S187" i="5" s="1"/>
  <c r="G187" i="5"/>
  <c r="D187" i="5"/>
  <c r="C187" i="5"/>
  <c r="B187" i="5"/>
  <c r="O186" i="5"/>
  <c r="N186" i="5"/>
  <c r="H186" i="5"/>
  <c r="G186" i="5"/>
  <c r="D186" i="5"/>
  <c r="X186" i="5" s="1"/>
  <c r="C186" i="5"/>
  <c r="B186" i="5"/>
  <c r="Y185" i="5"/>
  <c r="Q185" i="5"/>
  <c r="P185" i="5"/>
  <c r="O185" i="5"/>
  <c r="N185" i="5"/>
  <c r="M185" i="5"/>
  <c r="I185" i="5"/>
  <c r="J185" i="5" s="1"/>
  <c r="K185" i="5" s="1"/>
  <c r="H185" i="5"/>
  <c r="G185" i="5"/>
  <c r="D185" i="5"/>
  <c r="C185" i="5"/>
  <c r="B185" i="5"/>
  <c r="Q184" i="5"/>
  <c r="P184" i="5"/>
  <c r="R184" i="5" s="1"/>
  <c r="O184" i="5"/>
  <c r="N184" i="5"/>
  <c r="H184" i="5"/>
  <c r="Y184" i="5" s="1"/>
  <c r="G184" i="5"/>
  <c r="D184" i="5"/>
  <c r="X184" i="5" s="1"/>
  <c r="C184" i="5"/>
  <c r="B184" i="5"/>
  <c r="Y183" i="5"/>
  <c r="X183" i="5"/>
  <c r="Q183" i="5"/>
  <c r="S183" i="5" s="1"/>
  <c r="P183" i="5"/>
  <c r="R183" i="5" s="1"/>
  <c r="O183" i="5"/>
  <c r="N183" i="5"/>
  <c r="M183" i="5"/>
  <c r="I183" i="5"/>
  <c r="J183" i="5" s="1"/>
  <c r="K183" i="5" s="1"/>
  <c r="H183" i="5"/>
  <c r="G183" i="5"/>
  <c r="D183" i="5"/>
  <c r="C183" i="5"/>
  <c r="B183" i="5"/>
  <c r="Y182" i="5"/>
  <c r="X182" i="5"/>
  <c r="O182" i="5"/>
  <c r="N182" i="5"/>
  <c r="M182" i="5"/>
  <c r="H182" i="5"/>
  <c r="G182" i="5"/>
  <c r="D182" i="5"/>
  <c r="C182" i="5"/>
  <c r="B182" i="5"/>
  <c r="Y181" i="5"/>
  <c r="X181" i="5"/>
  <c r="T181" i="5"/>
  <c r="O181" i="5"/>
  <c r="N181" i="5"/>
  <c r="H181" i="5"/>
  <c r="G181" i="5"/>
  <c r="D181" i="5"/>
  <c r="C181" i="5"/>
  <c r="B181" i="5"/>
  <c r="X180" i="5"/>
  <c r="O180" i="5"/>
  <c r="N180" i="5"/>
  <c r="I180" i="5"/>
  <c r="H180" i="5"/>
  <c r="G180" i="5"/>
  <c r="D180" i="5"/>
  <c r="C180" i="5"/>
  <c r="B180" i="5"/>
  <c r="Y179" i="5"/>
  <c r="P179" i="5"/>
  <c r="O179" i="5"/>
  <c r="N179" i="5"/>
  <c r="R179" i="5" s="1"/>
  <c r="M179" i="5"/>
  <c r="I179" i="5"/>
  <c r="J179" i="5" s="1"/>
  <c r="K179" i="5" s="1"/>
  <c r="H179" i="5"/>
  <c r="G179" i="5"/>
  <c r="D179" i="5"/>
  <c r="X179" i="5" s="1"/>
  <c r="C179" i="5"/>
  <c r="B179" i="5"/>
  <c r="Q178" i="5"/>
  <c r="P178" i="5"/>
  <c r="O178" i="5"/>
  <c r="N178" i="5"/>
  <c r="R178" i="5" s="1"/>
  <c r="I178" i="5"/>
  <c r="J178" i="5" s="1"/>
  <c r="K178" i="5" s="1"/>
  <c r="H178" i="5"/>
  <c r="Y178" i="5" s="1"/>
  <c r="G178" i="5"/>
  <c r="D178" i="5"/>
  <c r="C178" i="5"/>
  <c r="B178" i="5"/>
  <c r="Y177" i="5"/>
  <c r="X177" i="5"/>
  <c r="Q177" i="5"/>
  <c r="P177" i="5"/>
  <c r="R177" i="5" s="1"/>
  <c r="O177" i="5"/>
  <c r="N177" i="5"/>
  <c r="M177" i="5"/>
  <c r="I177" i="5"/>
  <c r="L177" i="5" s="1"/>
  <c r="H177" i="5"/>
  <c r="G177" i="5"/>
  <c r="D177" i="5"/>
  <c r="C177" i="5"/>
  <c r="B177" i="5"/>
  <c r="Y176" i="5"/>
  <c r="X176" i="5"/>
  <c r="P176" i="5"/>
  <c r="R176" i="5" s="1"/>
  <c r="O176" i="5"/>
  <c r="N176" i="5"/>
  <c r="M176" i="5"/>
  <c r="H176" i="5"/>
  <c r="G176" i="5"/>
  <c r="D176" i="5"/>
  <c r="C176" i="5"/>
  <c r="B176" i="5"/>
  <c r="Y175" i="5"/>
  <c r="X175" i="5"/>
  <c r="O175" i="5"/>
  <c r="N175" i="5"/>
  <c r="M175" i="5"/>
  <c r="H175" i="5"/>
  <c r="Q175" i="5" s="1"/>
  <c r="S175" i="5" s="1"/>
  <c r="G175" i="5"/>
  <c r="D175" i="5"/>
  <c r="C175" i="5"/>
  <c r="B175" i="5"/>
  <c r="O174" i="5"/>
  <c r="N174" i="5"/>
  <c r="H174" i="5"/>
  <c r="G174" i="5"/>
  <c r="D174" i="5"/>
  <c r="X174" i="5" s="1"/>
  <c r="C174" i="5"/>
  <c r="B174" i="5"/>
  <c r="Y173" i="5"/>
  <c r="Q173" i="5"/>
  <c r="P173" i="5"/>
  <c r="O173" i="5"/>
  <c r="S173" i="5" s="1"/>
  <c r="N173" i="5"/>
  <c r="M173" i="5"/>
  <c r="I173" i="5"/>
  <c r="J173" i="5" s="1"/>
  <c r="K173" i="5" s="1"/>
  <c r="H173" i="5"/>
  <c r="G173" i="5"/>
  <c r="D173" i="5"/>
  <c r="C173" i="5"/>
  <c r="B173" i="5"/>
  <c r="Q172" i="5"/>
  <c r="P172" i="5"/>
  <c r="R172" i="5" s="1"/>
  <c r="O172" i="5"/>
  <c r="N172" i="5"/>
  <c r="H172" i="5"/>
  <c r="Y172" i="5" s="1"/>
  <c r="G172" i="5"/>
  <c r="D172" i="5"/>
  <c r="X172" i="5" s="1"/>
  <c r="C172" i="5"/>
  <c r="B172" i="5"/>
  <c r="Y171" i="5"/>
  <c r="X171" i="5"/>
  <c r="Q171" i="5"/>
  <c r="S171" i="5" s="1"/>
  <c r="P171" i="5"/>
  <c r="R171" i="5" s="1"/>
  <c r="O171" i="5"/>
  <c r="N171" i="5"/>
  <c r="M171" i="5"/>
  <c r="I171" i="5"/>
  <c r="J171" i="5" s="1"/>
  <c r="K171" i="5" s="1"/>
  <c r="H171" i="5"/>
  <c r="G171" i="5"/>
  <c r="D171" i="5"/>
  <c r="C171" i="5"/>
  <c r="B171" i="5"/>
  <c r="Y170" i="5"/>
  <c r="X170" i="5"/>
  <c r="O170" i="5"/>
  <c r="N170" i="5"/>
  <c r="M170" i="5"/>
  <c r="H170" i="5"/>
  <c r="G170" i="5"/>
  <c r="D170" i="5"/>
  <c r="C170" i="5"/>
  <c r="B170" i="5"/>
  <c r="Y169" i="5"/>
  <c r="X169" i="5"/>
  <c r="O169" i="5"/>
  <c r="N169" i="5"/>
  <c r="H169" i="5"/>
  <c r="G169" i="5"/>
  <c r="D169" i="5"/>
  <c r="C169" i="5"/>
  <c r="B169" i="5"/>
  <c r="X168" i="5"/>
  <c r="O168" i="5"/>
  <c r="N168" i="5"/>
  <c r="I168" i="5"/>
  <c r="H168" i="5"/>
  <c r="G168" i="5"/>
  <c r="D168" i="5"/>
  <c r="C168" i="5"/>
  <c r="B168" i="5"/>
  <c r="Y167" i="5"/>
  <c r="P167" i="5"/>
  <c r="O167" i="5"/>
  <c r="N167" i="5"/>
  <c r="M167" i="5"/>
  <c r="I167" i="5"/>
  <c r="J167" i="5" s="1"/>
  <c r="K167" i="5" s="1"/>
  <c r="H167" i="5"/>
  <c r="L167" i="5" s="1"/>
  <c r="G167" i="5"/>
  <c r="D167" i="5"/>
  <c r="X167" i="5" s="1"/>
  <c r="C167" i="5"/>
  <c r="B167" i="5"/>
  <c r="Q166" i="5"/>
  <c r="P166" i="5"/>
  <c r="O166" i="5"/>
  <c r="N166" i="5"/>
  <c r="I166" i="5"/>
  <c r="L166" i="5" s="1"/>
  <c r="H166" i="5"/>
  <c r="Y166" i="5" s="1"/>
  <c r="G166" i="5"/>
  <c r="D166" i="5"/>
  <c r="C166" i="5"/>
  <c r="B166" i="5"/>
  <c r="Y165" i="5"/>
  <c r="X165" i="5"/>
  <c r="Q165" i="5"/>
  <c r="P165" i="5"/>
  <c r="R165" i="5" s="1"/>
  <c r="O165" i="5"/>
  <c r="N165" i="5"/>
  <c r="M165" i="5"/>
  <c r="I165" i="5"/>
  <c r="L165" i="5" s="1"/>
  <c r="H165" i="5"/>
  <c r="G165" i="5"/>
  <c r="D165" i="5"/>
  <c r="C165" i="5"/>
  <c r="B165" i="5"/>
  <c r="Y164" i="5"/>
  <c r="X164" i="5"/>
  <c r="T164" i="5"/>
  <c r="P164" i="5"/>
  <c r="R164" i="5" s="1"/>
  <c r="O164" i="5"/>
  <c r="N164" i="5"/>
  <c r="M164" i="5"/>
  <c r="H164" i="5"/>
  <c r="G164" i="5"/>
  <c r="D164" i="5"/>
  <c r="C164" i="5"/>
  <c r="B164" i="5"/>
  <c r="Y163" i="5"/>
  <c r="X163" i="5"/>
  <c r="O163" i="5"/>
  <c r="N163" i="5"/>
  <c r="M163" i="5"/>
  <c r="H163" i="5"/>
  <c r="Q163" i="5" s="1"/>
  <c r="S163" i="5" s="1"/>
  <c r="G163" i="5"/>
  <c r="D163" i="5"/>
  <c r="C163" i="5"/>
  <c r="B163" i="5"/>
  <c r="O162" i="5"/>
  <c r="N162" i="5"/>
  <c r="H162" i="5"/>
  <c r="G162" i="5"/>
  <c r="D162" i="5"/>
  <c r="X162" i="5" s="1"/>
  <c r="C162" i="5"/>
  <c r="B162" i="5"/>
  <c r="Y161" i="5"/>
  <c r="Q161" i="5"/>
  <c r="P161" i="5"/>
  <c r="O161" i="5"/>
  <c r="N161" i="5"/>
  <c r="R161" i="5" s="1"/>
  <c r="M161" i="5"/>
  <c r="I161" i="5"/>
  <c r="J161" i="5" s="1"/>
  <c r="K161" i="5" s="1"/>
  <c r="H161" i="5"/>
  <c r="G161" i="5"/>
  <c r="D161" i="5"/>
  <c r="C161" i="5"/>
  <c r="B161" i="5"/>
  <c r="Q160" i="5"/>
  <c r="P160" i="5"/>
  <c r="R160" i="5" s="1"/>
  <c r="O160" i="5"/>
  <c r="N160" i="5"/>
  <c r="H160" i="5"/>
  <c r="Y160" i="5" s="1"/>
  <c r="G160" i="5"/>
  <c r="D160" i="5"/>
  <c r="X160" i="5" s="1"/>
  <c r="C160" i="5"/>
  <c r="B160" i="5"/>
  <c r="Y159" i="5"/>
  <c r="X159" i="5"/>
  <c r="Q159" i="5"/>
  <c r="S159" i="5" s="1"/>
  <c r="P159" i="5"/>
  <c r="R159" i="5" s="1"/>
  <c r="O159" i="5"/>
  <c r="N159" i="5"/>
  <c r="M159" i="5"/>
  <c r="K159" i="5"/>
  <c r="I159" i="5"/>
  <c r="J159" i="5" s="1"/>
  <c r="H159" i="5"/>
  <c r="G159" i="5"/>
  <c r="D159" i="5"/>
  <c r="C159" i="5"/>
  <c r="B159" i="5"/>
  <c r="Y158" i="5"/>
  <c r="X158" i="5"/>
  <c r="O158" i="5"/>
  <c r="N158" i="5"/>
  <c r="M158" i="5"/>
  <c r="H158" i="5"/>
  <c r="G158" i="5"/>
  <c r="D158" i="5"/>
  <c r="C158" i="5"/>
  <c r="B158" i="5"/>
  <c r="Y157" i="5"/>
  <c r="X157" i="5"/>
  <c r="O157" i="5"/>
  <c r="N157" i="5"/>
  <c r="H157" i="5"/>
  <c r="G157" i="5"/>
  <c r="D157" i="5"/>
  <c r="C157" i="5"/>
  <c r="B157" i="5"/>
  <c r="X156" i="5"/>
  <c r="O156" i="5"/>
  <c r="N156" i="5"/>
  <c r="I156" i="5"/>
  <c r="H156" i="5"/>
  <c r="G156" i="5"/>
  <c r="D156" i="5"/>
  <c r="C156" i="5"/>
  <c r="B156" i="5"/>
  <c r="Y155" i="5"/>
  <c r="P155" i="5"/>
  <c r="O155" i="5"/>
  <c r="N155" i="5"/>
  <c r="M155" i="5"/>
  <c r="I155" i="5"/>
  <c r="J155" i="5" s="1"/>
  <c r="K155" i="5" s="1"/>
  <c r="H155" i="5"/>
  <c r="G155" i="5"/>
  <c r="D155" i="5"/>
  <c r="X155" i="5" s="1"/>
  <c r="C155" i="5"/>
  <c r="B155" i="5"/>
  <c r="Q154" i="5"/>
  <c r="P154" i="5"/>
  <c r="O154" i="5"/>
  <c r="N154" i="5"/>
  <c r="I154" i="5"/>
  <c r="J154" i="5" s="1"/>
  <c r="K154" i="5" s="1"/>
  <c r="H154" i="5"/>
  <c r="Y154" i="5" s="1"/>
  <c r="G154" i="5"/>
  <c r="D154" i="5"/>
  <c r="C154" i="5"/>
  <c r="B154" i="5"/>
  <c r="Y153" i="5"/>
  <c r="X153" i="5"/>
  <c r="Q153" i="5"/>
  <c r="P153" i="5"/>
  <c r="R153" i="5" s="1"/>
  <c r="O153" i="5"/>
  <c r="N153" i="5"/>
  <c r="M153" i="5"/>
  <c r="I153" i="5"/>
  <c r="L153" i="5" s="1"/>
  <c r="H153" i="5"/>
  <c r="G153" i="5"/>
  <c r="D153" i="5"/>
  <c r="C153" i="5"/>
  <c r="B153" i="5"/>
  <c r="Y152" i="5"/>
  <c r="X152" i="5"/>
  <c r="P152" i="5"/>
  <c r="R152" i="5" s="1"/>
  <c r="O152" i="5"/>
  <c r="N152" i="5"/>
  <c r="M152" i="5"/>
  <c r="H152" i="5"/>
  <c r="I152" i="5" s="1"/>
  <c r="G152" i="5"/>
  <c r="D152" i="5"/>
  <c r="C152" i="5"/>
  <c r="B152" i="5"/>
  <c r="Y151" i="5"/>
  <c r="X151" i="5"/>
  <c r="O151" i="5"/>
  <c r="N151" i="5"/>
  <c r="M151" i="5"/>
  <c r="H151" i="5"/>
  <c r="Q151" i="5" s="1"/>
  <c r="S151" i="5" s="1"/>
  <c r="G151" i="5"/>
  <c r="D151" i="5"/>
  <c r="C151" i="5"/>
  <c r="B151" i="5"/>
  <c r="O150" i="5"/>
  <c r="N150" i="5"/>
  <c r="H150" i="5"/>
  <c r="G150" i="5"/>
  <c r="D150" i="5"/>
  <c r="X150" i="5" s="1"/>
  <c r="C150" i="5"/>
  <c r="B150" i="5"/>
  <c r="Y149" i="5"/>
  <c r="Q149" i="5"/>
  <c r="P149" i="5"/>
  <c r="O149" i="5"/>
  <c r="N149" i="5"/>
  <c r="M149" i="5"/>
  <c r="I149" i="5"/>
  <c r="J149" i="5" s="1"/>
  <c r="K149" i="5" s="1"/>
  <c r="H149" i="5"/>
  <c r="G149" i="5"/>
  <c r="D149" i="5"/>
  <c r="C149" i="5"/>
  <c r="B149" i="5"/>
  <c r="Q148" i="5"/>
  <c r="P148" i="5"/>
  <c r="R148" i="5" s="1"/>
  <c r="O148" i="5"/>
  <c r="N148" i="5"/>
  <c r="H148" i="5"/>
  <c r="Y148" i="5" s="1"/>
  <c r="G148" i="5"/>
  <c r="D148" i="5"/>
  <c r="C148" i="5"/>
  <c r="B148" i="5"/>
  <c r="Y147" i="5"/>
  <c r="X147" i="5"/>
  <c r="Q147" i="5"/>
  <c r="S147" i="5" s="1"/>
  <c r="P147" i="5"/>
  <c r="R147" i="5" s="1"/>
  <c r="O147" i="5"/>
  <c r="N147" i="5"/>
  <c r="M147" i="5"/>
  <c r="I147" i="5"/>
  <c r="J147" i="5" s="1"/>
  <c r="K147" i="5" s="1"/>
  <c r="H147" i="5"/>
  <c r="G147" i="5"/>
  <c r="D147" i="5"/>
  <c r="C147" i="5"/>
  <c r="B147" i="5"/>
  <c r="Y146" i="5"/>
  <c r="X146" i="5"/>
  <c r="O146" i="5"/>
  <c r="N146" i="5"/>
  <c r="M146" i="5"/>
  <c r="H146" i="5"/>
  <c r="G146" i="5"/>
  <c r="D146" i="5"/>
  <c r="C146" i="5"/>
  <c r="B146" i="5"/>
  <c r="A146" i="5"/>
  <c r="X145" i="5"/>
  <c r="O145" i="5"/>
  <c r="N145" i="5"/>
  <c r="H145" i="5"/>
  <c r="Y145" i="5" s="1"/>
  <c r="G145" i="5"/>
  <c r="D145" i="5"/>
  <c r="C145" i="5"/>
  <c r="B145" i="5"/>
  <c r="X144" i="5"/>
  <c r="T144" i="5"/>
  <c r="O144" i="5"/>
  <c r="N144" i="5"/>
  <c r="H144" i="5"/>
  <c r="G144" i="5"/>
  <c r="D144" i="5"/>
  <c r="C144" i="5"/>
  <c r="B144" i="5"/>
  <c r="Y143" i="5"/>
  <c r="P143" i="5"/>
  <c r="O143" i="5"/>
  <c r="N143" i="5"/>
  <c r="M143" i="5"/>
  <c r="I143" i="5"/>
  <c r="J143" i="5" s="1"/>
  <c r="K143" i="5" s="1"/>
  <c r="H143" i="5"/>
  <c r="L143" i="5" s="1"/>
  <c r="G143" i="5"/>
  <c r="D143" i="5"/>
  <c r="C143" i="5"/>
  <c r="B143" i="5"/>
  <c r="T142" i="5"/>
  <c r="Q142" i="5"/>
  <c r="P142" i="5"/>
  <c r="O142" i="5"/>
  <c r="N142" i="5"/>
  <c r="I142" i="5"/>
  <c r="L142" i="5" s="1"/>
  <c r="H142" i="5"/>
  <c r="Y142" i="5" s="1"/>
  <c r="G142" i="5"/>
  <c r="D142" i="5"/>
  <c r="C142" i="5"/>
  <c r="B142" i="5"/>
  <c r="Y141" i="5"/>
  <c r="X141" i="5"/>
  <c r="Q141" i="5"/>
  <c r="P141" i="5"/>
  <c r="R141" i="5" s="1"/>
  <c r="O141" i="5"/>
  <c r="N141" i="5"/>
  <c r="M141" i="5"/>
  <c r="I141" i="5"/>
  <c r="J141" i="5" s="1"/>
  <c r="K141" i="5" s="1"/>
  <c r="H141" i="5"/>
  <c r="G141" i="5"/>
  <c r="D141" i="5"/>
  <c r="C141" i="5"/>
  <c r="B141" i="5"/>
  <c r="Y140" i="5"/>
  <c r="X140" i="5"/>
  <c r="P140" i="5"/>
  <c r="R140" i="5" s="1"/>
  <c r="O140" i="5"/>
  <c r="N140" i="5"/>
  <c r="M140" i="5"/>
  <c r="H140" i="5"/>
  <c r="I140" i="5" s="1"/>
  <c r="J140" i="5" s="1"/>
  <c r="K140" i="5" s="1"/>
  <c r="G140" i="5"/>
  <c r="D140" i="5"/>
  <c r="C140" i="5"/>
  <c r="B140" i="5"/>
  <c r="Y139" i="5"/>
  <c r="X139" i="5"/>
  <c r="O139" i="5"/>
  <c r="N139" i="5"/>
  <c r="M139" i="5"/>
  <c r="H139" i="5"/>
  <c r="G139" i="5"/>
  <c r="D139" i="5"/>
  <c r="C139" i="5"/>
  <c r="B139" i="5"/>
  <c r="O138" i="5"/>
  <c r="N138" i="5"/>
  <c r="I138" i="5"/>
  <c r="H138" i="5"/>
  <c r="G138" i="5"/>
  <c r="D138" i="5"/>
  <c r="X138" i="5" s="1"/>
  <c r="C138" i="5"/>
  <c r="B138" i="5"/>
  <c r="Y137" i="5"/>
  <c r="Q137" i="5"/>
  <c r="P137" i="5"/>
  <c r="O137" i="5"/>
  <c r="N137" i="5"/>
  <c r="M137" i="5"/>
  <c r="I137" i="5"/>
  <c r="J137" i="5" s="1"/>
  <c r="K137" i="5" s="1"/>
  <c r="H137" i="5"/>
  <c r="G137" i="5"/>
  <c r="D137" i="5"/>
  <c r="C137" i="5"/>
  <c r="B137" i="5"/>
  <c r="T136" i="5"/>
  <c r="Q136" i="5"/>
  <c r="P136" i="5"/>
  <c r="R136" i="5" s="1"/>
  <c r="O136" i="5"/>
  <c r="N136" i="5"/>
  <c r="H136" i="5"/>
  <c r="Y136" i="5" s="1"/>
  <c r="G136" i="5"/>
  <c r="D136" i="5"/>
  <c r="C136" i="5"/>
  <c r="B136" i="5"/>
  <c r="Y135" i="5"/>
  <c r="X135" i="5"/>
  <c r="O135" i="5"/>
  <c r="N135" i="5"/>
  <c r="H135" i="5"/>
  <c r="G135" i="5"/>
  <c r="D135" i="5"/>
  <c r="C135" i="5"/>
  <c r="B135" i="5"/>
  <c r="Y134" i="5"/>
  <c r="X134" i="5"/>
  <c r="O134" i="5"/>
  <c r="N134" i="5"/>
  <c r="H134" i="5"/>
  <c r="G134" i="5"/>
  <c r="D134" i="5"/>
  <c r="C134" i="5"/>
  <c r="B134" i="5"/>
  <c r="Y133" i="5"/>
  <c r="X133" i="5"/>
  <c r="O133" i="5"/>
  <c r="N133" i="5"/>
  <c r="H133" i="5"/>
  <c r="G133" i="5"/>
  <c r="D133" i="5"/>
  <c r="C133" i="5"/>
  <c r="B133" i="5"/>
  <c r="A133" i="5"/>
  <c r="X132" i="5"/>
  <c r="O132" i="5"/>
  <c r="N132" i="5"/>
  <c r="H132" i="5"/>
  <c r="G132" i="5"/>
  <c r="D132" i="5"/>
  <c r="C132" i="5"/>
  <c r="B132" i="5"/>
  <c r="Y131" i="5"/>
  <c r="O131" i="5"/>
  <c r="N131" i="5"/>
  <c r="H131" i="5"/>
  <c r="G131" i="5"/>
  <c r="D131" i="5"/>
  <c r="C131" i="5"/>
  <c r="B131" i="5"/>
  <c r="O130" i="5"/>
  <c r="N130" i="5"/>
  <c r="H130" i="5"/>
  <c r="Y130" i="5" s="1"/>
  <c r="G130" i="5"/>
  <c r="D130" i="5"/>
  <c r="C130" i="5"/>
  <c r="B130" i="5"/>
  <c r="Y129" i="5"/>
  <c r="X129" i="5"/>
  <c r="O129" i="5"/>
  <c r="N129" i="5"/>
  <c r="H129" i="5"/>
  <c r="G129" i="5"/>
  <c r="D129" i="5"/>
  <c r="C129" i="5"/>
  <c r="B129" i="5"/>
  <c r="Y128" i="5"/>
  <c r="X128" i="5"/>
  <c r="T128" i="5"/>
  <c r="O128" i="5"/>
  <c r="N128" i="5"/>
  <c r="H128" i="5"/>
  <c r="G128" i="5"/>
  <c r="D128" i="5"/>
  <c r="C128" i="5"/>
  <c r="B128" i="5"/>
  <c r="Y127" i="5"/>
  <c r="X127" i="5"/>
  <c r="O127" i="5"/>
  <c r="N127" i="5"/>
  <c r="H127" i="5"/>
  <c r="G127" i="5"/>
  <c r="D127" i="5"/>
  <c r="C127" i="5"/>
  <c r="B127" i="5"/>
  <c r="O126" i="5"/>
  <c r="N126" i="5"/>
  <c r="H126" i="5"/>
  <c r="G126" i="5"/>
  <c r="D126" i="5"/>
  <c r="X126" i="5" s="1"/>
  <c r="C126" i="5"/>
  <c r="B126" i="5"/>
  <c r="Y125" i="5"/>
  <c r="O125" i="5"/>
  <c r="N125" i="5"/>
  <c r="H125" i="5"/>
  <c r="G125" i="5"/>
  <c r="D125" i="5"/>
  <c r="C125" i="5"/>
  <c r="B125" i="5"/>
  <c r="O124" i="5"/>
  <c r="N124" i="5"/>
  <c r="H124" i="5"/>
  <c r="Y124" i="5" s="1"/>
  <c r="G124" i="5"/>
  <c r="D124" i="5"/>
  <c r="C124" i="5"/>
  <c r="B124" i="5"/>
  <c r="Y123" i="5"/>
  <c r="X123" i="5"/>
  <c r="O123" i="5"/>
  <c r="N123" i="5"/>
  <c r="H123" i="5"/>
  <c r="G123" i="5"/>
  <c r="D123" i="5"/>
  <c r="C123" i="5"/>
  <c r="B123" i="5"/>
  <c r="Y122" i="5"/>
  <c r="X122" i="5"/>
  <c r="O122" i="5"/>
  <c r="N122" i="5"/>
  <c r="H122" i="5"/>
  <c r="G122" i="5"/>
  <c r="D122" i="5"/>
  <c r="C122" i="5"/>
  <c r="B122" i="5"/>
  <c r="Y121" i="5"/>
  <c r="X121" i="5"/>
  <c r="O121" i="5"/>
  <c r="N121" i="5"/>
  <c r="H121" i="5"/>
  <c r="G121" i="5"/>
  <c r="D121" i="5"/>
  <c r="C121" i="5"/>
  <c r="B121" i="5"/>
  <c r="X120" i="5"/>
  <c r="O120" i="5"/>
  <c r="N120" i="5"/>
  <c r="H120" i="5"/>
  <c r="G120" i="5"/>
  <c r="D120" i="5"/>
  <c r="C120" i="5"/>
  <c r="B120" i="5"/>
  <c r="Y119" i="5"/>
  <c r="O119" i="5"/>
  <c r="N119" i="5"/>
  <c r="H119" i="5"/>
  <c r="G119" i="5"/>
  <c r="D119" i="5"/>
  <c r="C119" i="5"/>
  <c r="B119" i="5"/>
  <c r="O118" i="5"/>
  <c r="N118" i="5"/>
  <c r="H118" i="5"/>
  <c r="Y118" i="5" s="1"/>
  <c r="G118" i="5"/>
  <c r="D118" i="5"/>
  <c r="C118" i="5"/>
  <c r="B118" i="5"/>
  <c r="Y117" i="5"/>
  <c r="X117" i="5"/>
  <c r="O117" i="5"/>
  <c r="N117" i="5"/>
  <c r="H117" i="5"/>
  <c r="G117" i="5"/>
  <c r="D117" i="5"/>
  <c r="C117" i="5"/>
  <c r="B117" i="5"/>
  <c r="Y116" i="5"/>
  <c r="X116" i="5"/>
  <c r="P116" i="5"/>
  <c r="R116" i="5" s="1"/>
  <c r="O116" i="5"/>
  <c r="N116" i="5"/>
  <c r="M116" i="5"/>
  <c r="H116" i="5"/>
  <c r="I116" i="5" s="1"/>
  <c r="J116" i="5" s="1"/>
  <c r="K116" i="5" s="1"/>
  <c r="G116" i="5"/>
  <c r="D116" i="5"/>
  <c r="C116" i="5"/>
  <c r="B116" i="5"/>
  <c r="X115" i="5"/>
  <c r="O115" i="5"/>
  <c r="N115" i="5"/>
  <c r="H115" i="5"/>
  <c r="G115" i="5"/>
  <c r="D115" i="5"/>
  <c r="C115" i="5"/>
  <c r="B115" i="5"/>
  <c r="O114" i="5"/>
  <c r="N114" i="5"/>
  <c r="H114" i="5"/>
  <c r="G114" i="5"/>
  <c r="D114" i="5"/>
  <c r="X114" i="5" s="1"/>
  <c r="C114" i="5"/>
  <c r="B114" i="5"/>
  <c r="Y113" i="5"/>
  <c r="O113" i="5"/>
  <c r="N113" i="5"/>
  <c r="H113" i="5"/>
  <c r="G113" i="5"/>
  <c r="D113" i="5"/>
  <c r="C113" i="5"/>
  <c r="B113" i="5"/>
  <c r="O112" i="5"/>
  <c r="N112" i="5"/>
  <c r="H112" i="5"/>
  <c r="Y112" i="5" s="1"/>
  <c r="G112" i="5"/>
  <c r="D112" i="5"/>
  <c r="C112" i="5"/>
  <c r="B112" i="5"/>
  <c r="Y111" i="5"/>
  <c r="X111" i="5"/>
  <c r="Q111" i="5"/>
  <c r="S111" i="5" s="1"/>
  <c r="P111" i="5"/>
  <c r="R111" i="5" s="1"/>
  <c r="O111" i="5"/>
  <c r="N111" i="5"/>
  <c r="M111" i="5"/>
  <c r="I111" i="5"/>
  <c r="J111" i="5" s="1"/>
  <c r="K111" i="5" s="1"/>
  <c r="H111" i="5"/>
  <c r="G111" i="5"/>
  <c r="D111" i="5"/>
  <c r="C111" i="5"/>
  <c r="B111" i="5"/>
  <c r="Y110" i="5"/>
  <c r="X110" i="5"/>
  <c r="O110" i="5"/>
  <c r="N110" i="5"/>
  <c r="H110" i="5"/>
  <c r="G110" i="5"/>
  <c r="D110" i="5"/>
  <c r="C110" i="5"/>
  <c r="B110" i="5"/>
  <c r="X109" i="5"/>
  <c r="O109" i="5"/>
  <c r="N109" i="5"/>
  <c r="H109" i="5"/>
  <c r="G109" i="5"/>
  <c r="D109" i="5"/>
  <c r="C109" i="5"/>
  <c r="B109" i="5"/>
  <c r="X108" i="5"/>
  <c r="O108" i="5"/>
  <c r="N108" i="5"/>
  <c r="H108" i="5"/>
  <c r="G108" i="5"/>
  <c r="D108" i="5"/>
  <c r="C108" i="5"/>
  <c r="B108" i="5"/>
  <c r="Y107" i="5"/>
  <c r="O107" i="5"/>
  <c r="N107" i="5"/>
  <c r="H107" i="5"/>
  <c r="G107" i="5"/>
  <c r="D107" i="5"/>
  <c r="C107" i="5"/>
  <c r="B107" i="5"/>
  <c r="O106" i="5"/>
  <c r="N106" i="5"/>
  <c r="H106" i="5"/>
  <c r="Y106" i="5" s="1"/>
  <c r="G106" i="5"/>
  <c r="D106" i="5"/>
  <c r="C106" i="5"/>
  <c r="B106" i="5"/>
  <c r="Y105" i="5"/>
  <c r="X105" i="5"/>
  <c r="O105" i="5"/>
  <c r="N105" i="5"/>
  <c r="H105" i="5"/>
  <c r="G105" i="5"/>
  <c r="D105" i="5"/>
  <c r="C105" i="5"/>
  <c r="B105" i="5"/>
  <c r="Y104" i="5"/>
  <c r="X104" i="5"/>
  <c r="O104" i="5"/>
  <c r="N104" i="5"/>
  <c r="H104" i="5"/>
  <c r="G104" i="5"/>
  <c r="D104" i="5"/>
  <c r="C104" i="5"/>
  <c r="B104" i="5"/>
  <c r="A104" i="5"/>
  <c r="X103" i="5"/>
  <c r="O103" i="5"/>
  <c r="N103" i="5"/>
  <c r="H103" i="5"/>
  <c r="Y103" i="5" s="1"/>
  <c r="G103" i="5"/>
  <c r="D103" i="5"/>
  <c r="C103" i="5"/>
  <c r="B103" i="5"/>
  <c r="O102" i="5"/>
  <c r="N102" i="5"/>
  <c r="H102" i="5"/>
  <c r="G102" i="5"/>
  <c r="D102" i="5"/>
  <c r="X102" i="5" s="1"/>
  <c r="C102" i="5"/>
  <c r="B102" i="5"/>
  <c r="Y101" i="5"/>
  <c r="Q101" i="5"/>
  <c r="P101" i="5"/>
  <c r="O101" i="5"/>
  <c r="N101" i="5"/>
  <c r="R101" i="5" s="1"/>
  <c r="M101" i="5"/>
  <c r="I101" i="5"/>
  <c r="J101" i="5" s="1"/>
  <c r="K101" i="5" s="1"/>
  <c r="H101" i="5"/>
  <c r="G101" i="5"/>
  <c r="D101" i="5"/>
  <c r="C101" i="5"/>
  <c r="B101" i="5"/>
  <c r="O100" i="5"/>
  <c r="N100" i="5"/>
  <c r="H100" i="5"/>
  <c r="G100" i="5"/>
  <c r="D100" i="5"/>
  <c r="C100" i="5"/>
  <c r="B100" i="5"/>
  <c r="Y99" i="5"/>
  <c r="X99" i="5"/>
  <c r="R99" i="5"/>
  <c r="Q99" i="5"/>
  <c r="S99" i="5" s="1"/>
  <c r="P99" i="5"/>
  <c r="O99" i="5"/>
  <c r="N99" i="5"/>
  <c r="M99" i="5"/>
  <c r="I99" i="5"/>
  <c r="J99" i="5" s="1"/>
  <c r="K99" i="5" s="1"/>
  <c r="H99" i="5"/>
  <c r="G99" i="5"/>
  <c r="D99" i="5"/>
  <c r="C99" i="5"/>
  <c r="B99" i="5"/>
  <c r="Y98" i="5"/>
  <c r="X98" i="5"/>
  <c r="O98" i="5"/>
  <c r="N98" i="5"/>
  <c r="M98" i="5"/>
  <c r="H98" i="5"/>
  <c r="I98" i="5" s="1"/>
  <c r="L98" i="5" s="1"/>
  <c r="G98" i="5"/>
  <c r="D98" i="5"/>
  <c r="C98" i="5"/>
  <c r="B98" i="5"/>
  <c r="Y97" i="5"/>
  <c r="X97" i="5"/>
  <c r="O97" i="5"/>
  <c r="N97" i="5"/>
  <c r="H97" i="5"/>
  <c r="G97" i="5"/>
  <c r="D97" i="5"/>
  <c r="C97" i="5"/>
  <c r="B97" i="5"/>
  <c r="A97" i="5"/>
  <c r="X96" i="5"/>
  <c r="O96" i="5"/>
  <c r="N96" i="5"/>
  <c r="H96" i="5"/>
  <c r="G96" i="5"/>
  <c r="D96" i="5"/>
  <c r="C96" i="5"/>
  <c r="B96" i="5"/>
  <c r="Y95" i="5"/>
  <c r="O95" i="5"/>
  <c r="N95" i="5"/>
  <c r="H95" i="5"/>
  <c r="G95" i="5"/>
  <c r="D95" i="5"/>
  <c r="C95" i="5"/>
  <c r="B95" i="5"/>
  <c r="O94" i="5"/>
  <c r="N94" i="5"/>
  <c r="H94" i="5"/>
  <c r="Y94" i="5" s="1"/>
  <c r="G94" i="5"/>
  <c r="D94" i="5"/>
  <c r="C94" i="5"/>
  <c r="B94" i="5"/>
  <c r="Y93" i="5"/>
  <c r="X93" i="5"/>
  <c r="O93" i="5"/>
  <c r="N93" i="5"/>
  <c r="H93" i="5"/>
  <c r="G93" i="5"/>
  <c r="D93" i="5"/>
  <c r="C93" i="5"/>
  <c r="B93" i="5"/>
  <c r="Y92" i="5"/>
  <c r="P92" i="5"/>
  <c r="R92" i="5" s="1"/>
  <c r="O92" i="5"/>
  <c r="N92" i="5"/>
  <c r="M92" i="5"/>
  <c r="H92" i="5"/>
  <c r="I92" i="5" s="1"/>
  <c r="J92" i="5" s="1"/>
  <c r="K92" i="5" s="1"/>
  <c r="G92" i="5"/>
  <c r="D92" i="5"/>
  <c r="X92" i="5" s="1"/>
  <c r="C92" i="5"/>
  <c r="B92" i="5"/>
  <c r="Y91" i="5"/>
  <c r="X91" i="5"/>
  <c r="O91" i="5"/>
  <c r="N91" i="5"/>
  <c r="H91" i="5"/>
  <c r="G91" i="5"/>
  <c r="D91" i="5"/>
  <c r="C91" i="5"/>
  <c r="B91" i="5"/>
  <c r="O90" i="5"/>
  <c r="N90" i="5"/>
  <c r="I90" i="5"/>
  <c r="H90" i="5"/>
  <c r="G90" i="5"/>
  <c r="D90" i="5"/>
  <c r="X90" i="5" s="1"/>
  <c r="C90" i="5"/>
  <c r="B90" i="5"/>
  <c r="Y89" i="5"/>
  <c r="O89" i="5"/>
  <c r="N89" i="5"/>
  <c r="H89" i="5"/>
  <c r="G89" i="5"/>
  <c r="D89" i="5"/>
  <c r="C89" i="5"/>
  <c r="B89" i="5"/>
  <c r="O88" i="5"/>
  <c r="N88" i="5"/>
  <c r="H88" i="5"/>
  <c r="G88" i="5"/>
  <c r="D88" i="5"/>
  <c r="C88" i="5"/>
  <c r="B88" i="5"/>
  <c r="Y87" i="5"/>
  <c r="X87" i="5"/>
  <c r="O87" i="5"/>
  <c r="N87" i="5"/>
  <c r="H87" i="5"/>
  <c r="G87" i="5"/>
  <c r="D87" i="5"/>
  <c r="C87" i="5"/>
  <c r="B87" i="5"/>
  <c r="Y86" i="5"/>
  <c r="X86" i="5"/>
  <c r="O86" i="5"/>
  <c r="N86" i="5"/>
  <c r="H86" i="5"/>
  <c r="G86" i="5"/>
  <c r="D86" i="5"/>
  <c r="C86" i="5"/>
  <c r="B86" i="5"/>
  <c r="Y85" i="5"/>
  <c r="X85" i="5"/>
  <c r="O85" i="5"/>
  <c r="N85" i="5"/>
  <c r="M85" i="5"/>
  <c r="H85" i="5"/>
  <c r="G85" i="5"/>
  <c r="D85" i="5"/>
  <c r="C85" i="5"/>
  <c r="B85" i="5"/>
  <c r="X84" i="5"/>
  <c r="T84" i="5"/>
  <c r="O84" i="5"/>
  <c r="N84" i="5"/>
  <c r="H84" i="5"/>
  <c r="G84" i="5"/>
  <c r="D84" i="5"/>
  <c r="C84" i="5"/>
  <c r="B84" i="5"/>
  <c r="Y83" i="5"/>
  <c r="O83" i="5"/>
  <c r="N83" i="5"/>
  <c r="H83" i="5"/>
  <c r="G83" i="5"/>
  <c r="D83" i="5"/>
  <c r="C83" i="5"/>
  <c r="B83" i="5"/>
  <c r="A83" i="5"/>
  <c r="O82" i="5"/>
  <c r="N82" i="5"/>
  <c r="H82" i="5"/>
  <c r="Y82" i="5" s="1"/>
  <c r="G82" i="5"/>
  <c r="D82" i="5"/>
  <c r="C82" i="5"/>
  <c r="B82" i="5"/>
  <c r="Y81" i="5"/>
  <c r="X81" i="5"/>
  <c r="O81" i="5"/>
  <c r="N81" i="5"/>
  <c r="H81" i="5"/>
  <c r="G81" i="5"/>
  <c r="D81" i="5"/>
  <c r="C81" i="5"/>
  <c r="B81" i="5"/>
  <c r="Y80" i="5"/>
  <c r="X80" i="5"/>
  <c r="O80" i="5"/>
  <c r="N80" i="5"/>
  <c r="H80" i="5"/>
  <c r="G80" i="5"/>
  <c r="D80" i="5"/>
  <c r="C80" i="5"/>
  <c r="B80" i="5"/>
  <c r="A80" i="5"/>
  <c r="X79" i="5"/>
  <c r="O79" i="5"/>
  <c r="N79" i="5"/>
  <c r="H79" i="5"/>
  <c r="Y79" i="5" s="1"/>
  <c r="G79" i="5"/>
  <c r="D79" i="5"/>
  <c r="C79" i="5"/>
  <c r="B79" i="5"/>
  <c r="O78" i="5"/>
  <c r="N78" i="5"/>
  <c r="H78" i="5"/>
  <c r="G78" i="5"/>
  <c r="D78" i="5"/>
  <c r="C78" i="5"/>
  <c r="B78" i="5"/>
  <c r="Y77" i="5"/>
  <c r="O77" i="5"/>
  <c r="N77" i="5"/>
  <c r="H77" i="5"/>
  <c r="G77" i="5"/>
  <c r="D77" i="5"/>
  <c r="C77" i="5"/>
  <c r="B77" i="5"/>
  <c r="Q76" i="5"/>
  <c r="P76" i="5"/>
  <c r="O76" i="5"/>
  <c r="S76" i="5" s="1"/>
  <c r="N76" i="5"/>
  <c r="H76" i="5"/>
  <c r="G76" i="5"/>
  <c r="D76" i="5"/>
  <c r="C76" i="5"/>
  <c r="B76" i="5"/>
  <c r="Y75" i="5"/>
  <c r="X75" i="5"/>
  <c r="O75" i="5"/>
  <c r="N75" i="5"/>
  <c r="H75" i="5"/>
  <c r="G75" i="5"/>
  <c r="D75" i="5"/>
  <c r="C75" i="5"/>
  <c r="B75" i="5"/>
  <c r="P74" i="5"/>
  <c r="R74" i="5" s="1"/>
  <c r="O74" i="5"/>
  <c r="N74" i="5"/>
  <c r="M74" i="5"/>
  <c r="H74" i="5"/>
  <c r="G74" i="5"/>
  <c r="D74" i="5"/>
  <c r="C74" i="5"/>
  <c r="B74" i="5"/>
  <c r="X73" i="5"/>
  <c r="O73" i="5"/>
  <c r="N73" i="5"/>
  <c r="H73" i="5"/>
  <c r="Y73" i="5" s="1"/>
  <c r="G73" i="5"/>
  <c r="D73" i="5"/>
  <c r="C73" i="5"/>
  <c r="B73" i="5"/>
  <c r="X72" i="5"/>
  <c r="O72" i="5"/>
  <c r="N72" i="5"/>
  <c r="H72" i="5"/>
  <c r="G72" i="5"/>
  <c r="D72" i="5"/>
  <c r="C72" i="5"/>
  <c r="B72" i="5"/>
  <c r="Y71" i="5"/>
  <c r="O71" i="5"/>
  <c r="N71" i="5"/>
  <c r="H71" i="5"/>
  <c r="G71" i="5"/>
  <c r="D71" i="5"/>
  <c r="X71" i="5" s="1"/>
  <c r="C71" i="5"/>
  <c r="B71" i="5"/>
  <c r="Q70" i="5"/>
  <c r="O70" i="5"/>
  <c r="N70" i="5"/>
  <c r="H70" i="5"/>
  <c r="P70" i="5" s="1"/>
  <c r="G70" i="5"/>
  <c r="D70" i="5"/>
  <c r="X70" i="5" s="1"/>
  <c r="C70" i="5"/>
  <c r="B70" i="5"/>
  <c r="Y69" i="5"/>
  <c r="X69" i="5"/>
  <c r="Q69" i="5"/>
  <c r="P69" i="5"/>
  <c r="R69" i="5" s="1"/>
  <c r="O69" i="5"/>
  <c r="N69" i="5"/>
  <c r="M69" i="5"/>
  <c r="I69" i="5"/>
  <c r="L69" i="5" s="1"/>
  <c r="H69" i="5"/>
  <c r="G69" i="5"/>
  <c r="D69" i="5"/>
  <c r="C69" i="5"/>
  <c r="B69" i="5"/>
  <c r="A69" i="5"/>
  <c r="Y68" i="5"/>
  <c r="X68" i="5"/>
  <c r="T68" i="5"/>
  <c r="P68" i="5"/>
  <c r="O68" i="5"/>
  <c r="N68" i="5"/>
  <c r="R68" i="5" s="1"/>
  <c r="M68" i="5"/>
  <c r="H68" i="5"/>
  <c r="G68" i="5"/>
  <c r="D68" i="5"/>
  <c r="C68" i="5"/>
  <c r="B68" i="5"/>
  <c r="Y67" i="5"/>
  <c r="X67" i="5"/>
  <c r="O67" i="5"/>
  <c r="N67" i="5"/>
  <c r="H67" i="5"/>
  <c r="G67" i="5"/>
  <c r="D67" i="5"/>
  <c r="C67" i="5"/>
  <c r="B67" i="5"/>
  <c r="O66" i="5"/>
  <c r="N66" i="5"/>
  <c r="H66" i="5"/>
  <c r="G66" i="5"/>
  <c r="D66" i="5"/>
  <c r="C66" i="5"/>
  <c r="B66" i="5"/>
  <c r="Y65" i="5"/>
  <c r="O65" i="5"/>
  <c r="N65" i="5"/>
  <c r="H65" i="5"/>
  <c r="G65" i="5"/>
  <c r="D65" i="5"/>
  <c r="X65" i="5" s="1"/>
  <c r="C65" i="5"/>
  <c r="B65" i="5"/>
  <c r="O64" i="5"/>
  <c r="N64" i="5"/>
  <c r="H64" i="5"/>
  <c r="Q64" i="5" s="1"/>
  <c r="G64" i="5"/>
  <c r="D64" i="5"/>
  <c r="C64" i="5"/>
  <c r="B64" i="5"/>
  <c r="Y63" i="5"/>
  <c r="O63" i="5"/>
  <c r="N63" i="5"/>
  <c r="H63" i="5"/>
  <c r="G63" i="5"/>
  <c r="D63" i="5"/>
  <c r="C63" i="5"/>
  <c r="B63" i="5"/>
  <c r="Y62" i="5"/>
  <c r="O62" i="5"/>
  <c r="N62" i="5"/>
  <c r="H62" i="5"/>
  <c r="G62" i="5"/>
  <c r="D62" i="5"/>
  <c r="C62" i="5"/>
  <c r="B62" i="5"/>
  <c r="Y61" i="5"/>
  <c r="X61" i="5"/>
  <c r="O61" i="5"/>
  <c r="N61" i="5"/>
  <c r="H61" i="5"/>
  <c r="G61" i="5"/>
  <c r="D61" i="5"/>
  <c r="C61" i="5"/>
  <c r="B61" i="5"/>
  <c r="O60" i="5"/>
  <c r="N60" i="5"/>
  <c r="H60" i="5"/>
  <c r="G60" i="5"/>
  <c r="D60" i="5"/>
  <c r="C60" i="5"/>
  <c r="B60" i="5"/>
  <c r="Y59" i="5"/>
  <c r="O59" i="5"/>
  <c r="N59" i="5"/>
  <c r="H59" i="5"/>
  <c r="G59" i="5"/>
  <c r="D59" i="5"/>
  <c r="X59" i="5" s="1"/>
  <c r="C59" i="5"/>
  <c r="B59" i="5"/>
  <c r="X58" i="5"/>
  <c r="O58" i="5"/>
  <c r="N58" i="5"/>
  <c r="H58" i="5"/>
  <c r="G58" i="5"/>
  <c r="D58" i="5"/>
  <c r="C58" i="5"/>
  <c r="B58" i="5"/>
  <c r="Y57" i="5"/>
  <c r="X57" i="5"/>
  <c r="O57" i="5"/>
  <c r="T57" i="5" s="1"/>
  <c r="N57" i="5"/>
  <c r="H57" i="5"/>
  <c r="G57" i="5"/>
  <c r="D57" i="5"/>
  <c r="C57" i="5"/>
  <c r="B57" i="5"/>
  <c r="X56" i="5"/>
  <c r="O56" i="5"/>
  <c r="N56" i="5"/>
  <c r="H56" i="5"/>
  <c r="G56" i="5"/>
  <c r="D56" i="5"/>
  <c r="C56" i="5"/>
  <c r="B56" i="5"/>
  <c r="X55" i="5"/>
  <c r="O55" i="5"/>
  <c r="N55" i="5"/>
  <c r="H55" i="5"/>
  <c r="G55" i="5"/>
  <c r="D55" i="5"/>
  <c r="C55" i="5"/>
  <c r="B55" i="5"/>
  <c r="A55" i="5"/>
  <c r="X54" i="5"/>
  <c r="O54" i="5"/>
  <c r="N54" i="5"/>
  <c r="H54" i="5"/>
  <c r="G54" i="5"/>
  <c r="D54" i="5"/>
  <c r="C54" i="5"/>
  <c r="B54" i="5"/>
  <c r="Y53" i="5"/>
  <c r="O53" i="5"/>
  <c r="N53" i="5"/>
  <c r="H53" i="5"/>
  <c r="G53" i="5"/>
  <c r="D53" i="5"/>
  <c r="X53" i="5" s="1"/>
  <c r="C53" i="5"/>
  <c r="B53" i="5"/>
  <c r="O52" i="5"/>
  <c r="N52" i="5"/>
  <c r="H52" i="5"/>
  <c r="G52" i="5"/>
  <c r="D52" i="5"/>
  <c r="C52" i="5"/>
  <c r="B52" i="5"/>
  <c r="Y51" i="5"/>
  <c r="X51" i="5"/>
  <c r="O51" i="5"/>
  <c r="N51" i="5"/>
  <c r="H51" i="5"/>
  <c r="G51" i="5"/>
  <c r="D51" i="5"/>
  <c r="C51" i="5"/>
  <c r="B51" i="5"/>
  <c r="Y50" i="5"/>
  <c r="X50" i="5"/>
  <c r="O50" i="5"/>
  <c r="N50" i="5"/>
  <c r="H50" i="5"/>
  <c r="G50" i="5"/>
  <c r="D50" i="5"/>
  <c r="C50" i="5"/>
  <c r="B50" i="5"/>
  <c r="Y49" i="5"/>
  <c r="X49" i="5"/>
  <c r="T49" i="5"/>
  <c r="O49" i="5"/>
  <c r="N49" i="5"/>
  <c r="H49" i="5"/>
  <c r="G49" i="5"/>
  <c r="D49" i="5"/>
  <c r="C49" i="5"/>
  <c r="B49" i="5"/>
  <c r="O48" i="5"/>
  <c r="N48" i="5"/>
  <c r="H48" i="5"/>
  <c r="G48" i="5"/>
  <c r="D48" i="5"/>
  <c r="C48" i="5"/>
  <c r="B48" i="5"/>
  <c r="A48" i="5"/>
  <c r="O47" i="5"/>
  <c r="N47" i="5"/>
  <c r="H47" i="5"/>
  <c r="G47" i="5"/>
  <c r="D47" i="5"/>
  <c r="C47" i="5"/>
  <c r="B47" i="5"/>
  <c r="O46" i="5"/>
  <c r="N46" i="5"/>
  <c r="H46" i="5"/>
  <c r="Y46" i="5" s="1"/>
  <c r="G46" i="5"/>
  <c r="D46" i="5"/>
  <c r="X46" i="5" s="1"/>
  <c r="C46" i="5"/>
  <c r="B46" i="5"/>
  <c r="T45" i="5"/>
  <c r="O45" i="5"/>
  <c r="N45" i="5"/>
  <c r="H45" i="5"/>
  <c r="Y45" i="5" s="1"/>
  <c r="G45" i="5"/>
  <c r="D45" i="5"/>
  <c r="C45" i="5"/>
  <c r="B45" i="5"/>
  <c r="X44" i="5"/>
  <c r="O44" i="5"/>
  <c r="N44" i="5"/>
  <c r="H44" i="5"/>
  <c r="Y44" i="5" s="1"/>
  <c r="G44" i="5"/>
  <c r="D44" i="5"/>
  <c r="C44" i="5"/>
  <c r="B44" i="5"/>
  <c r="X43" i="5"/>
  <c r="O43" i="5"/>
  <c r="N43" i="5"/>
  <c r="H43" i="5"/>
  <c r="G43" i="5"/>
  <c r="D43" i="5"/>
  <c r="C43" i="5"/>
  <c r="B43" i="5"/>
  <c r="Y42" i="5"/>
  <c r="X42" i="5"/>
  <c r="O42" i="5"/>
  <c r="N42" i="5"/>
  <c r="H42" i="5"/>
  <c r="G42" i="5"/>
  <c r="D42" i="5"/>
  <c r="C42" i="5"/>
  <c r="B42" i="5"/>
  <c r="X41" i="5"/>
  <c r="T41" i="5"/>
  <c r="O41" i="5"/>
  <c r="N41" i="5"/>
  <c r="H41" i="5"/>
  <c r="G41" i="5"/>
  <c r="D41" i="5"/>
  <c r="C41" i="5"/>
  <c r="B41" i="5"/>
  <c r="Y40" i="5"/>
  <c r="X40" i="5"/>
  <c r="O40" i="5"/>
  <c r="N40" i="5"/>
  <c r="H40" i="5"/>
  <c r="G40" i="5"/>
  <c r="D40" i="5"/>
  <c r="C40" i="5"/>
  <c r="B40" i="5"/>
  <c r="A40" i="5"/>
  <c r="Y39" i="5"/>
  <c r="X39" i="5"/>
  <c r="O39" i="5"/>
  <c r="N39" i="5"/>
  <c r="H39" i="5"/>
  <c r="G39" i="5"/>
  <c r="D39" i="5"/>
  <c r="C39" i="5"/>
  <c r="B39" i="5"/>
  <c r="Y38" i="5"/>
  <c r="O38" i="5"/>
  <c r="N38" i="5"/>
  <c r="H38" i="5"/>
  <c r="G38" i="5"/>
  <c r="D38" i="5"/>
  <c r="C38" i="5"/>
  <c r="B38" i="5"/>
  <c r="A38" i="5"/>
  <c r="Y37" i="5"/>
  <c r="X37" i="5"/>
  <c r="O37" i="5"/>
  <c r="N37" i="5"/>
  <c r="H37" i="5"/>
  <c r="G37" i="5"/>
  <c r="D37" i="5"/>
  <c r="C37" i="5"/>
  <c r="B37" i="5"/>
  <c r="Y36" i="5"/>
  <c r="O36" i="5"/>
  <c r="N36" i="5"/>
  <c r="H36" i="5"/>
  <c r="G36" i="5"/>
  <c r="D36" i="5"/>
  <c r="C36" i="5"/>
  <c r="B36" i="5"/>
  <c r="A36" i="5"/>
  <c r="O35" i="5"/>
  <c r="N35" i="5"/>
  <c r="H35" i="5"/>
  <c r="G35" i="5"/>
  <c r="D35" i="5"/>
  <c r="C35" i="5"/>
  <c r="B35" i="5"/>
  <c r="O34" i="5"/>
  <c r="N34" i="5"/>
  <c r="H34" i="5"/>
  <c r="Y34" i="5" s="1"/>
  <c r="G34" i="5"/>
  <c r="D34" i="5"/>
  <c r="X34" i="5" s="1"/>
  <c r="C34" i="5"/>
  <c r="B34" i="5"/>
  <c r="O33" i="5"/>
  <c r="N33" i="5"/>
  <c r="H33" i="5"/>
  <c r="Y33" i="5" s="1"/>
  <c r="G33" i="5"/>
  <c r="D33" i="5"/>
  <c r="C33" i="5"/>
  <c r="B33" i="5"/>
  <c r="X32" i="5"/>
  <c r="O32" i="5"/>
  <c r="N32" i="5"/>
  <c r="H32" i="5"/>
  <c r="Y32" i="5" s="1"/>
  <c r="G32" i="5"/>
  <c r="D32" i="5"/>
  <c r="C32" i="5"/>
  <c r="B32" i="5"/>
  <c r="X31" i="5"/>
  <c r="O31" i="5"/>
  <c r="N31" i="5"/>
  <c r="H31" i="5"/>
  <c r="G31" i="5"/>
  <c r="D31" i="5"/>
  <c r="C31" i="5"/>
  <c r="B31" i="5"/>
  <c r="Y30" i="5"/>
  <c r="X30" i="5"/>
  <c r="O30" i="5"/>
  <c r="N30" i="5"/>
  <c r="H30" i="5"/>
  <c r="G30" i="5"/>
  <c r="D30" i="5"/>
  <c r="C30" i="5"/>
  <c r="B30" i="5"/>
  <c r="X29" i="5"/>
  <c r="O29" i="5"/>
  <c r="N29" i="5"/>
  <c r="H29" i="5"/>
  <c r="G29" i="5"/>
  <c r="D29" i="5"/>
  <c r="C29" i="5"/>
  <c r="B29" i="5"/>
  <c r="Y28" i="5"/>
  <c r="X28" i="5"/>
  <c r="P28" i="5"/>
  <c r="O28" i="5"/>
  <c r="S28" i="5" s="1"/>
  <c r="N28" i="5"/>
  <c r="M28" i="5"/>
  <c r="I28" i="5"/>
  <c r="H28" i="5"/>
  <c r="Q28" i="5" s="1"/>
  <c r="G28" i="5"/>
  <c r="D28" i="5"/>
  <c r="C28" i="5"/>
  <c r="B28" i="5"/>
  <c r="A28" i="5"/>
  <c r="Y27" i="5"/>
  <c r="X27" i="5"/>
  <c r="O27" i="5"/>
  <c r="N27" i="5"/>
  <c r="H27" i="5"/>
  <c r="G27" i="5"/>
  <c r="D27" i="5"/>
  <c r="C27" i="5"/>
  <c r="B27" i="5"/>
  <c r="Y26" i="5"/>
  <c r="O26" i="5"/>
  <c r="N26" i="5"/>
  <c r="H26" i="5"/>
  <c r="G26" i="5"/>
  <c r="D26" i="5"/>
  <c r="C26" i="5"/>
  <c r="B26" i="5"/>
  <c r="A26" i="5"/>
  <c r="Y25" i="5"/>
  <c r="X25" i="5"/>
  <c r="O25" i="5"/>
  <c r="N25" i="5"/>
  <c r="H25" i="5"/>
  <c r="G25" i="5"/>
  <c r="D25" i="5"/>
  <c r="C25" i="5"/>
  <c r="B25" i="5"/>
  <c r="Y24" i="5"/>
  <c r="O24" i="5"/>
  <c r="N24" i="5"/>
  <c r="H24" i="5"/>
  <c r="G24" i="5"/>
  <c r="D24" i="5"/>
  <c r="C24" i="5"/>
  <c r="B24" i="5"/>
  <c r="A24" i="5"/>
  <c r="O23" i="5"/>
  <c r="N23" i="5"/>
  <c r="H23" i="5"/>
  <c r="G23" i="5"/>
  <c r="D23" i="5"/>
  <c r="C23" i="5"/>
  <c r="B23" i="5"/>
  <c r="O22" i="5"/>
  <c r="N22" i="5"/>
  <c r="H22" i="5"/>
  <c r="Y22" i="5" s="1"/>
  <c r="G22" i="5"/>
  <c r="D22" i="5"/>
  <c r="X22" i="5" s="1"/>
  <c r="C22" i="5"/>
  <c r="B22" i="5"/>
  <c r="O21" i="5"/>
  <c r="N21" i="5"/>
  <c r="H21" i="5"/>
  <c r="Y21" i="5" s="1"/>
  <c r="G21" i="5"/>
  <c r="D21" i="5"/>
  <c r="C21" i="5"/>
  <c r="B21" i="5"/>
  <c r="X20" i="5"/>
  <c r="O20" i="5"/>
  <c r="N20" i="5"/>
  <c r="H20" i="5"/>
  <c r="Y20" i="5" s="1"/>
  <c r="G20" i="5"/>
  <c r="D20" i="5"/>
  <c r="C20" i="5"/>
  <c r="B20" i="5"/>
  <c r="X19" i="5"/>
  <c r="O19" i="5"/>
  <c r="N19" i="5"/>
  <c r="H19" i="5"/>
  <c r="G19" i="5"/>
  <c r="D19" i="5"/>
  <c r="C19" i="5"/>
  <c r="B19" i="5"/>
  <c r="Y18" i="5"/>
  <c r="X18" i="5"/>
  <c r="O18" i="5"/>
  <c r="N18" i="5"/>
  <c r="M18" i="5"/>
  <c r="I18" i="5"/>
  <c r="H18" i="5"/>
  <c r="Q18" i="5" s="1"/>
  <c r="S18" i="5" s="1"/>
  <c r="G18" i="5"/>
  <c r="D18" i="5"/>
  <c r="C18" i="5"/>
  <c r="B18" i="5"/>
  <c r="X17" i="5"/>
  <c r="O17" i="5"/>
  <c r="N17" i="5"/>
  <c r="H17" i="5"/>
  <c r="G17" i="5"/>
  <c r="D17" i="5"/>
  <c r="C17" i="5"/>
  <c r="B17" i="5"/>
  <c r="Y16" i="5"/>
  <c r="X16" i="5"/>
  <c r="O16" i="5"/>
  <c r="N16" i="5"/>
  <c r="H16" i="5"/>
  <c r="G16" i="5"/>
  <c r="D16" i="5"/>
  <c r="C16" i="5"/>
  <c r="B16" i="5"/>
  <c r="A16" i="5"/>
  <c r="Y15" i="5"/>
  <c r="X15" i="5"/>
  <c r="O15" i="5"/>
  <c r="N15" i="5"/>
  <c r="H15" i="5"/>
  <c r="G15" i="5"/>
  <c r="D15" i="5"/>
  <c r="C15" i="5"/>
  <c r="B15" i="5"/>
  <c r="Y14" i="5"/>
  <c r="O14" i="5"/>
  <c r="N14" i="5"/>
  <c r="H14" i="5"/>
  <c r="G14" i="5"/>
  <c r="D14" i="5"/>
  <c r="C14" i="5"/>
  <c r="B14" i="5"/>
  <c r="A14" i="5"/>
  <c r="Y13" i="5"/>
  <c r="X13" i="5"/>
  <c r="O13" i="5"/>
  <c r="N13" i="5"/>
  <c r="H13" i="5"/>
  <c r="G13" i="5"/>
  <c r="D13" i="5"/>
  <c r="C13" i="5"/>
  <c r="B13" i="5"/>
  <c r="Y12" i="5"/>
  <c r="O12" i="5"/>
  <c r="N12" i="5"/>
  <c r="H12" i="5"/>
  <c r="G12" i="5"/>
  <c r="D12" i="5"/>
  <c r="C12" i="5"/>
  <c r="B12" i="5"/>
  <c r="A12" i="5"/>
  <c r="P11" i="5"/>
  <c r="O11" i="5"/>
  <c r="N11" i="5"/>
  <c r="R11" i="5" s="1"/>
  <c r="H11" i="5"/>
  <c r="G11" i="5"/>
  <c r="D11" i="5"/>
  <c r="C11" i="5"/>
  <c r="B11" i="5"/>
  <c r="Q10" i="5"/>
  <c r="O10" i="5"/>
  <c r="N10" i="5"/>
  <c r="I10" i="5"/>
  <c r="H10" i="5"/>
  <c r="Y10" i="5" s="1"/>
  <c r="G10" i="5"/>
  <c r="D10" i="5"/>
  <c r="X10" i="5" s="1"/>
  <c r="C10" i="5"/>
  <c r="B10" i="5"/>
  <c r="P9" i="5"/>
  <c r="R9" i="5" s="1"/>
  <c r="O9" i="5"/>
  <c r="N9" i="5"/>
  <c r="H9" i="5"/>
  <c r="G9" i="5"/>
  <c r="D9" i="5"/>
  <c r="C9" i="5"/>
  <c r="B9" i="5"/>
  <c r="U249" i="4"/>
  <c r="T249" i="4"/>
  <c r="R249" i="4"/>
  <c r="Q249" i="4"/>
  <c r="S249" i="4" s="1"/>
  <c r="P249" i="4"/>
  <c r="O249" i="4"/>
  <c r="N249" i="4"/>
  <c r="M249" i="4"/>
  <c r="L249" i="4"/>
  <c r="K249" i="4"/>
  <c r="J249" i="4"/>
  <c r="A249" i="4"/>
  <c r="U248" i="4"/>
  <c r="T248" i="4"/>
  <c r="R248" i="4"/>
  <c r="Q248" i="4"/>
  <c r="P248" i="4"/>
  <c r="F248" i="5" s="1"/>
  <c r="O248" i="4"/>
  <c r="E248" i="5" s="1"/>
  <c r="N248" i="4"/>
  <c r="M248" i="4"/>
  <c r="L248" i="4"/>
  <c r="K248" i="4"/>
  <c r="J248" i="4"/>
  <c r="A248" i="4"/>
  <c r="U247" i="4"/>
  <c r="T247" i="4"/>
  <c r="R247" i="4"/>
  <c r="Q247" i="4"/>
  <c r="S247" i="4" s="1"/>
  <c r="P247" i="4"/>
  <c r="F247" i="5" s="1"/>
  <c r="O247" i="4"/>
  <c r="E247" i="5" s="1"/>
  <c r="N247" i="4"/>
  <c r="M247" i="4"/>
  <c r="L247" i="4"/>
  <c r="K247" i="4"/>
  <c r="J247" i="4"/>
  <c r="A247" i="4"/>
  <c r="U246" i="4"/>
  <c r="T246" i="4"/>
  <c r="R246" i="4"/>
  <c r="Q246" i="4"/>
  <c r="P246" i="4"/>
  <c r="F246" i="5" s="1"/>
  <c r="O246" i="4"/>
  <c r="E246" i="5" s="1"/>
  <c r="N246" i="4"/>
  <c r="M246" i="4"/>
  <c r="L246" i="4"/>
  <c r="K246" i="4"/>
  <c r="J246" i="4"/>
  <c r="A246" i="4"/>
  <c r="U245" i="4"/>
  <c r="T245" i="4"/>
  <c r="R245" i="4"/>
  <c r="Q245" i="4"/>
  <c r="S245" i="4" s="1"/>
  <c r="P245" i="4"/>
  <c r="F245" i="5" s="1"/>
  <c r="O245" i="4"/>
  <c r="E245" i="5" s="1"/>
  <c r="N245" i="4"/>
  <c r="M245" i="4"/>
  <c r="L245" i="4"/>
  <c r="K245" i="4"/>
  <c r="J245" i="4"/>
  <c r="A245" i="4"/>
  <c r="U244" i="4"/>
  <c r="T244" i="4"/>
  <c r="R244" i="4"/>
  <c r="Q244" i="4"/>
  <c r="S244" i="4" s="1"/>
  <c r="P244" i="4"/>
  <c r="F244" i="5" s="1"/>
  <c r="O244" i="4"/>
  <c r="E244" i="5" s="1"/>
  <c r="N244" i="4"/>
  <c r="M244" i="4"/>
  <c r="L244" i="4"/>
  <c r="K244" i="4"/>
  <c r="J244" i="4"/>
  <c r="A244" i="4"/>
  <c r="U243" i="4"/>
  <c r="T243" i="4"/>
  <c r="R243" i="4"/>
  <c r="Q243" i="4"/>
  <c r="S243" i="4" s="1"/>
  <c r="P243" i="4"/>
  <c r="F243" i="5" s="1"/>
  <c r="O243" i="4"/>
  <c r="E243" i="5" s="1"/>
  <c r="N243" i="4"/>
  <c r="M243" i="4"/>
  <c r="L243" i="4"/>
  <c r="K243" i="4"/>
  <c r="J243" i="4"/>
  <c r="A243" i="4"/>
  <c r="U242" i="4"/>
  <c r="T242" i="4"/>
  <c r="R242" i="4"/>
  <c r="Q242" i="4"/>
  <c r="S242" i="4" s="1"/>
  <c r="P242" i="4"/>
  <c r="F242" i="5" s="1"/>
  <c r="O242" i="4"/>
  <c r="E242" i="5" s="1"/>
  <c r="N242" i="4"/>
  <c r="M242" i="4"/>
  <c r="L242" i="4"/>
  <c r="K242" i="4"/>
  <c r="J242" i="4"/>
  <c r="A242" i="4"/>
  <c r="U241" i="4"/>
  <c r="T241" i="4"/>
  <c r="R241" i="4"/>
  <c r="Q241" i="4"/>
  <c r="S241" i="4" s="1"/>
  <c r="P241" i="4"/>
  <c r="F241" i="5" s="1"/>
  <c r="O241" i="4"/>
  <c r="E241" i="5" s="1"/>
  <c r="N241" i="4"/>
  <c r="M241" i="4"/>
  <c r="L241" i="4"/>
  <c r="K241" i="4"/>
  <c r="J241" i="4"/>
  <c r="A241" i="4"/>
  <c r="U240" i="4"/>
  <c r="T240" i="4"/>
  <c r="R240" i="4"/>
  <c r="Q240" i="4"/>
  <c r="S240" i="4" s="1"/>
  <c r="P240" i="4"/>
  <c r="F240" i="5" s="1"/>
  <c r="O240" i="4"/>
  <c r="E240" i="5" s="1"/>
  <c r="N240" i="4"/>
  <c r="M240" i="4"/>
  <c r="L240" i="4"/>
  <c r="K240" i="4"/>
  <c r="J240" i="4"/>
  <c r="A240" i="4"/>
  <c r="U239" i="4"/>
  <c r="T239" i="4"/>
  <c r="R239" i="4"/>
  <c r="Q239" i="4"/>
  <c r="S239" i="4" s="1"/>
  <c r="P239" i="4"/>
  <c r="F239" i="5" s="1"/>
  <c r="O239" i="4"/>
  <c r="E239" i="5" s="1"/>
  <c r="N239" i="4"/>
  <c r="M239" i="4"/>
  <c r="L239" i="4"/>
  <c r="K239" i="4"/>
  <c r="J239" i="4"/>
  <c r="A239" i="4"/>
  <c r="U238" i="4"/>
  <c r="T238" i="4"/>
  <c r="R238" i="4"/>
  <c r="Q238" i="4"/>
  <c r="P238" i="4"/>
  <c r="F238" i="5" s="1"/>
  <c r="O238" i="4"/>
  <c r="E238" i="5" s="1"/>
  <c r="N238" i="4"/>
  <c r="M238" i="4"/>
  <c r="L238" i="4"/>
  <c r="K238" i="4"/>
  <c r="J238" i="4"/>
  <c r="A238" i="4"/>
  <c r="U237" i="4"/>
  <c r="T237" i="4"/>
  <c r="R237" i="4"/>
  <c r="Q237" i="4"/>
  <c r="S237" i="4" s="1"/>
  <c r="P237" i="4"/>
  <c r="F237" i="5" s="1"/>
  <c r="O237" i="4"/>
  <c r="E237" i="5" s="1"/>
  <c r="N237" i="4"/>
  <c r="M237" i="4"/>
  <c r="L237" i="4"/>
  <c r="K237" i="4"/>
  <c r="J237" i="4"/>
  <c r="A237" i="4"/>
  <c r="U236" i="4"/>
  <c r="T236" i="4"/>
  <c r="R236" i="4"/>
  <c r="Q236" i="4"/>
  <c r="P236" i="4"/>
  <c r="F236" i="5" s="1"/>
  <c r="O236" i="4"/>
  <c r="E236" i="5" s="1"/>
  <c r="N236" i="4"/>
  <c r="M236" i="4"/>
  <c r="L236" i="4"/>
  <c r="K236" i="4"/>
  <c r="J236" i="4"/>
  <c r="A236" i="4"/>
  <c r="U235" i="4"/>
  <c r="T235" i="4"/>
  <c r="R235" i="4"/>
  <c r="Q235" i="4"/>
  <c r="S235" i="4" s="1"/>
  <c r="P235" i="4"/>
  <c r="F235" i="5" s="1"/>
  <c r="O235" i="4"/>
  <c r="E235" i="5" s="1"/>
  <c r="N235" i="4"/>
  <c r="M235" i="4"/>
  <c r="L235" i="4"/>
  <c r="K235" i="4"/>
  <c r="J235" i="4"/>
  <c r="A235" i="4"/>
  <c r="U234" i="4"/>
  <c r="T234" i="4"/>
  <c r="R234" i="4"/>
  <c r="Q234" i="4"/>
  <c r="P234" i="4"/>
  <c r="F234" i="5" s="1"/>
  <c r="O234" i="4"/>
  <c r="E234" i="5" s="1"/>
  <c r="N234" i="4"/>
  <c r="M234" i="4"/>
  <c r="L234" i="4"/>
  <c r="K234" i="4"/>
  <c r="J234" i="4"/>
  <c r="A234" i="4"/>
  <c r="U233" i="4"/>
  <c r="T233" i="4"/>
  <c r="R233" i="4"/>
  <c r="Q233" i="4"/>
  <c r="S233" i="4" s="1"/>
  <c r="P233" i="4"/>
  <c r="F233" i="5" s="1"/>
  <c r="O233" i="4"/>
  <c r="E233" i="5" s="1"/>
  <c r="N233" i="4"/>
  <c r="M233" i="4"/>
  <c r="L233" i="4"/>
  <c r="K233" i="4"/>
  <c r="J233" i="4"/>
  <c r="A233" i="4"/>
  <c r="U232" i="4"/>
  <c r="T232" i="4"/>
  <c r="R232" i="4"/>
  <c r="Q232" i="4"/>
  <c r="S232" i="4" s="1"/>
  <c r="P232" i="4"/>
  <c r="F232" i="5" s="1"/>
  <c r="O232" i="4"/>
  <c r="E232" i="5" s="1"/>
  <c r="N232" i="4"/>
  <c r="M232" i="4"/>
  <c r="L232" i="4"/>
  <c r="K232" i="4"/>
  <c r="J232" i="4"/>
  <c r="A232" i="4"/>
  <c r="U231" i="4"/>
  <c r="T231" i="4"/>
  <c r="R231" i="4"/>
  <c r="Q231" i="4"/>
  <c r="S231" i="4" s="1"/>
  <c r="P231" i="4"/>
  <c r="F231" i="5" s="1"/>
  <c r="O231" i="4"/>
  <c r="E231" i="5" s="1"/>
  <c r="N231" i="4"/>
  <c r="M231" i="4"/>
  <c r="L231" i="4"/>
  <c r="K231" i="4"/>
  <c r="J231" i="4"/>
  <c r="A231" i="4"/>
  <c r="U230" i="4"/>
  <c r="T230" i="4"/>
  <c r="R230" i="4"/>
  <c r="Q230" i="4"/>
  <c r="S230" i="4" s="1"/>
  <c r="P230" i="4"/>
  <c r="F230" i="5" s="1"/>
  <c r="O230" i="4"/>
  <c r="E230" i="5" s="1"/>
  <c r="N230" i="4"/>
  <c r="M230" i="4"/>
  <c r="L230" i="4"/>
  <c r="K230" i="4"/>
  <c r="J230" i="4"/>
  <c r="A230" i="4"/>
  <c r="U229" i="4"/>
  <c r="T229" i="4"/>
  <c r="R229" i="4"/>
  <c r="Q229" i="4"/>
  <c r="S229" i="4" s="1"/>
  <c r="P229" i="4"/>
  <c r="F229" i="5" s="1"/>
  <c r="O229" i="4"/>
  <c r="E229" i="5" s="1"/>
  <c r="N229" i="4"/>
  <c r="M229" i="4"/>
  <c r="L229" i="4"/>
  <c r="K229" i="4"/>
  <c r="J229" i="4"/>
  <c r="A229" i="4"/>
  <c r="U228" i="4"/>
  <c r="T228" i="4"/>
  <c r="R228" i="4"/>
  <c r="Q228" i="4"/>
  <c r="S228" i="4" s="1"/>
  <c r="P228" i="4"/>
  <c r="F228" i="5" s="1"/>
  <c r="O228" i="4"/>
  <c r="E228" i="5" s="1"/>
  <c r="N228" i="4"/>
  <c r="M228" i="4"/>
  <c r="L228" i="4"/>
  <c r="K228" i="4"/>
  <c r="J228" i="4"/>
  <c r="A228" i="4"/>
  <c r="U227" i="4"/>
  <c r="T227" i="4"/>
  <c r="R227" i="4"/>
  <c r="Q227" i="4"/>
  <c r="S227" i="4" s="1"/>
  <c r="P227" i="4"/>
  <c r="F227" i="5" s="1"/>
  <c r="O227" i="4"/>
  <c r="E227" i="5" s="1"/>
  <c r="N227" i="4"/>
  <c r="M227" i="4"/>
  <c r="L227" i="4"/>
  <c r="K227" i="4"/>
  <c r="J227" i="4"/>
  <c r="A227" i="4"/>
  <c r="U226" i="4"/>
  <c r="T226" i="4"/>
  <c r="R226" i="4"/>
  <c r="Q226" i="4"/>
  <c r="P226" i="4"/>
  <c r="F226" i="5" s="1"/>
  <c r="O226" i="4"/>
  <c r="E226" i="5" s="1"/>
  <c r="N226" i="4"/>
  <c r="M226" i="4"/>
  <c r="L226" i="4"/>
  <c r="K226" i="4"/>
  <c r="J226" i="4"/>
  <c r="A226" i="4"/>
  <c r="U225" i="4"/>
  <c r="T225" i="4"/>
  <c r="R225" i="4"/>
  <c r="Q225" i="4"/>
  <c r="S225" i="4" s="1"/>
  <c r="P225" i="4"/>
  <c r="F225" i="5" s="1"/>
  <c r="O225" i="4"/>
  <c r="E225" i="5" s="1"/>
  <c r="N225" i="4"/>
  <c r="M225" i="4"/>
  <c r="L225" i="4"/>
  <c r="K225" i="4"/>
  <c r="J225" i="4"/>
  <c r="A225" i="4"/>
  <c r="U224" i="4"/>
  <c r="T224" i="4"/>
  <c r="R224" i="4"/>
  <c r="Q224" i="4"/>
  <c r="P224" i="4"/>
  <c r="F224" i="5" s="1"/>
  <c r="O224" i="4"/>
  <c r="E224" i="5" s="1"/>
  <c r="N224" i="4"/>
  <c r="M224" i="4"/>
  <c r="L224" i="4"/>
  <c r="K224" i="4"/>
  <c r="J224" i="4"/>
  <c r="A224" i="4"/>
  <c r="U223" i="4"/>
  <c r="T223" i="4"/>
  <c r="R223" i="4"/>
  <c r="Q223" i="4"/>
  <c r="S223" i="4" s="1"/>
  <c r="P223" i="4"/>
  <c r="F223" i="5" s="1"/>
  <c r="O223" i="4"/>
  <c r="E223" i="5" s="1"/>
  <c r="N223" i="4"/>
  <c r="M223" i="4"/>
  <c r="L223" i="4"/>
  <c r="K223" i="4"/>
  <c r="J223" i="4"/>
  <c r="A223" i="4"/>
  <c r="U222" i="4"/>
  <c r="T222" i="4"/>
  <c r="R222" i="4"/>
  <c r="Q222" i="4"/>
  <c r="P222" i="4"/>
  <c r="F222" i="5" s="1"/>
  <c r="O222" i="4"/>
  <c r="E222" i="5" s="1"/>
  <c r="N222" i="4"/>
  <c r="M222" i="4"/>
  <c r="L222" i="4"/>
  <c r="K222" i="4"/>
  <c r="J222" i="4"/>
  <c r="A222" i="4"/>
  <c r="U221" i="4"/>
  <c r="T221" i="4"/>
  <c r="R221" i="4"/>
  <c r="Q221" i="4"/>
  <c r="S221" i="4" s="1"/>
  <c r="P221" i="4"/>
  <c r="F221" i="5" s="1"/>
  <c r="O221" i="4"/>
  <c r="E221" i="5" s="1"/>
  <c r="N221" i="4"/>
  <c r="M221" i="4"/>
  <c r="L221" i="4"/>
  <c r="K221" i="4"/>
  <c r="J221" i="4"/>
  <c r="A221" i="4"/>
  <c r="U220" i="4"/>
  <c r="T220" i="4"/>
  <c r="R220" i="4"/>
  <c r="Q220" i="4"/>
  <c r="S220" i="4" s="1"/>
  <c r="P220" i="4"/>
  <c r="F220" i="5" s="1"/>
  <c r="O220" i="4"/>
  <c r="E220" i="5" s="1"/>
  <c r="N220" i="4"/>
  <c r="M220" i="4"/>
  <c r="L220" i="4"/>
  <c r="K220" i="4"/>
  <c r="J220" i="4"/>
  <c r="A220" i="4"/>
  <c r="U219" i="4"/>
  <c r="T219" i="4"/>
  <c r="R219" i="4"/>
  <c r="Q219" i="4"/>
  <c r="S219" i="4" s="1"/>
  <c r="P219" i="4"/>
  <c r="F219" i="5" s="1"/>
  <c r="O219" i="4"/>
  <c r="E219" i="5" s="1"/>
  <c r="N219" i="4"/>
  <c r="M219" i="4"/>
  <c r="L219" i="4"/>
  <c r="K219" i="4"/>
  <c r="J219" i="4"/>
  <c r="A219" i="4"/>
  <c r="U218" i="4"/>
  <c r="T218" i="4"/>
  <c r="R218" i="4"/>
  <c r="Q218" i="4"/>
  <c r="S218" i="4" s="1"/>
  <c r="P218" i="4"/>
  <c r="F218" i="5" s="1"/>
  <c r="O218" i="4"/>
  <c r="E218" i="5" s="1"/>
  <c r="N218" i="4"/>
  <c r="M218" i="4"/>
  <c r="L218" i="4"/>
  <c r="K218" i="4"/>
  <c r="J218" i="4"/>
  <c r="A218" i="4"/>
  <c r="U217" i="4"/>
  <c r="T217" i="4"/>
  <c r="R217" i="4"/>
  <c r="Q217" i="4"/>
  <c r="S217" i="4" s="1"/>
  <c r="P217" i="4"/>
  <c r="F217" i="5" s="1"/>
  <c r="O217" i="4"/>
  <c r="E217" i="5" s="1"/>
  <c r="N217" i="4"/>
  <c r="M217" i="4"/>
  <c r="L217" i="4"/>
  <c r="K217" i="4"/>
  <c r="J217" i="4"/>
  <c r="A217" i="4"/>
  <c r="A211" i="6" s="1"/>
  <c r="U216" i="4"/>
  <c r="T216" i="4"/>
  <c r="R216" i="4"/>
  <c r="Q216" i="4"/>
  <c r="S216" i="4" s="1"/>
  <c r="P216" i="4"/>
  <c r="F216" i="5" s="1"/>
  <c r="O216" i="4"/>
  <c r="E216" i="5" s="1"/>
  <c r="N216" i="4"/>
  <c r="M216" i="4"/>
  <c r="L216" i="4"/>
  <c r="K216" i="4"/>
  <c r="J216" i="4"/>
  <c r="A216" i="4"/>
  <c r="U215" i="4"/>
  <c r="T215" i="4"/>
  <c r="R215" i="4"/>
  <c r="Q215" i="4"/>
  <c r="S215" i="4" s="1"/>
  <c r="P215" i="4"/>
  <c r="F215" i="5" s="1"/>
  <c r="O215" i="4"/>
  <c r="E215" i="5" s="1"/>
  <c r="N215" i="4"/>
  <c r="M215" i="4"/>
  <c r="L215" i="4"/>
  <c r="K215" i="4"/>
  <c r="J215" i="4"/>
  <c r="A215" i="4"/>
  <c r="U214" i="4"/>
  <c r="T214" i="4"/>
  <c r="R214" i="4"/>
  <c r="Q214" i="4"/>
  <c r="P214" i="4"/>
  <c r="F214" i="5" s="1"/>
  <c r="O214" i="4"/>
  <c r="E214" i="5" s="1"/>
  <c r="N214" i="4"/>
  <c r="M214" i="4"/>
  <c r="L214" i="4"/>
  <c r="K214" i="4"/>
  <c r="J214" i="4"/>
  <c r="A214" i="4"/>
  <c r="U213" i="4"/>
  <c r="T213" i="4"/>
  <c r="R213" i="4"/>
  <c r="Q213" i="4"/>
  <c r="S213" i="4" s="1"/>
  <c r="P213" i="4"/>
  <c r="F213" i="5" s="1"/>
  <c r="O213" i="4"/>
  <c r="E213" i="5" s="1"/>
  <c r="N213" i="4"/>
  <c r="M213" i="4"/>
  <c r="L213" i="4"/>
  <c r="K213" i="4"/>
  <c r="J213" i="4"/>
  <c r="A213" i="4"/>
  <c r="U212" i="4"/>
  <c r="T212" i="4"/>
  <c r="R212" i="4"/>
  <c r="Q212" i="4"/>
  <c r="P212" i="4"/>
  <c r="F212" i="5" s="1"/>
  <c r="O212" i="4"/>
  <c r="E212" i="5" s="1"/>
  <c r="N212" i="4"/>
  <c r="M212" i="4"/>
  <c r="L212" i="4"/>
  <c r="K212" i="4"/>
  <c r="J212" i="4"/>
  <c r="A212" i="4"/>
  <c r="A206" i="6" s="1"/>
  <c r="U211" i="4"/>
  <c r="T211" i="4"/>
  <c r="R211" i="4"/>
  <c r="Q211" i="4"/>
  <c r="S211" i="4" s="1"/>
  <c r="P211" i="4"/>
  <c r="F211" i="5" s="1"/>
  <c r="O211" i="4"/>
  <c r="E211" i="5" s="1"/>
  <c r="N211" i="4"/>
  <c r="M211" i="4"/>
  <c r="L211" i="4"/>
  <c r="K211" i="4"/>
  <c r="J211" i="4"/>
  <c r="A211" i="4"/>
  <c r="U210" i="4"/>
  <c r="T210" i="4"/>
  <c r="R210" i="4"/>
  <c r="Q210" i="4"/>
  <c r="P210" i="4"/>
  <c r="F210" i="5" s="1"/>
  <c r="O210" i="4"/>
  <c r="E210" i="5" s="1"/>
  <c r="N210" i="4"/>
  <c r="M210" i="4"/>
  <c r="L210" i="4"/>
  <c r="K210" i="4"/>
  <c r="J210" i="4"/>
  <c r="A210" i="4"/>
  <c r="U209" i="4"/>
  <c r="T209" i="4"/>
  <c r="R209" i="4"/>
  <c r="Q209" i="4"/>
  <c r="S209" i="4" s="1"/>
  <c r="P209" i="4"/>
  <c r="F209" i="5" s="1"/>
  <c r="O209" i="4"/>
  <c r="E209" i="5" s="1"/>
  <c r="N209" i="4"/>
  <c r="M209" i="4"/>
  <c r="L209" i="4"/>
  <c r="K209" i="4"/>
  <c r="J209" i="4"/>
  <c r="A209" i="4"/>
  <c r="U208" i="4"/>
  <c r="T208" i="4"/>
  <c r="S208" i="4"/>
  <c r="R208" i="4"/>
  <c r="Q208" i="4"/>
  <c r="P208" i="4"/>
  <c r="F208" i="5" s="1"/>
  <c r="O208" i="4"/>
  <c r="E208" i="5" s="1"/>
  <c r="N208" i="4"/>
  <c r="M208" i="4"/>
  <c r="L208" i="4"/>
  <c r="K208" i="4"/>
  <c r="J208" i="4"/>
  <c r="A208" i="4"/>
  <c r="U207" i="4"/>
  <c r="T207" i="4"/>
  <c r="R207" i="4"/>
  <c r="Q207" i="4"/>
  <c r="S207" i="4" s="1"/>
  <c r="P207" i="4"/>
  <c r="F207" i="5" s="1"/>
  <c r="O207" i="4"/>
  <c r="E207" i="5" s="1"/>
  <c r="N207" i="4"/>
  <c r="M207" i="4"/>
  <c r="L207" i="4"/>
  <c r="K207" i="4"/>
  <c r="J207" i="4"/>
  <c r="A207" i="4"/>
  <c r="U206" i="4"/>
  <c r="T206" i="4"/>
  <c r="R206" i="4"/>
  <c r="Q206" i="4"/>
  <c r="S206" i="4" s="1"/>
  <c r="P206" i="4"/>
  <c r="F206" i="5" s="1"/>
  <c r="O206" i="4"/>
  <c r="E206" i="5" s="1"/>
  <c r="N206" i="4"/>
  <c r="M206" i="4"/>
  <c r="L206" i="4"/>
  <c r="K206" i="4"/>
  <c r="J206" i="4"/>
  <c r="A206" i="4"/>
  <c r="U205" i="4"/>
  <c r="T205" i="4"/>
  <c r="R205" i="4"/>
  <c r="Q205" i="4"/>
  <c r="S205" i="4" s="1"/>
  <c r="P205" i="4"/>
  <c r="F205" i="5" s="1"/>
  <c r="O205" i="4"/>
  <c r="E205" i="5" s="1"/>
  <c r="N205" i="4"/>
  <c r="M205" i="4"/>
  <c r="L205" i="4"/>
  <c r="K205" i="4"/>
  <c r="J205" i="4"/>
  <c r="A205" i="4"/>
  <c r="A199" i="6" s="1"/>
  <c r="U204" i="4"/>
  <c r="T204" i="4"/>
  <c r="R204" i="4"/>
  <c r="Q204" i="4"/>
  <c r="S204" i="4" s="1"/>
  <c r="P204" i="4"/>
  <c r="F204" i="5" s="1"/>
  <c r="O204" i="4"/>
  <c r="E204" i="5" s="1"/>
  <c r="N204" i="4"/>
  <c r="M204" i="4"/>
  <c r="L204" i="4"/>
  <c r="K204" i="4"/>
  <c r="J204" i="4"/>
  <c r="A204" i="4"/>
  <c r="U203" i="4"/>
  <c r="T203" i="4"/>
  <c r="R203" i="4"/>
  <c r="Q203" i="4"/>
  <c r="S203" i="4" s="1"/>
  <c r="P203" i="4"/>
  <c r="F203" i="5" s="1"/>
  <c r="O203" i="4"/>
  <c r="E203" i="5" s="1"/>
  <c r="N203" i="4"/>
  <c r="M203" i="4"/>
  <c r="L203" i="4"/>
  <c r="K203" i="4"/>
  <c r="J203" i="4"/>
  <c r="A203" i="4"/>
  <c r="U202" i="4"/>
  <c r="T202" i="4"/>
  <c r="R202" i="4"/>
  <c r="S202" i="4" s="1"/>
  <c r="Q202" i="4"/>
  <c r="P202" i="4"/>
  <c r="F202" i="5" s="1"/>
  <c r="O202" i="4"/>
  <c r="E202" i="5" s="1"/>
  <c r="N202" i="4"/>
  <c r="M202" i="4"/>
  <c r="L202" i="4"/>
  <c r="K202" i="4"/>
  <c r="J202" i="4"/>
  <c r="A202" i="4"/>
  <c r="U201" i="4"/>
  <c r="T201" i="4"/>
  <c r="R201" i="4"/>
  <c r="Q201" i="4"/>
  <c r="S201" i="4" s="1"/>
  <c r="P201" i="4"/>
  <c r="F201" i="5" s="1"/>
  <c r="O201" i="4"/>
  <c r="E201" i="5" s="1"/>
  <c r="N201" i="4"/>
  <c r="M201" i="4"/>
  <c r="L201" i="4"/>
  <c r="K201" i="4"/>
  <c r="J201" i="4"/>
  <c r="A201" i="4"/>
  <c r="U200" i="4"/>
  <c r="T200" i="4"/>
  <c r="R200" i="4"/>
  <c r="Q200" i="4"/>
  <c r="P200" i="4"/>
  <c r="F200" i="5" s="1"/>
  <c r="O200" i="4"/>
  <c r="E200" i="5" s="1"/>
  <c r="N200" i="4"/>
  <c r="M200" i="4"/>
  <c r="L200" i="4"/>
  <c r="K200" i="4"/>
  <c r="J200" i="4"/>
  <c r="A200" i="4"/>
  <c r="A194" i="6" s="1"/>
  <c r="U199" i="4"/>
  <c r="T199" i="4"/>
  <c r="S199" i="4"/>
  <c r="R199" i="4"/>
  <c r="Q199" i="4"/>
  <c r="P199" i="4"/>
  <c r="F199" i="5" s="1"/>
  <c r="O199" i="4"/>
  <c r="E199" i="5" s="1"/>
  <c r="N199" i="4"/>
  <c r="M199" i="4"/>
  <c r="L199" i="4"/>
  <c r="K199" i="4"/>
  <c r="J199" i="4"/>
  <c r="A199" i="4"/>
  <c r="U198" i="4"/>
  <c r="T198" i="4"/>
  <c r="R198" i="4"/>
  <c r="Q198" i="4"/>
  <c r="P198" i="4"/>
  <c r="F198" i="5" s="1"/>
  <c r="O198" i="4"/>
  <c r="E198" i="5" s="1"/>
  <c r="N198" i="4"/>
  <c r="M198" i="4"/>
  <c r="L198" i="4"/>
  <c r="K198" i="4"/>
  <c r="J198" i="4"/>
  <c r="A198" i="4"/>
  <c r="U197" i="4"/>
  <c r="T197" i="4"/>
  <c r="R197" i="4"/>
  <c r="Q197" i="4"/>
  <c r="S197" i="4" s="1"/>
  <c r="P197" i="4"/>
  <c r="F197" i="5" s="1"/>
  <c r="O197" i="4"/>
  <c r="E197" i="5" s="1"/>
  <c r="N197" i="4"/>
  <c r="M197" i="4"/>
  <c r="L197" i="4"/>
  <c r="K197" i="4"/>
  <c r="J197" i="4"/>
  <c r="A197" i="4"/>
  <c r="U196" i="4"/>
  <c r="T196" i="4"/>
  <c r="R196" i="4"/>
  <c r="Q196" i="4"/>
  <c r="S196" i="4" s="1"/>
  <c r="P196" i="4"/>
  <c r="F196" i="5" s="1"/>
  <c r="O196" i="4"/>
  <c r="E196" i="5" s="1"/>
  <c r="N196" i="4"/>
  <c r="M196" i="4"/>
  <c r="L196" i="4"/>
  <c r="K196" i="4"/>
  <c r="J196" i="4"/>
  <c r="A196" i="4"/>
  <c r="U195" i="4"/>
  <c r="T195" i="4"/>
  <c r="R195" i="4"/>
  <c r="Q195" i="4"/>
  <c r="S195" i="4" s="1"/>
  <c r="P195" i="4"/>
  <c r="F195" i="5" s="1"/>
  <c r="O195" i="4"/>
  <c r="E195" i="5" s="1"/>
  <c r="N195" i="4"/>
  <c r="M195" i="4"/>
  <c r="L195" i="4"/>
  <c r="K195" i="4"/>
  <c r="J195" i="4"/>
  <c r="A195" i="4"/>
  <c r="U194" i="4"/>
  <c r="T194" i="4"/>
  <c r="R194" i="4"/>
  <c r="Q194" i="4"/>
  <c r="S194" i="4" s="1"/>
  <c r="P194" i="4"/>
  <c r="F194" i="5" s="1"/>
  <c r="O194" i="4"/>
  <c r="E194" i="5" s="1"/>
  <c r="N194" i="4"/>
  <c r="M194" i="4"/>
  <c r="L194" i="4"/>
  <c r="K194" i="4"/>
  <c r="J194" i="4"/>
  <c r="A194" i="4"/>
  <c r="U193" i="4"/>
  <c r="T193" i="4"/>
  <c r="R193" i="4"/>
  <c r="Q193" i="4"/>
  <c r="S193" i="4" s="1"/>
  <c r="P193" i="4"/>
  <c r="F193" i="5" s="1"/>
  <c r="O193" i="4"/>
  <c r="E193" i="5" s="1"/>
  <c r="N193" i="4"/>
  <c r="M193" i="4"/>
  <c r="L193" i="4"/>
  <c r="K193" i="4"/>
  <c r="J193" i="4"/>
  <c r="A193" i="4"/>
  <c r="A187" i="6" s="1"/>
  <c r="U192" i="4"/>
  <c r="T192" i="4"/>
  <c r="R192" i="4"/>
  <c r="Q192" i="4"/>
  <c r="S192" i="4" s="1"/>
  <c r="P192" i="4"/>
  <c r="F192" i="5" s="1"/>
  <c r="O192" i="4"/>
  <c r="E192" i="5" s="1"/>
  <c r="N192" i="4"/>
  <c r="M192" i="4"/>
  <c r="L192" i="4"/>
  <c r="K192" i="4"/>
  <c r="J192" i="4"/>
  <c r="A192" i="4"/>
  <c r="U191" i="4"/>
  <c r="T191" i="4"/>
  <c r="R191" i="4"/>
  <c r="Q191" i="4"/>
  <c r="S191" i="4" s="1"/>
  <c r="P191" i="4"/>
  <c r="F191" i="5" s="1"/>
  <c r="O191" i="4"/>
  <c r="E191" i="5" s="1"/>
  <c r="N191" i="4"/>
  <c r="M191" i="4"/>
  <c r="L191" i="4"/>
  <c r="K191" i="4"/>
  <c r="J191" i="4"/>
  <c r="A191" i="4"/>
  <c r="U190" i="4"/>
  <c r="T190" i="4"/>
  <c r="R190" i="4"/>
  <c r="Q190" i="4"/>
  <c r="P190" i="4"/>
  <c r="F190" i="5" s="1"/>
  <c r="O190" i="4"/>
  <c r="E190" i="5" s="1"/>
  <c r="N190" i="4"/>
  <c r="M190" i="4"/>
  <c r="L190" i="4"/>
  <c r="K190" i="4"/>
  <c r="J190" i="4"/>
  <c r="A190" i="4"/>
  <c r="U189" i="4"/>
  <c r="T189" i="4"/>
  <c r="R189" i="4"/>
  <c r="Q189" i="4"/>
  <c r="S189" i="4" s="1"/>
  <c r="P189" i="4"/>
  <c r="F189" i="5" s="1"/>
  <c r="O189" i="4"/>
  <c r="E189" i="5" s="1"/>
  <c r="N189" i="4"/>
  <c r="M189" i="4"/>
  <c r="L189" i="4"/>
  <c r="K189" i="4"/>
  <c r="J189" i="4"/>
  <c r="A189" i="4"/>
  <c r="U188" i="4"/>
  <c r="T188" i="4"/>
  <c r="R188" i="4"/>
  <c r="Q188" i="4"/>
  <c r="P188" i="4"/>
  <c r="F188" i="5" s="1"/>
  <c r="O188" i="4"/>
  <c r="E188" i="5" s="1"/>
  <c r="N188" i="4"/>
  <c r="M188" i="4"/>
  <c r="L188" i="4"/>
  <c r="K188" i="4"/>
  <c r="J188" i="4"/>
  <c r="A188" i="4"/>
  <c r="A182" i="6" s="1"/>
  <c r="U187" i="4"/>
  <c r="T187" i="4"/>
  <c r="R187" i="4"/>
  <c r="Q187" i="4"/>
  <c r="S187" i="4" s="1"/>
  <c r="P187" i="4"/>
  <c r="F187" i="5" s="1"/>
  <c r="O187" i="4"/>
  <c r="E187" i="5" s="1"/>
  <c r="N187" i="4"/>
  <c r="M187" i="4"/>
  <c r="L187" i="4"/>
  <c r="K187" i="4"/>
  <c r="J187" i="4"/>
  <c r="A187" i="4"/>
  <c r="U186" i="4"/>
  <c r="T186" i="4"/>
  <c r="R186" i="4"/>
  <c r="Q186" i="4"/>
  <c r="P186" i="4"/>
  <c r="F186" i="5" s="1"/>
  <c r="O186" i="4"/>
  <c r="E186" i="5" s="1"/>
  <c r="N186" i="4"/>
  <c r="M186" i="4"/>
  <c r="L186" i="4"/>
  <c r="K186" i="4"/>
  <c r="J186" i="4"/>
  <c r="A186" i="4"/>
  <c r="U185" i="4"/>
  <c r="T185" i="4"/>
  <c r="S185" i="4"/>
  <c r="R185" i="4"/>
  <c r="Q185" i="4"/>
  <c r="P185" i="4"/>
  <c r="F185" i="5" s="1"/>
  <c r="O185" i="4"/>
  <c r="E185" i="5" s="1"/>
  <c r="N185" i="4"/>
  <c r="M185" i="4"/>
  <c r="L185" i="4"/>
  <c r="K185" i="4"/>
  <c r="J185" i="4"/>
  <c r="A185" i="4"/>
  <c r="U184" i="4"/>
  <c r="T184" i="4"/>
  <c r="S184" i="4"/>
  <c r="R184" i="4"/>
  <c r="Q184" i="4"/>
  <c r="P184" i="4"/>
  <c r="F184" i="5" s="1"/>
  <c r="O184" i="4"/>
  <c r="E184" i="5" s="1"/>
  <c r="N184" i="4"/>
  <c r="M184" i="4"/>
  <c r="L184" i="4"/>
  <c r="K184" i="4"/>
  <c r="J184" i="4"/>
  <c r="A184" i="4"/>
  <c r="U183" i="4"/>
  <c r="T183" i="4"/>
  <c r="R183" i="4"/>
  <c r="Q183" i="4"/>
  <c r="S183" i="4" s="1"/>
  <c r="P183" i="4"/>
  <c r="F183" i="5" s="1"/>
  <c r="O183" i="4"/>
  <c r="E183" i="5" s="1"/>
  <c r="N183" i="4"/>
  <c r="M183" i="4"/>
  <c r="L183" i="4"/>
  <c r="K183" i="4"/>
  <c r="J183" i="4"/>
  <c r="A183" i="4"/>
  <c r="U182" i="4"/>
  <c r="T182" i="4"/>
  <c r="R182" i="4"/>
  <c r="Q182" i="4"/>
  <c r="S182" i="4" s="1"/>
  <c r="P182" i="4"/>
  <c r="F182" i="5" s="1"/>
  <c r="O182" i="4"/>
  <c r="E182" i="5" s="1"/>
  <c r="N182" i="4"/>
  <c r="M182" i="4"/>
  <c r="L182" i="4"/>
  <c r="K182" i="4"/>
  <c r="J182" i="4"/>
  <c r="A182" i="4"/>
  <c r="U181" i="4"/>
  <c r="T181" i="4"/>
  <c r="R181" i="4"/>
  <c r="Q181" i="4"/>
  <c r="S181" i="4" s="1"/>
  <c r="P181" i="4"/>
  <c r="F181" i="5" s="1"/>
  <c r="O181" i="4"/>
  <c r="E181" i="5" s="1"/>
  <c r="N181" i="4"/>
  <c r="M181" i="4"/>
  <c r="L181" i="4"/>
  <c r="K181" i="4"/>
  <c r="J181" i="4"/>
  <c r="A181" i="4"/>
  <c r="A175" i="6" s="1"/>
  <c r="U180" i="4"/>
  <c r="T180" i="4"/>
  <c r="R180" i="4"/>
  <c r="Q180" i="4"/>
  <c r="S180" i="4" s="1"/>
  <c r="P180" i="4"/>
  <c r="F180" i="5" s="1"/>
  <c r="O180" i="4"/>
  <c r="E180" i="5" s="1"/>
  <c r="N180" i="4"/>
  <c r="M180" i="4"/>
  <c r="L180" i="4"/>
  <c r="K180" i="4"/>
  <c r="J180" i="4"/>
  <c r="A180" i="4"/>
  <c r="U179" i="4"/>
  <c r="T179" i="4"/>
  <c r="R179" i="4"/>
  <c r="Q179" i="4"/>
  <c r="S179" i="4" s="1"/>
  <c r="P179" i="4"/>
  <c r="F179" i="5" s="1"/>
  <c r="O179" i="4"/>
  <c r="E179" i="5" s="1"/>
  <c r="N179" i="4"/>
  <c r="M179" i="4"/>
  <c r="L179" i="4"/>
  <c r="K179" i="4"/>
  <c r="J179" i="4"/>
  <c r="A179" i="4"/>
  <c r="U178" i="4"/>
  <c r="T178" i="4"/>
  <c r="R178" i="4"/>
  <c r="Q178" i="4"/>
  <c r="P178" i="4"/>
  <c r="F178" i="5" s="1"/>
  <c r="O178" i="4"/>
  <c r="E178" i="5" s="1"/>
  <c r="N178" i="4"/>
  <c r="M178" i="4"/>
  <c r="L178" i="4"/>
  <c r="K178" i="4"/>
  <c r="J178" i="4"/>
  <c r="A178" i="4"/>
  <c r="U177" i="4"/>
  <c r="T177" i="4"/>
  <c r="R177" i="4"/>
  <c r="Q177" i="4"/>
  <c r="S177" i="4" s="1"/>
  <c r="P177" i="4"/>
  <c r="F177" i="5" s="1"/>
  <c r="O177" i="4"/>
  <c r="E177" i="5" s="1"/>
  <c r="N177" i="4"/>
  <c r="M177" i="4"/>
  <c r="L177" i="4"/>
  <c r="K177" i="4"/>
  <c r="J177" i="4"/>
  <c r="A177" i="4"/>
  <c r="U176" i="4"/>
  <c r="T176" i="4"/>
  <c r="R176" i="4"/>
  <c r="Q176" i="4"/>
  <c r="P176" i="4"/>
  <c r="F176" i="5" s="1"/>
  <c r="O176" i="4"/>
  <c r="E176" i="5" s="1"/>
  <c r="N176" i="4"/>
  <c r="M176" i="4"/>
  <c r="L176" i="4"/>
  <c r="K176" i="4"/>
  <c r="J176" i="4"/>
  <c r="A176" i="4"/>
  <c r="A170" i="6" s="1"/>
  <c r="U175" i="4"/>
  <c r="T175" i="4"/>
  <c r="R175" i="4"/>
  <c r="Q175" i="4"/>
  <c r="S175" i="4" s="1"/>
  <c r="P175" i="4"/>
  <c r="F175" i="5" s="1"/>
  <c r="O175" i="4"/>
  <c r="E175" i="5" s="1"/>
  <c r="N175" i="4"/>
  <c r="M175" i="4"/>
  <c r="L175" i="4"/>
  <c r="K175" i="4"/>
  <c r="J175" i="4"/>
  <c r="A175" i="4"/>
  <c r="U174" i="4"/>
  <c r="T174" i="4"/>
  <c r="R174" i="4"/>
  <c r="Q174" i="4"/>
  <c r="S174" i="4" s="1"/>
  <c r="P174" i="4"/>
  <c r="F174" i="5" s="1"/>
  <c r="O174" i="4"/>
  <c r="E174" i="5" s="1"/>
  <c r="N174" i="4"/>
  <c r="M174" i="4"/>
  <c r="L174" i="4"/>
  <c r="K174" i="4"/>
  <c r="J174" i="4"/>
  <c r="A174" i="4"/>
  <c r="U173" i="4"/>
  <c r="T173" i="4"/>
  <c r="R173" i="4"/>
  <c r="Q173" i="4"/>
  <c r="S173" i="4" s="1"/>
  <c r="P173" i="4"/>
  <c r="F173" i="5" s="1"/>
  <c r="O173" i="4"/>
  <c r="E173" i="5" s="1"/>
  <c r="N173" i="4"/>
  <c r="M173" i="4"/>
  <c r="L173" i="4"/>
  <c r="K173" i="4"/>
  <c r="J173" i="4"/>
  <c r="A173" i="4"/>
  <c r="U172" i="4"/>
  <c r="T172" i="4"/>
  <c r="R172" i="4"/>
  <c r="Q172" i="4"/>
  <c r="S172" i="4" s="1"/>
  <c r="P172" i="4"/>
  <c r="F172" i="5" s="1"/>
  <c r="O172" i="4"/>
  <c r="E172" i="5" s="1"/>
  <c r="N172" i="4"/>
  <c r="M172" i="4"/>
  <c r="L172" i="4"/>
  <c r="K172" i="4"/>
  <c r="J172" i="4"/>
  <c r="A172" i="4"/>
  <c r="U171" i="4"/>
  <c r="T171" i="4"/>
  <c r="R171" i="4"/>
  <c r="Q171" i="4"/>
  <c r="S171" i="4" s="1"/>
  <c r="P171" i="4"/>
  <c r="F171" i="5" s="1"/>
  <c r="O171" i="4"/>
  <c r="E171" i="5" s="1"/>
  <c r="N171" i="4"/>
  <c r="M171" i="4"/>
  <c r="L171" i="4"/>
  <c r="K171" i="4"/>
  <c r="J171" i="4"/>
  <c r="A171" i="4"/>
  <c r="U170" i="4"/>
  <c r="T170" i="4"/>
  <c r="R170" i="4"/>
  <c r="Q170" i="4"/>
  <c r="S170" i="4" s="1"/>
  <c r="P170" i="4"/>
  <c r="F170" i="5" s="1"/>
  <c r="O170" i="4"/>
  <c r="E170" i="5" s="1"/>
  <c r="N170" i="4"/>
  <c r="M170" i="4"/>
  <c r="L170" i="4"/>
  <c r="K170" i="4"/>
  <c r="J170" i="4"/>
  <c r="A170" i="4"/>
  <c r="U169" i="4"/>
  <c r="T169" i="4"/>
  <c r="R169" i="4"/>
  <c r="Q169" i="4"/>
  <c r="S169" i="4" s="1"/>
  <c r="P169" i="4"/>
  <c r="F169" i="5" s="1"/>
  <c r="O169" i="4"/>
  <c r="E169" i="5" s="1"/>
  <c r="N169" i="4"/>
  <c r="M169" i="4"/>
  <c r="L169" i="4"/>
  <c r="K169" i="4"/>
  <c r="J169" i="4"/>
  <c r="A169" i="4"/>
  <c r="A163" i="6" s="1"/>
  <c r="U168" i="4"/>
  <c r="T168" i="4"/>
  <c r="R168" i="4"/>
  <c r="Q168" i="4"/>
  <c r="S168" i="4" s="1"/>
  <c r="P168" i="4"/>
  <c r="F168" i="5" s="1"/>
  <c r="O168" i="4"/>
  <c r="E168" i="5" s="1"/>
  <c r="N168" i="4"/>
  <c r="M168" i="4"/>
  <c r="L168" i="4"/>
  <c r="K168" i="4"/>
  <c r="J168" i="4"/>
  <c r="A168" i="4"/>
  <c r="U167" i="4"/>
  <c r="T167" i="4"/>
  <c r="R167" i="4"/>
  <c r="Q167" i="4"/>
  <c r="S167" i="4" s="1"/>
  <c r="P167" i="4"/>
  <c r="F167" i="5" s="1"/>
  <c r="O167" i="4"/>
  <c r="E167" i="5" s="1"/>
  <c r="N167" i="4"/>
  <c r="M167" i="4"/>
  <c r="L167" i="4"/>
  <c r="K167" i="4"/>
  <c r="J167" i="4"/>
  <c r="A167" i="4"/>
  <c r="U166" i="4"/>
  <c r="T166" i="4"/>
  <c r="R166" i="4"/>
  <c r="Q166" i="4"/>
  <c r="P166" i="4"/>
  <c r="F166" i="5" s="1"/>
  <c r="O166" i="4"/>
  <c r="E166" i="5" s="1"/>
  <c r="N166" i="4"/>
  <c r="M166" i="4"/>
  <c r="L166" i="4"/>
  <c r="K166" i="4"/>
  <c r="J166" i="4"/>
  <c r="A166" i="4"/>
  <c r="U165" i="4"/>
  <c r="T165" i="4"/>
  <c r="R165" i="4"/>
  <c r="Q165" i="4"/>
  <c r="S165" i="4" s="1"/>
  <c r="P165" i="4"/>
  <c r="F165" i="5" s="1"/>
  <c r="O165" i="4"/>
  <c r="E165" i="5" s="1"/>
  <c r="N165" i="4"/>
  <c r="M165" i="4"/>
  <c r="L165" i="4"/>
  <c r="K165" i="4"/>
  <c r="J165" i="4"/>
  <c r="A165" i="4"/>
  <c r="U164" i="4"/>
  <c r="T164" i="4"/>
  <c r="R164" i="4"/>
  <c r="Q164" i="4"/>
  <c r="P164" i="4"/>
  <c r="F164" i="5" s="1"/>
  <c r="O164" i="4"/>
  <c r="E164" i="5" s="1"/>
  <c r="N164" i="4"/>
  <c r="M164" i="4"/>
  <c r="L164" i="4"/>
  <c r="K164" i="4"/>
  <c r="J164" i="4"/>
  <c r="A164" i="4"/>
  <c r="A158" i="6" s="1"/>
  <c r="U163" i="4"/>
  <c r="T163" i="4"/>
  <c r="R163" i="4"/>
  <c r="Q163" i="4"/>
  <c r="S163" i="4" s="1"/>
  <c r="P163" i="4"/>
  <c r="F163" i="5" s="1"/>
  <c r="O163" i="4"/>
  <c r="E163" i="5" s="1"/>
  <c r="N163" i="4"/>
  <c r="M163" i="4"/>
  <c r="L163" i="4"/>
  <c r="K163" i="4"/>
  <c r="J163" i="4"/>
  <c r="A163" i="4"/>
  <c r="U162" i="4"/>
  <c r="T162" i="4"/>
  <c r="R162" i="4"/>
  <c r="Q162" i="4"/>
  <c r="P162" i="4"/>
  <c r="F162" i="5" s="1"/>
  <c r="O162" i="4"/>
  <c r="E162" i="5" s="1"/>
  <c r="N162" i="4"/>
  <c r="M162" i="4"/>
  <c r="L162" i="4"/>
  <c r="K162" i="4"/>
  <c r="J162" i="4"/>
  <c r="A162" i="4"/>
  <c r="U161" i="4"/>
  <c r="T161" i="4"/>
  <c r="R161" i="4"/>
  <c r="Q161" i="4"/>
  <c r="S161" i="4" s="1"/>
  <c r="P161" i="4"/>
  <c r="F161" i="5" s="1"/>
  <c r="O161" i="4"/>
  <c r="E161" i="5" s="1"/>
  <c r="N161" i="4"/>
  <c r="M161" i="4"/>
  <c r="L161" i="4"/>
  <c r="K161" i="4"/>
  <c r="J161" i="4"/>
  <c r="A161" i="4"/>
  <c r="U160" i="4"/>
  <c r="T160" i="4"/>
  <c r="R160" i="4"/>
  <c r="Q160" i="4"/>
  <c r="S160" i="4" s="1"/>
  <c r="P160" i="4"/>
  <c r="F160" i="5" s="1"/>
  <c r="O160" i="4"/>
  <c r="E160" i="5" s="1"/>
  <c r="N160" i="4"/>
  <c r="M160" i="4"/>
  <c r="L160" i="4"/>
  <c r="K160" i="4"/>
  <c r="J160" i="4"/>
  <c r="A160" i="4"/>
  <c r="U159" i="4"/>
  <c r="T159" i="4"/>
  <c r="R159" i="4"/>
  <c r="Q159" i="4"/>
  <c r="S159" i="4" s="1"/>
  <c r="P159" i="4"/>
  <c r="F159" i="5" s="1"/>
  <c r="O159" i="4"/>
  <c r="E159" i="5" s="1"/>
  <c r="N159" i="4"/>
  <c r="M159" i="4"/>
  <c r="L159" i="4"/>
  <c r="K159" i="4"/>
  <c r="J159" i="4"/>
  <c r="A159" i="4"/>
  <c r="U158" i="4"/>
  <c r="T158" i="4"/>
  <c r="R158" i="4"/>
  <c r="Q158" i="4"/>
  <c r="S158" i="4" s="1"/>
  <c r="P158" i="4"/>
  <c r="F158" i="5" s="1"/>
  <c r="O158" i="4"/>
  <c r="E158" i="5" s="1"/>
  <c r="N158" i="4"/>
  <c r="M158" i="4"/>
  <c r="L158" i="4"/>
  <c r="K158" i="4"/>
  <c r="J158" i="4"/>
  <c r="A158" i="4"/>
  <c r="U157" i="4"/>
  <c r="T157" i="4"/>
  <c r="R157" i="4"/>
  <c r="Q157" i="4"/>
  <c r="S157" i="4" s="1"/>
  <c r="P157" i="4"/>
  <c r="F157" i="5" s="1"/>
  <c r="O157" i="4"/>
  <c r="E157" i="5" s="1"/>
  <c r="N157" i="4"/>
  <c r="M157" i="4"/>
  <c r="L157" i="4"/>
  <c r="K157" i="4"/>
  <c r="J157" i="4"/>
  <c r="A157" i="4"/>
  <c r="A151" i="6" s="1"/>
  <c r="U156" i="4"/>
  <c r="T156" i="4"/>
  <c r="S156" i="4"/>
  <c r="R156" i="4"/>
  <c r="Q156" i="4"/>
  <c r="P156" i="4"/>
  <c r="F156" i="5" s="1"/>
  <c r="O156" i="4"/>
  <c r="E156" i="5" s="1"/>
  <c r="N156" i="4"/>
  <c r="M156" i="4"/>
  <c r="L156" i="4"/>
  <c r="K156" i="4"/>
  <c r="J156" i="4"/>
  <c r="A156" i="4"/>
  <c r="U155" i="4"/>
  <c r="T155" i="4"/>
  <c r="R155" i="4"/>
  <c r="Q155" i="4"/>
  <c r="S155" i="4" s="1"/>
  <c r="P155" i="4"/>
  <c r="F155" i="5" s="1"/>
  <c r="O155" i="4"/>
  <c r="E155" i="5" s="1"/>
  <c r="N155" i="4"/>
  <c r="M155" i="4"/>
  <c r="L155" i="4"/>
  <c r="K155" i="4"/>
  <c r="J155" i="4"/>
  <c r="A155" i="4"/>
  <c r="U154" i="4"/>
  <c r="T154" i="4"/>
  <c r="R154" i="4"/>
  <c r="Q154" i="4"/>
  <c r="P154" i="4"/>
  <c r="F154" i="5" s="1"/>
  <c r="O154" i="4"/>
  <c r="E154" i="5" s="1"/>
  <c r="N154" i="4"/>
  <c r="M154" i="4"/>
  <c r="L154" i="4"/>
  <c r="K154" i="4"/>
  <c r="J154" i="4"/>
  <c r="A154" i="4"/>
  <c r="U153" i="4"/>
  <c r="T153" i="4"/>
  <c r="R153" i="4"/>
  <c r="Q153" i="4"/>
  <c r="S153" i="4" s="1"/>
  <c r="P153" i="4"/>
  <c r="F153" i="5" s="1"/>
  <c r="O153" i="4"/>
  <c r="E153" i="5" s="1"/>
  <c r="N153" i="4"/>
  <c r="M153" i="4"/>
  <c r="L153" i="4"/>
  <c r="K153" i="4"/>
  <c r="J153" i="4"/>
  <c r="A153" i="4"/>
  <c r="U152" i="4"/>
  <c r="T152" i="4"/>
  <c r="R152" i="4"/>
  <c r="Q152" i="4"/>
  <c r="P152" i="4"/>
  <c r="F152" i="5" s="1"/>
  <c r="O152" i="4"/>
  <c r="E152" i="5" s="1"/>
  <c r="N152" i="4"/>
  <c r="M152" i="4"/>
  <c r="L152" i="4"/>
  <c r="K152" i="4"/>
  <c r="J152" i="4"/>
  <c r="A152" i="4"/>
  <c r="A146" i="6" s="1"/>
  <c r="U151" i="4"/>
  <c r="T151" i="4"/>
  <c r="R151" i="4"/>
  <c r="Q151" i="4"/>
  <c r="S151" i="4" s="1"/>
  <c r="P151" i="4"/>
  <c r="F151" i="5" s="1"/>
  <c r="O151" i="4"/>
  <c r="E151" i="5" s="1"/>
  <c r="N151" i="4"/>
  <c r="M151" i="4"/>
  <c r="L151" i="4"/>
  <c r="K151" i="4"/>
  <c r="J151" i="4"/>
  <c r="A151" i="4"/>
  <c r="A145" i="6" s="1"/>
  <c r="U150" i="4"/>
  <c r="T150" i="4"/>
  <c r="R150" i="4"/>
  <c r="Q150" i="4"/>
  <c r="S150" i="4" s="1"/>
  <c r="P150" i="4"/>
  <c r="F150" i="5" s="1"/>
  <c r="O150" i="4"/>
  <c r="E150" i="5" s="1"/>
  <c r="N150" i="4"/>
  <c r="M150" i="4"/>
  <c r="L150" i="4"/>
  <c r="K150" i="4"/>
  <c r="J150" i="4"/>
  <c r="A150" i="4"/>
  <c r="U149" i="4"/>
  <c r="T149" i="4"/>
  <c r="S149" i="4"/>
  <c r="R149" i="4"/>
  <c r="Q149" i="4"/>
  <c r="P149" i="4"/>
  <c r="F149" i="5" s="1"/>
  <c r="O149" i="4"/>
  <c r="E149" i="5" s="1"/>
  <c r="N149" i="4"/>
  <c r="M149" i="4"/>
  <c r="L149" i="4"/>
  <c r="K149" i="4"/>
  <c r="J149" i="4"/>
  <c r="A149" i="4"/>
  <c r="U148" i="4"/>
  <c r="T148" i="4"/>
  <c r="R148" i="4"/>
  <c r="Q148" i="4"/>
  <c r="S148" i="4" s="1"/>
  <c r="P148" i="4"/>
  <c r="F148" i="5" s="1"/>
  <c r="O148" i="4"/>
  <c r="E148" i="5" s="1"/>
  <c r="N148" i="4"/>
  <c r="M148" i="4"/>
  <c r="L148" i="4"/>
  <c r="K148" i="4"/>
  <c r="J148" i="4"/>
  <c r="A148" i="4"/>
  <c r="U147" i="4"/>
  <c r="T147" i="4"/>
  <c r="R147" i="4"/>
  <c r="Q147" i="4"/>
  <c r="S147" i="4" s="1"/>
  <c r="P147" i="4"/>
  <c r="F147" i="5" s="1"/>
  <c r="O147" i="4"/>
  <c r="E147" i="5" s="1"/>
  <c r="N147" i="4"/>
  <c r="M147" i="4"/>
  <c r="L147" i="4"/>
  <c r="K147" i="4"/>
  <c r="J147" i="4"/>
  <c r="A147" i="4"/>
  <c r="U146" i="4"/>
  <c r="T146" i="4"/>
  <c r="R146" i="4"/>
  <c r="Q146" i="4"/>
  <c r="S146" i="4" s="1"/>
  <c r="P146" i="4"/>
  <c r="F146" i="5" s="1"/>
  <c r="O146" i="4"/>
  <c r="E146" i="5" s="1"/>
  <c r="N146" i="4"/>
  <c r="M146" i="4"/>
  <c r="L146" i="4"/>
  <c r="K146" i="4"/>
  <c r="J146" i="4"/>
  <c r="A146" i="4"/>
  <c r="A140" i="6" s="1"/>
  <c r="U145" i="4"/>
  <c r="T145" i="4"/>
  <c r="R145" i="4"/>
  <c r="Q145" i="4"/>
  <c r="S145" i="4" s="1"/>
  <c r="P145" i="4"/>
  <c r="F145" i="5" s="1"/>
  <c r="O145" i="4"/>
  <c r="E145" i="5" s="1"/>
  <c r="N145" i="4"/>
  <c r="M145" i="4"/>
  <c r="L145" i="4"/>
  <c r="K145" i="4"/>
  <c r="J145" i="4"/>
  <c r="A145" i="4"/>
  <c r="A139" i="6" s="1"/>
  <c r="U144" i="4"/>
  <c r="T144" i="4"/>
  <c r="R144" i="4"/>
  <c r="Q144" i="4"/>
  <c r="S144" i="4" s="1"/>
  <c r="P144" i="4"/>
  <c r="F144" i="5" s="1"/>
  <c r="O144" i="4"/>
  <c r="E144" i="5" s="1"/>
  <c r="N144" i="4"/>
  <c r="M144" i="4"/>
  <c r="L144" i="4"/>
  <c r="K144" i="4"/>
  <c r="J144" i="4"/>
  <c r="A144" i="4"/>
  <c r="U143" i="4"/>
  <c r="T143" i="4"/>
  <c r="R143" i="4"/>
  <c r="Q143" i="4"/>
  <c r="S143" i="4" s="1"/>
  <c r="P143" i="4"/>
  <c r="F143" i="5" s="1"/>
  <c r="O143" i="4"/>
  <c r="E143" i="5" s="1"/>
  <c r="N143" i="4"/>
  <c r="M143" i="4"/>
  <c r="L143" i="4"/>
  <c r="K143" i="4"/>
  <c r="J143" i="4"/>
  <c r="A143" i="4"/>
  <c r="U142" i="4"/>
  <c r="T142" i="4"/>
  <c r="R142" i="4"/>
  <c r="Q142" i="4"/>
  <c r="P142" i="4"/>
  <c r="F142" i="5" s="1"/>
  <c r="O142" i="4"/>
  <c r="E142" i="5" s="1"/>
  <c r="N142" i="4"/>
  <c r="M142" i="4"/>
  <c r="L142" i="4"/>
  <c r="K142" i="4"/>
  <c r="J142" i="4"/>
  <c r="A142" i="4"/>
  <c r="U141" i="4"/>
  <c r="T141" i="4"/>
  <c r="R141" i="4"/>
  <c r="Q141" i="4"/>
  <c r="S141" i="4" s="1"/>
  <c r="P141" i="4"/>
  <c r="F141" i="5" s="1"/>
  <c r="O141" i="4"/>
  <c r="E141" i="5" s="1"/>
  <c r="N141" i="4"/>
  <c r="M141" i="4"/>
  <c r="L141" i="4"/>
  <c r="K141" i="4"/>
  <c r="J141" i="4"/>
  <c r="A141" i="4"/>
  <c r="U140" i="4"/>
  <c r="T140" i="4"/>
  <c r="R140" i="4"/>
  <c r="Q140" i="4"/>
  <c r="P140" i="4"/>
  <c r="F140" i="5" s="1"/>
  <c r="O140" i="4"/>
  <c r="E140" i="5" s="1"/>
  <c r="N140" i="4"/>
  <c r="M140" i="4"/>
  <c r="L140" i="4"/>
  <c r="K140" i="4"/>
  <c r="J140" i="4"/>
  <c r="A140" i="4"/>
  <c r="A134" i="6" s="1"/>
  <c r="U139" i="4"/>
  <c r="T139" i="4"/>
  <c r="R139" i="4"/>
  <c r="Q139" i="4"/>
  <c r="S139" i="4" s="1"/>
  <c r="P139" i="4"/>
  <c r="F139" i="5" s="1"/>
  <c r="O139" i="4"/>
  <c r="E139" i="5" s="1"/>
  <c r="N139" i="4"/>
  <c r="M139" i="4"/>
  <c r="L139" i="4"/>
  <c r="K139" i="4"/>
  <c r="J139" i="4"/>
  <c r="A139" i="4"/>
  <c r="A133" i="6" s="1"/>
  <c r="U138" i="4"/>
  <c r="T138" i="4"/>
  <c r="R138" i="4"/>
  <c r="Q138" i="4"/>
  <c r="S138" i="4" s="1"/>
  <c r="P138" i="4"/>
  <c r="F138" i="5" s="1"/>
  <c r="O138" i="4"/>
  <c r="E138" i="5" s="1"/>
  <c r="N138" i="4"/>
  <c r="M138" i="4"/>
  <c r="L138" i="4"/>
  <c r="K138" i="4"/>
  <c r="J138" i="4"/>
  <c r="A138" i="4"/>
  <c r="U137" i="4"/>
  <c r="T137" i="4"/>
  <c r="R137" i="4"/>
  <c r="Q137" i="4"/>
  <c r="S137" i="4" s="1"/>
  <c r="P137" i="4"/>
  <c r="F137" i="5" s="1"/>
  <c r="O137" i="4"/>
  <c r="E137" i="5" s="1"/>
  <c r="N137" i="4"/>
  <c r="M137" i="4"/>
  <c r="L137" i="4"/>
  <c r="K137" i="4"/>
  <c r="J137" i="4"/>
  <c r="A137" i="4"/>
  <c r="U136" i="4"/>
  <c r="T136" i="4"/>
  <c r="R136" i="4"/>
  <c r="Q136" i="4"/>
  <c r="S136" i="4" s="1"/>
  <c r="P136" i="4"/>
  <c r="F136" i="5" s="1"/>
  <c r="O136" i="4"/>
  <c r="E136" i="5" s="1"/>
  <c r="N136" i="4"/>
  <c r="M136" i="4"/>
  <c r="L136" i="4"/>
  <c r="K136" i="4"/>
  <c r="J136" i="4"/>
  <c r="A136" i="4"/>
  <c r="R135" i="4"/>
  <c r="A135" i="4"/>
  <c r="R134" i="4"/>
  <c r="J134" i="4"/>
  <c r="A134" i="4"/>
  <c r="A128" i="6" s="1"/>
  <c r="R133" i="4"/>
  <c r="A133" i="4"/>
  <c r="A127" i="6" s="1"/>
  <c r="R132" i="4"/>
  <c r="J132" i="4"/>
  <c r="A132" i="4"/>
  <c r="R131" i="4"/>
  <c r="A131" i="4"/>
  <c r="R130" i="4"/>
  <c r="J130" i="4"/>
  <c r="A130" i="4"/>
  <c r="R129" i="4"/>
  <c r="N129" i="4"/>
  <c r="J129" i="4"/>
  <c r="A129" i="4"/>
  <c r="R128" i="4"/>
  <c r="J128" i="4"/>
  <c r="A128" i="4"/>
  <c r="A122" i="6" s="1"/>
  <c r="R127" i="4"/>
  <c r="J127" i="4"/>
  <c r="A127" i="4"/>
  <c r="A121" i="6" s="1"/>
  <c r="R126" i="4"/>
  <c r="J126" i="4"/>
  <c r="A126" i="4"/>
  <c r="R125" i="4"/>
  <c r="A125" i="4"/>
  <c r="R124" i="4"/>
  <c r="J124" i="4"/>
  <c r="A124" i="4"/>
  <c r="R123" i="4"/>
  <c r="J123" i="4"/>
  <c r="A123" i="4"/>
  <c r="R122" i="4"/>
  <c r="A122" i="4"/>
  <c r="A116" i="6" s="1"/>
  <c r="R121" i="4"/>
  <c r="A121" i="4"/>
  <c r="A115" i="6" s="1"/>
  <c r="R120" i="4"/>
  <c r="A120" i="4"/>
  <c r="R119" i="4"/>
  <c r="A119" i="4"/>
  <c r="R118" i="4"/>
  <c r="A118" i="4"/>
  <c r="R117" i="4"/>
  <c r="A117" i="4"/>
  <c r="R116" i="4"/>
  <c r="Q116" i="4"/>
  <c r="S116" i="4" s="1"/>
  <c r="A116" i="4"/>
  <c r="A110" i="6" s="1"/>
  <c r="R115" i="4"/>
  <c r="A115" i="4"/>
  <c r="A109" i="6" s="1"/>
  <c r="R114" i="4"/>
  <c r="A114" i="4"/>
  <c r="R113" i="4"/>
  <c r="J113" i="4"/>
  <c r="A113" i="4"/>
  <c r="R112" i="4"/>
  <c r="A112" i="4"/>
  <c r="R111" i="4"/>
  <c r="Q111" i="4"/>
  <c r="S111" i="4" s="1"/>
  <c r="A111" i="4"/>
  <c r="R110" i="4"/>
  <c r="A110" i="4"/>
  <c r="A104" i="6" s="1"/>
  <c r="R109" i="4"/>
  <c r="J109" i="4"/>
  <c r="A109" i="4"/>
  <c r="A103" i="6" s="1"/>
  <c r="R108" i="4"/>
  <c r="J108" i="4"/>
  <c r="A108" i="4"/>
  <c r="R107" i="4"/>
  <c r="J107" i="4"/>
  <c r="A107" i="4"/>
  <c r="R106" i="4"/>
  <c r="A106" i="4"/>
  <c r="R105" i="4"/>
  <c r="J105" i="4"/>
  <c r="A105" i="4"/>
  <c r="R104" i="4"/>
  <c r="J104" i="4"/>
  <c r="A104" i="4"/>
  <c r="A98" i="6" s="1"/>
  <c r="R103" i="4"/>
  <c r="J103" i="4"/>
  <c r="A103" i="4"/>
  <c r="A97" i="6" s="1"/>
  <c r="R102" i="4"/>
  <c r="A102" i="4"/>
  <c r="S101" i="4"/>
  <c r="R101" i="4"/>
  <c r="Q101" i="4"/>
  <c r="A101" i="4"/>
  <c r="R100" i="4"/>
  <c r="J100" i="4"/>
  <c r="A100" i="4"/>
  <c r="R99" i="4"/>
  <c r="Q99" i="4"/>
  <c r="S99" i="4" s="1"/>
  <c r="A99" i="4"/>
  <c r="R98" i="4"/>
  <c r="Q98" i="4"/>
  <c r="S98" i="4" s="1"/>
  <c r="A98" i="4"/>
  <c r="A92" i="6" s="1"/>
  <c r="R97" i="4"/>
  <c r="A97" i="4"/>
  <c r="A91" i="6" s="1"/>
  <c r="R96" i="4"/>
  <c r="J96" i="4"/>
  <c r="A96" i="4"/>
  <c r="R95" i="4"/>
  <c r="A95" i="4"/>
  <c r="A89" i="6" s="1"/>
  <c r="R94" i="4"/>
  <c r="A94" i="4"/>
  <c r="R93" i="4"/>
  <c r="A93" i="4"/>
  <c r="R92" i="4"/>
  <c r="Q92" i="4"/>
  <c r="S92" i="4" s="1"/>
  <c r="A92" i="4"/>
  <c r="A86" i="6" s="1"/>
  <c r="R91" i="4"/>
  <c r="A91" i="4"/>
  <c r="A85" i="6" s="1"/>
  <c r="R90" i="4"/>
  <c r="Q90" i="4"/>
  <c r="J90" i="4"/>
  <c r="A90" i="4"/>
  <c r="R89" i="4"/>
  <c r="J89" i="4"/>
  <c r="A89" i="4"/>
  <c r="R88" i="4"/>
  <c r="N88" i="4"/>
  <c r="J88" i="4"/>
  <c r="A88" i="4"/>
  <c r="R87" i="4"/>
  <c r="A87" i="4"/>
  <c r="R86" i="4"/>
  <c r="J86" i="4"/>
  <c r="A86" i="4"/>
  <c r="A80" i="6" s="1"/>
  <c r="R85" i="4"/>
  <c r="Q85" i="4"/>
  <c r="S85" i="4" s="1"/>
  <c r="A85" i="4"/>
  <c r="A79" i="6" s="1"/>
  <c r="R84" i="4"/>
  <c r="J84" i="4"/>
  <c r="A84" i="4"/>
  <c r="R83" i="4"/>
  <c r="J83" i="4"/>
  <c r="A83" i="4"/>
  <c r="A77" i="6" s="1"/>
  <c r="R82" i="4"/>
  <c r="A82" i="4"/>
  <c r="R81" i="4"/>
  <c r="A81" i="4"/>
  <c r="A75" i="6" s="1"/>
  <c r="R80" i="4"/>
  <c r="J80" i="4"/>
  <c r="A80" i="4"/>
  <c r="A74" i="6" s="1"/>
  <c r="R79" i="4"/>
  <c r="A79" i="4"/>
  <c r="A73" i="6" s="1"/>
  <c r="R78" i="4"/>
  <c r="J78" i="4"/>
  <c r="A78" i="4"/>
  <c r="R77" i="4"/>
  <c r="J77" i="4"/>
  <c r="A77" i="4"/>
  <c r="R76" i="4"/>
  <c r="Q76" i="4"/>
  <c r="S76" i="4" s="1"/>
  <c r="J76" i="4"/>
  <c r="A76" i="4"/>
  <c r="R75" i="4"/>
  <c r="J75" i="4"/>
  <c r="A75" i="4"/>
  <c r="R74" i="4"/>
  <c r="Q74" i="4"/>
  <c r="S74" i="4" s="1"/>
  <c r="J74" i="4"/>
  <c r="A74" i="4"/>
  <c r="A68" i="6" s="1"/>
  <c r="R73" i="4"/>
  <c r="J73" i="4"/>
  <c r="A73" i="4"/>
  <c r="A67" i="6" s="1"/>
  <c r="R72" i="4"/>
  <c r="A72" i="4"/>
  <c r="R71" i="4"/>
  <c r="J71" i="4"/>
  <c r="A71" i="4"/>
  <c r="A65" i="6" s="1"/>
  <c r="R70" i="4"/>
  <c r="Q70" i="4"/>
  <c r="A70" i="4"/>
  <c r="R69" i="4"/>
  <c r="Q69" i="4"/>
  <c r="S69" i="4" s="1"/>
  <c r="A69" i="4"/>
  <c r="A63" i="6" s="1"/>
  <c r="R68" i="4"/>
  <c r="Q68" i="4"/>
  <c r="K68" i="4"/>
  <c r="J68" i="4"/>
  <c r="A68" i="4"/>
  <c r="A62" i="6" s="1"/>
  <c r="R67" i="4"/>
  <c r="J67" i="4"/>
  <c r="A67" i="4"/>
  <c r="A61" i="6" s="1"/>
  <c r="R66" i="4"/>
  <c r="A66" i="4"/>
  <c r="A60" i="6" s="1"/>
  <c r="R65" i="4"/>
  <c r="J65" i="4"/>
  <c r="A65" i="4"/>
  <c r="S64" i="4"/>
  <c r="R64" i="4"/>
  <c r="Q64" i="4"/>
  <c r="J64" i="4"/>
  <c r="A64" i="4"/>
  <c r="R63" i="4"/>
  <c r="J63" i="4"/>
  <c r="A63" i="4"/>
  <c r="R62" i="4"/>
  <c r="J62" i="4"/>
  <c r="A62" i="4"/>
  <c r="A56" i="6" s="1"/>
  <c r="R61" i="4"/>
  <c r="J61" i="4"/>
  <c r="A61" i="4"/>
  <c r="A55" i="6" s="1"/>
  <c r="R60" i="4"/>
  <c r="J60" i="4"/>
  <c r="A60" i="4"/>
  <c r="R59" i="4"/>
  <c r="J59" i="4"/>
  <c r="A59" i="4"/>
  <c r="A53" i="6" s="1"/>
  <c r="R58" i="4"/>
  <c r="Q58" i="4"/>
  <c r="J58" i="4"/>
  <c r="A58" i="4"/>
  <c r="R57" i="4"/>
  <c r="J57" i="4"/>
  <c r="A57" i="4"/>
  <c r="A51" i="6" s="1"/>
  <c r="R56" i="4"/>
  <c r="J56" i="4"/>
  <c r="A56" i="4"/>
  <c r="A50" i="6" s="1"/>
  <c r="R55" i="4"/>
  <c r="J55" i="4"/>
  <c r="A55" i="4"/>
  <c r="A49" i="6" s="1"/>
  <c r="R54" i="4"/>
  <c r="J54" i="4"/>
  <c r="A54" i="4"/>
  <c r="A48" i="6" s="1"/>
  <c r="R53" i="4"/>
  <c r="J53" i="4"/>
  <c r="A53" i="4"/>
  <c r="R52" i="4"/>
  <c r="J52" i="4"/>
  <c r="A52" i="4"/>
  <c r="R51" i="4"/>
  <c r="J51" i="4"/>
  <c r="A51" i="4"/>
  <c r="R50" i="4"/>
  <c r="J50" i="4"/>
  <c r="A50" i="4"/>
  <c r="A44" i="6" s="1"/>
  <c r="R49" i="4"/>
  <c r="J49" i="4"/>
  <c r="A49" i="4"/>
  <c r="A43" i="6" s="1"/>
  <c r="R48" i="4"/>
  <c r="J48" i="4"/>
  <c r="A48" i="4"/>
  <c r="A42" i="6" s="1"/>
  <c r="R47" i="4"/>
  <c r="J47" i="4"/>
  <c r="A47" i="4"/>
  <c r="A41" i="6" s="1"/>
  <c r="R46" i="4"/>
  <c r="A46" i="4"/>
  <c r="A40" i="6" s="1"/>
  <c r="R45" i="4"/>
  <c r="J45" i="4"/>
  <c r="A45" i="4"/>
  <c r="A39" i="6" s="1"/>
  <c r="R44" i="4"/>
  <c r="J44" i="4"/>
  <c r="A44" i="4"/>
  <c r="A38" i="6" s="1"/>
  <c r="R43" i="4"/>
  <c r="J43" i="4"/>
  <c r="A43" i="4"/>
  <c r="A37" i="6" s="1"/>
  <c r="R42" i="4"/>
  <c r="J42" i="4"/>
  <c r="A42" i="4"/>
  <c r="A36" i="6" s="1"/>
  <c r="R41" i="4"/>
  <c r="Q41" i="4"/>
  <c r="S41" i="4" s="1"/>
  <c r="J41" i="4"/>
  <c r="A41" i="4"/>
  <c r="R40" i="4"/>
  <c r="A40" i="4"/>
  <c r="A34" i="6" s="1"/>
  <c r="R39" i="4"/>
  <c r="J39" i="4"/>
  <c r="A39" i="4"/>
  <c r="R38" i="4"/>
  <c r="A38" i="4"/>
  <c r="A32" i="6" s="1"/>
  <c r="R37" i="4"/>
  <c r="A37" i="4"/>
  <c r="A31" i="6" s="1"/>
  <c r="R36" i="4"/>
  <c r="A36" i="4"/>
  <c r="A30" i="6" s="1"/>
  <c r="R35" i="4"/>
  <c r="J35" i="4"/>
  <c r="A35" i="4"/>
  <c r="A29" i="6" s="1"/>
  <c r="R34" i="4"/>
  <c r="A34" i="4"/>
  <c r="A28" i="6" s="1"/>
  <c r="R33" i="4"/>
  <c r="J33" i="4"/>
  <c r="A33" i="4"/>
  <c r="A27" i="6" s="1"/>
  <c r="R32" i="4"/>
  <c r="A32" i="4"/>
  <c r="A26" i="6" s="1"/>
  <c r="R31" i="4"/>
  <c r="J31" i="4"/>
  <c r="A31" i="4"/>
  <c r="R30" i="4"/>
  <c r="A30" i="4"/>
  <c r="A24" i="6" s="1"/>
  <c r="R29" i="4"/>
  <c r="Q29" i="4"/>
  <c r="S29" i="4" s="1"/>
  <c r="A29" i="4"/>
  <c r="R28" i="4"/>
  <c r="Q28" i="4"/>
  <c r="S28" i="4" s="1"/>
  <c r="J28" i="4"/>
  <c r="A28" i="4"/>
  <c r="A22" i="6" s="1"/>
  <c r="R27" i="4"/>
  <c r="J27" i="4"/>
  <c r="A27" i="4"/>
  <c r="R26" i="4"/>
  <c r="J26" i="4"/>
  <c r="A26" i="4"/>
  <c r="A20" i="6" s="1"/>
  <c r="R25" i="4"/>
  <c r="A25" i="4"/>
  <c r="A19" i="6" s="1"/>
  <c r="R24" i="4"/>
  <c r="J24" i="4"/>
  <c r="A24" i="4"/>
  <c r="A18" i="6" s="1"/>
  <c r="R23" i="4"/>
  <c r="J23" i="4"/>
  <c r="A23" i="4"/>
  <c r="A17" i="6" s="1"/>
  <c r="R22" i="4"/>
  <c r="A22" i="4"/>
  <c r="A16" i="6" s="1"/>
  <c r="R21" i="4"/>
  <c r="A21" i="4"/>
  <c r="A15" i="6" s="1"/>
  <c r="R20" i="4"/>
  <c r="A20" i="4"/>
  <c r="A14" i="6" s="1"/>
  <c r="R19" i="4"/>
  <c r="Q19" i="4"/>
  <c r="S19" i="4" s="1"/>
  <c r="J19" i="4"/>
  <c r="A19" i="4"/>
  <c r="R18" i="4"/>
  <c r="Q18" i="4"/>
  <c r="A18" i="4"/>
  <c r="A12" i="6" s="1"/>
  <c r="R17" i="4"/>
  <c r="A17" i="4"/>
  <c r="R16" i="4"/>
  <c r="A16" i="4"/>
  <c r="A10" i="6" s="1"/>
  <c r="R15" i="4"/>
  <c r="J15" i="4"/>
  <c r="A15" i="4"/>
  <c r="R14" i="4"/>
  <c r="A14" i="4"/>
  <c r="A8" i="6" s="1"/>
  <c r="R13" i="4"/>
  <c r="A13" i="4"/>
  <c r="A7" i="6" s="1"/>
  <c r="R12" i="4"/>
  <c r="A12" i="4"/>
  <c r="A6" i="6" s="1"/>
  <c r="R11" i="4"/>
  <c r="Q11" i="4"/>
  <c r="S11" i="4" s="1"/>
  <c r="A11" i="4"/>
  <c r="A5" i="6" s="1"/>
  <c r="R10" i="4"/>
  <c r="Q10" i="4"/>
  <c r="A10" i="4"/>
  <c r="A4" i="6" s="1"/>
  <c r="R9" i="4"/>
  <c r="Q9" i="4"/>
  <c r="S9" i="4" s="1"/>
  <c r="A9" i="4"/>
  <c r="A3" i="6" s="1"/>
  <c r="M21" i="1"/>
  <c r="L21" i="1"/>
  <c r="J21" i="1"/>
  <c r="I21" i="1"/>
  <c r="H21" i="1"/>
  <c r="G21" i="1"/>
  <c r="F21" i="1"/>
  <c r="E21" i="1"/>
  <c r="D21" i="1"/>
  <c r="C21" i="1"/>
  <c r="B21" i="1"/>
  <c r="A21" i="1"/>
  <c r="M20" i="1"/>
  <c r="L20" i="1"/>
  <c r="J20" i="1"/>
  <c r="I20" i="1"/>
  <c r="H20" i="1"/>
  <c r="G20" i="1"/>
  <c r="F20" i="1"/>
  <c r="E20" i="1"/>
  <c r="D20" i="1"/>
  <c r="C20" i="1"/>
  <c r="B20" i="1"/>
  <c r="A20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K14" i="1"/>
  <c r="K21" i="1" s="1"/>
  <c r="K13" i="1"/>
  <c r="K20" i="1" s="1"/>
  <c r="K12" i="1"/>
  <c r="K11" i="1"/>
  <c r="L154" i="5" l="1"/>
  <c r="L171" i="5"/>
  <c r="R173" i="5"/>
  <c r="L215" i="5"/>
  <c r="S154" i="5"/>
  <c r="L179" i="5"/>
  <c r="L180" i="5"/>
  <c r="L203" i="5"/>
  <c r="S214" i="4"/>
  <c r="L147" i="5"/>
  <c r="S247" i="5"/>
  <c r="S161" i="5"/>
  <c r="S225" i="5"/>
  <c r="S149" i="5"/>
  <c r="L178" i="5"/>
  <c r="J165" i="5"/>
  <c r="K165" i="5" s="1"/>
  <c r="J228" i="5"/>
  <c r="K228" i="5" s="1"/>
  <c r="J232" i="5"/>
  <c r="K232" i="5" s="1"/>
  <c r="J69" i="5"/>
  <c r="K69" i="5" s="1"/>
  <c r="L140" i="5"/>
  <c r="J153" i="5"/>
  <c r="K153" i="5" s="1"/>
  <c r="L141" i="5"/>
  <c r="L173" i="5"/>
  <c r="L183" i="5"/>
  <c r="L207" i="5"/>
  <c r="R185" i="5"/>
  <c r="S209" i="5"/>
  <c r="S185" i="5"/>
  <c r="S208" i="5"/>
  <c r="S70" i="4"/>
  <c r="L159" i="5"/>
  <c r="J166" i="5"/>
  <c r="K166" i="5" s="1"/>
  <c r="J177" i="5"/>
  <c r="K177" i="5" s="1"/>
  <c r="J201" i="5"/>
  <c r="K201" i="5" s="1"/>
  <c r="R209" i="5"/>
  <c r="R215" i="5"/>
  <c r="S248" i="5"/>
  <c r="J98" i="5"/>
  <c r="K98" i="5" s="1"/>
  <c r="J142" i="5"/>
  <c r="K142" i="5" s="1"/>
  <c r="S229" i="5"/>
  <c r="S226" i="4"/>
  <c r="S10" i="5"/>
  <c r="R28" i="5"/>
  <c r="S101" i="5"/>
  <c r="L111" i="5"/>
  <c r="R137" i="5"/>
  <c r="S160" i="5"/>
  <c r="R167" i="5"/>
  <c r="S184" i="5"/>
  <c r="S190" i="5"/>
  <c r="L219" i="5"/>
  <c r="R225" i="5"/>
  <c r="S69" i="5"/>
  <c r="R142" i="5"/>
  <c r="S166" i="5"/>
  <c r="S142" i="5"/>
  <c r="R143" i="5"/>
  <c r="L155" i="5"/>
  <c r="S177" i="5"/>
  <c r="S201" i="5"/>
  <c r="L204" i="5"/>
  <c r="S235" i="5"/>
  <c r="BC225" i="6"/>
  <c r="S238" i="4"/>
  <c r="R76" i="5"/>
  <c r="L149" i="5"/>
  <c r="S244" i="5"/>
  <c r="S190" i="4"/>
  <c r="R149" i="5"/>
  <c r="R155" i="5"/>
  <c r="S172" i="5"/>
  <c r="S178" i="5"/>
  <c r="S196" i="5"/>
  <c r="S197" i="5"/>
  <c r="S202" i="5"/>
  <c r="S203" i="5"/>
  <c r="J214" i="5"/>
  <c r="K214" i="5" s="1"/>
  <c r="L216" i="5"/>
  <c r="R242" i="5"/>
  <c r="R243" i="5"/>
  <c r="L101" i="5"/>
  <c r="L161" i="5"/>
  <c r="L191" i="5"/>
  <c r="L192" i="5"/>
  <c r="J229" i="5"/>
  <c r="K229" i="5" s="1"/>
  <c r="S148" i="5"/>
  <c r="AA125" i="11"/>
  <c r="Z125" i="11"/>
  <c r="A177" i="6"/>
  <c r="A183" i="5"/>
  <c r="A225" i="6"/>
  <c r="A231" i="5"/>
  <c r="AA233" i="11"/>
  <c r="Z233" i="11"/>
  <c r="S236" i="4"/>
  <c r="Y17" i="5"/>
  <c r="L18" i="5"/>
  <c r="J18" i="5"/>
  <c r="K18" i="5" s="1"/>
  <c r="Y109" i="5"/>
  <c r="Q41" i="5"/>
  <c r="S41" i="5" s="1"/>
  <c r="P41" i="5"/>
  <c r="Y41" i="5"/>
  <c r="M41" i="5"/>
  <c r="I41" i="5"/>
  <c r="J41" i="5" s="1"/>
  <c r="K41" i="5" s="1"/>
  <c r="Z147" i="11"/>
  <c r="AA147" i="11"/>
  <c r="AA185" i="11"/>
  <c r="Z185" i="11"/>
  <c r="S188" i="4"/>
  <c r="AA15" i="11"/>
  <c r="Z15" i="11"/>
  <c r="S18" i="4"/>
  <c r="Z51" i="11"/>
  <c r="AA51" i="11"/>
  <c r="AA89" i="11"/>
  <c r="Z89" i="11"/>
  <c r="A95" i="6"/>
  <c r="A101" i="5"/>
  <c r="AA111" i="11"/>
  <c r="Z111" i="11"/>
  <c r="A141" i="6"/>
  <c r="A147" i="5"/>
  <c r="AA149" i="11"/>
  <c r="Z149" i="11"/>
  <c r="S152" i="4"/>
  <c r="A179" i="6"/>
  <c r="A185" i="5"/>
  <c r="A227" i="6"/>
  <c r="A233" i="5"/>
  <c r="P19" i="5"/>
  <c r="R19" i="5" s="1"/>
  <c r="Y19" i="5"/>
  <c r="M19" i="5"/>
  <c r="I19" i="5"/>
  <c r="J19" i="5" s="1"/>
  <c r="K19" i="5" s="1"/>
  <c r="Q19" i="5"/>
  <c r="S19" i="5" s="1"/>
  <c r="Q29" i="5"/>
  <c r="S29" i="5" s="1"/>
  <c r="P29" i="5"/>
  <c r="R29" i="5" s="1"/>
  <c r="Y29" i="5"/>
  <c r="M29" i="5"/>
  <c r="I29" i="5"/>
  <c r="J29" i="5" s="1"/>
  <c r="K29" i="5" s="1"/>
  <c r="Y31" i="5"/>
  <c r="R41" i="5"/>
  <c r="Z183" i="11"/>
  <c r="AA183" i="11"/>
  <c r="AA31" i="11"/>
  <c r="Z31" i="11"/>
  <c r="A143" i="6"/>
  <c r="A149" i="5"/>
  <c r="Z195" i="11"/>
  <c r="AA195" i="11"/>
  <c r="S198" i="4"/>
  <c r="Z243" i="11"/>
  <c r="AA243" i="11"/>
  <c r="S246" i="4"/>
  <c r="X47" i="5"/>
  <c r="L28" i="5"/>
  <c r="J28" i="5"/>
  <c r="K28" i="5" s="1"/>
  <c r="Z29" i="11"/>
  <c r="AA29" i="11"/>
  <c r="A71" i="6"/>
  <c r="A77" i="5"/>
  <c r="S162" i="4"/>
  <c r="A189" i="6"/>
  <c r="A195" i="5"/>
  <c r="AA197" i="11"/>
  <c r="Z197" i="11"/>
  <c r="S200" i="4"/>
  <c r="A237" i="6"/>
  <c r="A243" i="5"/>
  <c r="AA245" i="11"/>
  <c r="Z245" i="11"/>
  <c r="S248" i="4"/>
  <c r="X23" i="5"/>
  <c r="X35" i="5"/>
  <c r="AA87" i="11"/>
  <c r="Z87" i="11"/>
  <c r="S90" i="4"/>
  <c r="Z159" i="11"/>
  <c r="AA159" i="11"/>
  <c r="A191" i="6"/>
  <c r="A197" i="5"/>
  <c r="A239" i="6"/>
  <c r="A245" i="5"/>
  <c r="X11" i="5"/>
  <c r="Y54" i="5"/>
  <c r="Y108" i="5"/>
  <c r="A117" i="6"/>
  <c r="A123" i="5"/>
  <c r="Z231" i="11"/>
  <c r="AA231" i="11"/>
  <c r="S234" i="4"/>
  <c r="Z123" i="11"/>
  <c r="AA123" i="11"/>
  <c r="A11" i="6"/>
  <c r="A17" i="5"/>
  <c r="AA27" i="11"/>
  <c r="Z27" i="11"/>
  <c r="A59" i="6"/>
  <c r="A65" i="5"/>
  <c r="AA101" i="11"/>
  <c r="Z101" i="11"/>
  <c r="A129" i="6"/>
  <c r="A135" i="5"/>
  <c r="A153" i="6"/>
  <c r="A159" i="5"/>
  <c r="AA161" i="11"/>
  <c r="Z161" i="11"/>
  <c r="S164" i="4"/>
  <c r="Z207" i="11"/>
  <c r="AA207" i="11"/>
  <c r="S210" i="4"/>
  <c r="X202" i="5"/>
  <c r="A81" i="6"/>
  <c r="A87" i="5"/>
  <c r="Q186" i="5"/>
  <c r="S186" i="5" s="1"/>
  <c r="P186" i="5"/>
  <c r="Y186" i="5"/>
  <c r="M186" i="5"/>
  <c r="I186" i="5"/>
  <c r="J186" i="5" s="1"/>
  <c r="K186" i="5" s="1"/>
  <c r="A13" i="6"/>
  <c r="A19" i="5"/>
  <c r="AA41" i="11"/>
  <c r="Z41" i="11"/>
  <c r="A69" i="6"/>
  <c r="A75" i="5"/>
  <c r="A93" i="6"/>
  <c r="A99" i="5"/>
  <c r="A9" i="6"/>
  <c r="A15" i="5"/>
  <c r="AA39" i="11"/>
  <c r="Z39" i="11"/>
  <c r="A47" i="6"/>
  <c r="A53" i="5"/>
  <c r="A57" i="6"/>
  <c r="A63" i="5"/>
  <c r="A155" i="6"/>
  <c r="A161" i="5"/>
  <c r="A201" i="6"/>
  <c r="A207" i="5"/>
  <c r="AA209" i="11"/>
  <c r="Z209" i="11"/>
  <c r="S212" i="4"/>
  <c r="X45" i="5"/>
  <c r="AA53" i="11"/>
  <c r="Z53" i="11"/>
  <c r="Y43" i="5"/>
  <c r="X60" i="5"/>
  <c r="A25" i="6"/>
  <c r="A31" i="5"/>
  <c r="AA77" i="11"/>
  <c r="Z77" i="11"/>
  <c r="AA99" i="11"/>
  <c r="Z99" i="11"/>
  <c r="A107" i="6"/>
  <c r="A113" i="5"/>
  <c r="A203" i="6"/>
  <c r="A209" i="5"/>
  <c r="X136" i="5"/>
  <c r="Y226" i="5"/>
  <c r="M226" i="5"/>
  <c r="Q226" i="5"/>
  <c r="I226" i="5"/>
  <c r="P226" i="5"/>
  <c r="R226" i="5" s="1"/>
  <c r="AA63" i="11"/>
  <c r="Z63" i="11"/>
  <c r="A33" i="6"/>
  <c r="A39" i="5"/>
  <c r="A21" i="6"/>
  <c r="A27" i="5"/>
  <c r="A83" i="6"/>
  <c r="A89" i="5"/>
  <c r="A119" i="6"/>
  <c r="A125" i="5"/>
  <c r="AA135" i="11"/>
  <c r="Z135" i="11"/>
  <c r="Z171" i="11"/>
  <c r="AA171" i="11"/>
  <c r="Z219" i="11"/>
  <c r="AA219" i="11"/>
  <c r="S222" i="4"/>
  <c r="X9" i="5"/>
  <c r="W9" i="5"/>
  <c r="U9" i="5"/>
  <c r="X21" i="5"/>
  <c r="X33" i="5"/>
  <c r="Y115" i="5"/>
  <c r="Z17" i="11"/>
  <c r="AA17" i="11"/>
  <c r="AA65" i="11"/>
  <c r="Z65" i="11"/>
  <c r="A23" i="6"/>
  <c r="A29" i="5"/>
  <c r="A45" i="6"/>
  <c r="A51" i="5"/>
  <c r="Z137" i="11"/>
  <c r="AA137" i="11"/>
  <c r="S140" i="4"/>
  <c r="A165" i="6"/>
  <c r="A171" i="5"/>
  <c r="AA173" i="11"/>
  <c r="Z173" i="11"/>
  <c r="S176" i="4"/>
  <c r="A213" i="6"/>
  <c r="A219" i="5"/>
  <c r="AA221" i="11"/>
  <c r="Z221" i="11"/>
  <c r="S224" i="4"/>
  <c r="T155" i="5"/>
  <c r="Q198" i="5"/>
  <c r="S198" i="5" s="1"/>
  <c r="P198" i="5"/>
  <c r="R198" i="5" s="1"/>
  <c r="Y198" i="5"/>
  <c r="M198" i="5"/>
  <c r="I198" i="5"/>
  <c r="J198" i="5" s="1"/>
  <c r="K198" i="5" s="1"/>
  <c r="AA7" i="11"/>
  <c r="Z7" i="11"/>
  <c r="S10" i="4"/>
  <c r="Z19" i="11"/>
  <c r="AA19" i="11"/>
  <c r="A35" i="6"/>
  <c r="A41" i="5"/>
  <c r="S68" i="4"/>
  <c r="AA75" i="11"/>
  <c r="Z75" i="11"/>
  <c r="A105" i="6"/>
  <c r="A111" i="5"/>
  <c r="AA113" i="11"/>
  <c r="Z113" i="11"/>
  <c r="A131" i="6"/>
  <c r="A137" i="5"/>
  <c r="A167" i="6"/>
  <c r="A173" i="5"/>
  <c r="S186" i="4"/>
  <c r="A215" i="6"/>
  <c r="A221" i="5"/>
  <c r="X82" i="5"/>
  <c r="AA91" i="11"/>
  <c r="Z91" i="11"/>
  <c r="A169" i="6"/>
  <c r="A175" i="5"/>
  <c r="Z14" i="11"/>
  <c r="AA14" i="11"/>
  <c r="Z26" i="11"/>
  <c r="AA26" i="11"/>
  <c r="Z38" i="11"/>
  <c r="AA38" i="11"/>
  <c r="AA50" i="11"/>
  <c r="Z50" i="11"/>
  <c r="AA62" i="11"/>
  <c r="Z62" i="11"/>
  <c r="AA74" i="11"/>
  <c r="Z74" i="11"/>
  <c r="AA86" i="11"/>
  <c r="Z86" i="11"/>
  <c r="AA98" i="11"/>
  <c r="Z98" i="11"/>
  <c r="AA110" i="11"/>
  <c r="Z110" i="11"/>
  <c r="Z122" i="11"/>
  <c r="AA122" i="11"/>
  <c r="AA134" i="11"/>
  <c r="Z134" i="11"/>
  <c r="AA146" i="11"/>
  <c r="Z146" i="11"/>
  <c r="A152" i="6"/>
  <c r="A158" i="5"/>
  <c r="AA158" i="11"/>
  <c r="Z158" i="11"/>
  <c r="A164" i="6"/>
  <c r="A170" i="5"/>
  <c r="AA170" i="11"/>
  <c r="Z170" i="11"/>
  <c r="A176" i="6"/>
  <c r="A182" i="5"/>
  <c r="AA182" i="11"/>
  <c r="Z182" i="11"/>
  <c r="A188" i="6"/>
  <c r="A194" i="5"/>
  <c r="AA194" i="11"/>
  <c r="Z194" i="11"/>
  <c r="A200" i="6"/>
  <c r="A206" i="5"/>
  <c r="AA206" i="11"/>
  <c r="Z206" i="11"/>
  <c r="A212" i="6"/>
  <c r="A218" i="5"/>
  <c r="AA218" i="11"/>
  <c r="Z218" i="11"/>
  <c r="A224" i="6"/>
  <c r="A230" i="5"/>
  <c r="AA230" i="11"/>
  <c r="Z230" i="11"/>
  <c r="A236" i="6"/>
  <c r="A242" i="5"/>
  <c r="AA242" i="11"/>
  <c r="Z242" i="11"/>
  <c r="A11" i="5"/>
  <c r="M11" i="5"/>
  <c r="Y11" i="5"/>
  <c r="X12" i="5"/>
  <c r="A23" i="5"/>
  <c r="Y23" i="5"/>
  <c r="X24" i="5"/>
  <c r="A35" i="5"/>
  <c r="Y35" i="5"/>
  <c r="X36" i="5"/>
  <c r="A47" i="5"/>
  <c r="Y47" i="5"/>
  <c r="I68" i="5"/>
  <c r="Q68" i="5"/>
  <c r="S68" i="5" s="1"/>
  <c r="R70" i="5"/>
  <c r="Y76" i="5"/>
  <c r="M76" i="5"/>
  <c r="I76" i="5"/>
  <c r="J76" i="5" s="1"/>
  <c r="K76" i="5" s="1"/>
  <c r="A103" i="5"/>
  <c r="X107" i="5"/>
  <c r="Y126" i="5"/>
  <c r="A145" i="5"/>
  <c r="X185" i="5"/>
  <c r="X197" i="5"/>
  <c r="L209" i="5"/>
  <c r="A217" i="5"/>
  <c r="Y58" i="5"/>
  <c r="M58" i="5"/>
  <c r="Y88" i="5"/>
  <c r="A91" i="5"/>
  <c r="S137" i="5"/>
  <c r="T137" i="5"/>
  <c r="X143" i="5"/>
  <c r="X148" i="5"/>
  <c r="X149" i="5"/>
  <c r="R154" i="5"/>
  <c r="X161" i="5"/>
  <c r="R166" i="5"/>
  <c r="X173" i="5"/>
  <c r="Q210" i="5"/>
  <c r="S210" i="5" s="1"/>
  <c r="P210" i="5"/>
  <c r="R210" i="5" s="1"/>
  <c r="Y210" i="5"/>
  <c r="M210" i="5"/>
  <c r="I210" i="5"/>
  <c r="L210" i="5" s="1"/>
  <c r="X214" i="5"/>
  <c r="F6" i="10"/>
  <c r="C6" i="10"/>
  <c r="I3" i="6"/>
  <c r="BJ3" i="6" s="1"/>
  <c r="EX3" i="6"/>
  <c r="H3" i="6"/>
  <c r="CF3" i="6"/>
  <c r="AB4" i="6" s="1"/>
  <c r="BH3" i="6"/>
  <c r="F3" i="6"/>
  <c r="W6" i="11" s="1"/>
  <c r="E3" i="6"/>
  <c r="DG3" i="6"/>
  <c r="B3" i="6" s="1"/>
  <c r="AE3" i="6"/>
  <c r="L3" i="6"/>
  <c r="K3" i="6"/>
  <c r="J3" i="6"/>
  <c r="G3" i="6"/>
  <c r="FA3" i="6"/>
  <c r="S70" i="5"/>
  <c r="X89" i="5"/>
  <c r="X101" i="5"/>
  <c r="X113" i="5"/>
  <c r="AA16" i="11"/>
  <c r="Z16" i="11"/>
  <c r="AA28" i="11"/>
  <c r="Z28" i="11"/>
  <c r="Z40" i="11"/>
  <c r="AA40" i="11"/>
  <c r="A46" i="6"/>
  <c r="A52" i="5"/>
  <c r="AA52" i="11"/>
  <c r="Z52" i="11"/>
  <c r="A58" i="6"/>
  <c r="A64" i="5"/>
  <c r="AA64" i="11"/>
  <c r="Z64" i="11"/>
  <c r="A70" i="6"/>
  <c r="A76" i="5"/>
  <c r="AA76" i="11"/>
  <c r="Z76" i="11"/>
  <c r="A82" i="6"/>
  <c r="A88" i="5"/>
  <c r="AA88" i="11"/>
  <c r="Z88" i="11"/>
  <c r="A94" i="6"/>
  <c r="A100" i="5"/>
  <c r="AA100" i="11"/>
  <c r="Z100" i="11"/>
  <c r="A106" i="6"/>
  <c r="A112" i="5"/>
  <c r="AA112" i="11"/>
  <c r="Z112" i="11"/>
  <c r="A118" i="6"/>
  <c r="A124" i="5"/>
  <c r="Z124" i="11"/>
  <c r="AA124" i="11"/>
  <c r="A130" i="6"/>
  <c r="A136" i="5"/>
  <c r="AA136" i="11"/>
  <c r="Z136" i="11"/>
  <c r="A142" i="6"/>
  <c r="A148" i="5"/>
  <c r="AA148" i="11"/>
  <c r="Z148" i="11"/>
  <c r="A154" i="6"/>
  <c r="A160" i="5"/>
  <c r="AA160" i="11"/>
  <c r="Z160" i="11"/>
  <c r="A166" i="6"/>
  <c r="A172" i="5"/>
  <c r="AA172" i="11"/>
  <c r="Z172" i="11"/>
  <c r="A178" i="6"/>
  <c r="A184" i="5"/>
  <c r="AA184" i="11"/>
  <c r="Z184" i="11"/>
  <c r="A190" i="6"/>
  <c r="A196" i="5"/>
  <c r="AA196" i="11"/>
  <c r="Z196" i="11"/>
  <c r="A202" i="6"/>
  <c r="A208" i="5"/>
  <c r="AA208" i="11"/>
  <c r="Z208" i="11"/>
  <c r="A214" i="6"/>
  <c r="A220" i="5"/>
  <c r="AA220" i="11"/>
  <c r="Z220" i="11"/>
  <c r="A226" i="6"/>
  <c r="A232" i="5"/>
  <c r="AA232" i="11"/>
  <c r="Z232" i="11"/>
  <c r="A238" i="6"/>
  <c r="A244" i="5"/>
  <c r="AA244" i="11"/>
  <c r="Z244" i="11"/>
  <c r="Q9" i="5"/>
  <c r="S9" i="5" s="1"/>
  <c r="P10" i="5"/>
  <c r="R10" i="5" s="1"/>
  <c r="A13" i="5"/>
  <c r="X14" i="5"/>
  <c r="A25" i="5"/>
  <c r="X26" i="5"/>
  <c r="A37" i="5"/>
  <c r="X38" i="5"/>
  <c r="I58" i="5"/>
  <c r="J58" i="5" s="1"/>
  <c r="K58" i="5" s="1"/>
  <c r="A66" i="5"/>
  <c r="X77" i="5"/>
  <c r="X94" i="5"/>
  <c r="A95" i="5"/>
  <c r="Y100" i="5"/>
  <c r="Y120" i="5"/>
  <c r="L152" i="5"/>
  <c r="J152" i="5"/>
  <c r="K152" i="5" s="1"/>
  <c r="L185" i="5"/>
  <c r="L197" i="5"/>
  <c r="A205" i="5"/>
  <c r="AA6" i="11"/>
  <c r="Z6" i="11"/>
  <c r="Z18" i="11"/>
  <c r="AA18" i="11"/>
  <c r="Z30" i="11"/>
  <c r="AA30" i="11"/>
  <c r="Z42" i="11"/>
  <c r="AA42" i="11"/>
  <c r="AA54" i="11"/>
  <c r="Z54" i="11"/>
  <c r="AA66" i="11"/>
  <c r="Z66" i="11"/>
  <c r="A72" i="6"/>
  <c r="A78" i="5"/>
  <c r="Z78" i="11"/>
  <c r="AA78" i="11"/>
  <c r="A84" i="6"/>
  <c r="A90" i="5"/>
  <c r="AA90" i="11"/>
  <c r="Z90" i="11"/>
  <c r="A96" i="6"/>
  <c r="A102" i="5"/>
  <c r="AA102" i="11"/>
  <c r="Z102" i="11"/>
  <c r="A108" i="6"/>
  <c r="A114" i="5"/>
  <c r="AA114" i="11"/>
  <c r="Z114" i="11"/>
  <c r="A120" i="6"/>
  <c r="A126" i="5"/>
  <c r="AA126" i="11"/>
  <c r="Z126" i="11"/>
  <c r="A132" i="6"/>
  <c r="A138" i="5"/>
  <c r="AA138" i="11"/>
  <c r="Z138" i="11"/>
  <c r="A144" i="6"/>
  <c r="A150" i="5"/>
  <c r="Z150" i="11"/>
  <c r="AA150" i="11"/>
  <c r="A156" i="6"/>
  <c r="A162" i="5"/>
  <c r="Z162" i="11"/>
  <c r="AA162" i="11"/>
  <c r="A168" i="6"/>
  <c r="A174" i="5"/>
  <c r="Z174" i="11"/>
  <c r="AA174" i="11"/>
  <c r="A180" i="6"/>
  <c r="A186" i="5"/>
  <c r="Z186" i="11"/>
  <c r="AA186" i="11"/>
  <c r="A192" i="6"/>
  <c r="A198" i="5"/>
  <c r="Z198" i="11"/>
  <c r="AA198" i="11"/>
  <c r="A204" i="6"/>
  <c r="A210" i="5"/>
  <c r="Z210" i="11"/>
  <c r="AA210" i="11"/>
  <c r="A216" i="6"/>
  <c r="A222" i="5"/>
  <c r="Z222" i="11"/>
  <c r="AA222" i="11"/>
  <c r="A228" i="6"/>
  <c r="A234" i="5"/>
  <c r="Z234" i="11"/>
  <c r="AA234" i="11"/>
  <c r="A240" i="6"/>
  <c r="A246" i="5"/>
  <c r="Q11" i="5"/>
  <c r="S11" i="5" s="1"/>
  <c r="A59" i="5"/>
  <c r="A62" i="5"/>
  <c r="A74" i="5"/>
  <c r="A92" i="5"/>
  <c r="Y114" i="5"/>
  <c r="Q150" i="5"/>
  <c r="P150" i="5"/>
  <c r="R150" i="5" s="1"/>
  <c r="Y150" i="5"/>
  <c r="M150" i="5"/>
  <c r="I150" i="5"/>
  <c r="L150" i="5" s="1"/>
  <c r="Q162" i="5"/>
  <c r="P162" i="5"/>
  <c r="R162" i="5" s="1"/>
  <c r="Y162" i="5"/>
  <c r="M162" i="5"/>
  <c r="I162" i="5"/>
  <c r="L162" i="5" s="1"/>
  <c r="Q174" i="5"/>
  <c r="S174" i="5" s="1"/>
  <c r="P174" i="5"/>
  <c r="R174" i="5" s="1"/>
  <c r="Y174" i="5"/>
  <c r="M174" i="5"/>
  <c r="I174" i="5"/>
  <c r="J174" i="5" s="1"/>
  <c r="K174" i="5" s="1"/>
  <c r="A181" i="5"/>
  <c r="R186" i="5"/>
  <c r="X190" i="5"/>
  <c r="A212" i="5"/>
  <c r="Y224" i="5"/>
  <c r="M224" i="5"/>
  <c r="I224" i="5"/>
  <c r="L224" i="5" s="1"/>
  <c r="Q224" i="5"/>
  <c r="P224" i="5"/>
  <c r="R224" i="5" s="1"/>
  <c r="V12" i="11"/>
  <c r="BE9" i="6"/>
  <c r="AA139" i="11"/>
  <c r="Z139" i="11"/>
  <c r="A181" i="6"/>
  <c r="A187" i="5"/>
  <c r="A193" i="6"/>
  <c r="A199" i="5"/>
  <c r="L58" i="5"/>
  <c r="Y64" i="5"/>
  <c r="M64" i="5"/>
  <c r="I64" i="5"/>
  <c r="J64" i="5" s="1"/>
  <c r="K64" i="5" s="1"/>
  <c r="X64" i="5"/>
  <c r="X95" i="5"/>
  <c r="X130" i="5"/>
  <c r="A139" i="5"/>
  <c r="Q144" i="5"/>
  <c r="P144" i="5"/>
  <c r="R144" i="5" s="1"/>
  <c r="Y144" i="5"/>
  <c r="M144" i="5"/>
  <c r="J145" i="5"/>
  <c r="K145" i="5" s="1"/>
  <c r="I145" i="5"/>
  <c r="Q145" i="5"/>
  <c r="S145" i="5" s="1"/>
  <c r="P145" i="5"/>
  <c r="R145" i="5" s="1"/>
  <c r="L145" i="5"/>
  <c r="A157" i="5"/>
  <c r="A169" i="5"/>
  <c r="X178" i="5"/>
  <c r="I217" i="5"/>
  <c r="J217" i="5" s="1"/>
  <c r="K217" i="5" s="1"/>
  <c r="Q217" i="5"/>
  <c r="S217" i="5" s="1"/>
  <c r="P217" i="5"/>
  <c r="R217" i="5" s="1"/>
  <c r="AA55" i="11"/>
  <c r="Z55" i="11"/>
  <c r="Z103" i="11"/>
  <c r="AA103" i="11"/>
  <c r="AA115" i="11"/>
  <c r="Z115" i="11"/>
  <c r="AA151" i="11"/>
  <c r="Z151" i="11"/>
  <c r="AA163" i="11"/>
  <c r="Z163" i="11"/>
  <c r="AA175" i="11"/>
  <c r="Z175" i="11"/>
  <c r="A217" i="6"/>
  <c r="A223" i="5"/>
  <c r="AA8" i="11"/>
  <c r="Z8" i="11"/>
  <c r="S58" i="4"/>
  <c r="AA56" i="11"/>
  <c r="Z56" i="11"/>
  <c r="Z68" i="11"/>
  <c r="AA68" i="11"/>
  <c r="AA80" i="11"/>
  <c r="Z80" i="11"/>
  <c r="AA92" i="11"/>
  <c r="Z92" i="11"/>
  <c r="Z104" i="11"/>
  <c r="AA104" i="11"/>
  <c r="AA116" i="11"/>
  <c r="Z116" i="11"/>
  <c r="AA128" i="11"/>
  <c r="Z128" i="11"/>
  <c r="S142" i="4"/>
  <c r="AA140" i="11"/>
  <c r="Z140" i="11"/>
  <c r="S154" i="4"/>
  <c r="AA152" i="11"/>
  <c r="Z152" i="11"/>
  <c r="S166" i="4"/>
  <c r="AA164" i="11"/>
  <c r="Z164" i="11"/>
  <c r="S178" i="4"/>
  <c r="AA176" i="11"/>
  <c r="Z176" i="11"/>
  <c r="AA188" i="11"/>
  <c r="Z188" i="11"/>
  <c r="AA200" i="11"/>
  <c r="Z200" i="11"/>
  <c r="AA212" i="11"/>
  <c r="Z212" i="11"/>
  <c r="A218" i="6"/>
  <c r="A224" i="5"/>
  <c r="AA224" i="11"/>
  <c r="Z224" i="11"/>
  <c r="A230" i="6"/>
  <c r="A236" i="5"/>
  <c r="AA236" i="11"/>
  <c r="Z236" i="11"/>
  <c r="A242" i="6"/>
  <c r="A248" i="5"/>
  <c r="I9" i="5"/>
  <c r="Y60" i="5"/>
  <c r="A68" i="5"/>
  <c r="X83" i="5"/>
  <c r="A85" i="5"/>
  <c r="Q90" i="5"/>
  <c r="S90" i="5" s="1"/>
  <c r="P90" i="5"/>
  <c r="R90" i="5" s="1"/>
  <c r="Y90" i="5"/>
  <c r="M90" i="5"/>
  <c r="L90" i="5"/>
  <c r="J90" i="5"/>
  <c r="K90" i="5" s="1"/>
  <c r="Y102" i="5"/>
  <c r="L116" i="5"/>
  <c r="A127" i="5"/>
  <c r="A134" i="5"/>
  <c r="X137" i="5"/>
  <c r="A140" i="5"/>
  <c r="I144" i="5"/>
  <c r="L144" i="5" s="1"/>
  <c r="M145" i="5"/>
  <c r="S150" i="5"/>
  <c r="X154" i="5"/>
  <c r="S162" i="5"/>
  <c r="X166" i="5"/>
  <c r="A188" i="5"/>
  <c r="A200" i="5"/>
  <c r="M217" i="5"/>
  <c r="L223" i="5"/>
  <c r="J223" i="5"/>
  <c r="K223" i="5" s="1"/>
  <c r="S224" i="5"/>
  <c r="I230" i="5"/>
  <c r="L230" i="5" s="1"/>
  <c r="Y230" i="5"/>
  <c r="M230" i="5"/>
  <c r="Q230" i="5"/>
  <c r="S230" i="5" s="1"/>
  <c r="P230" i="5"/>
  <c r="R230" i="5" s="1"/>
  <c r="X246" i="5"/>
  <c r="AA127" i="11"/>
  <c r="Z127" i="11"/>
  <c r="A229" i="6"/>
  <c r="A235" i="5"/>
  <c r="Z32" i="11"/>
  <c r="AA32" i="11"/>
  <c r="AA9" i="11"/>
  <c r="Z9" i="11"/>
  <c r="AA69" i="11"/>
  <c r="Z69" i="11"/>
  <c r="Z81" i="11"/>
  <c r="AA81" i="11"/>
  <c r="A87" i="6"/>
  <c r="A93" i="5"/>
  <c r="Z93" i="11"/>
  <c r="AA93" i="11"/>
  <c r="A99" i="6"/>
  <c r="A105" i="5"/>
  <c r="Z105" i="11"/>
  <c r="AA105" i="11"/>
  <c r="A111" i="6"/>
  <c r="A117" i="5"/>
  <c r="AA117" i="11"/>
  <c r="Z117" i="11"/>
  <c r="A123" i="6"/>
  <c r="A129" i="5"/>
  <c r="AA129" i="11"/>
  <c r="Z129" i="11"/>
  <c r="A135" i="6"/>
  <c r="A141" i="5"/>
  <c r="AA141" i="11"/>
  <c r="Z141" i="11"/>
  <c r="A147" i="6"/>
  <c r="A153" i="5"/>
  <c r="AA153" i="11"/>
  <c r="Z153" i="11"/>
  <c r="A159" i="6"/>
  <c r="A165" i="5"/>
  <c r="AA165" i="11"/>
  <c r="Z165" i="11"/>
  <c r="A171" i="6"/>
  <c r="A177" i="5"/>
  <c r="AA177" i="11"/>
  <c r="Z177" i="11"/>
  <c r="A183" i="6"/>
  <c r="A189" i="5"/>
  <c r="AA189" i="11"/>
  <c r="Z189" i="11"/>
  <c r="A195" i="6"/>
  <c r="A201" i="5"/>
  <c r="AA201" i="11"/>
  <c r="Z201" i="11"/>
  <c r="A207" i="6"/>
  <c r="A213" i="5"/>
  <c r="AA213" i="11"/>
  <c r="Z213" i="11"/>
  <c r="A219" i="6"/>
  <c r="A225" i="5"/>
  <c r="AA225" i="11"/>
  <c r="Z225" i="11"/>
  <c r="A231" i="6"/>
  <c r="A237" i="5"/>
  <c r="AA237" i="11"/>
  <c r="Z237" i="11"/>
  <c r="J9" i="5"/>
  <c r="K9" i="5" s="1"/>
  <c r="A18" i="5"/>
  <c r="A30" i="5"/>
  <c r="A42" i="5"/>
  <c r="A54" i="5"/>
  <c r="Y56" i="5"/>
  <c r="A61" i="5"/>
  <c r="Y70" i="5"/>
  <c r="M70" i="5"/>
  <c r="X78" i="5"/>
  <c r="A81" i="5"/>
  <c r="X124" i="5"/>
  <c r="A128" i="5"/>
  <c r="X131" i="5"/>
  <c r="A164" i="5"/>
  <c r="A176" i="5"/>
  <c r="I205" i="5"/>
  <c r="J205" i="5" s="1"/>
  <c r="K205" i="5" s="1"/>
  <c r="Q205" i="5"/>
  <c r="S205" i="5" s="1"/>
  <c r="P205" i="5"/>
  <c r="R205" i="5" s="1"/>
  <c r="AA67" i="11"/>
  <c r="Z67" i="11"/>
  <c r="AA79" i="11"/>
  <c r="Z79" i="11"/>
  <c r="Z21" i="11"/>
  <c r="AA21" i="11"/>
  <c r="AA33" i="11"/>
  <c r="Z33" i="11"/>
  <c r="AA10" i="11"/>
  <c r="Z10" i="11"/>
  <c r="AA82" i="11"/>
  <c r="Z82" i="11"/>
  <c r="A136" i="6"/>
  <c r="A142" i="5"/>
  <c r="AA142" i="11"/>
  <c r="Z142" i="11"/>
  <c r="A148" i="6"/>
  <c r="A154" i="5"/>
  <c r="AA154" i="11"/>
  <c r="Z154" i="11"/>
  <c r="A160" i="6"/>
  <c r="A166" i="5"/>
  <c r="AA166" i="11"/>
  <c r="Z166" i="11"/>
  <c r="A172" i="6"/>
  <c r="A178" i="5"/>
  <c r="AA178" i="11"/>
  <c r="Z178" i="11"/>
  <c r="A184" i="6"/>
  <c r="A190" i="5"/>
  <c r="AA190" i="11"/>
  <c r="Z190" i="11"/>
  <c r="A196" i="6"/>
  <c r="A202" i="5"/>
  <c r="AA202" i="11"/>
  <c r="Z202" i="11"/>
  <c r="A208" i="6"/>
  <c r="A214" i="5"/>
  <c r="AA214" i="11"/>
  <c r="Z214" i="11"/>
  <c r="A220" i="6"/>
  <c r="A226" i="5"/>
  <c r="AA226" i="11"/>
  <c r="Z226" i="11"/>
  <c r="A232" i="6"/>
  <c r="A238" i="5"/>
  <c r="AA238" i="11"/>
  <c r="Z238" i="11"/>
  <c r="B4" i="5"/>
  <c r="J10" i="5"/>
  <c r="K10" i="5" s="1"/>
  <c r="I11" i="5"/>
  <c r="L11" i="5" s="1"/>
  <c r="A43" i="5"/>
  <c r="A57" i="5"/>
  <c r="P58" i="5"/>
  <c r="R58" i="5" s="1"/>
  <c r="L64" i="5"/>
  <c r="X66" i="5"/>
  <c r="I70" i="5"/>
  <c r="L70" i="5" s="1"/>
  <c r="X76" i="5"/>
  <c r="A79" i="5"/>
  <c r="A98" i="5"/>
  <c r="L137" i="5"/>
  <c r="X142" i="5"/>
  <c r="S144" i="5"/>
  <c r="A151" i="5"/>
  <c r="A152" i="5"/>
  <c r="S189" i="5"/>
  <c r="I193" i="5"/>
  <c r="J193" i="5" s="1"/>
  <c r="K193" i="5" s="1"/>
  <c r="Q193" i="5"/>
  <c r="S193" i="5" s="1"/>
  <c r="P193" i="5"/>
  <c r="R193" i="5" s="1"/>
  <c r="M205" i="5"/>
  <c r="BX3" i="6"/>
  <c r="U9" i="4" s="1"/>
  <c r="AA211" i="11"/>
  <c r="Z211" i="11"/>
  <c r="A241" i="6"/>
  <c r="A247" i="5"/>
  <c r="Z44" i="11"/>
  <c r="AA44" i="11"/>
  <c r="AA46" i="11"/>
  <c r="Z46" i="11"/>
  <c r="AA58" i="11"/>
  <c r="Z58" i="11"/>
  <c r="A88" i="6"/>
  <c r="A94" i="5"/>
  <c r="A112" i="6"/>
  <c r="A118" i="5"/>
  <c r="AA35" i="11"/>
  <c r="Z35" i="11"/>
  <c r="AA47" i="11"/>
  <c r="Z47" i="11"/>
  <c r="Z59" i="11"/>
  <c r="AA59" i="11"/>
  <c r="AA71" i="11"/>
  <c r="Z71" i="11"/>
  <c r="AA83" i="11"/>
  <c r="Z83" i="11"/>
  <c r="Z95" i="11"/>
  <c r="AA95" i="11"/>
  <c r="A101" i="6"/>
  <c r="A107" i="5"/>
  <c r="AA107" i="11"/>
  <c r="Z107" i="11"/>
  <c r="A113" i="6"/>
  <c r="A119" i="5"/>
  <c r="AA119" i="11"/>
  <c r="Z119" i="11"/>
  <c r="A125" i="6"/>
  <c r="A131" i="5"/>
  <c r="AA131" i="11"/>
  <c r="Z131" i="11"/>
  <c r="A137" i="6"/>
  <c r="A143" i="5"/>
  <c r="AA143" i="11"/>
  <c r="Z143" i="11"/>
  <c r="A149" i="6"/>
  <c r="A155" i="5"/>
  <c r="AA155" i="11"/>
  <c r="Z155" i="11"/>
  <c r="A161" i="6"/>
  <c r="A167" i="5"/>
  <c r="AA167" i="11"/>
  <c r="Z167" i="11"/>
  <c r="A173" i="6"/>
  <c r="A179" i="5"/>
  <c r="AA179" i="11"/>
  <c r="Z179" i="11"/>
  <c r="A185" i="6"/>
  <c r="A191" i="5"/>
  <c r="AA191" i="11"/>
  <c r="Z191" i="11"/>
  <c r="A197" i="6"/>
  <c r="A203" i="5"/>
  <c r="AA203" i="11"/>
  <c r="Z203" i="11"/>
  <c r="A209" i="6"/>
  <c r="A215" i="5"/>
  <c r="AA215" i="11"/>
  <c r="Z215" i="11"/>
  <c r="A221" i="6"/>
  <c r="A227" i="5"/>
  <c r="AA227" i="11"/>
  <c r="Z227" i="11"/>
  <c r="A233" i="6"/>
  <c r="A239" i="5"/>
  <c r="AA239" i="11"/>
  <c r="Z239" i="11"/>
  <c r="L9" i="5"/>
  <c r="A20" i="5"/>
  <c r="A32" i="5"/>
  <c r="A44" i="5"/>
  <c r="X48" i="5"/>
  <c r="A50" i="5"/>
  <c r="Q58" i="5"/>
  <c r="S58" i="5" s="1"/>
  <c r="X63" i="5"/>
  <c r="Y66" i="5"/>
  <c r="A71" i="5"/>
  <c r="Y72" i="5"/>
  <c r="A73" i="5"/>
  <c r="X74" i="5"/>
  <c r="A86" i="5"/>
  <c r="Y96" i="5"/>
  <c r="X118" i="5"/>
  <c r="A121" i="5"/>
  <c r="X125" i="5"/>
  <c r="I181" i="5"/>
  <c r="Q181" i="5"/>
  <c r="S181" i="5" s="1"/>
  <c r="P181" i="5"/>
  <c r="R181" i="5" s="1"/>
  <c r="AA187" i="11"/>
  <c r="Z187" i="11"/>
  <c r="AA199" i="11"/>
  <c r="Z199" i="11"/>
  <c r="A205" i="6"/>
  <c r="A211" i="5"/>
  <c r="DB1" i="6"/>
  <c r="DA1" i="6"/>
  <c r="AA57" i="11"/>
  <c r="Z57" i="11"/>
  <c r="AA22" i="11"/>
  <c r="Z22" i="11"/>
  <c r="A52" i="6"/>
  <c r="A58" i="5"/>
  <c r="A100" i="6"/>
  <c r="A106" i="5"/>
  <c r="AA106" i="11"/>
  <c r="Z106" i="11"/>
  <c r="A124" i="6"/>
  <c r="A130" i="5"/>
  <c r="AA130" i="11"/>
  <c r="Z130" i="11"/>
  <c r="AA11" i="11"/>
  <c r="Z11" i="11"/>
  <c r="AA23" i="11"/>
  <c r="Z23" i="11"/>
  <c r="AA12" i="11"/>
  <c r="Z12" i="11"/>
  <c r="AA24" i="11"/>
  <c r="Z24" i="11"/>
  <c r="AA36" i="11"/>
  <c r="Z36" i="11"/>
  <c r="Z48" i="11"/>
  <c r="AA48" i="11"/>
  <c r="A54" i="6"/>
  <c r="A60" i="5"/>
  <c r="Z60" i="11"/>
  <c r="AA60" i="11"/>
  <c r="A66" i="6"/>
  <c r="A72" i="5"/>
  <c r="Z72" i="11"/>
  <c r="AA72" i="11"/>
  <c r="A78" i="6"/>
  <c r="A84" i="5"/>
  <c r="AA84" i="11"/>
  <c r="Z84" i="11"/>
  <c r="A90" i="6"/>
  <c r="A96" i="5"/>
  <c r="AA96" i="11"/>
  <c r="Z96" i="11"/>
  <c r="A102" i="6"/>
  <c r="A108" i="5"/>
  <c r="AA108" i="11"/>
  <c r="Z108" i="11"/>
  <c r="A114" i="6"/>
  <c r="A120" i="5"/>
  <c r="AA120" i="11"/>
  <c r="Z120" i="11"/>
  <c r="A126" i="6"/>
  <c r="A132" i="5"/>
  <c r="AA132" i="11"/>
  <c r="Z132" i="11"/>
  <c r="A138" i="6"/>
  <c r="A144" i="5"/>
  <c r="Z144" i="11"/>
  <c r="AA144" i="11"/>
  <c r="A150" i="6"/>
  <c r="A156" i="5"/>
  <c r="Z156" i="11"/>
  <c r="AA156" i="11"/>
  <c r="A162" i="6"/>
  <c r="A168" i="5"/>
  <c r="Z168" i="11"/>
  <c r="AA168" i="11"/>
  <c r="A174" i="6"/>
  <c r="A180" i="5"/>
  <c r="Z180" i="11"/>
  <c r="AA180" i="11"/>
  <c r="A186" i="6"/>
  <c r="A192" i="5"/>
  <c r="Z192" i="11"/>
  <c r="AA192" i="11"/>
  <c r="A198" i="6"/>
  <c r="A204" i="5"/>
  <c r="Z204" i="11"/>
  <c r="AA204" i="11"/>
  <c r="A210" i="6"/>
  <c r="A216" i="5"/>
  <c r="Z216" i="11"/>
  <c r="AA216" i="11"/>
  <c r="A222" i="6"/>
  <c r="A228" i="5"/>
  <c r="Z228" i="11"/>
  <c r="AA228" i="11"/>
  <c r="A234" i="6"/>
  <c r="A240" i="5"/>
  <c r="Z240" i="11"/>
  <c r="AA240" i="11"/>
  <c r="A9" i="5"/>
  <c r="M9" i="5"/>
  <c r="Y9" i="5"/>
  <c r="L10" i="5"/>
  <c r="P18" i="5"/>
  <c r="R18" i="5" s="1"/>
  <c r="A21" i="5"/>
  <c r="A33" i="5"/>
  <c r="A45" i="5"/>
  <c r="Y48" i="5"/>
  <c r="Y52" i="5"/>
  <c r="X52" i="5"/>
  <c r="Y55" i="5"/>
  <c r="S64" i="5"/>
  <c r="A67" i="5"/>
  <c r="I74" i="5"/>
  <c r="L74" i="5" s="1"/>
  <c r="Q74" i="5"/>
  <c r="S74" i="5" s="1"/>
  <c r="Y74" i="5"/>
  <c r="Y78" i="5"/>
  <c r="Y84" i="5"/>
  <c r="X88" i="5"/>
  <c r="L99" i="5"/>
  <c r="X106" i="5"/>
  <c r="A109" i="5"/>
  <c r="A115" i="5"/>
  <c r="A122" i="5"/>
  <c r="Y132" i="5"/>
  <c r="S136" i="5"/>
  <c r="Q139" i="5"/>
  <c r="S139" i="5" s="1"/>
  <c r="P139" i="5"/>
  <c r="R139" i="5" s="1"/>
  <c r="I139" i="5"/>
  <c r="L139" i="5" s="1"/>
  <c r="S153" i="5"/>
  <c r="J157" i="5"/>
  <c r="K157" i="5" s="1"/>
  <c r="I157" i="5"/>
  <c r="L157" i="5" s="1"/>
  <c r="Q157" i="5"/>
  <c r="S157" i="5" s="1"/>
  <c r="P157" i="5"/>
  <c r="R157" i="5" s="1"/>
  <c r="S165" i="5"/>
  <c r="I169" i="5"/>
  <c r="J169" i="5" s="1"/>
  <c r="K169" i="5" s="1"/>
  <c r="Q169" i="5"/>
  <c r="S169" i="5" s="1"/>
  <c r="P169" i="5"/>
  <c r="R169" i="5" s="1"/>
  <c r="M181" i="5"/>
  <c r="R202" i="5"/>
  <c r="X209" i="5"/>
  <c r="X228" i="5"/>
  <c r="J235" i="5"/>
  <c r="K235" i="5" s="1"/>
  <c r="L235" i="5"/>
  <c r="AA43" i="11"/>
  <c r="Z43" i="11"/>
  <c r="A157" i="6"/>
  <c r="A163" i="5"/>
  <c r="AA223" i="11"/>
  <c r="Z223" i="11"/>
  <c r="AA235" i="11"/>
  <c r="Z235" i="11"/>
  <c r="Z20" i="11"/>
  <c r="AA20" i="11"/>
  <c r="AA45" i="11"/>
  <c r="Z45" i="11"/>
  <c r="AA34" i="11"/>
  <c r="Z34" i="11"/>
  <c r="A64" i="6"/>
  <c r="A70" i="5"/>
  <c r="AA70" i="11"/>
  <c r="Z70" i="11"/>
  <c r="A76" i="6"/>
  <c r="A82" i="5"/>
  <c r="Z94" i="11"/>
  <c r="AA94" i="11"/>
  <c r="AA118" i="11"/>
  <c r="Z118" i="11"/>
  <c r="Z13" i="11"/>
  <c r="AA13" i="11"/>
  <c r="AA25" i="11"/>
  <c r="Z25" i="11"/>
  <c r="AA37" i="11"/>
  <c r="Z37" i="11"/>
  <c r="Z49" i="11"/>
  <c r="AA49" i="11"/>
  <c r="AA61" i="11"/>
  <c r="Z61" i="11"/>
  <c r="AA73" i="11"/>
  <c r="Z73" i="11"/>
  <c r="Z85" i="11"/>
  <c r="AA85" i="11"/>
  <c r="AA97" i="11"/>
  <c r="Z97" i="11"/>
  <c r="AA109" i="11"/>
  <c r="Z109" i="11"/>
  <c r="Z121" i="11"/>
  <c r="AA121" i="11"/>
  <c r="AA133" i="11"/>
  <c r="Z133" i="11"/>
  <c r="AA145" i="11"/>
  <c r="Z145" i="11"/>
  <c r="AA157" i="11"/>
  <c r="Z157" i="11"/>
  <c r="AA169" i="11"/>
  <c r="Z169" i="11"/>
  <c r="AA181" i="11"/>
  <c r="Z181" i="11"/>
  <c r="AA193" i="11"/>
  <c r="Z193" i="11"/>
  <c r="AA205" i="11"/>
  <c r="Z205" i="11"/>
  <c r="AA217" i="11"/>
  <c r="Z217" i="11"/>
  <c r="A223" i="6"/>
  <c r="A229" i="5"/>
  <c r="AA229" i="11"/>
  <c r="Z229" i="11"/>
  <c r="A235" i="6"/>
  <c r="A241" i="5"/>
  <c r="AA241" i="11"/>
  <c r="Z241" i="11"/>
  <c r="A10" i="5"/>
  <c r="M10" i="5"/>
  <c r="A22" i="5"/>
  <c r="A34" i="5"/>
  <c r="A46" i="5"/>
  <c r="A49" i="5"/>
  <c r="A56" i="5"/>
  <c r="X62" i="5"/>
  <c r="P64" i="5"/>
  <c r="R64" i="5" s="1"/>
  <c r="J74" i="5"/>
  <c r="K74" i="5" s="1"/>
  <c r="I85" i="5"/>
  <c r="J85" i="5" s="1"/>
  <c r="K85" i="5" s="1"/>
  <c r="Q85" i="5"/>
  <c r="S85" i="5" s="1"/>
  <c r="P85" i="5"/>
  <c r="R85" i="5" s="1"/>
  <c r="L85" i="5"/>
  <c r="L92" i="5"/>
  <c r="X100" i="5"/>
  <c r="A110" i="5"/>
  <c r="X112" i="5"/>
  <c r="A116" i="5"/>
  <c r="X119" i="5"/>
  <c r="Q138" i="5"/>
  <c r="S138" i="5" s="1"/>
  <c r="P138" i="5"/>
  <c r="R138" i="5" s="1"/>
  <c r="Y138" i="5"/>
  <c r="M138" i="5"/>
  <c r="L138" i="5"/>
  <c r="J138" i="5"/>
  <c r="K138" i="5" s="1"/>
  <c r="S141" i="5"/>
  <c r="L156" i="5"/>
  <c r="M157" i="5"/>
  <c r="L168" i="5"/>
  <c r="M169" i="5"/>
  <c r="R190" i="5"/>
  <c r="Y217" i="5"/>
  <c r="X238" i="5"/>
  <c r="Q92" i="5"/>
  <c r="S92" i="5" s="1"/>
  <c r="Q116" i="5"/>
  <c r="S116" i="5" s="1"/>
  <c r="I136" i="5"/>
  <c r="J136" i="5" s="1"/>
  <c r="K136" i="5" s="1"/>
  <c r="Q140" i="5"/>
  <c r="S140" i="5" s="1"/>
  <c r="I148" i="5"/>
  <c r="J148" i="5" s="1"/>
  <c r="K148" i="5" s="1"/>
  <c r="Q152" i="5"/>
  <c r="S152" i="5" s="1"/>
  <c r="M156" i="5"/>
  <c r="Y156" i="5"/>
  <c r="I160" i="5"/>
  <c r="T161" i="5"/>
  <c r="Q164" i="5"/>
  <c r="S164" i="5" s="1"/>
  <c r="M168" i="5"/>
  <c r="Y168" i="5"/>
  <c r="I172" i="5"/>
  <c r="J172" i="5" s="1"/>
  <c r="K172" i="5" s="1"/>
  <c r="Q176" i="5"/>
  <c r="S176" i="5" s="1"/>
  <c r="M180" i="5"/>
  <c r="Y180" i="5"/>
  <c r="I184" i="5"/>
  <c r="Q188" i="5"/>
  <c r="S188" i="5" s="1"/>
  <c r="M192" i="5"/>
  <c r="Y192" i="5"/>
  <c r="I196" i="5"/>
  <c r="J196" i="5" s="1"/>
  <c r="K196" i="5" s="1"/>
  <c r="Q200" i="5"/>
  <c r="S200" i="5" s="1"/>
  <c r="M204" i="5"/>
  <c r="Y204" i="5"/>
  <c r="I208" i="5"/>
  <c r="Q212" i="5"/>
  <c r="S212" i="5" s="1"/>
  <c r="M216" i="5"/>
  <c r="Y216" i="5"/>
  <c r="I220" i="5"/>
  <c r="Y220" i="5"/>
  <c r="X225" i="5"/>
  <c r="S226" i="5"/>
  <c r="I227" i="5"/>
  <c r="L227" i="5" s="1"/>
  <c r="P227" i="5"/>
  <c r="R227" i="5" s="1"/>
  <c r="M233" i="5"/>
  <c r="X234" i="5"/>
  <c r="I238" i="5"/>
  <c r="Q245" i="5"/>
  <c r="S245" i="5" s="1"/>
  <c r="E5" i="6"/>
  <c r="L8" i="6"/>
  <c r="DG9" i="6"/>
  <c r="B9" i="6" s="1"/>
  <c r="L9" i="6"/>
  <c r="K9" i="6"/>
  <c r="BH9" i="6" s="1"/>
  <c r="J9" i="6"/>
  <c r="EX9" i="6"/>
  <c r="H9" i="6"/>
  <c r="G9" i="6"/>
  <c r="F9" i="6"/>
  <c r="W12" i="11" s="1"/>
  <c r="I19" i="6"/>
  <c r="BJ19" i="6" s="1"/>
  <c r="J19" i="6"/>
  <c r="B19" i="6"/>
  <c r="EX19" i="6"/>
  <c r="DG19" i="6"/>
  <c r="BH19" i="6"/>
  <c r="L19" i="6"/>
  <c r="K19" i="6"/>
  <c r="H19" i="6"/>
  <c r="G19" i="6"/>
  <c r="F19" i="6"/>
  <c r="W22" i="11" s="1"/>
  <c r="E19" i="6"/>
  <c r="I23" i="6"/>
  <c r="BJ23" i="6" s="1"/>
  <c r="J23" i="6"/>
  <c r="DG23" i="6"/>
  <c r="BH23" i="6"/>
  <c r="L23" i="6"/>
  <c r="BG23" i="6"/>
  <c r="K23" i="6"/>
  <c r="H23" i="6"/>
  <c r="G23" i="6"/>
  <c r="F23" i="6"/>
  <c r="W26" i="11" s="1"/>
  <c r="E23" i="6"/>
  <c r="L30" i="6"/>
  <c r="K30" i="6"/>
  <c r="BH30" i="6" s="1"/>
  <c r="I30" i="6"/>
  <c r="BJ30" i="6" s="1"/>
  <c r="H30" i="6"/>
  <c r="F30" i="6"/>
  <c r="W33" i="11" s="1"/>
  <c r="BG30" i="6"/>
  <c r="E30" i="6"/>
  <c r="DG30" i="6"/>
  <c r="B30" i="6" s="1"/>
  <c r="J30" i="6"/>
  <c r="G30" i="6"/>
  <c r="BT39" i="6"/>
  <c r="BS39" i="6"/>
  <c r="BS45" i="6"/>
  <c r="BT45" i="6"/>
  <c r="Q234" i="5"/>
  <c r="S234" i="5" s="1"/>
  <c r="I234" i="5"/>
  <c r="L234" i="5" s="1"/>
  <c r="P236" i="5"/>
  <c r="R236" i="5" s="1"/>
  <c r="Y236" i="5"/>
  <c r="M236" i="5"/>
  <c r="I236" i="5"/>
  <c r="L236" i="5" s="1"/>
  <c r="Y239" i="5"/>
  <c r="M239" i="5"/>
  <c r="I239" i="5"/>
  <c r="L239" i="5" s="1"/>
  <c r="P239" i="5"/>
  <c r="R239" i="5" s="1"/>
  <c r="X240" i="5"/>
  <c r="Q143" i="5"/>
  <c r="S143" i="5" s="1"/>
  <c r="L148" i="5"/>
  <c r="I151" i="5"/>
  <c r="L151" i="5" s="1"/>
  <c r="Q155" i="5"/>
  <c r="S155" i="5" s="1"/>
  <c r="P156" i="5"/>
  <c r="R156" i="5" s="1"/>
  <c r="I163" i="5"/>
  <c r="J163" i="5" s="1"/>
  <c r="K163" i="5" s="1"/>
  <c r="Q167" i="5"/>
  <c r="S167" i="5" s="1"/>
  <c r="P168" i="5"/>
  <c r="R168" i="5" s="1"/>
  <c r="L172" i="5"/>
  <c r="I175" i="5"/>
  <c r="L175" i="5" s="1"/>
  <c r="Q179" i="5"/>
  <c r="S179" i="5" s="1"/>
  <c r="P180" i="5"/>
  <c r="R180" i="5" s="1"/>
  <c r="I187" i="5"/>
  <c r="L187" i="5" s="1"/>
  <c r="Q191" i="5"/>
  <c r="S191" i="5" s="1"/>
  <c r="P192" i="5"/>
  <c r="R192" i="5" s="1"/>
  <c r="I199" i="5"/>
  <c r="P204" i="5"/>
  <c r="R204" i="5" s="1"/>
  <c r="I211" i="5"/>
  <c r="P216" i="5"/>
  <c r="R216" i="5" s="1"/>
  <c r="Q222" i="5"/>
  <c r="S222" i="5" s="1"/>
  <c r="I222" i="5"/>
  <c r="X237" i="5"/>
  <c r="L241" i="5"/>
  <c r="X242" i="5"/>
  <c r="CH3" i="6"/>
  <c r="AD4" i="6" s="1"/>
  <c r="M136" i="5"/>
  <c r="M148" i="5"/>
  <c r="Q156" i="5"/>
  <c r="S156" i="5" s="1"/>
  <c r="M160" i="5"/>
  <c r="I164" i="5"/>
  <c r="Q168" i="5"/>
  <c r="S168" i="5" s="1"/>
  <c r="M172" i="5"/>
  <c r="I176" i="5"/>
  <c r="L176" i="5" s="1"/>
  <c r="Q180" i="5"/>
  <c r="S180" i="5" s="1"/>
  <c r="M184" i="5"/>
  <c r="J187" i="5"/>
  <c r="K187" i="5" s="1"/>
  <c r="I188" i="5"/>
  <c r="Q192" i="5"/>
  <c r="S192" i="5" s="1"/>
  <c r="M196" i="5"/>
  <c r="I200" i="5"/>
  <c r="L200" i="5" s="1"/>
  <c r="Q204" i="5"/>
  <c r="S204" i="5" s="1"/>
  <c r="M208" i="5"/>
  <c r="J211" i="5"/>
  <c r="K211" i="5" s="1"/>
  <c r="I212" i="5"/>
  <c r="Q216" i="5"/>
  <c r="S216" i="5" s="1"/>
  <c r="J222" i="5"/>
  <c r="K222" i="5" s="1"/>
  <c r="X222" i="5"/>
  <c r="J244" i="5"/>
  <c r="K244" i="5" s="1"/>
  <c r="BS22" i="6"/>
  <c r="BS25" i="6"/>
  <c r="P98" i="5"/>
  <c r="R98" i="5" s="1"/>
  <c r="P146" i="5"/>
  <c r="R146" i="5" s="1"/>
  <c r="P158" i="5"/>
  <c r="R158" i="5" s="1"/>
  <c r="P170" i="5"/>
  <c r="R170" i="5" s="1"/>
  <c r="P182" i="5"/>
  <c r="R182" i="5" s="1"/>
  <c r="P194" i="5"/>
  <c r="R194" i="5" s="1"/>
  <c r="J200" i="5"/>
  <c r="K200" i="5" s="1"/>
  <c r="P206" i="5"/>
  <c r="R206" i="5" s="1"/>
  <c r="P218" i="5"/>
  <c r="R218" i="5" s="1"/>
  <c r="Y222" i="5"/>
  <c r="X226" i="5"/>
  <c r="R231" i="5"/>
  <c r="M234" i="5"/>
  <c r="Q98" i="5"/>
  <c r="S98" i="5" s="1"/>
  <c r="Q146" i="5"/>
  <c r="S146" i="5" s="1"/>
  <c r="Q158" i="5"/>
  <c r="S158" i="5" s="1"/>
  <c r="Q170" i="5"/>
  <c r="S170" i="5" s="1"/>
  <c r="Q182" i="5"/>
  <c r="S182" i="5" s="1"/>
  <c r="Q194" i="5"/>
  <c r="S194" i="5" s="1"/>
  <c r="Q206" i="5"/>
  <c r="S206" i="5" s="1"/>
  <c r="L211" i="5"/>
  <c r="Q218" i="5"/>
  <c r="S218" i="5" s="1"/>
  <c r="L222" i="5"/>
  <c r="S236" i="5"/>
  <c r="L237" i="5"/>
  <c r="T238" i="5"/>
  <c r="Q239" i="5"/>
  <c r="S239" i="5" s="1"/>
  <c r="S241" i="5"/>
  <c r="I242" i="5"/>
  <c r="L242" i="5" s="1"/>
  <c r="Y242" i="5"/>
  <c r="M242" i="5"/>
  <c r="P245" i="5"/>
  <c r="R245" i="5" s="1"/>
  <c r="L245" i="5"/>
  <c r="J245" i="5"/>
  <c r="K245" i="5" s="1"/>
  <c r="BT17" i="6"/>
  <c r="BS17" i="6"/>
  <c r="BT21" i="6"/>
  <c r="BS21" i="6"/>
  <c r="P221" i="5"/>
  <c r="R221" i="5" s="1"/>
  <c r="J221" i="5"/>
  <c r="K221" i="5" s="1"/>
  <c r="X243" i="5"/>
  <c r="EE12" i="6"/>
  <c r="EY12" i="6"/>
  <c r="F4" i="6"/>
  <c r="W7" i="11" s="1"/>
  <c r="E4" i="6"/>
  <c r="DG4" i="6"/>
  <c r="B4" i="6"/>
  <c r="FA4" i="6"/>
  <c r="K4" i="6"/>
  <c r="BH4" i="6" s="1"/>
  <c r="J4" i="6"/>
  <c r="I4" i="6"/>
  <c r="BJ4" i="6" s="1"/>
  <c r="J156" i="5"/>
  <c r="K156" i="5" s="1"/>
  <c r="J168" i="5"/>
  <c r="K168" i="5" s="1"/>
  <c r="J180" i="5"/>
  <c r="K180" i="5" s="1"/>
  <c r="J192" i="5"/>
  <c r="K192" i="5" s="1"/>
  <c r="J204" i="5"/>
  <c r="K204" i="5" s="1"/>
  <c r="J216" i="5"/>
  <c r="K216" i="5" s="1"/>
  <c r="P233" i="5"/>
  <c r="R233" i="5" s="1"/>
  <c r="G4" i="6"/>
  <c r="F8" i="6"/>
  <c r="W11" i="11" s="1"/>
  <c r="BG8" i="6"/>
  <c r="E8" i="6"/>
  <c r="DG8" i="6"/>
  <c r="B8" i="6"/>
  <c r="K8" i="6"/>
  <c r="BH8" i="6" s="1"/>
  <c r="J8" i="6"/>
  <c r="I8" i="6"/>
  <c r="BJ8" i="6" s="1"/>
  <c r="V16" i="11"/>
  <c r="BE13" i="6"/>
  <c r="BO13" i="6"/>
  <c r="DH33" i="6"/>
  <c r="EY33" i="6"/>
  <c r="EE33" i="6"/>
  <c r="M142" i="5"/>
  <c r="I146" i="5"/>
  <c r="L146" i="5" s="1"/>
  <c r="P151" i="5"/>
  <c r="R151" i="5" s="1"/>
  <c r="M154" i="5"/>
  <c r="I158" i="5"/>
  <c r="P163" i="5"/>
  <c r="R163" i="5" s="1"/>
  <c r="M166" i="5"/>
  <c r="I170" i="5"/>
  <c r="L170" i="5" s="1"/>
  <c r="P175" i="5"/>
  <c r="R175" i="5" s="1"/>
  <c r="M178" i="5"/>
  <c r="I182" i="5"/>
  <c r="L182" i="5" s="1"/>
  <c r="P187" i="5"/>
  <c r="R187" i="5" s="1"/>
  <c r="M190" i="5"/>
  <c r="I194" i="5"/>
  <c r="L194" i="5" s="1"/>
  <c r="P199" i="5"/>
  <c r="R199" i="5" s="1"/>
  <c r="M202" i="5"/>
  <c r="I206" i="5"/>
  <c r="L206" i="5" s="1"/>
  <c r="P211" i="5"/>
  <c r="R211" i="5" s="1"/>
  <c r="M214" i="5"/>
  <c r="I218" i="5"/>
  <c r="L218" i="5" s="1"/>
  <c r="L221" i="5"/>
  <c r="P222" i="5"/>
  <c r="R222" i="5" s="1"/>
  <c r="X231" i="5"/>
  <c r="S232" i="5"/>
  <c r="I233" i="5"/>
  <c r="L233" i="5" s="1"/>
  <c r="R237" i="5"/>
  <c r="S242" i="5"/>
  <c r="Q246" i="5"/>
  <c r="S246" i="5" s="1"/>
  <c r="I246" i="5"/>
  <c r="H4" i="6"/>
  <c r="G8" i="6"/>
  <c r="BT34" i="6"/>
  <c r="BS34" i="6"/>
  <c r="Q220" i="5"/>
  <c r="S220" i="5" s="1"/>
  <c r="P220" i="5"/>
  <c r="R220" i="5" s="1"/>
  <c r="X220" i="5"/>
  <c r="M221" i="5"/>
  <c r="Y238" i="5"/>
  <c r="M238" i="5"/>
  <c r="Q238" i="5"/>
  <c r="S238" i="5" s="1"/>
  <c r="CQ3" i="6"/>
  <c r="AM4" i="6" s="1"/>
  <c r="CQ4" i="6" s="1"/>
  <c r="AM5" i="6" s="1"/>
  <c r="CQ5" i="6" s="1"/>
  <c r="AM6" i="6" s="1"/>
  <c r="L4" i="6"/>
  <c r="DG5" i="6"/>
  <c r="B5" i="6" s="1"/>
  <c r="L5" i="6"/>
  <c r="FA5" i="6"/>
  <c r="FA6" i="6" s="1"/>
  <c r="K5" i="6"/>
  <c r="DS5" i="6" s="1"/>
  <c r="H5" i="6"/>
  <c r="G5" i="6"/>
  <c r="BH5" i="6"/>
  <c r="F5" i="6"/>
  <c r="W8" i="11" s="1"/>
  <c r="H8" i="6"/>
  <c r="DS17" i="6"/>
  <c r="B26" i="6"/>
  <c r="EX26" i="6"/>
  <c r="DS25" i="6"/>
  <c r="BH33" i="6"/>
  <c r="DS33" i="6"/>
  <c r="L231" i="5"/>
  <c r="L243" i="5"/>
  <c r="L7" i="6"/>
  <c r="L11" i="6"/>
  <c r="I12" i="6"/>
  <c r="BJ12" i="6" s="1"/>
  <c r="F13" i="6"/>
  <c r="W16" i="11" s="1"/>
  <c r="BH13" i="6"/>
  <c r="L15" i="6"/>
  <c r="DG15" i="6"/>
  <c r="CK25" i="6"/>
  <c r="AG26" i="6" s="1"/>
  <c r="EY25" i="6"/>
  <c r="L27" i="6"/>
  <c r="F28" i="6"/>
  <c r="W31" i="11" s="1"/>
  <c r="E28" i="6"/>
  <c r="K28" i="6"/>
  <c r="G28" i="6"/>
  <c r="Z35" i="6"/>
  <c r="J12" i="6"/>
  <c r="G13" i="6"/>
  <c r="C17" i="10"/>
  <c r="BH16" i="6"/>
  <c r="F16" i="6"/>
  <c r="W19" i="11" s="1"/>
  <c r="DH17" i="6"/>
  <c r="DH21" i="6"/>
  <c r="C27" i="10"/>
  <c r="F24" i="6"/>
  <c r="W27" i="11" s="1"/>
  <c r="E24" i="6"/>
  <c r="G24" i="6"/>
  <c r="EL35" i="6"/>
  <c r="M232" i="5"/>
  <c r="Y232" i="5"/>
  <c r="M244" i="5"/>
  <c r="Y244" i="5"/>
  <c r="J247" i="5"/>
  <c r="K247" i="5" s="1"/>
  <c r="I248" i="5"/>
  <c r="J248" i="5" s="1"/>
  <c r="K248" i="5" s="1"/>
  <c r="ER3" i="6"/>
  <c r="V9" i="5" s="1"/>
  <c r="E6" i="6"/>
  <c r="B7" i="6"/>
  <c r="DG7" i="6"/>
  <c r="E10" i="6"/>
  <c r="DG11" i="6"/>
  <c r="K12" i="6"/>
  <c r="H13" i="6"/>
  <c r="E14" i="6"/>
  <c r="BG14" i="6"/>
  <c r="E16" i="6"/>
  <c r="EX18" i="6"/>
  <c r="C23" i="10"/>
  <c r="BH20" i="6"/>
  <c r="F20" i="6"/>
  <c r="W23" i="11" s="1"/>
  <c r="G20" i="6"/>
  <c r="EX22" i="6"/>
  <c r="H24" i="6"/>
  <c r="I31" i="6"/>
  <c r="BJ31" i="6" s="1"/>
  <c r="H31" i="6"/>
  <c r="F31" i="6"/>
  <c r="W34" i="11" s="1"/>
  <c r="E31" i="6"/>
  <c r="DG31" i="6"/>
  <c r="B31" i="6" s="1"/>
  <c r="K31" i="6"/>
  <c r="BH31" i="6" s="1"/>
  <c r="J31" i="6"/>
  <c r="V23" i="11"/>
  <c r="C14" i="10"/>
  <c r="J13" i="6"/>
  <c r="EY31" i="6"/>
  <c r="E34" i="10" s="1"/>
  <c r="DH31" i="6"/>
  <c r="T37" i="5" s="1"/>
  <c r="EX34" i="6"/>
  <c r="Y35" i="6"/>
  <c r="V38" i="11"/>
  <c r="AY35" i="6"/>
  <c r="K41" i="4" s="1"/>
  <c r="DI35" i="6"/>
  <c r="DT35" i="6"/>
  <c r="BI35" i="6"/>
  <c r="BE35" i="6"/>
  <c r="M223" i="5"/>
  <c r="Y223" i="5"/>
  <c r="P232" i="5"/>
  <c r="R232" i="5" s="1"/>
  <c r="M235" i="5"/>
  <c r="P244" i="5"/>
  <c r="R244" i="5" s="1"/>
  <c r="M247" i="5"/>
  <c r="H6" i="6"/>
  <c r="EX6" i="6"/>
  <c r="C9" i="10" s="1"/>
  <c r="E7" i="6"/>
  <c r="H10" i="6"/>
  <c r="EX10" i="6"/>
  <c r="E11" i="6"/>
  <c r="DG12" i="6"/>
  <c r="K13" i="6"/>
  <c r="H14" i="6"/>
  <c r="EX14" i="6"/>
  <c r="E15" i="6"/>
  <c r="BG15" i="6"/>
  <c r="I16" i="6"/>
  <c r="BJ16" i="6" s="1"/>
  <c r="I20" i="6"/>
  <c r="BJ20" i="6" s="1"/>
  <c r="BE20" i="6"/>
  <c r="K24" i="6"/>
  <c r="BH24" i="6" s="1"/>
  <c r="EX24" i="6"/>
  <c r="V28" i="11"/>
  <c r="DT25" i="6"/>
  <c r="BE25" i="6"/>
  <c r="C35" i="10"/>
  <c r="BH32" i="6"/>
  <c r="F32" i="6"/>
  <c r="W35" i="11" s="1"/>
  <c r="DG32" i="6"/>
  <c r="E32" i="6"/>
  <c r="EX32" i="6"/>
  <c r="B32" i="6"/>
  <c r="L32" i="6"/>
  <c r="K32" i="6"/>
  <c r="H32" i="6"/>
  <c r="G32" i="6"/>
  <c r="BT41" i="6"/>
  <c r="BS41" i="6"/>
  <c r="M248" i="5"/>
  <c r="Y248" i="5"/>
  <c r="I6" i="6"/>
  <c r="BJ6" i="6" s="1"/>
  <c r="F7" i="6"/>
  <c r="W10" i="11" s="1"/>
  <c r="BH7" i="6"/>
  <c r="I10" i="6"/>
  <c r="BJ10" i="6" s="1"/>
  <c r="F11" i="6"/>
  <c r="W14" i="11" s="1"/>
  <c r="BH11" i="6"/>
  <c r="L13" i="6"/>
  <c r="I14" i="6"/>
  <c r="BJ14" i="6" s="1"/>
  <c r="F15" i="6"/>
  <c r="W18" i="11" s="1"/>
  <c r="BH15" i="6"/>
  <c r="J16" i="6"/>
  <c r="V20" i="11"/>
  <c r="DT17" i="6"/>
  <c r="BE17" i="6"/>
  <c r="J20" i="6"/>
  <c r="EX20" i="6"/>
  <c r="V24" i="11"/>
  <c r="DT21" i="6"/>
  <c r="BE21" i="6"/>
  <c r="L24" i="6"/>
  <c r="C29" i="10"/>
  <c r="L26" i="6"/>
  <c r="K26" i="6"/>
  <c r="I26" i="6"/>
  <c r="BJ26" i="6" s="1"/>
  <c r="E26" i="6"/>
  <c r="EX28" i="6"/>
  <c r="EE31" i="6"/>
  <c r="I32" i="6"/>
  <c r="BJ32" i="6" s="1"/>
  <c r="E15" i="10"/>
  <c r="EY28" i="6"/>
  <c r="E31" i="10" s="1"/>
  <c r="DS32" i="6"/>
  <c r="DS38" i="6"/>
  <c r="K6" i="6"/>
  <c r="DS6" i="6" s="1"/>
  <c r="H7" i="6"/>
  <c r="DS7" i="6" s="1"/>
  <c r="K10" i="6"/>
  <c r="H11" i="6"/>
  <c r="DS11" i="6" s="1"/>
  <c r="EX11" i="6"/>
  <c r="E12" i="6"/>
  <c r="BG12" i="6"/>
  <c r="DG13" i="6"/>
  <c r="K14" i="6"/>
  <c r="H15" i="6"/>
  <c r="DS15" i="6" s="1"/>
  <c r="L16" i="6"/>
  <c r="DG16" i="6"/>
  <c r="EE17" i="6"/>
  <c r="C21" i="10"/>
  <c r="L18" i="6"/>
  <c r="L20" i="6"/>
  <c r="DG20" i="6"/>
  <c r="B20" i="6" s="1"/>
  <c r="EE21" i="6"/>
  <c r="L22" i="6"/>
  <c r="DT22" i="6" s="1"/>
  <c r="AE22" i="6"/>
  <c r="CI22" i="6" s="1"/>
  <c r="G26" i="6"/>
  <c r="I27" i="6"/>
  <c r="BJ27" i="6" s="1"/>
  <c r="EX27" i="6"/>
  <c r="H27" i="6"/>
  <c r="BE27" i="6" s="1"/>
  <c r="BH27" i="6"/>
  <c r="F27" i="6"/>
  <c r="W30" i="11" s="1"/>
  <c r="DG27" i="6"/>
  <c r="B27" i="6"/>
  <c r="J27" i="6"/>
  <c r="EE28" i="6"/>
  <c r="BT35" i="6"/>
  <c r="BS35" i="6"/>
  <c r="BO35" i="6"/>
  <c r="L6" i="6"/>
  <c r="I7" i="6"/>
  <c r="BJ7" i="6" s="1"/>
  <c r="L10" i="6"/>
  <c r="I11" i="6"/>
  <c r="BJ11" i="6" s="1"/>
  <c r="F12" i="6"/>
  <c r="W15" i="11" s="1"/>
  <c r="BH12" i="6"/>
  <c r="L14" i="6"/>
  <c r="I15" i="6"/>
  <c r="BJ15" i="6" s="1"/>
  <c r="V21" i="11"/>
  <c r="V25" i="11"/>
  <c r="BO22" i="6"/>
  <c r="V30" i="11"/>
  <c r="DS29" i="6"/>
  <c r="BH37" i="6"/>
  <c r="DS37" i="6"/>
  <c r="E20" i="10"/>
  <c r="C20" i="10"/>
  <c r="E24" i="10"/>
  <c r="C24" i="10"/>
  <c r="E28" i="10"/>
  <c r="C28" i="10"/>
  <c r="E32" i="10"/>
  <c r="C32" i="10"/>
  <c r="E34" i="6"/>
  <c r="B35" i="6"/>
  <c r="C41" i="10"/>
  <c r="L38" i="6"/>
  <c r="G38" i="6"/>
  <c r="L40" i="6"/>
  <c r="BT42" i="6"/>
  <c r="K44" i="6"/>
  <c r="V51" i="11"/>
  <c r="DT48" i="6"/>
  <c r="B49" i="6"/>
  <c r="BT54" i="6"/>
  <c r="EM35" i="6"/>
  <c r="AA35" i="6"/>
  <c r="V41" i="11"/>
  <c r="B39" i="6"/>
  <c r="L42" i="6"/>
  <c r="G42" i="6"/>
  <c r="EX43" i="6"/>
  <c r="L44" i="6"/>
  <c r="BT59" i="6"/>
  <c r="BS59" i="6"/>
  <c r="BH38" i="6"/>
  <c r="V45" i="11"/>
  <c r="BG52" i="6"/>
  <c r="DH52" i="6"/>
  <c r="CC52" i="6"/>
  <c r="EY52" i="6"/>
  <c r="CL52" i="6"/>
  <c r="AH53" i="6" s="1"/>
  <c r="DH37" i="6"/>
  <c r="EX37" i="6"/>
  <c r="V42" i="11"/>
  <c r="B40" i="6"/>
  <c r="DG40" i="6"/>
  <c r="H42" i="6"/>
  <c r="V50" i="11"/>
  <c r="DH47" i="6"/>
  <c r="BT50" i="6"/>
  <c r="DT61" i="6"/>
  <c r="G36" i="6"/>
  <c r="F36" i="6"/>
  <c r="W39" i="11" s="1"/>
  <c r="AE36" i="6"/>
  <c r="DH41" i="6"/>
  <c r="I42" i="6"/>
  <c r="BJ42" i="6" s="1"/>
  <c r="V46" i="11"/>
  <c r="DS45" i="6"/>
  <c r="DH48" i="6"/>
  <c r="EE48" i="6"/>
  <c r="EY48" i="6"/>
  <c r="E51" i="10" s="1"/>
  <c r="Y52" i="6"/>
  <c r="AE52" i="6"/>
  <c r="CI52" i="6" s="1"/>
  <c r="AA52" i="6"/>
  <c r="CE52" i="6" s="1"/>
  <c r="AA53" i="6" s="1"/>
  <c r="CE53" i="6" s="1"/>
  <c r="EX52" i="6"/>
  <c r="EL52" i="6"/>
  <c r="BG56" i="6"/>
  <c r="EE56" i="6"/>
  <c r="EY56" i="6"/>
  <c r="E59" i="10" s="1"/>
  <c r="BT61" i="6"/>
  <c r="BS61" i="6"/>
  <c r="V39" i="11"/>
  <c r="G40" i="6"/>
  <c r="F40" i="6"/>
  <c r="W43" i="11" s="1"/>
  <c r="EL37" i="6"/>
  <c r="EE39" i="6"/>
  <c r="E40" i="6"/>
  <c r="DH45" i="6"/>
  <c r="V36" i="11"/>
  <c r="DT33" i="6"/>
  <c r="BE33" i="6"/>
  <c r="EY35" i="6"/>
  <c r="E38" i="10" s="1"/>
  <c r="CD35" i="6"/>
  <c r="CC35" i="6"/>
  <c r="CS35" i="6"/>
  <c r="AO36" i="6" s="1"/>
  <c r="I36" i="6"/>
  <c r="BJ36" i="6" s="1"/>
  <c r="DT38" i="6"/>
  <c r="H40" i="6"/>
  <c r="DS42" i="6"/>
  <c r="G44" i="6"/>
  <c r="BH44" i="6"/>
  <c r="F44" i="6"/>
  <c r="W47" i="11" s="1"/>
  <c r="H44" i="6"/>
  <c r="EY47" i="6"/>
  <c r="EE47" i="6"/>
  <c r="EX49" i="6"/>
  <c r="EL51" i="6"/>
  <c r="V40" i="11"/>
  <c r="DT37" i="6"/>
  <c r="EY39" i="6"/>
  <c r="DT42" i="6"/>
  <c r="V47" i="11"/>
  <c r="DS46" i="6"/>
  <c r="BT49" i="6"/>
  <c r="BS49" i="6"/>
  <c r="K36" i="6"/>
  <c r="EX36" i="6"/>
  <c r="EX39" i="6"/>
  <c r="J40" i="6"/>
  <c r="V44" i="11"/>
  <c r="DT41" i="6"/>
  <c r="EY43" i="6"/>
  <c r="BS43" i="6"/>
  <c r="I44" i="6"/>
  <c r="BJ44" i="6" s="1"/>
  <c r="DG44" i="6"/>
  <c r="EY45" i="6"/>
  <c r="EX48" i="6"/>
  <c r="V54" i="11"/>
  <c r="BE29" i="6"/>
  <c r="DT29" i="6"/>
  <c r="BI33" i="6"/>
  <c r="C37" i="10"/>
  <c r="L34" i="6"/>
  <c r="G34" i="6"/>
  <c r="L36" i="6"/>
  <c r="K40" i="6"/>
  <c r="BH40" i="6" s="1"/>
  <c r="EX40" i="6"/>
  <c r="DG42" i="6"/>
  <c r="EE43" i="6"/>
  <c r="J44" i="6"/>
  <c r="EE45" i="6"/>
  <c r="DS49" i="6"/>
  <c r="DS53" i="6"/>
  <c r="BH53" i="6"/>
  <c r="B46" i="6"/>
  <c r="DG46" i="6"/>
  <c r="BG49" i="6"/>
  <c r="BG53" i="6"/>
  <c r="EX56" i="6"/>
  <c r="BG57" i="6"/>
  <c r="DG58" i="6"/>
  <c r="K60" i="6"/>
  <c r="BH60" i="6" s="1"/>
  <c r="BH57" i="6"/>
  <c r="C53" i="10"/>
  <c r="EE51" i="6"/>
  <c r="Y53" i="6"/>
  <c r="C57" i="10"/>
  <c r="EE55" i="6"/>
  <c r="EE59" i="6"/>
  <c r="EX61" i="6"/>
  <c r="V68" i="11"/>
  <c r="EX53" i="6"/>
  <c r="EX57" i="6"/>
  <c r="BS58" i="6"/>
  <c r="BG60" i="6"/>
  <c r="DT69" i="6"/>
  <c r="C38" i="10"/>
  <c r="B38" i="10"/>
  <c r="DU35" i="6"/>
  <c r="BM35" i="6" s="1"/>
  <c r="B42" i="10"/>
  <c r="E42" i="10"/>
  <c r="C42" i="10"/>
  <c r="DU39" i="6"/>
  <c r="C46" i="10"/>
  <c r="B46" i="10"/>
  <c r="E46" i="10"/>
  <c r="DU43" i="6"/>
  <c r="G46" i="6"/>
  <c r="E50" i="10"/>
  <c r="C50" i="10"/>
  <c r="B50" i="10"/>
  <c r="G50" i="6"/>
  <c r="E54" i="10"/>
  <c r="C54" i="10"/>
  <c r="B54" i="10"/>
  <c r="CD51" i="6"/>
  <c r="DU51" i="6"/>
  <c r="BO52" i="6"/>
  <c r="G54" i="6"/>
  <c r="C58" i="10"/>
  <c r="G58" i="6"/>
  <c r="EE60" i="6"/>
  <c r="EL62" i="6"/>
  <c r="E63" i="10"/>
  <c r="J60" i="6"/>
  <c r="DS62" i="6"/>
  <c r="DG63" i="6"/>
  <c r="B63" i="6"/>
  <c r="J63" i="6"/>
  <c r="H63" i="6"/>
  <c r="G63" i="6"/>
  <c r="DT82" i="6"/>
  <c r="BE52" i="6"/>
  <c r="DT52" i="6"/>
  <c r="CL53" i="6"/>
  <c r="AH54" i="6" s="1"/>
  <c r="BE56" i="6"/>
  <c r="DT56" i="6"/>
  <c r="E60" i="6"/>
  <c r="B61" i="6"/>
  <c r="E63" i="6"/>
  <c r="EY65" i="6"/>
  <c r="V70" i="11"/>
  <c r="G47" i="6"/>
  <c r="C51" i="10"/>
  <c r="B51" i="10"/>
  <c r="EE49" i="6"/>
  <c r="J50" i="6"/>
  <c r="G51" i="6"/>
  <c r="CS51" i="6"/>
  <c r="AO52" i="6" s="1"/>
  <c r="CS52" i="6" s="1"/>
  <c r="AO53" i="6" s="1"/>
  <c r="B55" i="10"/>
  <c r="E55" i="10"/>
  <c r="DU52" i="6"/>
  <c r="BM52" i="6" s="1"/>
  <c r="AE53" i="6"/>
  <c r="CI53" i="6" s="1"/>
  <c r="EE53" i="6"/>
  <c r="J54" i="6"/>
  <c r="G55" i="6"/>
  <c r="C59" i="10"/>
  <c r="EE57" i="6"/>
  <c r="J58" i="6"/>
  <c r="G59" i="6"/>
  <c r="EX59" i="6"/>
  <c r="C62" i="10" s="1"/>
  <c r="F60" i="6"/>
  <c r="W63" i="11" s="1"/>
  <c r="DG60" i="6"/>
  <c r="BG62" i="6"/>
  <c r="EE62" i="6"/>
  <c r="F63" i="6"/>
  <c r="W66" i="11" s="1"/>
  <c r="B64" i="6"/>
  <c r="CL64" i="6" s="1"/>
  <c r="AH65" i="6" s="1"/>
  <c r="CL65" i="6" s="1"/>
  <c r="AH66" i="6" s="1"/>
  <c r="BT68" i="6"/>
  <c r="BS68" i="6"/>
  <c r="EY59" i="6"/>
  <c r="E62" i="10" s="1"/>
  <c r="G60" i="6"/>
  <c r="I63" i="6"/>
  <c r="BJ63" i="6" s="1"/>
  <c r="I35" i="6"/>
  <c r="BJ35" i="6" s="1"/>
  <c r="I39" i="6"/>
  <c r="BJ39" i="6" s="1"/>
  <c r="I43" i="6"/>
  <c r="BJ43" i="6" s="1"/>
  <c r="DT45" i="6"/>
  <c r="L46" i="6"/>
  <c r="I47" i="6"/>
  <c r="BJ47" i="6" s="1"/>
  <c r="F48" i="6"/>
  <c r="W51" i="11" s="1"/>
  <c r="BH48" i="6"/>
  <c r="DH49" i="6"/>
  <c r="DT49" i="6"/>
  <c r="L50" i="6"/>
  <c r="I51" i="6"/>
  <c r="BJ51" i="6" s="1"/>
  <c r="EY51" i="6"/>
  <c r="F52" i="6"/>
  <c r="W55" i="11" s="1"/>
  <c r="BH52" i="6"/>
  <c r="BE53" i="6"/>
  <c r="DH53" i="6"/>
  <c r="DT53" i="6"/>
  <c r="L54" i="6"/>
  <c r="I55" i="6"/>
  <c r="BJ55" i="6" s="1"/>
  <c r="EY55" i="6"/>
  <c r="E58" i="10" s="1"/>
  <c r="F56" i="6"/>
  <c r="W59" i="11" s="1"/>
  <c r="BH56" i="6"/>
  <c r="BE57" i="6"/>
  <c r="DT57" i="6"/>
  <c r="L58" i="6"/>
  <c r="I59" i="6"/>
  <c r="BJ59" i="6" s="1"/>
  <c r="H60" i="6"/>
  <c r="V64" i="11"/>
  <c r="BI62" i="6"/>
  <c r="K63" i="6"/>
  <c r="BH63" i="6" s="1"/>
  <c r="B36" i="10"/>
  <c r="E36" i="10"/>
  <c r="C36" i="10"/>
  <c r="DU33" i="6"/>
  <c r="J35" i="6"/>
  <c r="C40" i="10"/>
  <c r="B40" i="10"/>
  <c r="E40" i="10"/>
  <c r="DU37" i="6"/>
  <c r="J39" i="6"/>
  <c r="E44" i="10"/>
  <c r="C44" i="10"/>
  <c r="B44" i="10"/>
  <c r="DU41" i="6"/>
  <c r="J43" i="6"/>
  <c r="C48" i="10"/>
  <c r="E48" i="10"/>
  <c r="B48" i="10"/>
  <c r="DU45" i="6"/>
  <c r="J47" i="6"/>
  <c r="G48" i="6"/>
  <c r="E52" i="10"/>
  <c r="C52" i="10"/>
  <c r="J51" i="6"/>
  <c r="G52" i="6"/>
  <c r="BI52" i="6"/>
  <c r="E56" i="10"/>
  <c r="C56" i="10"/>
  <c r="B56" i="10"/>
  <c r="DU53" i="6"/>
  <c r="BM53" i="6" s="1"/>
  <c r="AE54" i="6"/>
  <c r="J55" i="6"/>
  <c r="G56" i="6"/>
  <c r="C60" i="10"/>
  <c r="E60" i="10"/>
  <c r="BO58" i="6"/>
  <c r="J59" i="6"/>
  <c r="I60" i="6"/>
  <c r="BJ60" i="6" s="1"/>
  <c r="EE61" i="6"/>
  <c r="L63" i="6"/>
  <c r="V75" i="11"/>
  <c r="BG83" i="6"/>
  <c r="EY67" i="6"/>
  <c r="E70" i="10" s="1"/>
  <c r="F72" i="6"/>
  <c r="W75" i="11" s="1"/>
  <c r="EE76" i="6"/>
  <c r="G72" i="6"/>
  <c r="EX74" i="6"/>
  <c r="B74" i="6"/>
  <c r="H81" i="6"/>
  <c r="G81" i="6"/>
  <c r="L81" i="6"/>
  <c r="BH81" i="6"/>
  <c r="K81" i="6"/>
  <c r="J81" i="6"/>
  <c r="DG81" i="6"/>
  <c r="I81" i="6"/>
  <c r="BJ81" i="6" s="1"/>
  <c r="F81" i="6"/>
  <c r="W84" i="11" s="1"/>
  <c r="E67" i="10"/>
  <c r="C67" i="10"/>
  <c r="F66" i="6"/>
  <c r="W69" i="11" s="1"/>
  <c r="K71" i="6"/>
  <c r="I72" i="6"/>
  <c r="BJ72" i="6" s="1"/>
  <c r="DH74" i="6"/>
  <c r="E81" i="6"/>
  <c r="E64" i="6"/>
  <c r="B65" i="6"/>
  <c r="E66" i="6"/>
  <c r="B67" i="6"/>
  <c r="E73" i="10"/>
  <c r="BH70" i="6"/>
  <c r="F70" i="6"/>
  <c r="W73" i="11" s="1"/>
  <c r="DG70" i="6"/>
  <c r="EX70" i="6"/>
  <c r="V73" i="11"/>
  <c r="BE70" i="6"/>
  <c r="EX71" i="6"/>
  <c r="DH76" i="6"/>
  <c r="DU76" i="6" s="1"/>
  <c r="EY76" i="6"/>
  <c r="E79" i="10" s="1"/>
  <c r="DT101" i="6"/>
  <c r="E64" i="10"/>
  <c r="C64" i="10"/>
  <c r="BO62" i="6"/>
  <c r="G64" i="6"/>
  <c r="E68" i="10"/>
  <c r="EX65" i="6"/>
  <c r="H66" i="6"/>
  <c r="C70" i="10"/>
  <c r="J67" i="6"/>
  <c r="BG67" i="6" s="1"/>
  <c r="BT69" i="6"/>
  <c r="BS69" i="6"/>
  <c r="G70" i="6"/>
  <c r="B73" i="6"/>
  <c r="DS74" i="6"/>
  <c r="DT74" i="6" s="1"/>
  <c r="EY69" i="6"/>
  <c r="BS78" i="6"/>
  <c r="BT78" i="6"/>
  <c r="B80" i="6"/>
  <c r="EE67" i="6"/>
  <c r="EE69" i="6"/>
  <c r="G73" i="6"/>
  <c r="L73" i="6"/>
  <c r="DG73" i="6"/>
  <c r="BH73" i="6"/>
  <c r="K73" i="6"/>
  <c r="EX73" i="6"/>
  <c r="J73" i="6"/>
  <c r="I73" i="6"/>
  <c r="BJ73" i="6" s="1"/>
  <c r="H73" i="6"/>
  <c r="E73" i="6"/>
  <c r="EY74" i="6"/>
  <c r="EE74" i="6"/>
  <c r="G61" i="6"/>
  <c r="E65" i="10"/>
  <c r="C65" i="10"/>
  <c r="B65" i="10"/>
  <c r="DI62" i="6"/>
  <c r="DU62" i="6"/>
  <c r="J64" i="6"/>
  <c r="G65" i="6"/>
  <c r="K66" i="6"/>
  <c r="DS66" i="6" s="1"/>
  <c r="DG66" i="6"/>
  <c r="G67" i="6"/>
  <c r="C71" i="10"/>
  <c r="L68" i="6"/>
  <c r="G68" i="6"/>
  <c r="J70" i="6"/>
  <c r="BG70" i="6" s="1"/>
  <c r="BE71" i="6"/>
  <c r="B72" i="6"/>
  <c r="F73" i="6"/>
  <c r="W76" i="11" s="1"/>
  <c r="V80" i="11"/>
  <c r="BE77" i="6"/>
  <c r="DT78" i="6"/>
  <c r="K64" i="6"/>
  <c r="BH64" i="6" s="1"/>
  <c r="H65" i="6"/>
  <c r="DS65" i="6" s="1"/>
  <c r="DT65" i="6" s="1"/>
  <c r="L66" i="6"/>
  <c r="H67" i="6"/>
  <c r="V71" i="11"/>
  <c r="B69" i="6"/>
  <c r="C74" i="10"/>
  <c r="BH71" i="6"/>
  <c r="F71" i="6"/>
  <c r="W74" i="11" s="1"/>
  <c r="G71" i="6"/>
  <c r="B71" i="6"/>
  <c r="L71" i="6"/>
  <c r="BH74" i="6"/>
  <c r="EY70" i="6"/>
  <c r="EE70" i="6"/>
  <c r="V74" i="11"/>
  <c r="J72" i="6"/>
  <c r="DG72" i="6"/>
  <c r="L72" i="6"/>
  <c r="K72" i="6"/>
  <c r="BH72" i="6" s="1"/>
  <c r="H72" i="6"/>
  <c r="BE72" i="6" s="1"/>
  <c r="EE75" i="6"/>
  <c r="EY75" i="6"/>
  <c r="E78" i="10" s="1"/>
  <c r="DH75" i="6"/>
  <c r="B110" i="6"/>
  <c r="EX110" i="6"/>
  <c r="BS99" i="6"/>
  <c r="BT99" i="6"/>
  <c r="I77" i="6"/>
  <c r="BJ77" i="6" s="1"/>
  <c r="DS97" i="6"/>
  <c r="J77" i="6"/>
  <c r="BG79" i="6"/>
  <c r="EE80" i="6"/>
  <c r="DS84" i="6"/>
  <c r="DT84" i="6" s="1"/>
  <c r="EE85" i="6"/>
  <c r="EY97" i="6"/>
  <c r="EE97" i="6"/>
  <c r="BS100" i="6"/>
  <c r="BT100" i="6"/>
  <c r="C72" i="10"/>
  <c r="E72" i="10"/>
  <c r="C78" i="10"/>
  <c r="B78" i="10"/>
  <c r="I75" i="6"/>
  <c r="BJ75" i="6" s="1"/>
  <c r="F75" i="6"/>
  <c r="W78" i="11" s="1"/>
  <c r="K77" i="6"/>
  <c r="BH77" i="6" s="1"/>
  <c r="EX77" i="6"/>
  <c r="EX80" i="6"/>
  <c r="EX84" i="6"/>
  <c r="V77" i="11"/>
  <c r="E75" i="6"/>
  <c r="E82" i="10"/>
  <c r="DG79" i="6"/>
  <c r="B79" i="6" s="1"/>
  <c r="AE79" i="6"/>
  <c r="CI79" i="6" s="1"/>
  <c r="I79" i="6"/>
  <c r="BJ79" i="6" s="1"/>
  <c r="BH79" i="6"/>
  <c r="F79" i="6"/>
  <c r="W82" i="11" s="1"/>
  <c r="EY80" i="6"/>
  <c r="EY83" i="6"/>
  <c r="BS84" i="6"/>
  <c r="DG85" i="6"/>
  <c r="L87" i="6"/>
  <c r="G87" i="6"/>
  <c r="F87" i="6"/>
  <c r="W90" i="11" s="1"/>
  <c r="E87" i="6"/>
  <c r="EX87" i="6"/>
  <c r="BH87" i="6"/>
  <c r="K87" i="6"/>
  <c r="H87" i="6"/>
  <c r="DG87" i="6"/>
  <c r="DG95" i="6"/>
  <c r="G75" i="6"/>
  <c r="DG76" i="6"/>
  <c r="EL76" i="6" s="1"/>
  <c r="E79" i="6"/>
  <c r="I87" i="6"/>
  <c r="BJ87" i="6" s="1"/>
  <c r="L91" i="6"/>
  <c r="I91" i="6"/>
  <c r="BJ91" i="6" s="1"/>
  <c r="EX91" i="6"/>
  <c r="DG91" i="6"/>
  <c r="BH91" i="6"/>
  <c r="K91" i="6"/>
  <c r="J91" i="6"/>
  <c r="H91" i="6"/>
  <c r="G91" i="6"/>
  <c r="E91" i="6"/>
  <c r="B91" i="6"/>
  <c r="B79" i="10"/>
  <c r="J76" i="6"/>
  <c r="BH76" i="6"/>
  <c r="F76" i="6"/>
  <c r="W79" i="11" s="1"/>
  <c r="EE83" i="6"/>
  <c r="J87" i="6"/>
  <c r="F91" i="6"/>
  <c r="W94" i="11" s="1"/>
  <c r="E76" i="6"/>
  <c r="B77" i="6"/>
  <c r="I69" i="6"/>
  <c r="BJ69" i="6" s="1"/>
  <c r="K75" i="6"/>
  <c r="G76" i="6"/>
  <c r="DG77" i="6"/>
  <c r="DS79" i="6"/>
  <c r="DH79" i="6"/>
  <c r="E83" i="10"/>
  <c r="C83" i="10"/>
  <c r="K80" i="6"/>
  <c r="BH80" i="6" s="1"/>
  <c r="J80" i="6"/>
  <c r="F80" i="6"/>
  <c r="W83" i="11" s="1"/>
  <c r="E86" i="10"/>
  <c r="DG83" i="6"/>
  <c r="I83" i="6"/>
  <c r="BJ83" i="6" s="1"/>
  <c r="H83" i="6"/>
  <c r="BH83" i="6"/>
  <c r="F83" i="6"/>
  <c r="W86" i="11" s="1"/>
  <c r="E88" i="10"/>
  <c r="BH85" i="6"/>
  <c r="F85" i="6"/>
  <c r="W88" i="11" s="1"/>
  <c r="EX85" i="6"/>
  <c r="C88" i="10" s="1"/>
  <c r="I85" i="6"/>
  <c r="BJ85" i="6" s="1"/>
  <c r="H85" i="6"/>
  <c r="E85" i="6"/>
  <c r="B85" i="6"/>
  <c r="C80" i="10"/>
  <c r="G77" i="6"/>
  <c r="L77" i="6"/>
  <c r="V83" i="11"/>
  <c r="BE80" i="6"/>
  <c r="V86" i="11"/>
  <c r="DH86" i="6"/>
  <c r="EY86" i="6"/>
  <c r="E89" i="10" s="1"/>
  <c r="EE86" i="6"/>
  <c r="L95" i="6"/>
  <c r="BG95" i="6" s="1"/>
  <c r="I95" i="6"/>
  <c r="BJ95" i="6" s="1"/>
  <c r="K95" i="6"/>
  <c r="J95" i="6"/>
  <c r="BH95" i="6"/>
  <c r="H95" i="6"/>
  <c r="G95" i="6"/>
  <c r="E95" i="6"/>
  <c r="V104" i="11"/>
  <c r="BI101" i="6"/>
  <c r="BE101" i="6"/>
  <c r="EY79" i="6"/>
  <c r="DS85" i="6"/>
  <c r="F95" i="6"/>
  <c r="W98" i="11" s="1"/>
  <c r="V87" i="11"/>
  <c r="K86" i="6"/>
  <c r="BH86" i="6" s="1"/>
  <c r="I89" i="6"/>
  <c r="BJ89" i="6" s="1"/>
  <c r="V93" i="11"/>
  <c r="I93" i="6"/>
  <c r="BJ93" i="6" s="1"/>
  <c r="V97" i="11"/>
  <c r="L96" i="6"/>
  <c r="V101" i="11"/>
  <c r="BE98" i="6"/>
  <c r="BS104" i="6"/>
  <c r="BT104" i="6"/>
  <c r="F140" i="10"/>
  <c r="C140" i="10"/>
  <c r="B140" i="10"/>
  <c r="G140" i="10"/>
  <c r="E140" i="10"/>
  <c r="DL137" i="6"/>
  <c r="BU137" i="6"/>
  <c r="G137" i="6"/>
  <c r="AE137" i="6"/>
  <c r="CI137" i="6" s="1"/>
  <c r="DK137" i="6"/>
  <c r="B137" i="6"/>
  <c r="FA137" i="6"/>
  <c r="BX137" i="6"/>
  <c r="L137" i="6"/>
  <c r="DU137" i="6"/>
  <c r="DG137" i="6"/>
  <c r="BW137" i="6"/>
  <c r="BH137" i="6"/>
  <c r="K137" i="6"/>
  <c r="I137" i="6"/>
  <c r="BJ137" i="6" s="1"/>
  <c r="EU137" i="6"/>
  <c r="H137" i="6"/>
  <c r="F137" i="6"/>
  <c r="FE137" i="6"/>
  <c r="DM137" i="6"/>
  <c r="BV137" i="6"/>
  <c r="DJ137" i="6"/>
  <c r="BG137" i="6"/>
  <c r="EX137" i="6"/>
  <c r="J137" i="6"/>
  <c r="E137" i="6"/>
  <c r="I74" i="6"/>
  <c r="BJ74" i="6" s="1"/>
  <c r="I78" i="6"/>
  <c r="BJ78" i="6" s="1"/>
  <c r="EY78" i="6"/>
  <c r="I82" i="6"/>
  <c r="BJ82" i="6" s="1"/>
  <c r="EY82" i="6"/>
  <c r="H84" i="6"/>
  <c r="BE84" i="6" s="1"/>
  <c r="BO84" i="6"/>
  <c r="B86" i="6"/>
  <c r="B88" i="6"/>
  <c r="L89" i="6"/>
  <c r="DG89" i="6"/>
  <c r="H90" i="6"/>
  <c r="BE90" i="6" s="1"/>
  <c r="B92" i="6"/>
  <c r="L93" i="6"/>
  <c r="DG93" i="6"/>
  <c r="H94" i="6"/>
  <c r="BE94" i="6" s="1"/>
  <c r="DT97" i="6"/>
  <c r="DS98" i="6"/>
  <c r="DT98" i="6" s="1"/>
  <c r="DS101" i="6"/>
  <c r="DG105" i="6"/>
  <c r="I105" i="6"/>
  <c r="BJ105" i="6" s="1"/>
  <c r="BH105" i="6"/>
  <c r="F105" i="6"/>
  <c r="W108" i="11" s="1"/>
  <c r="L105" i="6"/>
  <c r="K105" i="6"/>
  <c r="J105" i="6"/>
  <c r="H105" i="6"/>
  <c r="E105" i="6"/>
  <c r="DS110" i="6"/>
  <c r="C89" i="10"/>
  <c r="B89" i="10"/>
  <c r="I88" i="6"/>
  <c r="BJ88" i="6" s="1"/>
  <c r="F88" i="6"/>
  <c r="W91" i="11" s="1"/>
  <c r="I92" i="6"/>
  <c r="BJ92" i="6" s="1"/>
  <c r="F92" i="6"/>
  <c r="W95" i="11" s="1"/>
  <c r="DG96" i="6"/>
  <c r="B103" i="6"/>
  <c r="G105" i="6"/>
  <c r="L84" i="6"/>
  <c r="E86" i="6"/>
  <c r="E88" i="6"/>
  <c r="K90" i="6"/>
  <c r="DG90" i="6"/>
  <c r="E92" i="6"/>
  <c r="K94" i="6"/>
  <c r="DG94" i="6"/>
  <c r="DG109" i="6"/>
  <c r="B109" i="6"/>
  <c r="I109" i="6"/>
  <c r="BJ109" i="6" s="1"/>
  <c r="H109" i="6"/>
  <c r="BH109" i="6"/>
  <c r="F109" i="6"/>
  <c r="W112" i="11" s="1"/>
  <c r="L109" i="6"/>
  <c r="K109" i="6"/>
  <c r="J109" i="6"/>
  <c r="E109" i="6"/>
  <c r="J96" i="6"/>
  <c r="I96" i="6"/>
  <c r="BJ96" i="6" s="1"/>
  <c r="BH96" i="6"/>
  <c r="F96" i="6"/>
  <c r="W99" i="11" s="1"/>
  <c r="H111" i="6"/>
  <c r="F111" i="6"/>
  <c r="W114" i="11" s="1"/>
  <c r="DG111" i="6"/>
  <c r="EX111" i="6" s="1"/>
  <c r="L111" i="6"/>
  <c r="K111" i="6"/>
  <c r="BH111" i="6" s="1"/>
  <c r="J111" i="6"/>
  <c r="I111" i="6"/>
  <c r="BJ111" i="6" s="1"/>
  <c r="G111" i="6"/>
  <c r="E111" i="6"/>
  <c r="BH89" i="6"/>
  <c r="F89" i="6"/>
  <c r="W92" i="11" s="1"/>
  <c r="BH93" i="6"/>
  <c r="F93" i="6"/>
  <c r="W96" i="11" s="1"/>
  <c r="E96" i="6"/>
  <c r="BT103" i="6"/>
  <c r="BS103" i="6"/>
  <c r="DS104" i="6"/>
  <c r="E89" i="6"/>
  <c r="E93" i="6"/>
  <c r="G96" i="6"/>
  <c r="E77" i="10"/>
  <c r="C77" i="10"/>
  <c r="B77" i="10"/>
  <c r="DU74" i="6"/>
  <c r="C81" i="10"/>
  <c r="E81" i="10"/>
  <c r="B81" i="10"/>
  <c r="DU78" i="6"/>
  <c r="E85" i="10"/>
  <c r="C85" i="10"/>
  <c r="I86" i="6"/>
  <c r="BJ86" i="6" s="1"/>
  <c r="EX86" i="6"/>
  <c r="K88" i="6"/>
  <c r="G89" i="6"/>
  <c r="K92" i="6"/>
  <c r="DS92" i="6" s="1"/>
  <c r="AE92" i="6"/>
  <c r="BG92" i="6"/>
  <c r="EX92" i="6"/>
  <c r="G93" i="6"/>
  <c r="H96" i="6"/>
  <c r="E100" i="10"/>
  <c r="DG97" i="6"/>
  <c r="BH97" i="6"/>
  <c r="G97" i="6"/>
  <c r="F97" i="6"/>
  <c r="W100" i="11" s="1"/>
  <c r="BG97" i="6"/>
  <c r="BS107" i="6"/>
  <c r="C87" i="10"/>
  <c r="I84" i="6"/>
  <c r="BJ84" i="6" s="1"/>
  <c r="J86" i="6"/>
  <c r="EL86" i="6"/>
  <c r="L88" i="6"/>
  <c r="DG88" i="6"/>
  <c r="H89" i="6"/>
  <c r="DS89" i="6" s="1"/>
  <c r="L90" i="6"/>
  <c r="L92" i="6"/>
  <c r="DG92" i="6"/>
  <c r="H93" i="6"/>
  <c r="DS93" i="6" s="1"/>
  <c r="L94" i="6"/>
  <c r="K96" i="6"/>
  <c r="V100" i="11"/>
  <c r="BE97" i="6"/>
  <c r="EX98" i="6"/>
  <c r="EX108" i="6"/>
  <c r="DG101" i="6"/>
  <c r="B101" i="6"/>
  <c r="BH101" i="6"/>
  <c r="F101" i="6"/>
  <c r="W104" i="11" s="1"/>
  <c r="EE110" i="6"/>
  <c r="EE114" i="6"/>
  <c r="V121" i="11"/>
  <c r="V123" i="11"/>
  <c r="BS122" i="6"/>
  <c r="BT122" i="6"/>
  <c r="BR134" i="6"/>
  <c r="BQ134" i="6"/>
  <c r="E101" i="10"/>
  <c r="C101" i="10"/>
  <c r="K98" i="6"/>
  <c r="BH98" i="6" s="1"/>
  <c r="L100" i="6"/>
  <c r="DG100" i="6"/>
  <c r="I101" i="6"/>
  <c r="BJ101" i="6" s="1"/>
  <c r="C105" i="10"/>
  <c r="K102" i="6"/>
  <c r="BH102" i="6" s="1"/>
  <c r="L104" i="6"/>
  <c r="EX112" i="6"/>
  <c r="EE121" i="6"/>
  <c r="EY121" i="6"/>
  <c r="V105" i="11"/>
  <c r="BE102" i="6"/>
  <c r="K106" i="6"/>
  <c r="BH106" i="6" s="1"/>
  <c r="F106" i="6"/>
  <c r="W109" i="11" s="1"/>
  <c r="E106" i="6"/>
  <c r="EY110" i="6"/>
  <c r="B112" i="6"/>
  <c r="EX114" i="6"/>
  <c r="EL114" i="6"/>
  <c r="G117" i="6"/>
  <c r="B117" i="6"/>
  <c r="L117" i="6"/>
  <c r="J117" i="6"/>
  <c r="I117" i="6"/>
  <c r="BJ117" i="6" s="1"/>
  <c r="H117" i="6"/>
  <c r="F117" i="6"/>
  <c r="W120" i="11" s="1"/>
  <c r="B120" i="6"/>
  <c r="EX120" i="6"/>
  <c r="V126" i="11"/>
  <c r="EY126" i="6"/>
  <c r="E129" i="10" s="1"/>
  <c r="DH126" i="6"/>
  <c r="EE126" i="6"/>
  <c r="EY114" i="6"/>
  <c r="E117" i="10" s="1"/>
  <c r="DH114" i="6"/>
  <c r="DU114" i="6" s="1"/>
  <c r="V120" i="11"/>
  <c r="EY120" i="6"/>
  <c r="DH120" i="6"/>
  <c r="G98" i="6"/>
  <c r="EX99" i="6"/>
  <c r="H99" i="6"/>
  <c r="BE99" i="6" s="1"/>
  <c r="L99" i="6"/>
  <c r="L101" i="6"/>
  <c r="G102" i="6"/>
  <c r="EX103" i="6"/>
  <c r="H103" i="6"/>
  <c r="BE103" i="6" s="1"/>
  <c r="L103" i="6"/>
  <c r="H106" i="6"/>
  <c r="H107" i="6"/>
  <c r="DS107" i="6" s="1"/>
  <c r="DT107" i="6" s="1"/>
  <c r="DG107" i="6"/>
  <c r="B107" i="6"/>
  <c r="L107" i="6"/>
  <c r="C115" i="10"/>
  <c r="E112" i="6"/>
  <c r="L112" i="6"/>
  <c r="K112" i="6"/>
  <c r="BH112" i="6" s="1"/>
  <c r="J112" i="6"/>
  <c r="I112" i="6"/>
  <c r="BJ112" i="6" s="1"/>
  <c r="K117" i="6"/>
  <c r="V102" i="11"/>
  <c r="B100" i="6"/>
  <c r="V106" i="11"/>
  <c r="I106" i="6"/>
  <c r="BJ106" i="6" s="1"/>
  <c r="DG106" i="6"/>
  <c r="V110" i="11"/>
  <c r="BE107" i="6"/>
  <c r="BH117" i="6"/>
  <c r="DG117" i="6"/>
  <c r="BT120" i="6"/>
  <c r="EE125" i="6"/>
  <c r="EY125" i="6"/>
  <c r="BG102" i="6"/>
  <c r="J106" i="6"/>
  <c r="B108" i="6"/>
  <c r="DG113" i="6"/>
  <c r="L113" i="6"/>
  <c r="I113" i="6"/>
  <c r="BJ113" i="6" s="1"/>
  <c r="EX113" i="6"/>
  <c r="C116" i="10" s="1"/>
  <c r="H113" i="6"/>
  <c r="G113" i="6"/>
  <c r="BH113" i="6"/>
  <c r="F113" i="6"/>
  <c r="W116" i="11" s="1"/>
  <c r="BS118" i="6"/>
  <c r="C122" i="10"/>
  <c r="G119" i="6"/>
  <c r="DG119" i="6"/>
  <c r="EL120" i="6" s="1"/>
  <c r="BH119" i="6"/>
  <c r="K119" i="6"/>
  <c r="I119" i="6"/>
  <c r="BJ119" i="6" s="1"/>
  <c r="H119" i="6"/>
  <c r="F119" i="6"/>
  <c r="W122" i="11" s="1"/>
  <c r="E119" i="6"/>
  <c r="B119" i="6"/>
  <c r="EX119" i="6"/>
  <c r="DH121" i="6"/>
  <c r="E100" i="6"/>
  <c r="I100" i="6"/>
  <c r="BJ100" i="6" s="1"/>
  <c r="C107" i="10"/>
  <c r="E104" i="6"/>
  <c r="I104" i="6"/>
  <c r="BJ104" i="6" s="1"/>
  <c r="L106" i="6"/>
  <c r="E113" i="6"/>
  <c r="J119" i="6"/>
  <c r="V124" i="11"/>
  <c r="DT121" i="6"/>
  <c r="EL130" i="6"/>
  <c r="EY102" i="6"/>
  <c r="E105" i="10" s="1"/>
  <c r="C111" i="10"/>
  <c r="E108" i="6"/>
  <c r="L108" i="6"/>
  <c r="K108" i="6"/>
  <c r="I108" i="6"/>
  <c r="BJ108" i="6" s="1"/>
  <c r="DS113" i="6"/>
  <c r="B114" i="6"/>
  <c r="C118" i="10"/>
  <c r="EX115" i="6"/>
  <c r="H115" i="6"/>
  <c r="DS115" i="6" s="1"/>
  <c r="G115" i="6"/>
  <c r="BH115" i="6"/>
  <c r="F115" i="6"/>
  <c r="W118" i="11" s="1"/>
  <c r="E115" i="6"/>
  <c r="DG115" i="6"/>
  <c r="B115" i="6" s="1"/>
  <c r="L115" i="6"/>
  <c r="EE119" i="6"/>
  <c r="EY119" i="6"/>
  <c r="E122" i="10" s="1"/>
  <c r="EE120" i="6"/>
  <c r="BT133" i="6"/>
  <c r="AZ136" i="6"/>
  <c r="DI136" i="6"/>
  <c r="BD136" i="6" s="1"/>
  <c r="BP136" i="6"/>
  <c r="BB136" i="6"/>
  <c r="BN136" i="6"/>
  <c r="AY136" i="6"/>
  <c r="BK136" i="6"/>
  <c r="BI136" i="6"/>
  <c r="DT136" i="6"/>
  <c r="BA136" i="6"/>
  <c r="BO136" i="6"/>
  <c r="I116" i="6"/>
  <c r="BJ116" i="6" s="1"/>
  <c r="EE122" i="6"/>
  <c r="C130" i="10"/>
  <c r="K127" i="6"/>
  <c r="G127" i="6"/>
  <c r="BH127" i="6"/>
  <c r="F127" i="6"/>
  <c r="W130" i="11" s="1"/>
  <c r="E127" i="6"/>
  <c r="J127" i="6"/>
  <c r="BG127" i="6" s="1"/>
  <c r="E113" i="10"/>
  <c r="C113" i="10"/>
  <c r="C117" i="10"/>
  <c r="B117" i="10"/>
  <c r="J116" i="6"/>
  <c r="DH118" i="6"/>
  <c r="V125" i="11"/>
  <c r="DG125" i="6"/>
  <c r="E110" i="6"/>
  <c r="BG110" i="6"/>
  <c r="E114" i="6"/>
  <c r="K116" i="6"/>
  <c r="BH116" i="6" s="1"/>
  <c r="EY122" i="6"/>
  <c r="F110" i="6"/>
  <c r="W113" i="11" s="1"/>
  <c r="F114" i="6"/>
  <c r="W117" i="11" s="1"/>
  <c r="BH114" i="6"/>
  <c r="L116" i="6"/>
  <c r="EE123" i="6"/>
  <c r="EY123" i="6"/>
  <c r="E126" i="10" s="1"/>
  <c r="EE127" i="6"/>
  <c r="EY127" i="6"/>
  <c r="E130" i="10" s="1"/>
  <c r="DH127" i="6"/>
  <c r="EL127" i="6" s="1"/>
  <c r="DI130" i="6"/>
  <c r="BC130" i="6" s="1"/>
  <c r="BP130" i="6"/>
  <c r="AZ130" i="6"/>
  <c r="BK130" i="6"/>
  <c r="AY130" i="6"/>
  <c r="DT130" i="6"/>
  <c r="BI130" i="6"/>
  <c r="BE130" i="6"/>
  <c r="BB130" i="6"/>
  <c r="BA130" i="6"/>
  <c r="BR149" i="6"/>
  <c r="BQ149" i="6"/>
  <c r="V129" i="11"/>
  <c r="BT139" i="6"/>
  <c r="BS139" i="6"/>
  <c r="DG116" i="6"/>
  <c r="EE118" i="6"/>
  <c r="EL122" i="6"/>
  <c r="DS125" i="6"/>
  <c r="EX127" i="6"/>
  <c r="DH128" i="6"/>
  <c r="EE128" i="6"/>
  <c r="EY128" i="6"/>
  <c r="E128" i="10"/>
  <c r="G125" i="6"/>
  <c r="BG125" i="6"/>
  <c r="E125" i="6"/>
  <c r="K125" i="6"/>
  <c r="I125" i="6"/>
  <c r="BJ125" i="6" s="1"/>
  <c r="F125" i="6"/>
  <c r="W128" i="11" s="1"/>
  <c r="BH125" i="6"/>
  <c r="EE135" i="6"/>
  <c r="DH135" i="6"/>
  <c r="K110" i="6"/>
  <c r="K114" i="6"/>
  <c r="E116" i="6"/>
  <c r="EX118" i="6"/>
  <c r="V127" i="11"/>
  <c r="H125" i="6"/>
  <c r="BT128" i="6"/>
  <c r="E124" i="10"/>
  <c r="B124" i="10"/>
  <c r="C124" i="10"/>
  <c r="G121" i="6"/>
  <c r="K123" i="6"/>
  <c r="DS123" i="6" s="1"/>
  <c r="DT123" i="6" s="1"/>
  <c r="DG123" i="6"/>
  <c r="H129" i="6"/>
  <c r="F134" i="10"/>
  <c r="E134" i="10"/>
  <c r="C134" i="10"/>
  <c r="G134" i="10"/>
  <c r="B134" i="10"/>
  <c r="AE131" i="6"/>
  <c r="CI131" i="6" s="1"/>
  <c r="FA131" i="6"/>
  <c r="K131" i="6"/>
  <c r="DS131" i="6" s="1"/>
  <c r="DL131" i="6"/>
  <c r="BU131" i="6"/>
  <c r="G131" i="6"/>
  <c r="DK131" i="6"/>
  <c r="BH131" i="6"/>
  <c r="F131" i="6"/>
  <c r="EU131" i="6"/>
  <c r="DJ131" i="6"/>
  <c r="BG131" i="6"/>
  <c r="E131" i="6"/>
  <c r="BV131" i="6"/>
  <c r="BA134" i="6"/>
  <c r="H135" i="6"/>
  <c r="DM135" i="6"/>
  <c r="DH124" i="6"/>
  <c r="DG129" i="6"/>
  <c r="EE131" i="6"/>
  <c r="AZ132" i="6"/>
  <c r="BI132" i="6"/>
  <c r="DI132" i="6"/>
  <c r="DT132" i="6"/>
  <c r="BE132" i="6"/>
  <c r="BP132" i="6"/>
  <c r="DS134" i="6"/>
  <c r="CI136" i="6"/>
  <c r="V131" i="11"/>
  <c r="EX129" i="6"/>
  <c r="EE134" i="6"/>
  <c r="EY134" i="6"/>
  <c r="EL134" i="6"/>
  <c r="DU135" i="6"/>
  <c r="DU121" i="6"/>
  <c r="G123" i="6"/>
  <c r="DG131" i="6"/>
  <c r="EL132" i="6" s="1"/>
  <c r="EX131" i="6"/>
  <c r="BA132" i="6"/>
  <c r="DH134" i="6"/>
  <c r="T140" i="5" s="1"/>
  <c r="BV135" i="6"/>
  <c r="EX135" i="6"/>
  <c r="BR142" i="6"/>
  <c r="BQ142" i="6"/>
  <c r="B129" i="6"/>
  <c r="EY130" i="6"/>
  <c r="EE139" i="6"/>
  <c r="EE141" i="6"/>
  <c r="EY141" i="6"/>
  <c r="DH141" i="6"/>
  <c r="T147" i="5" s="1"/>
  <c r="BR132" i="6"/>
  <c r="BQ132" i="6"/>
  <c r="B135" i="6"/>
  <c r="DG135" i="6"/>
  <c r="EY136" i="6"/>
  <c r="EE136" i="6"/>
  <c r="C132" i="10"/>
  <c r="G129" i="6"/>
  <c r="E129" i="6"/>
  <c r="L129" i="6"/>
  <c r="K129" i="6"/>
  <c r="BH129" i="6" s="1"/>
  <c r="DH132" i="6"/>
  <c r="DI134" i="6"/>
  <c r="BD134" i="6" s="1"/>
  <c r="BP134" i="6"/>
  <c r="BO134" i="6"/>
  <c r="AZ134" i="6"/>
  <c r="BK134" i="6"/>
  <c r="AY134" i="6"/>
  <c r="DI146" i="6"/>
  <c r="BD146" i="6" s="1"/>
  <c r="DT146" i="6"/>
  <c r="BE146" i="6"/>
  <c r="BO146" i="6"/>
  <c r="BN146" i="6"/>
  <c r="BB146" i="6"/>
  <c r="BA146" i="6"/>
  <c r="AZ146" i="6"/>
  <c r="BK146" i="6"/>
  <c r="AY146" i="6"/>
  <c r="BI146" i="6"/>
  <c r="EY132" i="6"/>
  <c r="E138" i="10"/>
  <c r="C138" i="10"/>
  <c r="B138" i="10"/>
  <c r="F138" i="10"/>
  <c r="G138" i="10"/>
  <c r="AE135" i="6"/>
  <c r="CI135" i="6" s="1"/>
  <c r="FA135" i="6"/>
  <c r="K135" i="6"/>
  <c r="BX135" i="6"/>
  <c r="J135" i="6"/>
  <c r="DL135" i="6"/>
  <c r="BU135" i="6"/>
  <c r="G135" i="6"/>
  <c r="DK135" i="6"/>
  <c r="BH135" i="6"/>
  <c r="F135" i="6"/>
  <c r="EU135" i="6"/>
  <c r="DJ135" i="6"/>
  <c r="BG135" i="6"/>
  <c r="E135" i="6"/>
  <c r="DH139" i="6"/>
  <c r="EL140" i="6"/>
  <c r="DH142" i="6"/>
  <c r="T148" i="5" s="1"/>
  <c r="EE142" i="6"/>
  <c r="CI142" i="6"/>
  <c r="EY142" i="6"/>
  <c r="BP146" i="6"/>
  <c r="DS141" i="6"/>
  <c r="I143" i="6"/>
  <c r="BJ143" i="6" s="1"/>
  <c r="DH145" i="6"/>
  <c r="EE145" i="6"/>
  <c r="AZ149" i="6"/>
  <c r="EL168" i="6"/>
  <c r="K133" i="6"/>
  <c r="FA133" i="6"/>
  <c r="FA139" i="6"/>
  <c r="BV141" i="6"/>
  <c r="EL142" i="6"/>
  <c r="CI144" i="6"/>
  <c r="AZ145" i="6"/>
  <c r="BS146" i="6"/>
  <c r="EY148" i="6"/>
  <c r="DH148" i="6"/>
  <c r="T154" i="5" s="1"/>
  <c r="BV151" i="6"/>
  <c r="L133" i="6"/>
  <c r="DJ139" i="6"/>
  <c r="BW141" i="6"/>
  <c r="EL141" i="6"/>
  <c r="FE141" i="6"/>
  <c r="BI142" i="6"/>
  <c r="DU143" i="6"/>
  <c r="DH144" i="6"/>
  <c r="T150" i="5" s="1"/>
  <c r="EE144" i="6"/>
  <c r="EL149" i="6"/>
  <c r="EY154" i="6"/>
  <c r="DH154" i="6"/>
  <c r="J118" i="6"/>
  <c r="C123" i="10"/>
  <c r="E123" i="10"/>
  <c r="B123" i="10"/>
  <c r="DU120" i="6"/>
  <c r="J122" i="6"/>
  <c r="E127" i="10"/>
  <c r="C127" i="10"/>
  <c r="J126" i="6"/>
  <c r="E131" i="10"/>
  <c r="B131" i="10"/>
  <c r="C131" i="10"/>
  <c r="DU128" i="6"/>
  <c r="J130" i="6"/>
  <c r="E135" i="10"/>
  <c r="C135" i="10"/>
  <c r="G135" i="10"/>
  <c r="F135" i="10"/>
  <c r="B135" i="10"/>
  <c r="DU132" i="6"/>
  <c r="AE133" i="6"/>
  <c r="CI133" i="6" s="1"/>
  <c r="G139" i="10"/>
  <c r="B139" i="10"/>
  <c r="F139" i="10"/>
  <c r="E139" i="10"/>
  <c r="C139" i="10"/>
  <c r="BX136" i="6"/>
  <c r="DU136" i="6"/>
  <c r="BW136" i="6"/>
  <c r="DG136" i="6"/>
  <c r="DI138" i="6"/>
  <c r="AZ138" i="6"/>
  <c r="BB138" i="6"/>
  <c r="BP138" i="6"/>
  <c r="B139" i="6"/>
  <c r="DK139" i="6"/>
  <c r="EY140" i="6"/>
  <c r="DH140" i="6"/>
  <c r="BR145" i="6"/>
  <c r="BQ145" i="6"/>
  <c r="E150" i="10"/>
  <c r="C150" i="10"/>
  <c r="F150" i="10"/>
  <c r="B150" i="10"/>
  <c r="G150" i="10"/>
  <c r="AE147" i="6"/>
  <c r="CI147" i="6" s="1"/>
  <c r="L147" i="6"/>
  <c r="BX147" i="6"/>
  <c r="J147" i="6"/>
  <c r="BW147" i="6"/>
  <c r="I147" i="6"/>
  <c r="BJ147" i="6" s="1"/>
  <c r="EX147" i="6"/>
  <c r="DM147" i="6"/>
  <c r="BV147" i="6"/>
  <c r="H147" i="6"/>
  <c r="DL147" i="6"/>
  <c r="BU147" i="6"/>
  <c r="G147" i="6"/>
  <c r="DK147" i="6"/>
  <c r="BH147" i="6"/>
  <c r="F147" i="6"/>
  <c r="EU147" i="6"/>
  <c r="DJ147" i="6"/>
  <c r="BG147" i="6"/>
  <c r="E147" i="6"/>
  <c r="DU147" i="6"/>
  <c r="EE148" i="6"/>
  <c r="BI149" i="6"/>
  <c r="BE149" i="6"/>
  <c r="BP149" i="6"/>
  <c r="BD149" i="6"/>
  <c r="BO149" i="6"/>
  <c r="DI149" i="6"/>
  <c r="DR149" i="6" s="1"/>
  <c r="DQ149" i="6" s="1"/>
  <c r="BN149" i="6"/>
  <c r="BB149" i="6"/>
  <c r="BA149" i="6"/>
  <c r="BS138" i="6"/>
  <c r="G142" i="10"/>
  <c r="E142" i="10"/>
  <c r="B142" i="10"/>
  <c r="F142" i="10"/>
  <c r="C142" i="10"/>
  <c r="AE139" i="6"/>
  <c r="CI139" i="6" s="1"/>
  <c r="DL139" i="6"/>
  <c r="BU139" i="6"/>
  <c r="G139" i="6"/>
  <c r="FA143" i="6"/>
  <c r="BI145" i="6"/>
  <c r="DI145" i="6"/>
  <c r="DT145" i="6"/>
  <c r="BE145" i="6"/>
  <c r="BP145" i="6"/>
  <c r="BO145" i="6"/>
  <c r="BA145" i="6"/>
  <c r="BK145" i="6"/>
  <c r="G136" i="10"/>
  <c r="C136" i="10"/>
  <c r="F136" i="10"/>
  <c r="B136" i="10"/>
  <c r="E136" i="10"/>
  <c r="DU133" i="6"/>
  <c r="E139" i="6"/>
  <c r="BQ139" i="6"/>
  <c r="E144" i="10"/>
  <c r="C144" i="10"/>
  <c r="F144" i="10"/>
  <c r="B144" i="10"/>
  <c r="G144" i="10"/>
  <c r="DL141" i="6"/>
  <c r="BU141" i="6"/>
  <c r="G141" i="6"/>
  <c r="DK141" i="6"/>
  <c r="BH141" i="6"/>
  <c r="F141" i="6"/>
  <c r="DU141" i="6"/>
  <c r="DG141" i="6"/>
  <c r="AE141" i="6"/>
  <c r="CI141" i="6" s="1"/>
  <c r="DI142" i="6"/>
  <c r="BD142" i="6" s="1"/>
  <c r="DT142" i="6"/>
  <c r="BE142" i="6"/>
  <c r="BO142" i="6"/>
  <c r="BC142" i="6"/>
  <c r="BA142" i="6"/>
  <c r="AZ142" i="6"/>
  <c r="BP142" i="6"/>
  <c r="B143" i="6"/>
  <c r="DG143" i="6"/>
  <c r="EY144" i="6"/>
  <c r="DT149" i="6"/>
  <c r="B151" i="6"/>
  <c r="DH152" i="6"/>
  <c r="T158" i="5" s="1"/>
  <c r="EE152" i="6"/>
  <c r="EL128" i="6"/>
  <c r="E133" i="6"/>
  <c r="BG133" i="6"/>
  <c r="DJ133" i="6"/>
  <c r="EU133" i="6"/>
  <c r="F139" i="6"/>
  <c r="E141" i="6"/>
  <c r="BN145" i="6"/>
  <c r="F146" i="10"/>
  <c r="G146" i="10"/>
  <c r="E146" i="10"/>
  <c r="C146" i="10"/>
  <c r="B146" i="10"/>
  <c r="AE143" i="6"/>
  <c r="CI143" i="6" s="1"/>
  <c r="L143" i="6"/>
  <c r="BX143" i="6"/>
  <c r="J143" i="6"/>
  <c r="EX143" i="6"/>
  <c r="DM143" i="6"/>
  <c r="BV143" i="6"/>
  <c r="H143" i="6"/>
  <c r="DL143" i="6"/>
  <c r="BU143" i="6"/>
  <c r="G143" i="6"/>
  <c r="EU143" i="6"/>
  <c r="DJ143" i="6"/>
  <c r="BG143" i="6"/>
  <c r="E143" i="6"/>
  <c r="DS145" i="6"/>
  <c r="G154" i="10"/>
  <c r="C154" i="10"/>
  <c r="F154" i="10"/>
  <c r="E154" i="10"/>
  <c r="B154" i="10"/>
  <c r="FA151" i="6"/>
  <c r="K151" i="6"/>
  <c r="DK151" i="6"/>
  <c r="BH151" i="6"/>
  <c r="F151" i="6"/>
  <c r="DU151" i="6"/>
  <c r="EX151" i="6"/>
  <c r="L151" i="6"/>
  <c r="J151" i="6"/>
  <c r="EU151" i="6"/>
  <c r="AE151" i="6"/>
  <c r="I151" i="6"/>
  <c r="BJ151" i="6" s="1"/>
  <c r="DM151" i="6"/>
  <c r="H151" i="6"/>
  <c r="DL151" i="6"/>
  <c r="BX151" i="6"/>
  <c r="G151" i="6"/>
  <c r="DJ151" i="6"/>
  <c r="BW151" i="6"/>
  <c r="BG151" i="6"/>
  <c r="E151" i="6"/>
  <c r="DG151" i="6"/>
  <c r="EL152" i="6" s="1"/>
  <c r="BS153" i="6"/>
  <c r="BT153" i="6"/>
  <c r="G172" i="10"/>
  <c r="C172" i="10"/>
  <c r="B172" i="10"/>
  <c r="F172" i="10"/>
  <c r="E172" i="10"/>
  <c r="AE169" i="6"/>
  <c r="L169" i="6"/>
  <c r="DL169" i="6"/>
  <c r="BU169" i="6"/>
  <c r="G169" i="6"/>
  <c r="DK169" i="6"/>
  <c r="BH169" i="6"/>
  <c r="F169" i="6"/>
  <c r="B169" i="6"/>
  <c r="FA169" i="6"/>
  <c r="BG169" i="6"/>
  <c r="BX169" i="6"/>
  <c r="EX169" i="6"/>
  <c r="DM169" i="6"/>
  <c r="BV169" i="6"/>
  <c r="EU169" i="6"/>
  <c r="DJ169" i="6"/>
  <c r="K169" i="6"/>
  <c r="J169" i="6"/>
  <c r="I169" i="6"/>
  <c r="BJ169" i="6" s="1"/>
  <c r="DG169" i="6"/>
  <c r="H169" i="6"/>
  <c r="BW169" i="6"/>
  <c r="DU169" i="6"/>
  <c r="E169" i="6"/>
  <c r="E121" i="10"/>
  <c r="DU118" i="6"/>
  <c r="J120" i="6"/>
  <c r="E125" i="10"/>
  <c r="C125" i="10"/>
  <c r="B125" i="10"/>
  <c r="DU122" i="6"/>
  <c r="J124" i="6"/>
  <c r="C129" i="10"/>
  <c r="B129" i="10"/>
  <c r="DU126" i="6"/>
  <c r="J128" i="6"/>
  <c r="G133" i="10"/>
  <c r="E133" i="10"/>
  <c r="C133" i="10"/>
  <c r="B133" i="10"/>
  <c r="F133" i="10"/>
  <c r="DU130" i="6"/>
  <c r="J132" i="6"/>
  <c r="BX132" i="6"/>
  <c r="G133" i="6"/>
  <c r="BU133" i="6"/>
  <c r="DL133" i="6"/>
  <c r="C137" i="10"/>
  <c r="G137" i="10"/>
  <c r="F137" i="10"/>
  <c r="E137" i="10"/>
  <c r="B137" i="10"/>
  <c r="DU134" i="6"/>
  <c r="J136" i="6"/>
  <c r="BI138" i="6"/>
  <c r="EY138" i="6"/>
  <c r="I139" i="6"/>
  <c r="BJ139" i="6" s="1"/>
  <c r="DS139" i="6"/>
  <c r="AZ140" i="6"/>
  <c r="DI140" i="6"/>
  <c r="BB140" i="6"/>
  <c r="BP140" i="6"/>
  <c r="I141" i="6"/>
  <c r="BJ141" i="6" s="1"/>
  <c r="EX141" i="6"/>
  <c r="AY142" i="6"/>
  <c r="F143" i="6"/>
  <c r="BH143" i="6"/>
  <c r="DK143" i="6"/>
  <c r="BR146" i="6"/>
  <c r="BQ146" i="6"/>
  <c r="DG147" i="6"/>
  <c r="AY149" i="6"/>
  <c r="FE151" i="6"/>
  <c r="BK159" i="6"/>
  <c r="BS160" i="6"/>
  <c r="DS150" i="6"/>
  <c r="BV154" i="6"/>
  <c r="DM154" i="6"/>
  <c r="EX154" i="6"/>
  <c r="EE155" i="6"/>
  <c r="EY155" i="6"/>
  <c r="BS161" i="6"/>
  <c r="BT161" i="6"/>
  <c r="BT180" i="6"/>
  <c r="BS180" i="6"/>
  <c r="J138" i="6"/>
  <c r="G143" i="10"/>
  <c r="E143" i="10"/>
  <c r="F143" i="10"/>
  <c r="C143" i="10"/>
  <c r="B143" i="10"/>
  <c r="DU140" i="6"/>
  <c r="J142" i="6"/>
  <c r="E147" i="10"/>
  <c r="C147" i="10"/>
  <c r="G147" i="10"/>
  <c r="B147" i="10"/>
  <c r="F147" i="10"/>
  <c r="DI144" i="6"/>
  <c r="DU144" i="6"/>
  <c r="AE145" i="6"/>
  <c r="CI145" i="6" s="1"/>
  <c r="J146" i="6"/>
  <c r="G151" i="10"/>
  <c r="E151" i="10"/>
  <c r="B151" i="10"/>
  <c r="F151" i="10"/>
  <c r="C151" i="10"/>
  <c r="DI148" i="6"/>
  <c r="DU148" i="6"/>
  <c r="AE149" i="6"/>
  <c r="CI149" i="6" s="1"/>
  <c r="DK149" i="6"/>
  <c r="L150" i="6"/>
  <c r="AE150" i="6"/>
  <c r="CI150" i="6" s="1"/>
  <c r="BH150" i="6"/>
  <c r="BV150" i="6"/>
  <c r="DU150" i="6"/>
  <c r="EX150" i="6"/>
  <c r="G155" i="10"/>
  <c r="C155" i="10"/>
  <c r="F155" i="10"/>
  <c r="B155" i="10"/>
  <c r="E155" i="10"/>
  <c r="EX152" i="6"/>
  <c r="DM152" i="6"/>
  <c r="BV152" i="6"/>
  <c r="H152" i="6"/>
  <c r="FE152" i="6"/>
  <c r="AE152" i="6"/>
  <c r="CI152" i="6" s="1"/>
  <c r="BU152" i="6"/>
  <c r="DU153" i="6"/>
  <c r="BG154" i="6"/>
  <c r="DT156" i="6"/>
  <c r="BE156" i="6"/>
  <c r="AY156" i="6"/>
  <c r="BD156" i="6"/>
  <c r="BO156" i="6"/>
  <c r="BA156" i="6"/>
  <c r="BI156" i="6"/>
  <c r="DT164" i="6"/>
  <c r="BE164" i="6"/>
  <c r="BI164" i="6"/>
  <c r="BP164" i="6"/>
  <c r="DI164" i="6"/>
  <c r="BN164" i="6"/>
  <c r="BA164" i="6"/>
  <c r="AZ164" i="6"/>
  <c r="AY164" i="6"/>
  <c r="BO164" i="6"/>
  <c r="BK164" i="6"/>
  <c r="BB164" i="6"/>
  <c r="BQ164" i="6"/>
  <c r="BR164" i="6"/>
  <c r="BT165" i="6"/>
  <c r="BS165" i="6"/>
  <c r="BS144" i="6"/>
  <c r="B145" i="6"/>
  <c r="DG145" i="6"/>
  <c r="BS148" i="6"/>
  <c r="B149" i="6"/>
  <c r="DL149" i="6"/>
  <c r="BX150" i="6"/>
  <c r="DT152" i="6"/>
  <c r="BE152" i="6"/>
  <c r="BO152" i="6"/>
  <c r="BC152" i="6"/>
  <c r="BH154" i="6"/>
  <c r="BK156" i="6"/>
  <c r="G163" i="10"/>
  <c r="F163" i="10"/>
  <c r="C163" i="10"/>
  <c r="B163" i="10"/>
  <c r="E163" i="10"/>
  <c r="FE160" i="6"/>
  <c r="L160" i="6"/>
  <c r="FA160" i="6"/>
  <c r="K160" i="6"/>
  <c r="EX160" i="6"/>
  <c r="DM160" i="6"/>
  <c r="BV160" i="6"/>
  <c r="H160" i="6"/>
  <c r="DL160" i="6"/>
  <c r="BU160" i="6"/>
  <c r="DK160" i="6"/>
  <c r="DG160" i="6"/>
  <c r="G160" i="6"/>
  <c r="AE160" i="6"/>
  <c r="F160" i="6"/>
  <c r="E160" i="6"/>
  <c r="BW160" i="6"/>
  <c r="G166" i="10"/>
  <c r="F166" i="10"/>
  <c r="E166" i="10"/>
  <c r="C166" i="10"/>
  <c r="B166" i="10"/>
  <c r="DL163" i="6"/>
  <c r="BU163" i="6"/>
  <c r="G163" i="6"/>
  <c r="DK163" i="6"/>
  <c r="BH163" i="6"/>
  <c r="F163" i="6"/>
  <c r="FE163" i="6"/>
  <c r="DG163" i="6"/>
  <c r="B163" i="6"/>
  <c r="AE163" i="6"/>
  <c r="FA163" i="6"/>
  <c r="K163" i="6"/>
  <c r="DJ163" i="6"/>
  <c r="BG163" i="6"/>
  <c r="H163" i="6"/>
  <c r="E163" i="6"/>
  <c r="BW163" i="6"/>
  <c r="EX163" i="6"/>
  <c r="BV163" i="6"/>
  <c r="EU163" i="6"/>
  <c r="DM163" i="6"/>
  <c r="I163" i="6"/>
  <c r="BJ163" i="6" s="1"/>
  <c r="DU163" i="6"/>
  <c r="BS164" i="6"/>
  <c r="BT164" i="6"/>
  <c r="G157" i="10"/>
  <c r="F157" i="10"/>
  <c r="C157" i="10"/>
  <c r="B157" i="10"/>
  <c r="E157" i="10"/>
  <c r="DG154" i="6"/>
  <c r="B154" i="6"/>
  <c r="BX154" i="6"/>
  <c r="J154" i="6"/>
  <c r="BW154" i="6"/>
  <c r="I154" i="6"/>
  <c r="BJ154" i="6" s="1"/>
  <c r="DL154" i="6"/>
  <c r="BU154" i="6"/>
  <c r="G154" i="6"/>
  <c r="EL154" i="6"/>
  <c r="FE154" i="6"/>
  <c r="CI161" i="6"/>
  <c r="BI144" i="6"/>
  <c r="G148" i="10"/>
  <c r="E148" i="10"/>
  <c r="C148" i="10"/>
  <c r="F148" i="10"/>
  <c r="B148" i="10"/>
  <c r="DU145" i="6"/>
  <c r="EE146" i="6"/>
  <c r="BI148" i="6"/>
  <c r="B152" i="10"/>
  <c r="E152" i="10"/>
  <c r="C152" i="10"/>
  <c r="G152" i="10"/>
  <c r="F152" i="10"/>
  <c r="EU149" i="6"/>
  <c r="DJ149" i="6"/>
  <c r="DN149" i="6" s="1"/>
  <c r="BI152" i="6"/>
  <c r="E156" i="10"/>
  <c r="C156" i="10"/>
  <c r="B156" i="10"/>
  <c r="G156" i="10"/>
  <c r="F156" i="10"/>
  <c r="EU153" i="6"/>
  <c r="DJ153" i="6"/>
  <c r="BG153" i="6"/>
  <c r="E153" i="6"/>
  <c r="L153" i="6"/>
  <c r="BX153" i="6"/>
  <c r="J153" i="6"/>
  <c r="BV153" i="6"/>
  <c r="E154" i="6"/>
  <c r="DU154" i="6"/>
  <c r="BR155" i="6"/>
  <c r="DH156" i="6"/>
  <c r="EY156" i="6"/>
  <c r="BN156" i="6"/>
  <c r="BS157" i="6"/>
  <c r="BT157" i="6"/>
  <c r="J160" i="6"/>
  <c r="BG160" i="6"/>
  <c r="EU160" i="6"/>
  <c r="L163" i="6"/>
  <c r="DT159" i="6"/>
  <c r="BE159" i="6"/>
  <c r="BP159" i="6"/>
  <c r="BA159" i="6"/>
  <c r="BI159" i="6"/>
  <c r="BB159" i="6"/>
  <c r="AZ159" i="6"/>
  <c r="DI159" i="6"/>
  <c r="BD159" i="6" s="1"/>
  <c r="AY159" i="6"/>
  <c r="BN159" i="6"/>
  <c r="AY144" i="6"/>
  <c r="BK144" i="6"/>
  <c r="F145" i="6"/>
  <c r="BH145" i="6"/>
  <c r="DK145" i="6"/>
  <c r="DH146" i="6"/>
  <c r="AY148" i="6"/>
  <c r="BK148" i="6"/>
  <c r="F149" i="6"/>
  <c r="BH149" i="6"/>
  <c r="E153" i="10"/>
  <c r="C153" i="10"/>
  <c r="F153" i="10"/>
  <c r="G153" i="10"/>
  <c r="B153" i="10"/>
  <c r="DG150" i="6"/>
  <c r="B150" i="6"/>
  <c r="BW150" i="6"/>
  <c r="I150" i="6"/>
  <c r="BJ150" i="6" s="1"/>
  <c r="DL150" i="6"/>
  <c r="FE150" i="6"/>
  <c r="H154" i="6"/>
  <c r="AE154" i="6"/>
  <c r="CI154" i="6" s="1"/>
  <c r="CI157" i="6"/>
  <c r="BC159" i="6"/>
  <c r="DJ160" i="6"/>
  <c r="BR184" i="6"/>
  <c r="BQ184" i="6"/>
  <c r="E141" i="10"/>
  <c r="C141" i="10"/>
  <c r="G141" i="10"/>
  <c r="F141" i="10"/>
  <c r="B141" i="10"/>
  <c r="DU138" i="6"/>
  <c r="J140" i="6"/>
  <c r="BX140" i="6"/>
  <c r="G145" i="10"/>
  <c r="F145" i="10"/>
  <c r="E145" i="10"/>
  <c r="C145" i="10"/>
  <c r="B145" i="10"/>
  <c r="DU142" i="6"/>
  <c r="J144" i="6"/>
  <c r="BX144" i="6"/>
  <c r="G145" i="6"/>
  <c r="BU145" i="6"/>
  <c r="DL145" i="6"/>
  <c r="F149" i="10"/>
  <c r="E149" i="10"/>
  <c r="C149" i="10"/>
  <c r="G149" i="10"/>
  <c r="B149" i="10"/>
  <c r="DU146" i="6"/>
  <c r="J148" i="6"/>
  <c r="BX148" i="6"/>
  <c r="G149" i="6"/>
  <c r="BU149" i="6"/>
  <c r="E150" i="6"/>
  <c r="DM150" i="6"/>
  <c r="K152" i="6"/>
  <c r="DS152" i="6" s="1"/>
  <c r="H153" i="6"/>
  <c r="AE153" i="6"/>
  <c r="DM153" i="6"/>
  <c r="K154" i="6"/>
  <c r="BA155" i="6"/>
  <c r="BC155" i="6"/>
  <c r="DI155" i="6"/>
  <c r="BD155" i="6" s="1"/>
  <c r="BK155" i="6"/>
  <c r="BI155" i="6"/>
  <c r="BE155" i="6"/>
  <c r="AZ155" i="6"/>
  <c r="E159" i="10"/>
  <c r="C159" i="10"/>
  <c r="G159" i="10"/>
  <c r="B159" i="10"/>
  <c r="F159" i="10"/>
  <c r="FE156" i="6"/>
  <c r="EX156" i="6"/>
  <c r="EL156" i="6"/>
  <c r="DM156" i="6"/>
  <c r="BV156" i="6"/>
  <c r="H156" i="6"/>
  <c r="E162" i="10"/>
  <c r="C162" i="10"/>
  <c r="F162" i="10"/>
  <c r="G162" i="10"/>
  <c r="B162" i="10"/>
  <c r="DK159" i="6"/>
  <c r="BH159" i="6"/>
  <c r="F159" i="6"/>
  <c r="FE159" i="6"/>
  <c r="DG159" i="6"/>
  <c r="B159" i="6"/>
  <c r="FA159" i="6"/>
  <c r="K159" i="6"/>
  <c r="DK161" i="6"/>
  <c r="B158" i="10"/>
  <c r="F158" i="10"/>
  <c r="G158" i="10"/>
  <c r="C158" i="10"/>
  <c r="E158" i="10"/>
  <c r="DK155" i="6"/>
  <c r="BH155" i="6"/>
  <c r="FA155" i="6"/>
  <c r="BW155" i="6"/>
  <c r="DG155" i="6"/>
  <c r="DU155" i="6"/>
  <c r="G156" i="6"/>
  <c r="EU156" i="6"/>
  <c r="G160" i="10"/>
  <c r="E160" i="10"/>
  <c r="C160" i="10"/>
  <c r="B160" i="10"/>
  <c r="F160" i="10"/>
  <c r="L157" i="6"/>
  <c r="EU157" i="6"/>
  <c r="DJ157" i="6"/>
  <c r="BG157" i="6"/>
  <c r="E157" i="6"/>
  <c r="BU158" i="6"/>
  <c r="DL158" i="6"/>
  <c r="H159" i="6"/>
  <c r="FE161" i="6"/>
  <c r="BV162" i="6"/>
  <c r="EX162" i="6"/>
  <c r="CI176" i="6"/>
  <c r="BS182" i="6"/>
  <c r="BT182" i="6"/>
  <c r="BQ183" i="6"/>
  <c r="BR183" i="6"/>
  <c r="F155" i="6"/>
  <c r="J156" i="6"/>
  <c r="BG156" i="6"/>
  <c r="BU156" i="6"/>
  <c r="G157" i="6"/>
  <c r="G161" i="10"/>
  <c r="E161" i="10"/>
  <c r="B161" i="10"/>
  <c r="F161" i="10"/>
  <c r="C161" i="10"/>
  <c r="BW158" i="6"/>
  <c r="I158" i="6"/>
  <c r="BJ158" i="6" s="1"/>
  <c r="DK158" i="6"/>
  <c r="BH158" i="6"/>
  <c r="EU158" i="6"/>
  <c r="DJ158" i="6"/>
  <c r="BG158" i="6"/>
  <c r="E158" i="6"/>
  <c r="DG158" i="6"/>
  <c r="B158" i="6"/>
  <c r="BX158" i="6"/>
  <c r="J159" i="6"/>
  <c r="G155" i="6"/>
  <c r="DJ155" i="6"/>
  <c r="K156" i="6"/>
  <c r="AE156" i="6"/>
  <c r="CI156" i="6" s="1"/>
  <c r="BH156" i="6"/>
  <c r="BW156" i="6"/>
  <c r="DU156" i="6"/>
  <c r="H157" i="6"/>
  <c r="DS157" i="6" s="1"/>
  <c r="F158" i="6"/>
  <c r="FA158" i="6"/>
  <c r="L159" i="6"/>
  <c r="DJ159" i="6"/>
  <c r="EU159" i="6"/>
  <c r="E165" i="10"/>
  <c r="C165" i="10"/>
  <c r="G165" i="10"/>
  <c r="F165" i="10"/>
  <c r="B165" i="10"/>
  <c r="BX162" i="6"/>
  <c r="J162" i="6"/>
  <c r="BW162" i="6"/>
  <c r="I162" i="6"/>
  <c r="BJ162" i="6" s="1"/>
  <c r="DK162" i="6"/>
  <c r="BH162" i="6"/>
  <c r="F162" i="6"/>
  <c r="EU162" i="6"/>
  <c r="DJ162" i="6"/>
  <c r="BG162" i="6"/>
  <c r="E162" i="6"/>
  <c r="DU162" i="6"/>
  <c r="DG162" i="6"/>
  <c r="B162" i="6"/>
  <c r="AE162" i="6"/>
  <c r="CI162" i="6" s="1"/>
  <c r="G164" i="10"/>
  <c r="F164" i="10"/>
  <c r="E164" i="10"/>
  <c r="C164" i="10"/>
  <c r="B164" i="10"/>
  <c r="L161" i="6"/>
  <c r="BW161" i="6"/>
  <c r="I161" i="6"/>
  <c r="BJ161" i="6" s="1"/>
  <c r="EX161" i="6"/>
  <c r="DM161" i="6"/>
  <c r="BV161" i="6"/>
  <c r="H161" i="6"/>
  <c r="EU161" i="6"/>
  <c r="DJ161" i="6"/>
  <c r="BG161" i="6"/>
  <c r="E161" i="6"/>
  <c r="DU161" i="6"/>
  <c r="EY166" i="6"/>
  <c r="DH166" i="6"/>
  <c r="T172" i="5" s="1"/>
  <c r="EE166" i="6"/>
  <c r="DT183" i="6"/>
  <c r="BE183" i="6"/>
  <c r="BO183" i="6"/>
  <c r="AZ183" i="6"/>
  <c r="BK183" i="6"/>
  <c r="AY183" i="6"/>
  <c r="BB183" i="6"/>
  <c r="BA183" i="6"/>
  <c r="BP183" i="6"/>
  <c r="BN183" i="6"/>
  <c r="DI183" i="6"/>
  <c r="BI183" i="6"/>
  <c r="BA175" i="6"/>
  <c r="BE175" i="6"/>
  <c r="BP175" i="6"/>
  <c r="BB175" i="6"/>
  <c r="BO175" i="6"/>
  <c r="AZ175" i="6"/>
  <c r="BN175" i="6"/>
  <c r="AY175" i="6"/>
  <c r="DI175" i="6"/>
  <c r="BC175" i="6" s="1"/>
  <c r="BK175" i="6"/>
  <c r="DT175" i="6"/>
  <c r="BI175" i="6"/>
  <c r="DH180" i="6"/>
  <c r="EE180" i="6"/>
  <c r="EY180" i="6"/>
  <c r="CI180" i="6"/>
  <c r="K155" i="6"/>
  <c r="B156" i="6"/>
  <c r="DK156" i="6"/>
  <c r="BX157" i="6"/>
  <c r="K158" i="6"/>
  <c r="DS158" i="6" s="1"/>
  <c r="AE158" i="6"/>
  <c r="CI158" i="6" s="1"/>
  <c r="DU158" i="6"/>
  <c r="BG159" i="6"/>
  <c r="BX159" i="6"/>
  <c r="J161" i="6"/>
  <c r="L162" i="6"/>
  <c r="DS168" i="6"/>
  <c r="DR168" i="6"/>
  <c r="EY158" i="6"/>
  <c r="K161" i="6"/>
  <c r="E168" i="10"/>
  <c r="C168" i="10"/>
  <c r="G168" i="10"/>
  <c r="F168" i="10"/>
  <c r="B168" i="10"/>
  <c r="L165" i="6"/>
  <c r="BG165" i="6"/>
  <c r="FA165" i="6"/>
  <c r="DM165" i="6"/>
  <c r="DL165" i="6"/>
  <c r="EX165" i="6"/>
  <c r="DJ165" i="6"/>
  <c r="I165" i="6"/>
  <c r="BJ165" i="6" s="1"/>
  <c r="H165" i="6"/>
  <c r="DS165" i="6" s="1"/>
  <c r="DU165" i="6"/>
  <c r="G165" i="6"/>
  <c r="EU165" i="6"/>
  <c r="DG165" i="6"/>
  <c r="BX165" i="6"/>
  <c r="E165" i="6"/>
  <c r="DK165" i="6"/>
  <c r="CI166" i="6"/>
  <c r="BR166" i="6"/>
  <c r="BI171" i="6"/>
  <c r="DT171" i="6"/>
  <c r="BE171" i="6"/>
  <c r="BO171" i="6"/>
  <c r="BN171" i="6"/>
  <c r="BB171" i="6"/>
  <c r="AY171" i="6"/>
  <c r="BP171" i="6"/>
  <c r="DI171" i="6"/>
  <c r="BC171" i="6" s="1"/>
  <c r="BK171" i="6"/>
  <c r="H164" i="6"/>
  <c r="B166" i="6"/>
  <c r="BH166" i="6"/>
  <c r="BU166" i="6"/>
  <c r="DH168" i="6"/>
  <c r="EY168" i="6"/>
  <c r="BB168" i="6"/>
  <c r="J171" i="6"/>
  <c r="DI172" i="6"/>
  <c r="DT172" i="6"/>
  <c r="BE172" i="6"/>
  <c r="BN172" i="6"/>
  <c r="BB172" i="6"/>
  <c r="BA172" i="6"/>
  <c r="AZ172" i="6"/>
  <c r="BK172" i="6"/>
  <c r="AY172" i="6"/>
  <c r="EY175" i="6"/>
  <c r="FE167" i="6"/>
  <c r="DK164" i="6"/>
  <c r="G169" i="10"/>
  <c r="B169" i="10"/>
  <c r="C169" i="10"/>
  <c r="E169" i="10"/>
  <c r="F169" i="10"/>
  <c r="BW166" i="6"/>
  <c r="I166" i="6"/>
  <c r="BJ166" i="6" s="1"/>
  <c r="FE166" i="6"/>
  <c r="BX166" i="6"/>
  <c r="DG166" i="6"/>
  <c r="DU167" i="6"/>
  <c r="AZ170" i="6"/>
  <c r="BK170" i="6"/>
  <c r="AY170" i="6"/>
  <c r="DI170" i="6"/>
  <c r="BC170" i="6" s="1"/>
  <c r="DT170" i="6"/>
  <c r="BE170" i="6"/>
  <c r="BO170" i="6"/>
  <c r="EY199" i="6"/>
  <c r="DH199" i="6"/>
  <c r="EE199" i="6"/>
  <c r="K164" i="6"/>
  <c r="DL164" i="6"/>
  <c r="E166" i="6"/>
  <c r="BR168" i="6"/>
  <c r="BQ168" i="6"/>
  <c r="BP170" i="6"/>
  <c r="DG171" i="6"/>
  <c r="EX171" i="6"/>
  <c r="L164" i="6"/>
  <c r="AE164" i="6"/>
  <c r="CI164" i="6" s="1"/>
  <c r="DM164" i="6"/>
  <c r="FA164" i="6"/>
  <c r="F166" i="6"/>
  <c r="DJ166" i="6"/>
  <c r="B167" i="6"/>
  <c r="BA170" i="6"/>
  <c r="BR172" i="6"/>
  <c r="BQ172" i="6"/>
  <c r="F179" i="10"/>
  <c r="G179" i="10"/>
  <c r="E179" i="10"/>
  <c r="C179" i="10"/>
  <c r="B179" i="10"/>
  <c r="FE176" i="6"/>
  <c r="BX176" i="6"/>
  <c r="J176" i="6"/>
  <c r="EX176" i="6"/>
  <c r="DM176" i="6"/>
  <c r="BV176" i="6"/>
  <c r="H176" i="6"/>
  <c r="DL176" i="6"/>
  <c r="G176" i="6"/>
  <c r="DK176" i="6"/>
  <c r="BH176" i="6"/>
  <c r="F176" i="6"/>
  <c r="DJ176" i="6"/>
  <c r="BW176" i="6"/>
  <c r="BG176" i="6"/>
  <c r="E176" i="6"/>
  <c r="DG176" i="6"/>
  <c r="B176" i="6"/>
  <c r="DU176" i="6"/>
  <c r="FA176" i="6"/>
  <c r="E170" i="10"/>
  <c r="C170" i="10"/>
  <c r="B170" i="10"/>
  <c r="F170" i="10"/>
  <c r="G170" i="10"/>
  <c r="DL167" i="6"/>
  <c r="BU167" i="6"/>
  <c r="G167" i="6"/>
  <c r="DK167" i="6"/>
  <c r="BH167" i="6"/>
  <c r="F167" i="6"/>
  <c r="L167" i="6"/>
  <c r="CI167" i="6" s="1"/>
  <c r="BW167" i="6"/>
  <c r="DI168" i="6"/>
  <c r="BD168" i="6" s="1"/>
  <c r="DT168" i="6"/>
  <c r="BE168" i="6"/>
  <c r="AZ168" i="6"/>
  <c r="BK168" i="6"/>
  <c r="AY168" i="6"/>
  <c r="BT183" i="6"/>
  <c r="BS183" i="6"/>
  <c r="BV164" i="6"/>
  <c r="J166" i="6"/>
  <c r="DM166" i="6"/>
  <c r="EU166" i="6"/>
  <c r="E167" i="6"/>
  <c r="BG167" i="6"/>
  <c r="BX167" i="6"/>
  <c r="DJ167" i="6"/>
  <c r="EU167" i="6"/>
  <c r="EY170" i="6"/>
  <c r="DH170" i="6"/>
  <c r="T176" i="5" s="1"/>
  <c r="BD170" i="6"/>
  <c r="BR171" i="6"/>
  <c r="DM173" i="6"/>
  <c r="L176" i="6"/>
  <c r="EY189" i="6"/>
  <c r="DH189" i="6"/>
  <c r="T195" i="5" s="1"/>
  <c r="EE189" i="6"/>
  <c r="E167" i="10"/>
  <c r="C167" i="10"/>
  <c r="G167" i="10"/>
  <c r="F167" i="10"/>
  <c r="B167" i="10"/>
  <c r="FE164" i="6"/>
  <c r="BW164" i="6"/>
  <c r="K166" i="6"/>
  <c r="H167" i="6"/>
  <c r="DS167" i="6" s="1"/>
  <c r="DM167" i="6"/>
  <c r="EX167" i="6"/>
  <c r="BN168" i="6"/>
  <c r="BR170" i="6"/>
  <c r="BQ170" i="6"/>
  <c r="E174" i="10"/>
  <c r="C174" i="10"/>
  <c r="B174" i="10"/>
  <c r="G174" i="10"/>
  <c r="F174" i="10"/>
  <c r="DL171" i="6"/>
  <c r="BU171" i="6"/>
  <c r="G171" i="6"/>
  <c r="DK171" i="6"/>
  <c r="BH171" i="6"/>
  <c r="F171" i="6"/>
  <c r="FE171" i="6"/>
  <c r="AE171" i="6"/>
  <c r="L171" i="6"/>
  <c r="EL172" i="6"/>
  <c r="F176" i="10"/>
  <c r="C176" i="10"/>
  <c r="B176" i="10"/>
  <c r="G176" i="10"/>
  <c r="E176" i="10"/>
  <c r="L173" i="6"/>
  <c r="EU173" i="6"/>
  <c r="DJ173" i="6"/>
  <c r="BG173" i="6"/>
  <c r="E173" i="6"/>
  <c r="DL173" i="6"/>
  <c r="DK173" i="6"/>
  <c r="FA173" i="6"/>
  <c r="DU173" i="6"/>
  <c r="EX173" i="6"/>
  <c r="BV173" i="6"/>
  <c r="BH173" i="6"/>
  <c r="AE173" i="6"/>
  <c r="CI173" i="6" s="1"/>
  <c r="J173" i="6"/>
  <c r="BU173" i="6"/>
  <c r="I173" i="6"/>
  <c r="BJ173" i="6" s="1"/>
  <c r="H173" i="6"/>
  <c r="G173" i="6"/>
  <c r="BX173" i="6"/>
  <c r="BR180" i="6"/>
  <c r="BQ180" i="6"/>
  <c r="EY182" i="6"/>
  <c r="BN188" i="6"/>
  <c r="BB188" i="6"/>
  <c r="BA188" i="6"/>
  <c r="AZ188" i="6"/>
  <c r="BI188" i="6"/>
  <c r="DI188" i="6"/>
  <c r="BC188" i="6" s="1"/>
  <c r="BE188" i="6"/>
  <c r="AY188" i="6"/>
  <c r="BP188" i="6"/>
  <c r="BO188" i="6"/>
  <c r="I168" i="6"/>
  <c r="BJ168" i="6" s="1"/>
  <c r="BW168" i="6"/>
  <c r="EY172" i="6"/>
  <c r="E177" i="10"/>
  <c r="C177" i="10"/>
  <c r="G177" i="10"/>
  <c r="B177" i="10"/>
  <c r="F177" i="10"/>
  <c r="BW174" i="6"/>
  <c r="I174" i="6"/>
  <c r="BJ174" i="6" s="1"/>
  <c r="DG174" i="6"/>
  <c r="B174" i="6"/>
  <c r="DL174" i="6"/>
  <c r="FE174" i="6"/>
  <c r="J177" i="6"/>
  <c r="DS178" i="6"/>
  <c r="CI178" i="6"/>
  <c r="BO178" i="6"/>
  <c r="G184" i="10"/>
  <c r="B184" i="10"/>
  <c r="C184" i="10"/>
  <c r="F184" i="10"/>
  <c r="E184" i="10"/>
  <c r="AE181" i="6"/>
  <c r="L181" i="6"/>
  <c r="FA181" i="6"/>
  <c r="K181" i="6"/>
  <c r="BX181" i="6"/>
  <c r="J181" i="6"/>
  <c r="EX181" i="6"/>
  <c r="DM181" i="6"/>
  <c r="BV181" i="6"/>
  <c r="H181" i="6"/>
  <c r="DL181" i="6"/>
  <c r="BU181" i="6"/>
  <c r="G181" i="6"/>
  <c r="EU181" i="6"/>
  <c r="DJ181" i="6"/>
  <c r="BG181" i="6"/>
  <c r="E181" i="6"/>
  <c r="BN184" i="6"/>
  <c r="BB184" i="6"/>
  <c r="AZ184" i="6"/>
  <c r="BI184" i="6"/>
  <c r="BA184" i="6"/>
  <c r="DI184" i="6"/>
  <c r="BD184" i="6" s="1"/>
  <c r="AY184" i="6"/>
  <c r="BP184" i="6"/>
  <c r="BK184" i="6"/>
  <c r="DT184" i="6"/>
  <c r="BE184" i="6"/>
  <c r="C173" i="10"/>
  <c r="G173" i="10"/>
  <c r="F173" i="10"/>
  <c r="E173" i="10"/>
  <c r="B173" i="10"/>
  <c r="DU170" i="6"/>
  <c r="BX172" i="6"/>
  <c r="E174" i="6"/>
  <c r="DM174" i="6"/>
  <c r="DJ175" i="6"/>
  <c r="FE175" i="6"/>
  <c r="K177" i="6"/>
  <c r="F182" i="10"/>
  <c r="G182" i="10"/>
  <c r="C182" i="10"/>
  <c r="B182" i="10"/>
  <c r="E182" i="10"/>
  <c r="DL179" i="6"/>
  <c r="BU179" i="6"/>
  <c r="G179" i="6"/>
  <c r="DK179" i="6"/>
  <c r="BH179" i="6"/>
  <c r="F179" i="6"/>
  <c r="EU179" i="6"/>
  <c r="DJ179" i="6"/>
  <c r="BG179" i="6"/>
  <c r="AE179" i="6"/>
  <c r="FA179" i="6"/>
  <c r="K179" i="6"/>
  <c r="DR179" i="6" s="1"/>
  <c r="DQ179" i="6" s="1"/>
  <c r="FE179" i="6"/>
  <c r="F181" i="6"/>
  <c r="B175" i="6"/>
  <c r="DL175" i="6"/>
  <c r="FA177" i="6"/>
  <c r="EY178" i="6"/>
  <c r="BA178" i="6"/>
  <c r="DH178" i="6"/>
  <c r="T184" i="5" s="1"/>
  <c r="BI179" i="6"/>
  <c r="BO179" i="6"/>
  <c r="BC179" i="6"/>
  <c r="BA179" i="6"/>
  <c r="AZ179" i="6"/>
  <c r="BT181" i="6"/>
  <c r="EE182" i="6"/>
  <c r="B194" i="10"/>
  <c r="G194" i="10"/>
  <c r="F194" i="10"/>
  <c r="E194" i="10"/>
  <c r="C194" i="10"/>
  <c r="FE191" i="6"/>
  <c r="DG191" i="6"/>
  <c r="B191" i="6"/>
  <c r="AE191" i="6"/>
  <c r="L191" i="6"/>
  <c r="FA191" i="6"/>
  <c r="K191" i="6"/>
  <c r="BX191" i="6"/>
  <c r="J191" i="6"/>
  <c r="BW191" i="6"/>
  <c r="I191" i="6"/>
  <c r="BJ191" i="6" s="1"/>
  <c r="EX191" i="6"/>
  <c r="DM191" i="6"/>
  <c r="BV191" i="6"/>
  <c r="H191" i="6"/>
  <c r="DL191" i="6"/>
  <c r="BU191" i="6"/>
  <c r="G191" i="6"/>
  <c r="DK191" i="6"/>
  <c r="BH191" i="6"/>
  <c r="F191" i="6"/>
  <c r="BG191" i="6"/>
  <c r="DU191" i="6"/>
  <c r="DJ191" i="6"/>
  <c r="BB179" i="6"/>
  <c r="BW181" i="6"/>
  <c r="DH182" i="6"/>
  <c r="BO184" i="6"/>
  <c r="E191" i="6"/>
  <c r="G178" i="10"/>
  <c r="E178" i="10"/>
  <c r="B178" i="10"/>
  <c r="F178" i="10"/>
  <c r="C178" i="10"/>
  <c r="DK175" i="6"/>
  <c r="BH175" i="6"/>
  <c r="F175" i="6"/>
  <c r="FA175" i="6"/>
  <c r="K175" i="6"/>
  <c r="CI182" i="6"/>
  <c r="G190" i="10"/>
  <c r="B190" i="10"/>
  <c r="F190" i="10"/>
  <c r="E190" i="10"/>
  <c r="C190" i="10"/>
  <c r="FE187" i="6"/>
  <c r="DG187" i="6"/>
  <c r="B187" i="6"/>
  <c r="AE187" i="6"/>
  <c r="BX187" i="6"/>
  <c r="J187" i="6"/>
  <c r="BW187" i="6"/>
  <c r="I187" i="6"/>
  <c r="BJ187" i="6" s="1"/>
  <c r="DL187" i="6"/>
  <c r="BU187" i="6"/>
  <c r="G187" i="6"/>
  <c r="DM187" i="6"/>
  <c r="K187" i="6"/>
  <c r="DK187" i="6"/>
  <c r="BH187" i="6"/>
  <c r="H187" i="6"/>
  <c r="DJ187" i="6"/>
  <c r="BG187" i="6"/>
  <c r="F187" i="6"/>
  <c r="E187" i="6"/>
  <c r="FA187" i="6"/>
  <c r="EX187" i="6"/>
  <c r="BV187" i="6"/>
  <c r="EU187" i="6"/>
  <c r="I170" i="6"/>
  <c r="BJ170" i="6" s="1"/>
  <c r="BW170" i="6"/>
  <c r="DH172" i="6"/>
  <c r="K174" i="6"/>
  <c r="BG174" i="6"/>
  <c r="BU174" i="6"/>
  <c r="G175" i="6"/>
  <c r="EU175" i="6"/>
  <c r="B177" i="6"/>
  <c r="BT177" i="6"/>
  <c r="DG177" i="6"/>
  <c r="L179" i="6"/>
  <c r="DI180" i="6"/>
  <c r="BC180" i="6" s="1"/>
  <c r="DT180" i="6"/>
  <c r="BE180" i="6"/>
  <c r="BP180" i="6"/>
  <c r="BD180" i="6"/>
  <c r="BO180" i="6"/>
  <c r="AZ180" i="6"/>
  <c r="AY180" i="6"/>
  <c r="L187" i="6"/>
  <c r="BR188" i="6"/>
  <c r="BQ188" i="6"/>
  <c r="DT188" i="6"/>
  <c r="E171" i="10"/>
  <c r="C171" i="10"/>
  <c r="G171" i="10"/>
  <c r="F171" i="10"/>
  <c r="B171" i="10"/>
  <c r="DU168" i="6"/>
  <c r="J170" i="6"/>
  <c r="BX170" i="6"/>
  <c r="G175" i="10"/>
  <c r="B175" i="10"/>
  <c r="F175" i="10"/>
  <c r="C175" i="10"/>
  <c r="E175" i="10"/>
  <c r="DU172" i="6"/>
  <c r="L174" i="6"/>
  <c r="AE174" i="6"/>
  <c r="BH174" i="6"/>
  <c r="BV174" i="6"/>
  <c r="DU174" i="6"/>
  <c r="EX174" i="6"/>
  <c r="H175" i="6"/>
  <c r="DS182" i="6"/>
  <c r="I175" i="6"/>
  <c r="BJ175" i="6" s="1"/>
  <c r="BU175" i="6"/>
  <c r="EX175" i="6"/>
  <c r="E180" i="10"/>
  <c r="C180" i="10"/>
  <c r="G180" i="10"/>
  <c r="B180" i="10"/>
  <c r="F180" i="10"/>
  <c r="L177" i="6"/>
  <c r="DL177" i="6"/>
  <c r="BU177" i="6"/>
  <c r="G177" i="6"/>
  <c r="EU177" i="6"/>
  <c r="DJ177" i="6"/>
  <c r="BG177" i="6"/>
  <c r="E177" i="6"/>
  <c r="BW177" i="6"/>
  <c r="AZ178" i="6"/>
  <c r="BK178" i="6"/>
  <c r="AY178" i="6"/>
  <c r="DI178" i="6"/>
  <c r="BD178" i="6" s="1"/>
  <c r="BP178" i="6"/>
  <c r="BI178" i="6"/>
  <c r="BK188" i="6"/>
  <c r="B178" i="6"/>
  <c r="DG178" i="6"/>
  <c r="H180" i="6"/>
  <c r="BV180" i="6"/>
  <c r="DM180" i="6"/>
  <c r="EL180" i="6"/>
  <c r="EX180" i="6"/>
  <c r="B182" i="6"/>
  <c r="BP182" i="6"/>
  <c r="DG182" i="6"/>
  <c r="E186" i="10"/>
  <c r="C186" i="10"/>
  <c r="F186" i="10"/>
  <c r="B186" i="10"/>
  <c r="G186" i="10"/>
  <c r="FE183" i="6"/>
  <c r="AE183" i="6"/>
  <c r="CI183" i="6" s="1"/>
  <c r="BX183" i="6"/>
  <c r="J183" i="6"/>
  <c r="BW183" i="6"/>
  <c r="I183" i="6"/>
  <c r="BJ183" i="6" s="1"/>
  <c r="DU183" i="6"/>
  <c r="EL183" i="6"/>
  <c r="G181" i="10"/>
  <c r="B181" i="10"/>
  <c r="F181" i="10"/>
  <c r="E181" i="10"/>
  <c r="C181" i="10"/>
  <c r="DU178" i="6"/>
  <c r="J180" i="6"/>
  <c r="BX180" i="6"/>
  <c r="F185" i="10"/>
  <c r="C185" i="10"/>
  <c r="E185" i="10"/>
  <c r="B185" i="10"/>
  <c r="G185" i="10"/>
  <c r="DI182" i="6"/>
  <c r="BD182" i="6" s="1"/>
  <c r="DU182" i="6"/>
  <c r="EX182" i="6"/>
  <c r="BK185" i="6"/>
  <c r="AY185" i="6"/>
  <c r="BI185" i="6"/>
  <c r="DI185" i="6"/>
  <c r="DR185" i="6" s="1"/>
  <c r="DT185" i="6"/>
  <c r="BE185" i="6"/>
  <c r="AZ185" i="6"/>
  <c r="G187" i="10"/>
  <c r="B187" i="10"/>
  <c r="F187" i="10"/>
  <c r="E187" i="10"/>
  <c r="C187" i="10"/>
  <c r="L184" i="6"/>
  <c r="FA184" i="6"/>
  <c r="BX184" i="6"/>
  <c r="J184" i="6"/>
  <c r="DL184" i="6"/>
  <c r="BU184" i="6"/>
  <c r="G184" i="6"/>
  <c r="DK184" i="6"/>
  <c r="BH184" i="6"/>
  <c r="F184" i="6"/>
  <c r="CI189" i="6"/>
  <c r="BI182" i="6"/>
  <c r="H184" i="6"/>
  <c r="EX184" i="6"/>
  <c r="BK195" i="6"/>
  <c r="AY195" i="6"/>
  <c r="BI195" i="6"/>
  <c r="DT195" i="6"/>
  <c r="BE195" i="6"/>
  <c r="BP195" i="6"/>
  <c r="BO195" i="6"/>
  <c r="BN195" i="6"/>
  <c r="DI195" i="6"/>
  <c r="BD195" i="6" s="1"/>
  <c r="BB195" i="6"/>
  <c r="BT202" i="6"/>
  <c r="BS202" i="6"/>
  <c r="DH183" i="6"/>
  <c r="T189" i="5" s="1"/>
  <c r="EE183" i="6"/>
  <c r="EY183" i="6"/>
  <c r="I184" i="6"/>
  <c r="BJ184" i="6" s="1"/>
  <c r="I178" i="6"/>
  <c r="BJ178" i="6" s="1"/>
  <c r="BW178" i="6"/>
  <c r="I182" i="6"/>
  <c r="BJ182" i="6" s="1"/>
  <c r="AY182" i="6"/>
  <c r="BK182" i="6"/>
  <c r="BW182" i="6"/>
  <c r="BU183" i="6"/>
  <c r="DL183" i="6"/>
  <c r="K184" i="6"/>
  <c r="DJ184" i="6"/>
  <c r="EY185" i="6"/>
  <c r="DH185" i="6"/>
  <c r="BR185" i="6"/>
  <c r="BQ185" i="6"/>
  <c r="DS186" i="6"/>
  <c r="E183" i="10"/>
  <c r="C183" i="10"/>
  <c r="B183" i="10"/>
  <c r="F183" i="10"/>
  <c r="G183" i="10"/>
  <c r="DU180" i="6"/>
  <c r="DM184" i="6"/>
  <c r="DS189" i="6"/>
  <c r="DS193" i="6"/>
  <c r="AZ193" i="6"/>
  <c r="DI193" i="6"/>
  <c r="BC193" i="6" s="1"/>
  <c r="DS195" i="6"/>
  <c r="F191" i="10"/>
  <c r="B191" i="10"/>
  <c r="E191" i="10"/>
  <c r="C191" i="10"/>
  <c r="G191" i="10"/>
  <c r="DU188" i="6"/>
  <c r="BO189" i="6"/>
  <c r="F195" i="10"/>
  <c r="E195" i="10"/>
  <c r="C195" i="10"/>
  <c r="G195" i="10"/>
  <c r="B195" i="10"/>
  <c r="DU192" i="6"/>
  <c r="FE192" i="6"/>
  <c r="DL192" i="6"/>
  <c r="BA193" i="6"/>
  <c r="BS193" i="6"/>
  <c r="DJ193" i="6"/>
  <c r="AZ197" i="6"/>
  <c r="BP189" i="6"/>
  <c r="DI192" i="6"/>
  <c r="BD192" i="6" s="1"/>
  <c r="DT192" i="6"/>
  <c r="BE192" i="6"/>
  <c r="AZ192" i="6"/>
  <c r="BN192" i="6"/>
  <c r="DK193" i="6"/>
  <c r="FA193" i="6"/>
  <c r="EY195" i="6"/>
  <c r="DH195" i="6"/>
  <c r="T201" i="5" s="1"/>
  <c r="DI196" i="6"/>
  <c r="DT196" i="6"/>
  <c r="BE196" i="6"/>
  <c r="BN196" i="6"/>
  <c r="BB196" i="6"/>
  <c r="BA196" i="6"/>
  <c r="BA197" i="6"/>
  <c r="DS200" i="6"/>
  <c r="DS201" i="6"/>
  <c r="BR203" i="6"/>
  <c r="BQ203" i="6"/>
  <c r="EY206" i="6"/>
  <c r="DH206" i="6"/>
  <c r="T212" i="5" s="1"/>
  <c r="EE206" i="6"/>
  <c r="BQ208" i="6"/>
  <c r="BR208" i="6"/>
  <c r="DS209" i="6"/>
  <c r="L186" i="6"/>
  <c r="BB186" i="6"/>
  <c r="BN186" i="6"/>
  <c r="F188" i="6"/>
  <c r="BH188" i="6"/>
  <c r="DK188" i="6"/>
  <c r="BE189" i="6"/>
  <c r="BQ189" i="6"/>
  <c r="DT189" i="6"/>
  <c r="BB190" i="6"/>
  <c r="BN190" i="6"/>
  <c r="F192" i="6"/>
  <c r="BA192" i="6"/>
  <c r="BO192" i="6"/>
  <c r="B193" i="6"/>
  <c r="BU193" i="6"/>
  <c r="DL193" i="6"/>
  <c r="BO196" i="6"/>
  <c r="BR197" i="6"/>
  <c r="BQ197" i="6"/>
  <c r="F188" i="10"/>
  <c r="E188" i="10"/>
  <c r="C188" i="10"/>
  <c r="B188" i="10"/>
  <c r="G188" i="10"/>
  <c r="DU185" i="6"/>
  <c r="AE186" i="6"/>
  <c r="BO186" i="6"/>
  <c r="G188" i="6"/>
  <c r="BU188" i="6"/>
  <c r="DL188" i="6"/>
  <c r="E192" i="10"/>
  <c r="C192" i="10"/>
  <c r="F192" i="10"/>
  <c r="B192" i="10"/>
  <c r="G192" i="10"/>
  <c r="DI189" i="6"/>
  <c r="BC189" i="6" s="1"/>
  <c r="DU189" i="6"/>
  <c r="AE190" i="6"/>
  <c r="CI190" i="6" s="1"/>
  <c r="BO190" i="6"/>
  <c r="EE190" i="6"/>
  <c r="G192" i="6"/>
  <c r="BB192" i="6"/>
  <c r="BP192" i="6"/>
  <c r="DL194" i="6"/>
  <c r="EU195" i="6"/>
  <c r="BP196" i="6"/>
  <c r="E201" i="10"/>
  <c r="C201" i="10"/>
  <c r="G201" i="10"/>
  <c r="F201" i="10"/>
  <c r="B201" i="10"/>
  <c r="AE198" i="6"/>
  <c r="CI198" i="6" s="1"/>
  <c r="L198" i="6"/>
  <c r="FA198" i="6"/>
  <c r="K198" i="6"/>
  <c r="BX198" i="6"/>
  <c r="J198" i="6"/>
  <c r="BW198" i="6"/>
  <c r="I198" i="6"/>
  <c r="BJ198" i="6" s="1"/>
  <c r="EX198" i="6"/>
  <c r="DM198" i="6"/>
  <c r="BV198" i="6"/>
  <c r="H198" i="6"/>
  <c r="DL198" i="6"/>
  <c r="BU198" i="6"/>
  <c r="DK198" i="6"/>
  <c r="BH198" i="6"/>
  <c r="F198" i="6"/>
  <c r="EU198" i="6"/>
  <c r="DJ198" i="6"/>
  <c r="BG198" i="6"/>
  <c r="E198" i="6"/>
  <c r="CI199" i="6"/>
  <c r="EE210" i="6"/>
  <c r="EY210" i="6"/>
  <c r="DH210" i="6"/>
  <c r="T216" i="5" s="1"/>
  <c r="F196" i="10"/>
  <c r="G196" i="10"/>
  <c r="E196" i="10"/>
  <c r="C196" i="10"/>
  <c r="B196" i="10"/>
  <c r="FE193" i="6"/>
  <c r="AE193" i="6"/>
  <c r="CI193" i="6" s="1"/>
  <c r="L193" i="6"/>
  <c r="BW193" i="6"/>
  <c r="I193" i="6"/>
  <c r="BJ193" i="6" s="1"/>
  <c r="EX193" i="6"/>
  <c r="DM193" i="6"/>
  <c r="BV193" i="6"/>
  <c r="BG193" i="6"/>
  <c r="AY196" i="6"/>
  <c r="DT193" i="6"/>
  <c r="BO193" i="6"/>
  <c r="BN193" i="6"/>
  <c r="BB193" i="6"/>
  <c r="BK193" i="6"/>
  <c r="AY193" i="6"/>
  <c r="CI194" i="6"/>
  <c r="DI197" i="6"/>
  <c r="DR197" i="6" s="1"/>
  <c r="DN197" i="6" s="1"/>
  <c r="DT197" i="6"/>
  <c r="BE197" i="6"/>
  <c r="BP197" i="6"/>
  <c r="BO197" i="6"/>
  <c r="BN197" i="6"/>
  <c r="BB197" i="6"/>
  <c r="BK197" i="6"/>
  <c r="AY197" i="6"/>
  <c r="FE198" i="6"/>
  <c r="G185" i="6"/>
  <c r="BU185" i="6"/>
  <c r="DL185" i="6"/>
  <c r="E189" i="10"/>
  <c r="C189" i="10"/>
  <c r="F189" i="10"/>
  <c r="B189" i="10"/>
  <c r="G189" i="10"/>
  <c r="DI186" i="6"/>
  <c r="BD186" i="6" s="1"/>
  <c r="DU186" i="6"/>
  <c r="J188" i="6"/>
  <c r="BX188" i="6"/>
  <c r="G189" i="6"/>
  <c r="BI189" i="6"/>
  <c r="BU189" i="6"/>
  <c r="DL189" i="6"/>
  <c r="E193" i="10"/>
  <c r="C193" i="10"/>
  <c r="F193" i="10"/>
  <c r="B193" i="10"/>
  <c r="G193" i="10"/>
  <c r="DI190" i="6"/>
  <c r="BD190" i="6" s="1"/>
  <c r="DU190" i="6"/>
  <c r="J192" i="6"/>
  <c r="BG192" i="6"/>
  <c r="BU192" i="6"/>
  <c r="F193" i="6"/>
  <c r="BI193" i="6"/>
  <c r="DU193" i="6"/>
  <c r="C197" i="10"/>
  <c r="B197" i="10"/>
  <c r="F197" i="10"/>
  <c r="E197" i="10"/>
  <c r="G197" i="10"/>
  <c r="L194" i="6"/>
  <c r="BX194" i="6"/>
  <c r="J194" i="6"/>
  <c r="BW194" i="6"/>
  <c r="I194" i="6"/>
  <c r="BJ194" i="6" s="1"/>
  <c r="DK194" i="6"/>
  <c r="BH194" i="6"/>
  <c r="F194" i="6"/>
  <c r="EU194" i="6"/>
  <c r="DJ194" i="6"/>
  <c r="BG194" i="6"/>
  <c r="E194" i="6"/>
  <c r="BU194" i="6"/>
  <c r="DJ195" i="6"/>
  <c r="EE195" i="6"/>
  <c r="FA195" i="6"/>
  <c r="BS210" i="6"/>
  <c r="BT210" i="6"/>
  <c r="EX185" i="6"/>
  <c r="EU186" i="6"/>
  <c r="K188" i="6"/>
  <c r="FA188" i="6"/>
  <c r="DM189" i="6"/>
  <c r="EL189" i="6"/>
  <c r="EX189" i="6"/>
  <c r="BG190" i="6"/>
  <c r="BS190" i="6"/>
  <c r="DJ190" i="6"/>
  <c r="EU190" i="6"/>
  <c r="K192" i="6"/>
  <c r="BH192" i="6"/>
  <c r="BV192" i="6"/>
  <c r="EX192" i="6"/>
  <c r="G193" i="6"/>
  <c r="G194" i="6"/>
  <c r="BV194" i="6"/>
  <c r="BD196" i="6"/>
  <c r="BS197" i="6"/>
  <c r="I185" i="6"/>
  <c r="BJ185" i="6" s="1"/>
  <c r="BW185" i="6"/>
  <c r="F186" i="6"/>
  <c r="BH186" i="6"/>
  <c r="DK186" i="6"/>
  <c r="L188" i="6"/>
  <c r="AY189" i="6"/>
  <c r="BW189" i="6"/>
  <c r="DK190" i="6"/>
  <c r="L192" i="6"/>
  <c r="AE192" i="6"/>
  <c r="CI192" i="6" s="1"/>
  <c r="BI192" i="6"/>
  <c r="BW192" i="6"/>
  <c r="H193" i="6"/>
  <c r="G198" i="10"/>
  <c r="F198" i="10"/>
  <c r="E198" i="10"/>
  <c r="B198" i="10"/>
  <c r="C198" i="10"/>
  <c r="BW195" i="6"/>
  <c r="I195" i="6"/>
  <c r="BJ195" i="6" s="1"/>
  <c r="DL195" i="6"/>
  <c r="BU195" i="6"/>
  <c r="G195" i="6"/>
  <c r="DK195" i="6"/>
  <c r="BH195" i="6"/>
  <c r="F195" i="6"/>
  <c r="FE195" i="6"/>
  <c r="DG195" i="6"/>
  <c r="B195" i="6"/>
  <c r="BR195" i="6"/>
  <c r="BR196" i="6"/>
  <c r="BQ196" i="6"/>
  <c r="H197" i="6"/>
  <c r="DS197" i="6" s="1"/>
  <c r="BV197" i="6"/>
  <c r="DM197" i="6"/>
  <c r="EX197" i="6"/>
  <c r="B199" i="6"/>
  <c r="DG199" i="6"/>
  <c r="BA200" i="6"/>
  <c r="L201" i="6"/>
  <c r="EX201" i="6"/>
  <c r="H202" i="6"/>
  <c r="BH203" i="6"/>
  <c r="DG203" i="6"/>
  <c r="EU203" i="6"/>
  <c r="J205" i="6"/>
  <c r="BA206" i="6"/>
  <c r="BH208" i="6"/>
  <c r="I197" i="6"/>
  <c r="BJ197" i="6" s="1"/>
  <c r="BW197" i="6"/>
  <c r="BB200" i="6"/>
  <c r="BN200" i="6"/>
  <c r="I202" i="6"/>
  <c r="BJ202" i="6" s="1"/>
  <c r="BK202" i="6"/>
  <c r="DU202" i="6"/>
  <c r="DS204" i="6"/>
  <c r="L205" i="6"/>
  <c r="DK205" i="6"/>
  <c r="FA208" i="6"/>
  <c r="F215" i="10"/>
  <c r="G215" i="10"/>
  <c r="C215" i="10"/>
  <c r="E215" i="10"/>
  <c r="B215" i="10"/>
  <c r="BX212" i="6"/>
  <c r="J212" i="6"/>
  <c r="BW212" i="6"/>
  <c r="I212" i="6"/>
  <c r="BJ212" i="6" s="1"/>
  <c r="EX212" i="6"/>
  <c r="DM212" i="6"/>
  <c r="BV212" i="6"/>
  <c r="H212" i="6"/>
  <c r="DL212" i="6"/>
  <c r="BU212" i="6"/>
  <c r="G212" i="6"/>
  <c r="EU212" i="6"/>
  <c r="DJ212" i="6"/>
  <c r="BG212" i="6"/>
  <c r="E212" i="6"/>
  <c r="FE212" i="6"/>
  <c r="FA212" i="6"/>
  <c r="L212" i="6"/>
  <c r="DK212" i="6"/>
  <c r="BH212" i="6"/>
  <c r="F212" i="6"/>
  <c r="AE212" i="6"/>
  <c r="B212" i="6"/>
  <c r="B202" i="10"/>
  <c r="C202" i="10"/>
  <c r="G202" i="10"/>
  <c r="F202" i="10"/>
  <c r="E202" i="10"/>
  <c r="DU199" i="6"/>
  <c r="BR201" i="6"/>
  <c r="BO202" i="6"/>
  <c r="BV205" i="6"/>
  <c r="BT206" i="6"/>
  <c r="BS206" i="6"/>
  <c r="BU210" i="6"/>
  <c r="E199" i="6"/>
  <c r="BG199" i="6"/>
  <c r="DJ199" i="6"/>
  <c r="EU199" i="6"/>
  <c r="BP200" i="6"/>
  <c r="BP202" i="6"/>
  <c r="DJ203" i="6"/>
  <c r="EY204" i="6"/>
  <c r="EX205" i="6"/>
  <c r="BU208" i="6"/>
  <c r="BX210" i="6"/>
  <c r="DH196" i="6"/>
  <c r="L197" i="6"/>
  <c r="F199" i="6"/>
  <c r="BH199" i="6"/>
  <c r="DK199" i="6"/>
  <c r="BE200" i="6"/>
  <c r="BQ200" i="6"/>
  <c r="DH200" i="6"/>
  <c r="DT200" i="6"/>
  <c r="F204" i="10"/>
  <c r="C204" i="10"/>
  <c r="B204" i="10"/>
  <c r="G204" i="10"/>
  <c r="E204" i="10"/>
  <c r="FE201" i="6"/>
  <c r="DG201" i="6"/>
  <c r="B201" i="6"/>
  <c r="AE201" i="6"/>
  <c r="CI201" i="6" s="1"/>
  <c r="AY202" i="6"/>
  <c r="BQ202" i="6"/>
  <c r="DG202" i="6"/>
  <c r="F206" i="10"/>
  <c r="G206" i="10"/>
  <c r="E206" i="10"/>
  <c r="B206" i="10"/>
  <c r="C206" i="10"/>
  <c r="L203" i="6"/>
  <c r="FA203" i="6"/>
  <c r="BW203" i="6"/>
  <c r="I203" i="6"/>
  <c r="BJ203" i="6" s="1"/>
  <c r="EX203" i="6"/>
  <c r="DM203" i="6"/>
  <c r="BV203" i="6"/>
  <c r="H203" i="6"/>
  <c r="DS203" i="6" s="1"/>
  <c r="DL203" i="6"/>
  <c r="BU203" i="6"/>
  <c r="G203" i="6"/>
  <c r="DK203" i="6"/>
  <c r="DH204" i="6"/>
  <c r="EE204" i="6"/>
  <c r="CI206" i="6"/>
  <c r="BN206" i="6"/>
  <c r="AE208" i="6"/>
  <c r="CI208" i="6" s="1"/>
  <c r="BW208" i="6"/>
  <c r="B199" i="10"/>
  <c r="F199" i="10"/>
  <c r="E199" i="10"/>
  <c r="C199" i="10"/>
  <c r="G199" i="10"/>
  <c r="DU196" i="6"/>
  <c r="AE197" i="6"/>
  <c r="G199" i="6"/>
  <c r="BU199" i="6"/>
  <c r="DL199" i="6"/>
  <c r="F203" i="10"/>
  <c r="G203" i="10"/>
  <c r="C203" i="10"/>
  <c r="E203" i="10"/>
  <c r="B203" i="10"/>
  <c r="EU200" i="6"/>
  <c r="DI200" i="6"/>
  <c r="BD200" i="6" s="1"/>
  <c r="DU200" i="6"/>
  <c r="E201" i="6"/>
  <c r="BU201" i="6"/>
  <c r="DI202" i="6"/>
  <c r="BD202" i="6" s="1"/>
  <c r="E203" i="6"/>
  <c r="AE203" i="6"/>
  <c r="CI203" i="6" s="1"/>
  <c r="FE203" i="6"/>
  <c r="DS207" i="6"/>
  <c r="EU210" i="6"/>
  <c r="DG212" i="6"/>
  <c r="DG197" i="6"/>
  <c r="H199" i="6"/>
  <c r="BV199" i="6"/>
  <c r="DM199" i="6"/>
  <c r="EX199" i="6"/>
  <c r="EY207" i="6"/>
  <c r="CI207" i="6"/>
  <c r="EE207" i="6"/>
  <c r="DH207" i="6"/>
  <c r="I199" i="6"/>
  <c r="BJ199" i="6" s="1"/>
  <c r="BW199" i="6"/>
  <c r="F209" i="10"/>
  <c r="B209" i="10"/>
  <c r="E209" i="10"/>
  <c r="C209" i="10"/>
  <c r="G209" i="10"/>
  <c r="DG206" i="6"/>
  <c r="B206" i="6"/>
  <c r="BW206" i="6"/>
  <c r="I206" i="6"/>
  <c r="BJ206" i="6" s="1"/>
  <c r="FA206" i="6"/>
  <c r="EL206" i="6"/>
  <c r="BX206" i="6"/>
  <c r="BU206" i="6"/>
  <c r="BG206" i="6"/>
  <c r="K206" i="6"/>
  <c r="J206" i="6"/>
  <c r="EU206" i="6"/>
  <c r="H206" i="6"/>
  <c r="F206" i="6"/>
  <c r="DK206" i="6"/>
  <c r="BV206" i="6"/>
  <c r="DL206" i="6"/>
  <c r="F200" i="10"/>
  <c r="E200" i="10"/>
  <c r="C200" i="10"/>
  <c r="G200" i="10"/>
  <c r="B200" i="10"/>
  <c r="DU197" i="6"/>
  <c r="J199" i="6"/>
  <c r="BX199" i="6"/>
  <c r="B205" i="10"/>
  <c r="G205" i="10"/>
  <c r="F205" i="10"/>
  <c r="E205" i="10"/>
  <c r="C205" i="10"/>
  <c r="FE202" i="6"/>
  <c r="L202" i="6"/>
  <c r="CI202" i="6" s="1"/>
  <c r="FA202" i="6"/>
  <c r="K202" i="6"/>
  <c r="BX202" i="6"/>
  <c r="J202" i="6"/>
  <c r="BU202" i="6"/>
  <c r="DL202" i="6"/>
  <c r="B208" i="10"/>
  <c r="E208" i="10"/>
  <c r="C208" i="10"/>
  <c r="F208" i="10"/>
  <c r="G208" i="10"/>
  <c r="EU205" i="6"/>
  <c r="DJ205" i="6"/>
  <c r="BG205" i="6"/>
  <c r="FE205" i="6"/>
  <c r="DM205" i="6"/>
  <c r="F205" i="6"/>
  <c r="DL205" i="6"/>
  <c r="E205" i="6"/>
  <c r="FA205" i="6"/>
  <c r="BX205" i="6"/>
  <c r="B205" i="6"/>
  <c r="DU205" i="6"/>
  <c r="DG205" i="6"/>
  <c r="BW205" i="6"/>
  <c r="BU205" i="6"/>
  <c r="K205" i="6"/>
  <c r="AE205" i="6"/>
  <c r="CI205" i="6" s="1"/>
  <c r="BH205" i="6"/>
  <c r="BP206" i="6"/>
  <c r="BK206" i="6"/>
  <c r="AY206" i="6"/>
  <c r="DI206" i="6"/>
  <c r="BD206" i="6" s="1"/>
  <c r="BI206" i="6"/>
  <c r="DT206" i="6"/>
  <c r="BE206" i="6"/>
  <c r="BB206" i="6"/>
  <c r="E213" i="10"/>
  <c r="C213" i="10"/>
  <c r="B213" i="10"/>
  <c r="G213" i="10"/>
  <c r="F213" i="10"/>
  <c r="DU210" i="6"/>
  <c r="DG210" i="6"/>
  <c r="B210" i="6"/>
  <c r="AE210" i="6"/>
  <c r="CI210" i="6" s="1"/>
  <c r="BW210" i="6"/>
  <c r="I210" i="6"/>
  <c r="BJ210" i="6" s="1"/>
  <c r="K210" i="6"/>
  <c r="FA210" i="6"/>
  <c r="J210" i="6"/>
  <c r="H210" i="6"/>
  <c r="DL210" i="6"/>
  <c r="BV210" i="6"/>
  <c r="BG210" i="6"/>
  <c r="F210" i="6"/>
  <c r="FE210" i="6"/>
  <c r="EY216" i="6"/>
  <c r="EE216" i="6"/>
  <c r="DH216" i="6"/>
  <c r="T222" i="5" s="1"/>
  <c r="DT202" i="6"/>
  <c r="BN202" i="6"/>
  <c r="BB202" i="6"/>
  <c r="BA202" i="6"/>
  <c r="AZ202" i="6"/>
  <c r="B211" i="10"/>
  <c r="F211" i="10"/>
  <c r="G211" i="10"/>
  <c r="E211" i="10"/>
  <c r="C211" i="10"/>
  <c r="EX208" i="6"/>
  <c r="DM208" i="6"/>
  <c r="BV208" i="6"/>
  <c r="H208" i="6"/>
  <c r="DS208" i="6" s="1"/>
  <c r="FE208" i="6"/>
  <c r="EU208" i="6"/>
  <c r="G208" i="6"/>
  <c r="F208" i="6"/>
  <c r="E208" i="6"/>
  <c r="DL208" i="6"/>
  <c r="DK208" i="6"/>
  <c r="B208" i="6"/>
  <c r="DJ208" i="6"/>
  <c r="DG208" i="6"/>
  <c r="BX208" i="6"/>
  <c r="L208" i="6"/>
  <c r="I208" i="6"/>
  <c r="BJ208" i="6" s="1"/>
  <c r="DI210" i="6"/>
  <c r="BD210" i="6" s="1"/>
  <c r="BP210" i="6"/>
  <c r="BO210" i="6"/>
  <c r="BK210" i="6"/>
  <c r="AY210" i="6"/>
  <c r="BA210" i="6"/>
  <c r="AZ210" i="6"/>
  <c r="BN210" i="6"/>
  <c r="BI210" i="6"/>
  <c r="BB210" i="6"/>
  <c r="BE210" i="6"/>
  <c r="BR220" i="6"/>
  <c r="BQ220" i="6"/>
  <c r="E211" i="6"/>
  <c r="BG211" i="6"/>
  <c r="DJ211" i="6"/>
  <c r="EE224" i="6"/>
  <c r="EY224" i="6"/>
  <c r="DH224" i="6"/>
  <c r="T230" i="5" s="1"/>
  <c r="BR213" i="6"/>
  <c r="BQ213" i="6"/>
  <c r="C207" i="10"/>
  <c r="B207" i="10"/>
  <c r="F207" i="10"/>
  <c r="G207" i="10"/>
  <c r="E207" i="10"/>
  <c r="DU204" i="6"/>
  <c r="G210" i="10"/>
  <c r="F210" i="10"/>
  <c r="E210" i="10"/>
  <c r="B210" i="10"/>
  <c r="C210" i="10"/>
  <c r="FA207" i="6"/>
  <c r="K207" i="6"/>
  <c r="DK207" i="6"/>
  <c r="BH207" i="6"/>
  <c r="F207" i="6"/>
  <c r="DU211" i="6"/>
  <c r="E204" i="6"/>
  <c r="BG204" i="6"/>
  <c r="DJ204" i="6"/>
  <c r="EU204" i="6"/>
  <c r="E207" i="6"/>
  <c r="BQ207" i="6"/>
  <c r="EU211" i="6"/>
  <c r="BR215" i="6"/>
  <c r="BQ215" i="6"/>
  <c r="G222" i="10"/>
  <c r="F222" i="10"/>
  <c r="E222" i="10"/>
  <c r="B222" i="10"/>
  <c r="C222" i="10"/>
  <c r="DG219" i="6"/>
  <c r="B219" i="6"/>
  <c r="AE219" i="6"/>
  <c r="L219" i="6"/>
  <c r="FA219" i="6"/>
  <c r="K219" i="6"/>
  <c r="DL219" i="6"/>
  <c r="BU219" i="6"/>
  <c r="G219" i="6"/>
  <c r="DK219" i="6"/>
  <c r="BH219" i="6"/>
  <c r="FE219" i="6"/>
  <c r="EX219" i="6"/>
  <c r="DU219" i="6"/>
  <c r="EU219" i="6"/>
  <c r="DM219" i="6"/>
  <c r="BG219" i="6"/>
  <c r="J219" i="6"/>
  <c r="DJ219" i="6"/>
  <c r="I219" i="6"/>
  <c r="BJ219" i="6" s="1"/>
  <c r="H219" i="6"/>
  <c r="BX219" i="6"/>
  <c r="F204" i="6"/>
  <c r="BH204" i="6"/>
  <c r="DK204" i="6"/>
  <c r="G207" i="6"/>
  <c r="BU211" i="6"/>
  <c r="F218" i="10"/>
  <c r="G218" i="10"/>
  <c r="C218" i="10"/>
  <c r="E218" i="10"/>
  <c r="B218" i="10"/>
  <c r="DG215" i="6"/>
  <c r="B215" i="6"/>
  <c r="AE215" i="6"/>
  <c r="CI215" i="6" s="1"/>
  <c r="L215" i="6"/>
  <c r="DL215" i="6"/>
  <c r="BU215" i="6"/>
  <c r="G215" i="6"/>
  <c r="BW215" i="6"/>
  <c r="EX215" i="6"/>
  <c r="DM215" i="6"/>
  <c r="BV215" i="6"/>
  <c r="DK215" i="6"/>
  <c r="EU215" i="6"/>
  <c r="DJ215" i="6"/>
  <c r="K215" i="6"/>
  <c r="J215" i="6"/>
  <c r="I215" i="6"/>
  <c r="BJ215" i="6" s="1"/>
  <c r="F215" i="6"/>
  <c r="DU215" i="6"/>
  <c r="E215" i="6"/>
  <c r="BH215" i="6"/>
  <c r="BT216" i="6"/>
  <c r="E219" i="6"/>
  <c r="BS218" i="6"/>
  <c r="BT218" i="6"/>
  <c r="BT209" i="6"/>
  <c r="B211" i="6"/>
  <c r="DG211" i="6"/>
  <c r="DR213" i="6"/>
  <c r="DN213" i="6" s="1"/>
  <c r="DS213" i="6"/>
  <c r="B220" i="10"/>
  <c r="E220" i="10"/>
  <c r="C220" i="10"/>
  <c r="F220" i="10"/>
  <c r="G220" i="10"/>
  <c r="EX217" i="6"/>
  <c r="DM217" i="6"/>
  <c r="BV217" i="6"/>
  <c r="H217" i="6"/>
  <c r="DL217" i="6"/>
  <c r="BU217" i="6"/>
  <c r="G217" i="6"/>
  <c r="DK217" i="6"/>
  <c r="BH217" i="6"/>
  <c r="F217" i="6"/>
  <c r="EU217" i="6"/>
  <c r="DJ217" i="6"/>
  <c r="BG217" i="6"/>
  <c r="E217" i="6"/>
  <c r="AE217" i="6"/>
  <c r="CI217" i="6" s="1"/>
  <c r="DG217" i="6"/>
  <c r="L217" i="6"/>
  <c r="DU217" i="6"/>
  <c r="K217" i="6"/>
  <c r="J217" i="6"/>
  <c r="BX217" i="6"/>
  <c r="I217" i="6"/>
  <c r="BJ217" i="6" s="1"/>
  <c r="FE217" i="6"/>
  <c r="B217" i="6"/>
  <c r="BV207" i="6"/>
  <c r="EX207" i="6"/>
  <c r="BW217" i="6"/>
  <c r="B214" i="10"/>
  <c r="C214" i="10"/>
  <c r="G214" i="10"/>
  <c r="F214" i="10"/>
  <c r="E214" i="10"/>
  <c r="AE211" i="6"/>
  <c r="CI211" i="6" s="1"/>
  <c r="L211" i="6"/>
  <c r="FA211" i="6"/>
  <c r="K211" i="6"/>
  <c r="BX211" i="6"/>
  <c r="J211" i="6"/>
  <c r="EX211" i="6"/>
  <c r="DM211" i="6"/>
  <c r="BV211" i="6"/>
  <c r="H211" i="6"/>
  <c r="DK211" i="6"/>
  <c r="BH211" i="6"/>
  <c r="F211" i="6"/>
  <c r="EE213" i="6"/>
  <c r="DH213" i="6"/>
  <c r="DH218" i="6"/>
  <c r="T224" i="5" s="1"/>
  <c r="EE218" i="6"/>
  <c r="EY218" i="6"/>
  <c r="F224" i="10"/>
  <c r="E224" i="10"/>
  <c r="C224" i="10"/>
  <c r="B224" i="10"/>
  <c r="G224" i="10"/>
  <c r="EX221" i="6"/>
  <c r="DM221" i="6"/>
  <c r="BV221" i="6"/>
  <c r="H221" i="6"/>
  <c r="DL221" i="6"/>
  <c r="BU221" i="6"/>
  <c r="G221" i="6"/>
  <c r="DK221" i="6"/>
  <c r="BH221" i="6"/>
  <c r="F221" i="6"/>
  <c r="EU221" i="6"/>
  <c r="DJ221" i="6"/>
  <c r="BG221" i="6"/>
  <c r="E221" i="6"/>
  <c r="FE221" i="6"/>
  <c r="DG221" i="6"/>
  <c r="AE221" i="6"/>
  <c r="L221" i="6"/>
  <c r="BW221" i="6"/>
  <c r="B221" i="6"/>
  <c r="K221" i="6"/>
  <c r="J221" i="6"/>
  <c r="BA220" i="6"/>
  <c r="AZ220" i="6"/>
  <c r="BK220" i="6"/>
  <c r="AY220" i="6"/>
  <c r="DI220" i="6"/>
  <c r="BD220" i="6" s="1"/>
  <c r="DT220" i="6"/>
  <c r="BE220" i="6"/>
  <c r="BI220" i="6"/>
  <c r="B226" i="10"/>
  <c r="C226" i="10"/>
  <c r="G226" i="10"/>
  <c r="F226" i="10"/>
  <c r="E226" i="10"/>
  <c r="DG223" i="6"/>
  <c r="B223" i="6"/>
  <c r="AE223" i="6"/>
  <c r="CI223" i="6" s="1"/>
  <c r="L223" i="6"/>
  <c r="FA223" i="6"/>
  <c r="K223" i="6"/>
  <c r="DS223" i="6" s="1"/>
  <c r="BW223" i="6"/>
  <c r="I223" i="6"/>
  <c r="BJ223" i="6" s="1"/>
  <c r="EX223" i="6"/>
  <c r="DM223" i="6"/>
  <c r="BV223" i="6"/>
  <c r="H223" i="6"/>
  <c r="DL223" i="6"/>
  <c r="BU223" i="6"/>
  <c r="G223" i="6"/>
  <c r="DK223" i="6"/>
  <c r="BH223" i="6"/>
  <c r="F223" i="6"/>
  <c r="FE223" i="6"/>
  <c r="L209" i="6"/>
  <c r="BN220" i="6"/>
  <c r="E223" i="6"/>
  <c r="DU223" i="6"/>
  <c r="CI224" i="6"/>
  <c r="BA225" i="6"/>
  <c r="AZ225" i="6"/>
  <c r="BK225" i="6"/>
  <c r="AY225" i="6"/>
  <c r="BI225" i="6"/>
  <c r="BB225" i="6"/>
  <c r="BP225" i="6"/>
  <c r="BN225" i="6"/>
  <c r="DH214" i="6"/>
  <c r="BP220" i="6"/>
  <c r="EY225" i="6"/>
  <c r="EE225" i="6"/>
  <c r="DH225" i="6"/>
  <c r="T231" i="5" s="1"/>
  <c r="BA216" i="6"/>
  <c r="AZ216" i="6"/>
  <c r="BK216" i="6"/>
  <c r="AY216" i="6"/>
  <c r="DI216" i="6"/>
  <c r="BN216" i="6"/>
  <c r="EY220" i="6"/>
  <c r="DH220" i="6"/>
  <c r="BT222" i="6"/>
  <c r="F212" i="10"/>
  <c r="E212" i="10"/>
  <c r="C212" i="10"/>
  <c r="B212" i="10"/>
  <c r="G212" i="10"/>
  <c r="DU209" i="6"/>
  <c r="F216" i="10"/>
  <c r="E216" i="10"/>
  <c r="G216" i="10"/>
  <c r="C216" i="10"/>
  <c r="B216" i="10"/>
  <c r="EX213" i="6"/>
  <c r="EL213" i="6"/>
  <c r="DM213" i="6"/>
  <c r="DQ213" i="6" s="1"/>
  <c r="BV213" i="6"/>
  <c r="DK213" i="6"/>
  <c r="BH213" i="6"/>
  <c r="F213" i="6"/>
  <c r="AE213" i="6"/>
  <c r="CI213" i="6" s="1"/>
  <c r="DU213" i="6"/>
  <c r="FE213" i="6"/>
  <c r="EY214" i="6"/>
  <c r="BO216" i="6"/>
  <c r="BR231" i="6"/>
  <c r="BQ231" i="6"/>
  <c r="E209" i="6"/>
  <c r="BG209" i="6"/>
  <c r="DJ209" i="6"/>
  <c r="EU209" i="6"/>
  <c r="BO213" i="6"/>
  <c r="BC213" i="6"/>
  <c r="BD213" i="6"/>
  <c r="CI216" i="6"/>
  <c r="EE220" i="6"/>
  <c r="BG223" i="6"/>
  <c r="DS227" i="6"/>
  <c r="BP230" i="6"/>
  <c r="BD230" i="6"/>
  <c r="BO230" i="6"/>
  <c r="BC230" i="6"/>
  <c r="BN230" i="6"/>
  <c r="BB230" i="6"/>
  <c r="AZ230" i="6"/>
  <c r="BI230" i="6"/>
  <c r="BA230" i="6"/>
  <c r="AY230" i="6"/>
  <c r="DT230" i="6"/>
  <c r="BE230" i="6"/>
  <c r="BB220" i="6"/>
  <c r="EL220" i="6"/>
  <c r="EY222" i="6"/>
  <c r="BR233" i="6"/>
  <c r="BQ233" i="6"/>
  <c r="J214" i="6"/>
  <c r="BX214" i="6"/>
  <c r="C219" i="10"/>
  <c r="B219" i="10"/>
  <c r="G219" i="10"/>
  <c r="F219" i="10"/>
  <c r="E219" i="10"/>
  <c r="DU216" i="6"/>
  <c r="J218" i="6"/>
  <c r="BX218" i="6"/>
  <c r="B223" i="10"/>
  <c r="F223" i="10"/>
  <c r="E223" i="10"/>
  <c r="C223" i="10"/>
  <c r="G223" i="10"/>
  <c r="DU220" i="6"/>
  <c r="BX222" i="6"/>
  <c r="F227" i="10"/>
  <c r="G227" i="10"/>
  <c r="C227" i="10"/>
  <c r="B227" i="10"/>
  <c r="E227" i="10"/>
  <c r="DG224" i="6"/>
  <c r="FA224" i="6"/>
  <c r="BX224" i="6"/>
  <c r="DH227" i="6"/>
  <c r="T233" i="5" s="1"/>
  <c r="EE227" i="6"/>
  <c r="BH228" i="6"/>
  <c r="DM230" i="6"/>
  <c r="BP224" i="6"/>
  <c r="BD224" i="6"/>
  <c r="BO224" i="6"/>
  <c r="BC224" i="6"/>
  <c r="BN224" i="6"/>
  <c r="BB224" i="6"/>
  <c r="AZ224" i="6"/>
  <c r="AY224" i="6"/>
  <c r="E231" i="10"/>
  <c r="C231" i="10"/>
  <c r="F231" i="10"/>
  <c r="B231" i="10"/>
  <c r="G231" i="10"/>
  <c r="FE228" i="6"/>
  <c r="DG228" i="6"/>
  <c r="B228" i="6"/>
  <c r="AE228" i="6"/>
  <c r="CI228" i="6" s="1"/>
  <c r="L228" i="6"/>
  <c r="FA228" i="6"/>
  <c r="K228" i="6"/>
  <c r="BX228" i="6"/>
  <c r="J228" i="6"/>
  <c r="DL228" i="6"/>
  <c r="BU228" i="6"/>
  <c r="G228" i="6"/>
  <c r="BA224" i="6"/>
  <c r="DT228" i="6"/>
  <c r="BE228" i="6"/>
  <c r="BP228" i="6"/>
  <c r="BO228" i="6"/>
  <c r="BN228" i="6"/>
  <c r="BB228" i="6"/>
  <c r="BA228" i="6"/>
  <c r="AZ228" i="6"/>
  <c r="BI228" i="6"/>
  <c r="BK228" i="6"/>
  <c r="F233" i="10"/>
  <c r="C233" i="10"/>
  <c r="B233" i="10"/>
  <c r="G233" i="10"/>
  <c r="E233" i="10"/>
  <c r="DG230" i="6"/>
  <c r="B230" i="6"/>
  <c r="AE230" i="6"/>
  <c r="L230" i="6"/>
  <c r="FA230" i="6"/>
  <c r="BX230" i="6"/>
  <c r="J230" i="6"/>
  <c r="DL230" i="6"/>
  <c r="BU230" i="6"/>
  <c r="G230" i="6"/>
  <c r="DK230" i="6"/>
  <c r="BH230" i="6"/>
  <c r="F230" i="6"/>
  <c r="BW230" i="6"/>
  <c r="BV230" i="6"/>
  <c r="FE230" i="6"/>
  <c r="I230" i="6"/>
  <c r="BJ230" i="6" s="1"/>
  <c r="BG230" i="6"/>
  <c r="EL232" i="6"/>
  <c r="BA238" i="6"/>
  <c r="BK238" i="6"/>
  <c r="AY238" i="6"/>
  <c r="DI238" i="6"/>
  <c r="BC238" i="6" s="1"/>
  <c r="BO238" i="6"/>
  <c r="BI238" i="6"/>
  <c r="BE238" i="6"/>
  <c r="DT238" i="6"/>
  <c r="BB238" i="6"/>
  <c r="AZ238" i="6"/>
  <c r="BP238" i="6"/>
  <c r="BN238" i="6"/>
  <c r="H230" i="6"/>
  <c r="EU230" i="6"/>
  <c r="I216" i="6"/>
  <c r="BJ216" i="6" s="1"/>
  <c r="BW216" i="6"/>
  <c r="I220" i="6"/>
  <c r="BJ220" i="6" s="1"/>
  <c r="BW220" i="6"/>
  <c r="DH222" i="6"/>
  <c r="T228" i="5" s="1"/>
  <c r="I224" i="6"/>
  <c r="BJ224" i="6" s="1"/>
  <c r="BG224" i="6"/>
  <c r="BW224" i="6"/>
  <c r="BQ225" i="6"/>
  <c r="DK225" i="6"/>
  <c r="EY226" i="6"/>
  <c r="EE226" i="6"/>
  <c r="DH226" i="6"/>
  <c r="I228" i="6"/>
  <c r="BJ228" i="6" s="1"/>
  <c r="K230" i="6"/>
  <c r="EX230" i="6"/>
  <c r="B217" i="10"/>
  <c r="G217" i="10"/>
  <c r="F217" i="10"/>
  <c r="E217" i="10"/>
  <c r="C217" i="10"/>
  <c r="DU214" i="6"/>
  <c r="BX216" i="6"/>
  <c r="F221" i="10"/>
  <c r="B221" i="10"/>
  <c r="G221" i="10"/>
  <c r="C221" i="10"/>
  <c r="E221" i="10"/>
  <c r="DU218" i="6"/>
  <c r="J220" i="6"/>
  <c r="BX220" i="6"/>
  <c r="E225" i="10"/>
  <c r="C225" i="10"/>
  <c r="B225" i="10"/>
  <c r="G225" i="10"/>
  <c r="F225" i="10"/>
  <c r="DU222" i="6"/>
  <c r="J224" i="6"/>
  <c r="BH224" i="6"/>
  <c r="DT224" i="6"/>
  <c r="AE225" i="6"/>
  <c r="CI225" i="6" s="1"/>
  <c r="CI226" i="6"/>
  <c r="BV228" i="6"/>
  <c r="DI228" i="6"/>
  <c r="BD228" i="6" s="1"/>
  <c r="DI229" i="6"/>
  <c r="BC229" i="6" s="1"/>
  <c r="DT229" i="6"/>
  <c r="BO229" i="6"/>
  <c r="BI229" i="6"/>
  <c r="BE229" i="6"/>
  <c r="BB229" i="6"/>
  <c r="BA229" i="6"/>
  <c r="E214" i="6"/>
  <c r="BG214" i="6"/>
  <c r="DJ214" i="6"/>
  <c r="EU214" i="6"/>
  <c r="K216" i="6"/>
  <c r="FA216" i="6"/>
  <c r="E218" i="6"/>
  <c r="BG218" i="6"/>
  <c r="DJ218" i="6"/>
  <c r="EU218" i="6"/>
  <c r="K220" i="6"/>
  <c r="FA220" i="6"/>
  <c r="E222" i="6"/>
  <c r="BG222" i="6"/>
  <c r="DJ222" i="6"/>
  <c r="EU222" i="6"/>
  <c r="K224" i="6"/>
  <c r="BI224" i="6"/>
  <c r="DU224" i="6"/>
  <c r="F228" i="10"/>
  <c r="E228" i="10"/>
  <c r="C228" i="10"/>
  <c r="B228" i="10"/>
  <c r="G228" i="10"/>
  <c r="FA225" i="6"/>
  <c r="K225" i="6"/>
  <c r="BX225" i="6"/>
  <c r="J225" i="6"/>
  <c r="BW225" i="6"/>
  <c r="I225" i="6"/>
  <c r="BJ225" i="6" s="1"/>
  <c r="EX225" i="6"/>
  <c r="DM225" i="6"/>
  <c r="BV225" i="6"/>
  <c r="H225" i="6"/>
  <c r="DL225" i="6"/>
  <c r="BU225" i="6"/>
  <c r="G225" i="6"/>
  <c r="BW228" i="6"/>
  <c r="DJ228" i="6"/>
  <c r="E232" i="10"/>
  <c r="C232" i="10"/>
  <c r="G232" i="10"/>
  <c r="B232" i="10"/>
  <c r="F232" i="10"/>
  <c r="EU229" i="6"/>
  <c r="DJ229" i="6"/>
  <c r="BG229" i="6"/>
  <c r="DU229" i="6"/>
  <c r="FE229" i="6"/>
  <c r="E241" i="10"/>
  <c r="C241" i="10"/>
  <c r="B241" i="10"/>
  <c r="G241" i="10"/>
  <c r="F241" i="10"/>
  <c r="FA238" i="6"/>
  <c r="BW238" i="6"/>
  <c r="DU238" i="6"/>
  <c r="J238" i="6"/>
  <c r="EX238" i="6"/>
  <c r="G238" i="6"/>
  <c r="DL238" i="6"/>
  <c r="DG238" i="6"/>
  <c r="BH238" i="6"/>
  <c r="BG238" i="6"/>
  <c r="B238" i="6"/>
  <c r="EU238" i="6"/>
  <c r="BX238" i="6"/>
  <c r="BV238" i="6"/>
  <c r="BU238" i="6"/>
  <c r="L238" i="6"/>
  <c r="AE238" i="6"/>
  <c r="I238" i="6"/>
  <c r="BJ238" i="6" s="1"/>
  <c r="DM238" i="6"/>
  <c r="DK238" i="6"/>
  <c r="K238" i="6"/>
  <c r="FE238" i="6"/>
  <c r="DJ238" i="6"/>
  <c r="H238" i="6"/>
  <c r="F238" i="6"/>
  <c r="B229" i="10"/>
  <c r="G229" i="10"/>
  <c r="F229" i="10"/>
  <c r="E229" i="10"/>
  <c r="C229" i="10"/>
  <c r="DI226" i="6"/>
  <c r="DR226" i="6" s="1"/>
  <c r="DN226" i="6" s="1"/>
  <c r="DU226" i="6"/>
  <c r="AE227" i="6"/>
  <c r="CI227" i="6" s="1"/>
  <c r="G229" i="6"/>
  <c r="DG229" i="6"/>
  <c r="EU226" i="6"/>
  <c r="DG227" i="6"/>
  <c r="H229" i="6"/>
  <c r="DK229" i="6"/>
  <c r="EX229" i="6"/>
  <c r="BH226" i="6"/>
  <c r="DK226" i="6"/>
  <c r="I229" i="6"/>
  <c r="BJ229" i="6" s="1"/>
  <c r="BU229" i="6"/>
  <c r="DL229" i="6"/>
  <c r="FA229" i="6"/>
  <c r="BA231" i="6"/>
  <c r="AZ231" i="6"/>
  <c r="BK231" i="6"/>
  <c r="AY231" i="6"/>
  <c r="BI231" i="6"/>
  <c r="DI231" i="6"/>
  <c r="DT231" i="6"/>
  <c r="BE231" i="6"/>
  <c r="DR232" i="6"/>
  <c r="DP232" i="6" s="1"/>
  <c r="BU226" i="6"/>
  <c r="DL226" i="6"/>
  <c r="F230" i="10"/>
  <c r="G230" i="10"/>
  <c r="C230" i="10"/>
  <c r="B230" i="10"/>
  <c r="E230" i="10"/>
  <c r="DU227" i="6"/>
  <c r="J229" i="6"/>
  <c r="BV229" i="6"/>
  <c r="DM229" i="6"/>
  <c r="EE239" i="6"/>
  <c r="EY239" i="6"/>
  <c r="H226" i="6"/>
  <c r="DS226" i="6" s="1"/>
  <c r="BV226" i="6"/>
  <c r="DM226" i="6"/>
  <c r="EX226" i="6"/>
  <c r="E227" i="6"/>
  <c r="BG227" i="6"/>
  <c r="BS227" i="6"/>
  <c r="DJ227" i="6"/>
  <c r="EU227" i="6"/>
  <c r="K229" i="6"/>
  <c r="BH229" i="6"/>
  <c r="BW229" i="6"/>
  <c r="DH229" i="6"/>
  <c r="T235" i="5" s="1"/>
  <c r="EE229" i="6"/>
  <c r="EY229" i="6"/>
  <c r="BX229" i="6"/>
  <c r="EY231" i="6"/>
  <c r="DH231" i="6"/>
  <c r="EY235" i="6"/>
  <c r="DH235" i="6"/>
  <c r="T241" i="5" s="1"/>
  <c r="EE235" i="6"/>
  <c r="G235" i="10"/>
  <c r="BB232" i="6"/>
  <c r="BN232" i="6"/>
  <c r="DJ232" i="6"/>
  <c r="L233" i="6"/>
  <c r="CI233" i="6" s="1"/>
  <c r="BH233" i="6"/>
  <c r="BX233" i="6"/>
  <c r="DG233" i="6"/>
  <c r="DU233" i="6"/>
  <c r="FE233" i="6"/>
  <c r="F234" i="10"/>
  <c r="C234" i="10"/>
  <c r="E234" i="10"/>
  <c r="B234" i="10"/>
  <c r="G234" i="10"/>
  <c r="DU231" i="6"/>
  <c r="BC232" i="6"/>
  <c r="BO232" i="6"/>
  <c r="DK232" i="6"/>
  <c r="B234" i="6"/>
  <c r="EL237" i="6"/>
  <c r="BT236" i="6"/>
  <c r="BS236" i="6"/>
  <c r="BE232" i="6"/>
  <c r="DQ232" i="6"/>
  <c r="DJ233" i="6"/>
  <c r="C237" i="10"/>
  <c r="E237" i="10"/>
  <c r="B237" i="10"/>
  <c r="G237" i="10"/>
  <c r="F237" i="10"/>
  <c r="EX234" i="6"/>
  <c r="DM234" i="6"/>
  <c r="BV234" i="6"/>
  <c r="H234" i="6"/>
  <c r="DL234" i="6"/>
  <c r="BU234" i="6"/>
  <c r="G234" i="6"/>
  <c r="DK234" i="6"/>
  <c r="BH234" i="6"/>
  <c r="F234" i="6"/>
  <c r="EU234" i="6"/>
  <c r="DJ234" i="6"/>
  <c r="BG234" i="6"/>
  <c r="E234" i="6"/>
  <c r="AE234" i="6"/>
  <c r="CI234" i="6" s="1"/>
  <c r="BW234" i="6"/>
  <c r="DN237" i="6"/>
  <c r="G231" i="6"/>
  <c r="BU231" i="6"/>
  <c r="DL231" i="6"/>
  <c r="E235" i="10"/>
  <c r="F235" i="10"/>
  <c r="C235" i="10"/>
  <c r="B235" i="10"/>
  <c r="FA232" i="6"/>
  <c r="EE232" i="6"/>
  <c r="B233" i="6"/>
  <c r="DK233" i="6"/>
  <c r="I234" i="6"/>
  <c r="BJ234" i="6" s="1"/>
  <c r="BX234" i="6"/>
  <c r="CI235" i="6"/>
  <c r="DR237" i="6"/>
  <c r="DP237" i="6" s="1"/>
  <c r="EL231" i="6"/>
  <c r="EX231" i="6"/>
  <c r="DL233" i="6"/>
  <c r="I231" i="6"/>
  <c r="BJ231" i="6" s="1"/>
  <c r="BW231" i="6"/>
  <c r="EU232" i="6"/>
  <c r="E236" i="10"/>
  <c r="C236" i="10"/>
  <c r="B236" i="10"/>
  <c r="G236" i="10"/>
  <c r="F236" i="10"/>
  <c r="FA233" i="6"/>
  <c r="BW233" i="6"/>
  <c r="I233" i="6"/>
  <c r="BJ233" i="6" s="1"/>
  <c r="EX233" i="6"/>
  <c r="DM233" i="6"/>
  <c r="BV233" i="6"/>
  <c r="H233" i="6"/>
  <c r="DS233" i="6" s="1"/>
  <c r="K234" i="6"/>
  <c r="DS234" i="6" s="1"/>
  <c r="DU234" i="6"/>
  <c r="BT235" i="6"/>
  <c r="DS237" i="6"/>
  <c r="A22" i="10"/>
  <c r="J231" i="6"/>
  <c r="BX231" i="6"/>
  <c r="G232" i="6"/>
  <c r="BI232" i="6"/>
  <c r="BU232" i="6"/>
  <c r="E233" i="6"/>
  <c r="L234" i="6"/>
  <c r="K231" i="6"/>
  <c r="FA231" i="6"/>
  <c r="H232" i="6"/>
  <c r="DS232" i="6" s="1"/>
  <c r="BV232" i="6"/>
  <c r="F233" i="6"/>
  <c r="EY236" i="6"/>
  <c r="EE236" i="6"/>
  <c r="BR237" i="6"/>
  <c r="BQ237" i="6"/>
  <c r="A113" i="10"/>
  <c r="J235" i="6"/>
  <c r="BX235" i="6"/>
  <c r="EE237" i="6"/>
  <c r="DH237" i="6"/>
  <c r="T243" i="5" s="1"/>
  <c r="A59" i="10"/>
  <c r="A79" i="10"/>
  <c r="CI240" i="6"/>
  <c r="DI236" i="6"/>
  <c r="DR236" i="6" s="1"/>
  <c r="BK236" i="6"/>
  <c r="AY236" i="6"/>
  <c r="BB236" i="6"/>
  <c r="BP236" i="6"/>
  <c r="AY237" i="6"/>
  <c r="BO239" i="6"/>
  <c r="BP239" i="6"/>
  <c r="AZ239" i="6"/>
  <c r="DI239" i="6"/>
  <c r="BD239" i="6" s="1"/>
  <c r="AY239" i="6"/>
  <c r="A17" i="10"/>
  <c r="B235" i="6"/>
  <c r="DG235" i="6"/>
  <c r="EX235" i="6"/>
  <c r="BQ236" i="6"/>
  <c r="AZ237" i="6"/>
  <c r="BN237" i="6"/>
  <c r="DM237" i="6"/>
  <c r="BA239" i="6"/>
  <c r="DT239" i="6"/>
  <c r="BK242" i="6"/>
  <c r="AY242" i="6"/>
  <c r="BI242" i="6"/>
  <c r="BP242" i="6"/>
  <c r="BO242" i="6"/>
  <c r="DT242" i="6"/>
  <c r="BE242" i="6"/>
  <c r="BB242" i="6"/>
  <c r="AZ242" i="6"/>
  <c r="DI242" i="6"/>
  <c r="BC242" i="6" s="1"/>
  <c r="A158" i="10"/>
  <c r="H158" i="10"/>
  <c r="BD236" i="6"/>
  <c r="E240" i="10"/>
  <c r="C240" i="10"/>
  <c r="F240" i="10"/>
  <c r="B240" i="10"/>
  <c r="G240" i="10"/>
  <c r="AE237" i="6"/>
  <c r="CI237" i="6" s="1"/>
  <c r="DK237" i="6"/>
  <c r="DO237" i="6" s="1"/>
  <c r="BH237" i="6"/>
  <c r="F237" i="6"/>
  <c r="BA237" i="6"/>
  <c r="BB239" i="6"/>
  <c r="A12" i="10"/>
  <c r="H193" i="10"/>
  <c r="A193" i="10"/>
  <c r="E238" i="10"/>
  <c r="F238" i="10"/>
  <c r="B238" i="10"/>
  <c r="G238" i="10"/>
  <c r="C238" i="10"/>
  <c r="BE236" i="6"/>
  <c r="BO237" i="6"/>
  <c r="BC237" i="6"/>
  <c r="BB237" i="6"/>
  <c r="A44" i="10"/>
  <c r="E235" i="6"/>
  <c r="BG235" i="6"/>
  <c r="DJ235" i="6"/>
  <c r="FA235" i="6"/>
  <c r="BD237" i="6"/>
  <c r="BE239" i="6"/>
  <c r="EY242" i="6"/>
  <c r="EE242" i="6"/>
  <c r="A7" i="10"/>
  <c r="A26" i="10"/>
  <c r="A124" i="10"/>
  <c r="A14" i="10"/>
  <c r="H236" i="10"/>
  <c r="A236" i="10"/>
  <c r="I236" i="6"/>
  <c r="BJ236" i="6" s="1"/>
  <c r="B242" i="10"/>
  <c r="G242" i="10"/>
  <c r="F242" i="10"/>
  <c r="C242" i="10"/>
  <c r="E242" i="10"/>
  <c r="EX239" i="6"/>
  <c r="DM239" i="6"/>
  <c r="BV239" i="6"/>
  <c r="H239" i="6"/>
  <c r="DK239" i="6"/>
  <c r="BH239" i="6"/>
  <c r="F239" i="6"/>
  <c r="FE239" i="6"/>
  <c r="AE239" i="6"/>
  <c r="CI239" i="6" s="1"/>
  <c r="BW239" i="6"/>
  <c r="G243" i="10"/>
  <c r="F243" i="10"/>
  <c r="E243" i="10"/>
  <c r="C243" i="10"/>
  <c r="B243" i="10"/>
  <c r="EU240" i="6"/>
  <c r="DJ240" i="6"/>
  <c r="BG240" i="6"/>
  <c r="E240" i="6"/>
  <c r="FE240" i="6"/>
  <c r="L240" i="6"/>
  <c r="BX240" i="6"/>
  <c r="J240" i="6"/>
  <c r="DU240" i="6"/>
  <c r="E244" i="10"/>
  <c r="G244" i="10"/>
  <c r="C244" i="10"/>
  <c r="B244" i="10"/>
  <c r="DK241" i="6"/>
  <c r="F244" i="10"/>
  <c r="B241" i="6"/>
  <c r="EX241" i="6"/>
  <c r="L241" i="6"/>
  <c r="K241" i="6"/>
  <c r="DR241" i="6" s="1"/>
  <c r="DN241" i="6" s="1"/>
  <c r="BW241" i="6"/>
  <c r="I241" i="6"/>
  <c r="BJ241" i="6" s="1"/>
  <c r="BU241" i="6"/>
  <c r="G241" i="6"/>
  <c r="A77" i="10"/>
  <c r="A92" i="10"/>
  <c r="BP241" i="6"/>
  <c r="BD241" i="6"/>
  <c r="DT241" i="6"/>
  <c r="BN241" i="6"/>
  <c r="BB241" i="6"/>
  <c r="BA241" i="6"/>
  <c r="BK241" i="6"/>
  <c r="AY241" i="6"/>
  <c r="BI241" i="6"/>
  <c r="A11" i="10"/>
  <c r="A83" i="10"/>
  <c r="A159" i="10"/>
  <c r="H159" i="10"/>
  <c r="DS241" i="6"/>
  <c r="BE241" i="6"/>
  <c r="A52" i="10"/>
  <c r="C239" i="10"/>
  <c r="B239" i="10"/>
  <c r="G239" i="10"/>
  <c r="F239" i="10"/>
  <c r="E239" i="10"/>
  <c r="DU236" i="6"/>
  <c r="DS239" i="6"/>
  <c r="BV240" i="6"/>
  <c r="DM240" i="6"/>
  <c r="BH241" i="6"/>
  <c r="DG241" i="6"/>
  <c r="A106" i="10"/>
  <c r="A122" i="10"/>
  <c r="A161" i="10"/>
  <c r="H161" i="10"/>
  <c r="A213" i="10"/>
  <c r="CI242" i="6"/>
  <c r="A140" i="10"/>
  <c r="H140" i="10"/>
  <c r="B242" i="6"/>
  <c r="BX242" i="6"/>
  <c r="DL242" i="6"/>
  <c r="A58" i="10"/>
  <c r="A76" i="10"/>
  <c r="C245" i="10"/>
  <c r="B245" i="10"/>
  <c r="F245" i="10"/>
  <c r="E245" i="10"/>
  <c r="FA242" i="6"/>
  <c r="BW242" i="6"/>
  <c r="I242" i="6"/>
  <c r="BJ242" i="6" s="1"/>
  <c r="BV242" i="6"/>
  <c r="G245" i="10"/>
  <c r="BG242" i="6"/>
  <c r="DJ242" i="6"/>
  <c r="J242" i="6"/>
  <c r="BH242" i="6"/>
  <c r="A25" i="10"/>
  <c r="A137" i="10"/>
  <c r="H137" i="10"/>
  <c r="A205" i="10"/>
  <c r="H205" i="10"/>
  <c r="A13" i="10"/>
  <c r="G242" i="6"/>
  <c r="A31" i="10"/>
  <c r="A34" i="10"/>
  <c r="A70" i="10"/>
  <c r="A85" i="10"/>
  <c r="A115" i="10"/>
  <c r="H211" i="10"/>
  <c r="A211" i="10"/>
  <c r="K242" i="6"/>
  <c r="A40" i="10"/>
  <c r="A43" i="10"/>
  <c r="A131" i="10"/>
  <c r="A94" i="10"/>
  <c r="H208" i="10"/>
  <c r="A208" i="10"/>
  <c r="A46" i="10"/>
  <c r="A91" i="10"/>
  <c r="A37" i="10"/>
  <c r="A64" i="10"/>
  <c r="A100" i="10"/>
  <c r="A167" i="10"/>
  <c r="H167" i="10"/>
  <c r="A28" i="10"/>
  <c r="A73" i="10"/>
  <c r="A109" i="10"/>
  <c r="A118" i="10"/>
  <c r="A127" i="10"/>
  <c r="A173" i="10"/>
  <c r="H173" i="10"/>
  <c r="A49" i="10"/>
  <c r="A88" i="10"/>
  <c r="A143" i="10"/>
  <c r="H143" i="10"/>
  <c r="A176" i="10"/>
  <c r="H176" i="10"/>
  <c r="A67" i="10"/>
  <c r="A103" i="10"/>
  <c r="A182" i="10"/>
  <c r="H182" i="10"/>
  <c r="A19" i="10"/>
  <c r="A55" i="10"/>
  <c r="A82" i="10"/>
  <c r="A149" i="10"/>
  <c r="H149" i="10"/>
  <c r="A185" i="10"/>
  <c r="H185" i="10"/>
  <c r="H223" i="10"/>
  <c r="A223" i="10"/>
  <c r="A61" i="10"/>
  <c r="A97" i="10"/>
  <c r="A112" i="10"/>
  <c r="A121" i="10"/>
  <c r="A130" i="10"/>
  <c r="H144" i="10"/>
  <c r="A144" i="10"/>
  <c r="A179" i="10"/>
  <c r="H179" i="10"/>
  <c r="A164" i="10"/>
  <c r="H164" i="10"/>
  <c r="H216" i="10"/>
  <c r="A216" i="10"/>
  <c r="A170" i="10"/>
  <c r="H170" i="10"/>
  <c r="A188" i="10"/>
  <c r="H188" i="10"/>
  <c r="A155" i="10"/>
  <c r="H155" i="10"/>
  <c r="H204" i="10"/>
  <c r="A204" i="10"/>
  <c r="H220" i="10"/>
  <c r="A220" i="10"/>
  <c r="H228" i="10"/>
  <c r="A228" i="10"/>
  <c r="A146" i="10"/>
  <c r="H146" i="10"/>
  <c r="H241" i="10"/>
  <c r="A241" i="10"/>
  <c r="A152" i="10"/>
  <c r="H152" i="10"/>
  <c r="A195" i="10"/>
  <c r="B108" i="11"/>
  <c r="B109" i="11"/>
  <c r="B110" i="11"/>
  <c r="B111" i="11"/>
  <c r="B112" i="11"/>
  <c r="B113" i="11"/>
  <c r="B114" i="11"/>
  <c r="C136" i="11"/>
  <c r="C135" i="11"/>
  <c r="C134" i="11"/>
  <c r="C133" i="11"/>
  <c r="C132" i="11"/>
  <c r="C131" i="11"/>
  <c r="C130" i="11"/>
  <c r="C129" i="11"/>
  <c r="C138" i="11"/>
  <c r="C137" i="11"/>
  <c r="DR239" i="6" l="1"/>
  <c r="DP239" i="6" s="1"/>
  <c r="DR190" i="6"/>
  <c r="DQ190" i="6" s="1"/>
  <c r="L174" i="5"/>
  <c r="BC239" i="6"/>
  <c r="BC134" i="6"/>
  <c r="J234" i="5"/>
  <c r="K234" i="5" s="1"/>
  <c r="J227" i="5"/>
  <c r="K227" i="5" s="1"/>
  <c r="DN232" i="6"/>
  <c r="DO236" i="6"/>
  <c r="DQ236" i="6"/>
  <c r="DN236" i="6"/>
  <c r="DP236" i="6"/>
  <c r="DO213" i="6"/>
  <c r="DR189" i="6"/>
  <c r="DR186" i="6"/>
  <c r="BC149" i="6"/>
  <c r="BC136" i="6"/>
  <c r="J144" i="5"/>
  <c r="K144" i="5" s="1"/>
  <c r="J218" i="5"/>
  <c r="K218" i="5" s="1"/>
  <c r="L198" i="5"/>
  <c r="L186" i="5"/>
  <c r="BC236" i="6"/>
  <c r="DO241" i="6"/>
  <c r="J70" i="5"/>
  <c r="K70" i="5" s="1"/>
  <c r="BC206" i="6"/>
  <c r="DQ197" i="6"/>
  <c r="BD193" i="6"/>
  <c r="BD175" i="6"/>
  <c r="DQ239" i="6"/>
  <c r="DP241" i="6"/>
  <c r="BC168" i="6"/>
  <c r="L169" i="5"/>
  <c r="J139" i="5"/>
  <c r="K139" i="5" s="1"/>
  <c r="L193" i="5"/>
  <c r="DQ241" i="6"/>
  <c r="DQ226" i="6"/>
  <c r="L248" i="5"/>
  <c r="L205" i="5"/>
  <c r="DQ237" i="6"/>
  <c r="BC146" i="6"/>
  <c r="DR134" i="6"/>
  <c r="L196" i="5"/>
  <c r="J150" i="5"/>
  <c r="K150" i="5" s="1"/>
  <c r="J224" i="5"/>
  <c r="K224" i="5" s="1"/>
  <c r="DN239" i="6"/>
  <c r="BD238" i="6"/>
  <c r="BD189" i="6"/>
  <c r="L163" i="5"/>
  <c r="J175" i="5"/>
  <c r="K175" i="5" s="1"/>
  <c r="DR193" i="6"/>
  <c r="DP189" i="6"/>
  <c r="BC192" i="6"/>
  <c r="BQ240" i="6"/>
  <c r="BR240" i="6"/>
  <c r="BD231" i="6"/>
  <c r="BC231" i="6"/>
  <c r="DO226" i="6"/>
  <c r="EL227" i="6"/>
  <c r="BC226" i="6"/>
  <c r="BD226" i="6"/>
  <c r="BS238" i="6"/>
  <c r="BT238" i="6"/>
  <c r="DR225" i="6"/>
  <c r="DN225" i="6" s="1"/>
  <c r="DS225" i="6"/>
  <c r="BC228" i="6"/>
  <c r="DS214" i="6"/>
  <c r="BQ223" i="6"/>
  <c r="BR223" i="6"/>
  <c r="DS211" i="6"/>
  <c r="BR211" i="6"/>
  <c r="BQ211" i="6"/>
  <c r="BN203" i="6"/>
  <c r="BB203" i="6"/>
  <c r="BA203" i="6"/>
  <c r="BK203" i="6"/>
  <c r="AY203" i="6"/>
  <c r="BI203" i="6"/>
  <c r="BE203" i="6"/>
  <c r="DT203" i="6"/>
  <c r="AZ203" i="6"/>
  <c r="BP203" i="6"/>
  <c r="DI203" i="6"/>
  <c r="DR203" i="6" s="1"/>
  <c r="DN203" i="6" s="1"/>
  <c r="BO203" i="6"/>
  <c r="T210" i="5"/>
  <c r="AZ212" i="6"/>
  <c r="BK212" i="6"/>
  <c r="AY212" i="6"/>
  <c r="BI212" i="6"/>
  <c r="DT212" i="6"/>
  <c r="BE212" i="6"/>
  <c r="BB212" i="6"/>
  <c r="BA212" i="6"/>
  <c r="BP212" i="6"/>
  <c r="BO212" i="6"/>
  <c r="BN212" i="6"/>
  <c r="BC212" i="6"/>
  <c r="DI212" i="6"/>
  <c r="BD212" i="6" s="1"/>
  <c r="BR192" i="6"/>
  <c r="BQ192" i="6"/>
  <c r="DP190" i="6"/>
  <c r="BK174" i="6"/>
  <c r="AY174" i="6"/>
  <c r="BP174" i="6"/>
  <c r="BI174" i="6"/>
  <c r="DT174" i="6"/>
  <c r="BE174" i="6"/>
  <c r="BB174" i="6"/>
  <c r="BO174" i="6"/>
  <c r="BA174" i="6"/>
  <c r="BN174" i="6"/>
  <c r="AZ174" i="6"/>
  <c r="DI174" i="6"/>
  <c r="BD174" i="6" s="1"/>
  <c r="BC184" i="6"/>
  <c r="BD188" i="6"/>
  <c r="BQ159" i="6"/>
  <c r="BR159" i="6"/>
  <c r="BT158" i="6"/>
  <c r="BS158" i="6"/>
  <c r="BQ156" i="6"/>
  <c r="BR156" i="6"/>
  <c r="BO147" i="6"/>
  <c r="BN147" i="6"/>
  <c r="BB147" i="6"/>
  <c r="AZ147" i="6"/>
  <c r="BK147" i="6"/>
  <c r="AY147" i="6"/>
  <c r="BI147" i="6"/>
  <c r="BP147" i="6"/>
  <c r="BE147" i="6"/>
  <c r="BA147" i="6"/>
  <c r="DT147" i="6"/>
  <c r="DI147" i="6"/>
  <c r="BD147" i="6" s="1"/>
  <c r="V117" i="11"/>
  <c r="J120" i="4"/>
  <c r="DS116" i="6"/>
  <c r="EY106" i="6"/>
  <c r="E109" i="10" s="1"/>
  <c r="C95" i="10"/>
  <c r="EY96" i="6"/>
  <c r="E99" i="10" s="1"/>
  <c r="EE96" i="6"/>
  <c r="DS83" i="6"/>
  <c r="DT83" i="6" s="1"/>
  <c r="BE83" i="6"/>
  <c r="N73" i="4"/>
  <c r="T23" i="5"/>
  <c r="B20" i="10"/>
  <c r="DU17" i="6"/>
  <c r="DS156" i="6"/>
  <c r="DR156" i="6"/>
  <c r="BT159" i="6"/>
  <c r="BS159" i="6"/>
  <c r="BP150" i="6"/>
  <c r="BD150" i="6"/>
  <c r="BK150" i="6"/>
  <c r="AY150" i="6"/>
  <c r="BO150" i="6"/>
  <c r="BA150" i="6"/>
  <c r="BN150" i="6"/>
  <c r="AZ150" i="6"/>
  <c r="DI150" i="6"/>
  <c r="DR150" i="6" s="1"/>
  <c r="BI150" i="6"/>
  <c r="DT150" i="6"/>
  <c r="BE150" i="6"/>
  <c r="BC150" i="6"/>
  <c r="BB150" i="6"/>
  <c r="BQ163" i="6"/>
  <c r="BR163" i="6"/>
  <c r="DS132" i="6"/>
  <c r="DR132" i="6"/>
  <c r="BO169" i="6"/>
  <c r="BN169" i="6"/>
  <c r="BB169" i="6"/>
  <c r="BI169" i="6"/>
  <c r="BA169" i="6"/>
  <c r="DI169" i="6"/>
  <c r="BD169" i="6" s="1"/>
  <c r="AZ169" i="6"/>
  <c r="AY169" i="6"/>
  <c r="BP169" i="6"/>
  <c r="BE169" i="6"/>
  <c r="DT169" i="6"/>
  <c r="BK169" i="6"/>
  <c r="BI141" i="6"/>
  <c r="DI141" i="6"/>
  <c r="DR141" i="6" s="1"/>
  <c r="BP141" i="6"/>
  <c r="BO141" i="6"/>
  <c r="BC141" i="6"/>
  <c r="BN141" i="6"/>
  <c r="BK141" i="6"/>
  <c r="DT141" i="6"/>
  <c r="BE141" i="6"/>
  <c r="BB141" i="6"/>
  <c r="AY141" i="6"/>
  <c r="AZ141" i="6"/>
  <c r="BA141" i="6"/>
  <c r="T130" i="5"/>
  <c r="EL124" i="6"/>
  <c r="B127" i="10"/>
  <c r="DU124" i="6"/>
  <c r="BT115" i="6"/>
  <c r="BS115" i="6"/>
  <c r="B90" i="6"/>
  <c r="EX90" i="6"/>
  <c r="DS137" i="6"/>
  <c r="BT242" i="6"/>
  <c r="BS242" i="6"/>
  <c r="BD242" i="6"/>
  <c r="DS231" i="6"/>
  <c r="DR231" i="6"/>
  <c r="BS229" i="6"/>
  <c r="BT229" i="6"/>
  <c r="BT226" i="6"/>
  <c r="BS226" i="6"/>
  <c r="BR222" i="6"/>
  <c r="BQ222" i="6"/>
  <c r="BR214" i="6"/>
  <c r="BQ214" i="6"/>
  <c r="T232" i="5"/>
  <c r="BR230" i="6"/>
  <c r="BQ230" i="6"/>
  <c r="BR209" i="6"/>
  <c r="BQ209" i="6"/>
  <c r="DH209" i="6"/>
  <c r="T215" i="5" s="1"/>
  <c r="EY209" i="6"/>
  <c r="EE209" i="6"/>
  <c r="DH221" i="6"/>
  <c r="EE221" i="6"/>
  <c r="EY221" i="6"/>
  <c r="BT221" i="6"/>
  <c r="BS221" i="6"/>
  <c r="DS217" i="6"/>
  <c r="BT217" i="6"/>
  <c r="BS217" i="6"/>
  <c r="BR204" i="6"/>
  <c r="BQ204" i="6"/>
  <c r="EL207" i="6"/>
  <c r="BS205" i="6"/>
  <c r="BT205" i="6"/>
  <c r="BN205" i="6"/>
  <c r="BB205" i="6"/>
  <c r="BO205" i="6"/>
  <c r="AZ205" i="6"/>
  <c r="AY205" i="6"/>
  <c r="DI205" i="6"/>
  <c r="BD205" i="6" s="1"/>
  <c r="BK205" i="6"/>
  <c r="BI205" i="6"/>
  <c r="BE205" i="6"/>
  <c r="DT205" i="6"/>
  <c r="BA205" i="6"/>
  <c r="BP205" i="6"/>
  <c r="BC202" i="6"/>
  <c r="EL201" i="6"/>
  <c r="DS212" i="6"/>
  <c r="DR212" i="6"/>
  <c r="DN212" i="6" s="1"/>
  <c r="BR194" i="6"/>
  <c r="BQ194" i="6"/>
  <c r="T191" i="5"/>
  <c r="EL185" i="6"/>
  <c r="DQ185" i="6"/>
  <c r="DO185" i="6"/>
  <c r="DN185" i="6"/>
  <c r="BN177" i="6"/>
  <c r="BB177" i="6"/>
  <c r="BI177" i="6"/>
  <c r="DI177" i="6"/>
  <c r="BD177" i="6" s="1"/>
  <c r="BE177" i="6"/>
  <c r="DT177" i="6"/>
  <c r="BA177" i="6"/>
  <c r="BP177" i="6"/>
  <c r="AZ177" i="6"/>
  <c r="BO177" i="6"/>
  <c r="AY177" i="6"/>
  <c r="BK177" i="6"/>
  <c r="BS174" i="6"/>
  <c r="BT174" i="6"/>
  <c r="BP154" i="6"/>
  <c r="AZ154" i="6"/>
  <c r="BK154" i="6"/>
  <c r="AY154" i="6"/>
  <c r="BI154" i="6"/>
  <c r="BO154" i="6"/>
  <c r="DT154" i="6"/>
  <c r="BE154" i="6"/>
  <c r="BN154" i="6"/>
  <c r="DI154" i="6"/>
  <c r="BD154" i="6" s="1"/>
  <c r="BA154" i="6"/>
  <c r="BB154" i="6"/>
  <c r="DS136" i="6"/>
  <c r="DR136" i="6"/>
  <c r="EE169" i="6"/>
  <c r="DH169" i="6"/>
  <c r="EY169" i="6"/>
  <c r="DS151" i="6"/>
  <c r="T138" i="5"/>
  <c r="BT131" i="6"/>
  <c r="BS131" i="6"/>
  <c r="BT101" i="6"/>
  <c r="BS101" i="6"/>
  <c r="CL79" i="6"/>
  <c r="AH80" i="6" s="1"/>
  <c r="CL80" i="6" s="1"/>
  <c r="AH81" i="6" s="1"/>
  <c r="B23" i="6"/>
  <c r="AE23" i="6"/>
  <c r="CI23" i="6" s="1"/>
  <c r="AE24" i="6"/>
  <c r="CI24" i="6" s="1"/>
  <c r="AE25" i="6" s="1"/>
  <c r="EX23" i="6"/>
  <c r="BO211" i="6"/>
  <c r="BN211" i="6"/>
  <c r="BB211" i="6"/>
  <c r="BA211" i="6"/>
  <c r="AZ211" i="6"/>
  <c r="DI211" i="6"/>
  <c r="DR211" i="6" s="1"/>
  <c r="BE211" i="6"/>
  <c r="BP211" i="6"/>
  <c r="BK211" i="6"/>
  <c r="BI211" i="6"/>
  <c r="AY211" i="6"/>
  <c r="DT211" i="6"/>
  <c r="EL195" i="6"/>
  <c r="T205" i="5"/>
  <c r="DS242" i="6"/>
  <c r="DR242" i="6"/>
  <c r="BS241" i="6"/>
  <c r="BT241" i="6"/>
  <c r="DO239" i="6"/>
  <c r="DS235" i="6"/>
  <c r="DI222" i="6"/>
  <c r="DR222" i="6" s="1"/>
  <c r="DT222" i="6"/>
  <c r="BE222" i="6"/>
  <c r="BP222" i="6"/>
  <c r="BN222" i="6"/>
  <c r="BB222" i="6"/>
  <c r="BA222" i="6"/>
  <c r="AZ222" i="6"/>
  <c r="BK222" i="6"/>
  <c r="AY222" i="6"/>
  <c r="BO222" i="6"/>
  <c r="BI222" i="6"/>
  <c r="DI214" i="6"/>
  <c r="DR214" i="6" s="1"/>
  <c r="DT214" i="6"/>
  <c r="BE214" i="6"/>
  <c r="AZ214" i="6"/>
  <c r="BI214" i="6"/>
  <c r="BB214" i="6"/>
  <c r="BP214" i="6"/>
  <c r="AY214" i="6"/>
  <c r="BO214" i="6"/>
  <c r="BA214" i="6"/>
  <c r="BK214" i="6"/>
  <c r="BN214" i="6"/>
  <c r="DS230" i="6"/>
  <c r="DR230" i="6"/>
  <c r="DN230" i="6" s="1"/>
  <c r="BT228" i="6"/>
  <c r="BS228" i="6"/>
  <c r="DI209" i="6"/>
  <c r="DR209" i="6" s="1"/>
  <c r="DN209" i="6" s="1"/>
  <c r="BN209" i="6"/>
  <c r="BB209" i="6"/>
  <c r="BE209" i="6"/>
  <c r="BD209" i="6"/>
  <c r="BP209" i="6"/>
  <c r="AZ209" i="6"/>
  <c r="BO209" i="6"/>
  <c r="AY209" i="6"/>
  <c r="BK209" i="6"/>
  <c r="DT209" i="6"/>
  <c r="BI209" i="6"/>
  <c r="BA209" i="6"/>
  <c r="DS219" i="6"/>
  <c r="BK204" i="6"/>
  <c r="AY204" i="6"/>
  <c r="DI204" i="6"/>
  <c r="DR204" i="6" s="1"/>
  <c r="DO204" i="6" s="1"/>
  <c r="BP204" i="6"/>
  <c r="BA204" i="6"/>
  <c r="AZ204" i="6"/>
  <c r="BO204" i="6"/>
  <c r="BN204" i="6"/>
  <c r="BI204" i="6"/>
  <c r="BE204" i="6"/>
  <c r="DT204" i="6"/>
  <c r="BB204" i="6"/>
  <c r="BC210" i="6"/>
  <c r="BR210" i="6"/>
  <c r="BQ210" i="6"/>
  <c r="DS205" i="6"/>
  <c r="DR205" i="6"/>
  <c r="DP205" i="6" s="1"/>
  <c r="DN190" i="6"/>
  <c r="BQ198" i="6"/>
  <c r="BR198" i="6"/>
  <c r="DN193" i="6"/>
  <c r="BQ177" i="6"/>
  <c r="BR177" i="6"/>
  <c r="BT175" i="6"/>
  <c r="BS175" i="6"/>
  <c r="BT191" i="6"/>
  <c r="BS191" i="6"/>
  <c r="DS191" i="6"/>
  <c r="CI179" i="6"/>
  <c r="DH165" i="6"/>
  <c r="T171" i="5" s="1"/>
  <c r="EY165" i="6"/>
  <c r="EE165" i="6"/>
  <c r="CI165" i="6"/>
  <c r="DH159" i="6"/>
  <c r="T165" i="5" s="1"/>
  <c r="EE159" i="6"/>
  <c r="EY159" i="6"/>
  <c r="CI159" i="6"/>
  <c r="DS163" i="6"/>
  <c r="DH160" i="6"/>
  <c r="T166" i="5" s="1"/>
  <c r="EE160" i="6"/>
  <c r="EY160" i="6"/>
  <c r="BD164" i="6"/>
  <c r="BC164" i="6"/>
  <c r="EL148" i="6"/>
  <c r="BR169" i="6"/>
  <c r="BQ169" i="6"/>
  <c r="BR151" i="6"/>
  <c r="BQ151" i="6"/>
  <c r="EE151" i="6"/>
  <c r="DH151" i="6"/>
  <c r="T157" i="5" s="1"/>
  <c r="EY151" i="6"/>
  <c r="BD145" i="6"/>
  <c r="BC145" i="6"/>
  <c r="DR145" i="6"/>
  <c r="T151" i="5"/>
  <c r="V111" i="11"/>
  <c r="DT108" i="6"/>
  <c r="BE108" i="6"/>
  <c r="J114" i="4"/>
  <c r="V107" i="11"/>
  <c r="BE104" i="6"/>
  <c r="DT104" i="6"/>
  <c r="BI104" i="6"/>
  <c r="J110" i="4"/>
  <c r="DU88" i="6"/>
  <c r="EX88" i="6"/>
  <c r="BG96" i="6"/>
  <c r="V91" i="11"/>
  <c r="DT88" i="6"/>
  <c r="BE88" i="6"/>
  <c r="J94" i="4"/>
  <c r="FB5" i="6"/>
  <c r="FC6" i="6" s="1"/>
  <c r="EY5" i="6"/>
  <c r="E8" i="10" s="1"/>
  <c r="BG5" i="6"/>
  <c r="EE5" i="6"/>
  <c r="DN242" i="6"/>
  <c r="BI234" i="6"/>
  <c r="BO234" i="6"/>
  <c r="BK234" i="6"/>
  <c r="BE234" i="6"/>
  <c r="DT234" i="6"/>
  <c r="BB234" i="6"/>
  <c r="BA234" i="6"/>
  <c r="AZ234" i="6"/>
  <c r="AY234" i="6"/>
  <c r="BP234" i="6"/>
  <c r="DI234" i="6"/>
  <c r="DR234" i="6" s="1"/>
  <c r="DO234" i="6" s="1"/>
  <c r="BN234" i="6"/>
  <c r="DP226" i="6"/>
  <c r="CI238" i="6"/>
  <c r="DP225" i="6"/>
  <c r="DO225" i="6"/>
  <c r="DS228" i="6"/>
  <c r="DR228" i="6"/>
  <c r="DS218" i="6"/>
  <c r="BC220" i="6"/>
  <c r="CI221" i="6"/>
  <c r="BR219" i="6"/>
  <c r="BQ219" i="6"/>
  <c r="DT201" i="6"/>
  <c r="BE201" i="6"/>
  <c r="BP201" i="6"/>
  <c r="BO201" i="6"/>
  <c r="BI201" i="6"/>
  <c r="DI201" i="6"/>
  <c r="DR201" i="6" s="1"/>
  <c r="BB201" i="6"/>
  <c r="BA201" i="6"/>
  <c r="AZ201" i="6"/>
  <c r="BN201" i="6"/>
  <c r="AY201" i="6"/>
  <c r="BK201" i="6"/>
  <c r="CI209" i="6"/>
  <c r="EL200" i="6"/>
  <c r="DH188" i="6"/>
  <c r="EE188" i="6"/>
  <c r="EY188" i="6"/>
  <c r="CI188" i="6"/>
  <c r="BD197" i="6"/>
  <c r="BC197" i="6"/>
  <c r="DS184" i="6"/>
  <c r="DR184" i="6"/>
  <c r="DP184" i="6" s="1"/>
  <c r="DR183" i="6"/>
  <c r="DP183" i="6" s="1"/>
  <c r="DS183" i="6"/>
  <c r="DH171" i="6"/>
  <c r="EE171" i="6"/>
  <c r="EY171" i="6"/>
  <c r="DS144" i="6"/>
  <c r="DR144" i="6"/>
  <c r="BC132" i="6"/>
  <c r="BD132" i="6"/>
  <c r="C139" i="11"/>
  <c r="EL242" i="6"/>
  <c r="DH241" i="6"/>
  <c r="EE241" i="6"/>
  <c r="EY241" i="6"/>
  <c r="DS240" i="6"/>
  <c r="BR235" i="6"/>
  <c r="BQ235" i="6"/>
  <c r="EL235" i="6"/>
  <c r="BR234" i="6"/>
  <c r="BQ234" i="6"/>
  <c r="DO232" i="6"/>
  <c r="EY238" i="6"/>
  <c r="EE238" i="6"/>
  <c r="DH238" i="6"/>
  <c r="EL236" i="6"/>
  <c r="BR229" i="6"/>
  <c r="BQ229" i="6"/>
  <c r="T226" i="5"/>
  <c r="EE217" i="6"/>
  <c r="EY217" i="6"/>
  <c r="DH217" i="6"/>
  <c r="BT199" i="6"/>
  <c r="BS199" i="6"/>
  <c r="BS212" i="6"/>
  <c r="BT212" i="6"/>
  <c r="DO186" i="6"/>
  <c r="DR188" i="6"/>
  <c r="DO188" i="6" s="1"/>
  <c r="DS188" i="6"/>
  <c r="BR174" i="6"/>
  <c r="BQ174" i="6"/>
  <c r="DT187" i="6"/>
  <c r="BE187" i="6"/>
  <c r="BP187" i="6"/>
  <c r="BO187" i="6"/>
  <c r="AZ187" i="6"/>
  <c r="BK187" i="6"/>
  <c r="AY187" i="6"/>
  <c r="BI187" i="6"/>
  <c r="DI187" i="6"/>
  <c r="BA187" i="6"/>
  <c r="BN187" i="6"/>
  <c r="BB187" i="6"/>
  <c r="BR179" i="6"/>
  <c r="BQ179" i="6"/>
  <c r="BR173" i="6"/>
  <c r="BQ173" i="6"/>
  <c r="BK166" i="6"/>
  <c r="AY166" i="6"/>
  <c r="DT166" i="6"/>
  <c r="BP166" i="6"/>
  <c r="BC166" i="6"/>
  <c r="BO166" i="6"/>
  <c r="BB166" i="6"/>
  <c r="AZ166" i="6"/>
  <c r="DI166" i="6"/>
  <c r="BD166" i="6" s="1"/>
  <c r="BI166" i="6"/>
  <c r="BN166" i="6"/>
  <c r="BE166" i="6"/>
  <c r="BA166" i="6"/>
  <c r="BN157" i="6"/>
  <c r="BB157" i="6"/>
  <c r="DI157" i="6"/>
  <c r="DR157" i="6" s="1"/>
  <c r="BK157" i="6"/>
  <c r="BE157" i="6"/>
  <c r="BD157" i="6"/>
  <c r="BP157" i="6"/>
  <c r="BA157" i="6"/>
  <c r="BO157" i="6"/>
  <c r="DT157" i="6"/>
  <c r="AZ157" i="6"/>
  <c r="AY157" i="6"/>
  <c r="BI157" i="6"/>
  <c r="DS148" i="6"/>
  <c r="DR148" i="6"/>
  <c r="BT147" i="6"/>
  <c r="BS147" i="6"/>
  <c r="DS133" i="6"/>
  <c r="BT135" i="6"/>
  <c r="BS135" i="6"/>
  <c r="B125" i="6"/>
  <c r="EL126" i="6"/>
  <c r="DH125" i="6"/>
  <c r="EL125" i="6"/>
  <c r="EX125" i="6"/>
  <c r="EY112" i="6"/>
  <c r="E115" i="10" s="1"/>
  <c r="EE112" i="6"/>
  <c r="BG112" i="6"/>
  <c r="EE103" i="6"/>
  <c r="DH103" i="6"/>
  <c r="EY103" i="6"/>
  <c r="E106" i="10" s="1"/>
  <c r="BT111" i="6"/>
  <c r="BS111" i="6"/>
  <c r="DS105" i="6"/>
  <c r="DT105" i="6" s="1"/>
  <c r="BQ95" i="6"/>
  <c r="BR95" i="6"/>
  <c r="N101" i="4"/>
  <c r="BE67" i="6"/>
  <c r="BQ70" i="6"/>
  <c r="BR70" i="6"/>
  <c r="N76" i="4"/>
  <c r="BR242" i="6"/>
  <c r="BQ242" i="6"/>
  <c r="DI235" i="6"/>
  <c r="DR235" i="6" s="1"/>
  <c r="BE235" i="6"/>
  <c r="DT235" i="6"/>
  <c r="BP235" i="6"/>
  <c r="AZ235" i="6"/>
  <c r="BA235" i="6"/>
  <c r="AY235" i="6"/>
  <c r="BO235" i="6"/>
  <c r="BN235" i="6"/>
  <c r="BK235" i="6"/>
  <c r="BI235" i="6"/>
  <c r="BC235" i="6"/>
  <c r="BB235" i="6"/>
  <c r="EL229" i="6"/>
  <c r="DR238" i="6"/>
  <c r="DP238" i="6" s="1"/>
  <c r="DS238" i="6"/>
  <c r="BD229" i="6"/>
  <c r="EE230" i="6"/>
  <c r="EY230" i="6"/>
  <c r="DH230" i="6"/>
  <c r="T236" i="5" s="1"/>
  <c r="EL214" i="6"/>
  <c r="T220" i="5"/>
  <c r="BT223" i="6"/>
  <c r="BS223" i="6"/>
  <c r="EL218" i="6"/>
  <c r="BP219" i="6"/>
  <c r="BO219" i="6"/>
  <c r="BC219" i="6"/>
  <c r="BN219" i="6"/>
  <c r="BB219" i="6"/>
  <c r="BA219" i="6"/>
  <c r="BI219" i="6"/>
  <c r="DT219" i="6"/>
  <c r="BK219" i="6"/>
  <c r="DI219" i="6"/>
  <c r="DR219" i="6" s="1"/>
  <c r="DN219" i="6" s="1"/>
  <c r="BE219" i="6"/>
  <c r="AZ219" i="6"/>
  <c r="AY219" i="6"/>
  <c r="BT204" i="6"/>
  <c r="BS204" i="6"/>
  <c r="EE219" i="6"/>
  <c r="EY219" i="6"/>
  <c r="DH219" i="6"/>
  <c r="T225" i="5" s="1"/>
  <c r="DT208" i="6"/>
  <c r="BE208" i="6"/>
  <c r="BP208" i="6"/>
  <c r="BB208" i="6"/>
  <c r="BN208" i="6"/>
  <c r="AZ208" i="6"/>
  <c r="AY208" i="6"/>
  <c r="BI208" i="6"/>
  <c r="BO208" i="6"/>
  <c r="DI208" i="6"/>
  <c r="BK208" i="6"/>
  <c r="BA208" i="6"/>
  <c r="DQ205" i="6"/>
  <c r="BC200" i="6"/>
  <c r="DR200" i="6"/>
  <c r="CI197" i="6"/>
  <c r="EL204" i="6"/>
  <c r="DO197" i="6"/>
  <c r="DP197" i="6"/>
  <c r="DR174" i="6"/>
  <c r="DP174" i="6" s="1"/>
  <c r="BO181" i="6"/>
  <c r="BN181" i="6"/>
  <c r="BB181" i="6"/>
  <c r="BA181" i="6"/>
  <c r="AZ181" i="6"/>
  <c r="BI181" i="6"/>
  <c r="DT181" i="6"/>
  <c r="BE181" i="6"/>
  <c r="DI181" i="6"/>
  <c r="BD181" i="6" s="1"/>
  <c r="BP181" i="6"/>
  <c r="BK181" i="6"/>
  <c r="AY181" i="6"/>
  <c r="DS181" i="6"/>
  <c r="DS173" i="6"/>
  <c r="BD172" i="6"/>
  <c r="BC172" i="6"/>
  <c r="DR172" i="6"/>
  <c r="BC183" i="6"/>
  <c r="BD183" i="6"/>
  <c r="DS179" i="6"/>
  <c r="BR157" i="6"/>
  <c r="BQ157" i="6"/>
  <c r="EL155" i="6"/>
  <c r="DR152" i="6"/>
  <c r="BT149" i="6"/>
  <c r="BS149" i="6"/>
  <c r="EE153" i="6"/>
  <c r="DH153" i="6"/>
  <c r="EY153" i="6"/>
  <c r="BD144" i="6"/>
  <c r="BC144" i="6"/>
  <c r="BC140" i="6"/>
  <c r="BD140" i="6"/>
  <c r="BO143" i="6"/>
  <c r="BN143" i="6"/>
  <c r="BB143" i="6"/>
  <c r="AZ143" i="6"/>
  <c r="BI143" i="6"/>
  <c r="DI143" i="6"/>
  <c r="BC143" i="6" s="1"/>
  <c r="BE143" i="6"/>
  <c r="BA143" i="6"/>
  <c r="AY143" i="6"/>
  <c r="DT143" i="6"/>
  <c r="BK143" i="6"/>
  <c r="BP143" i="6"/>
  <c r="DS143" i="6"/>
  <c r="BR133" i="6"/>
  <c r="BQ133" i="6"/>
  <c r="BH123" i="6"/>
  <c r="T141" i="5"/>
  <c r="EL135" i="6"/>
  <c r="N133" i="4"/>
  <c r="DS88" i="6"/>
  <c r="BH88" i="6"/>
  <c r="EE111" i="6"/>
  <c r="EY111" i="6"/>
  <c r="E114" i="10" s="1"/>
  <c r="BT239" i="6"/>
  <c r="BS239" i="6"/>
  <c r="BQ206" i="6"/>
  <c r="BR206" i="6"/>
  <c r="B115" i="11"/>
  <c r="DH240" i="6"/>
  <c r="EY240" i="6"/>
  <c r="EE240" i="6"/>
  <c r="EL239" i="6"/>
  <c r="EE234" i="6"/>
  <c r="DH234" i="6"/>
  <c r="EY234" i="6"/>
  <c r="DP231" i="6"/>
  <c r="BR227" i="6"/>
  <c r="BQ227" i="6"/>
  <c r="EL238" i="6"/>
  <c r="DQ225" i="6"/>
  <c r="EL216" i="6"/>
  <c r="T219" i="5"/>
  <c r="DS202" i="6"/>
  <c r="DR202" i="6"/>
  <c r="DH197" i="6"/>
  <c r="T203" i="5" s="1"/>
  <c r="EE197" i="6"/>
  <c r="EY197" i="6"/>
  <c r="BR199" i="6"/>
  <c r="BQ199" i="6"/>
  <c r="BT203" i="6"/>
  <c r="BS203" i="6"/>
  <c r="BR193" i="6"/>
  <c r="BQ193" i="6"/>
  <c r="BT198" i="6"/>
  <c r="BS198" i="6"/>
  <c r="DS198" i="6"/>
  <c r="BQ187" i="6"/>
  <c r="BR187" i="6"/>
  <c r="DH191" i="6"/>
  <c r="T197" i="5" s="1"/>
  <c r="EE191" i="6"/>
  <c r="EY191" i="6"/>
  <c r="BR181" i="6"/>
  <c r="BQ181" i="6"/>
  <c r="EL196" i="6"/>
  <c r="DR164" i="6"/>
  <c r="DN164" i="6" s="1"/>
  <c r="DS164" i="6"/>
  <c r="DR171" i="6"/>
  <c r="DS171" i="6"/>
  <c r="DQ168" i="6"/>
  <c r="DO168" i="6"/>
  <c r="DP168" i="6"/>
  <c r="DN168" i="6"/>
  <c r="EL162" i="6"/>
  <c r="EL158" i="6"/>
  <c r="DN157" i="6"/>
  <c r="DR169" i="6"/>
  <c r="DS169" i="6"/>
  <c r="T146" i="5"/>
  <c r="DH115" i="6"/>
  <c r="EE115" i="6"/>
  <c r="EY115" i="6"/>
  <c r="E118" i="10" s="1"/>
  <c r="BG115" i="6"/>
  <c r="C106" i="10"/>
  <c r="BT106" i="6"/>
  <c r="BS106" i="6"/>
  <c r="C114" i="10"/>
  <c r="EY105" i="6"/>
  <c r="E108" i="10" s="1"/>
  <c r="BG105" i="6"/>
  <c r="BT86" i="6"/>
  <c r="BS86" i="6"/>
  <c r="BI74" i="6"/>
  <c r="DS35" i="6"/>
  <c r="DR35" i="6"/>
  <c r="BG35" i="6"/>
  <c r="CI241" i="6"/>
  <c r="EL241" i="6"/>
  <c r="BK233" i="6"/>
  <c r="AY233" i="6"/>
  <c r="BP233" i="6"/>
  <c r="BB233" i="6"/>
  <c r="BO233" i="6"/>
  <c r="BA233" i="6"/>
  <c r="BN233" i="6"/>
  <c r="AZ233" i="6"/>
  <c r="DI233" i="6"/>
  <c r="DR233" i="6" s="1"/>
  <c r="DN233" i="6" s="1"/>
  <c r="BI233" i="6"/>
  <c r="BE233" i="6"/>
  <c r="DT233" i="6"/>
  <c r="BT233" i="6"/>
  <c r="BS233" i="6"/>
  <c r="T237" i="5"/>
  <c r="DI227" i="6"/>
  <c r="DR227" i="6" s="1"/>
  <c r="DN227" i="6" s="1"/>
  <c r="DT227" i="6"/>
  <c r="BE227" i="6"/>
  <c r="BP227" i="6"/>
  <c r="BO227" i="6"/>
  <c r="AZ227" i="6"/>
  <c r="BI227" i="6"/>
  <c r="BB227" i="6"/>
  <c r="AY227" i="6"/>
  <c r="BN227" i="6"/>
  <c r="BK227" i="6"/>
  <c r="BA227" i="6"/>
  <c r="EL225" i="6"/>
  <c r="BR218" i="6"/>
  <c r="BQ218" i="6"/>
  <c r="EL224" i="6"/>
  <c r="CI230" i="6"/>
  <c r="DH228" i="6"/>
  <c r="T234" i="5" s="1"/>
  <c r="EE228" i="6"/>
  <c r="EY228" i="6"/>
  <c r="BT213" i="6"/>
  <c r="BS213" i="6"/>
  <c r="DS210" i="6"/>
  <c r="DR210" i="6"/>
  <c r="DS199" i="6"/>
  <c r="DQ203" i="6"/>
  <c r="EY212" i="6"/>
  <c r="DH212" i="6"/>
  <c r="EE212" i="6"/>
  <c r="BC186" i="6"/>
  <c r="DN184" i="6"/>
  <c r="BC195" i="6"/>
  <c r="DR195" i="6"/>
  <c r="DQ195" i="6" s="1"/>
  <c r="BD185" i="6"/>
  <c r="BC185" i="6"/>
  <c r="EE179" i="6"/>
  <c r="EY179" i="6"/>
  <c r="DH179" i="6"/>
  <c r="DS187" i="6"/>
  <c r="CI191" i="6"/>
  <c r="BS173" i="6"/>
  <c r="BT173" i="6"/>
  <c r="DS174" i="6"/>
  <c r="DR155" i="6"/>
  <c r="DO155" i="6" s="1"/>
  <c r="DS155" i="6"/>
  <c r="BK158" i="6"/>
  <c r="AY158" i="6"/>
  <c r="BP158" i="6"/>
  <c r="BN158" i="6"/>
  <c r="BI158" i="6"/>
  <c r="BE158" i="6"/>
  <c r="BB158" i="6"/>
  <c r="BO158" i="6"/>
  <c r="DT158" i="6"/>
  <c r="DI158" i="6"/>
  <c r="DR158" i="6" s="1"/>
  <c r="DQ158" i="6" s="1"/>
  <c r="BA158" i="6"/>
  <c r="AZ158" i="6"/>
  <c r="BD148" i="6"/>
  <c r="BC148" i="6"/>
  <c r="V130" i="11"/>
  <c r="J133" i="4"/>
  <c r="DS109" i="6"/>
  <c r="BG109" i="6"/>
  <c r="C94" i="10"/>
  <c r="C12" i="10"/>
  <c r="BS208" i="6"/>
  <c r="BT208" i="6"/>
  <c r="T188" i="5"/>
  <c r="BQ191" i="6"/>
  <c r="BR191" i="6"/>
  <c r="DP242" i="6"/>
  <c r="BT234" i="6"/>
  <c r="BS234" i="6"/>
  <c r="EY233" i="6"/>
  <c r="EE233" i="6"/>
  <c r="DH233" i="6"/>
  <c r="DR229" i="6"/>
  <c r="DQ229" i="6" s="1"/>
  <c r="DS229" i="6"/>
  <c r="DI218" i="6"/>
  <c r="BC218" i="6" s="1"/>
  <c r="DT218" i="6"/>
  <c r="BE218" i="6"/>
  <c r="BP218" i="6"/>
  <c r="AZ218" i="6"/>
  <c r="BA218" i="6"/>
  <c r="AY218" i="6"/>
  <c r="BO218" i="6"/>
  <c r="BN218" i="6"/>
  <c r="BK218" i="6"/>
  <c r="BI218" i="6"/>
  <c r="BB218" i="6"/>
  <c r="DS220" i="6"/>
  <c r="DR220" i="6"/>
  <c r="BR224" i="6"/>
  <c r="BQ224" i="6"/>
  <c r="BT230" i="6"/>
  <c r="BS230" i="6"/>
  <c r="EE223" i="6"/>
  <c r="EY223" i="6"/>
  <c r="DH223" i="6"/>
  <c r="BI221" i="6"/>
  <c r="DT221" i="6"/>
  <c r="BE221" i="6"/>
  <c r="BP221" i="6"/>
  <c r="BO221" i="6"/>
  <c r="BN221" i="6"/>
  <c r="BB221" i="6"/>
  <c r="DI221" i="6"/>
  <c r="BD221" i="6" s="1"/>
  <c r="BK221" i="6"/>
  <c r="BA221" i="6"/>
  <c r="AZ221" i="6"/>
  <c r="AY221" i="6"/>
  <c r="BI217" i="6"/>
  <c r="BO217" i="6"/>
  <c r="BC217" i="6"/>
  <c r="BK217" i="6"/>
  <c r="BE217" i="6"/>
  <c r="DT217" i="6"/>
  <c r="BB217" i="6"/>
  <c r="AZ217" i="6"/>
  <c r="AY217" i="6"/>
  <c r="BP217" i="6"/>
  <c r="BN217" i="6"/>
  <c r="BA217" i="6"/>
  <c r="DI217" i="6"/>
  <c r="DR217" i="6" s="1"/>
  <c r="BP215" i="6"/>
  <c r="BO215" i="6"/>
  <c r="BN215" i="6"/>
  <c r="BB215" i="6"/>
  <c r="BI215" i="6"/>
  <c r="BE215" i="6"/>
  <c r="BA215" i="6"/>
  <c r="AZ215" i="6"/>
  <c r="DI215" i="6"/>
  <c r="BD215" i="6" s="1"/>
  <c r="AY215" i="6"/>
  <c r="BK215" i="6"/>
  <c r="DT215" i="6"/>
  <c r="DP213" i="6"/>
  <c r="DH208" i="6"/>
  <c r="T214" i="5" s="1"/>
  <c r="EE208" i="6"/>
  <c r="EY208" i="6"/>
  <c r="BR205" i="6"/>
  <c r="BQ205" i="6"/>
  <c r="EL199" i="6"/>
  <c r="DQ193" i="6"/>
  <c r="EE186" i="6"/>
  <c r="DH186" i="6"/>
  <c r="EY186" i="6"/>
  <c r="BC178" i="6"/>
  <c r="DR178" i="6"/>
  <c r="EE177" i="6"/>
  <c r="DH177" i="6"/>
  <c r="EY177" i="6"/>
  <c r="CI177" i="6"/>
  <c r="BT171" i="6"/>
  <c r="BS171" i="6"/>
  <c r="BS143" i="6"/>
  <c r="BT143" i="6"/>
  <c r="DS120" i="6"/>
  <c r="DT120" i="6" s="1"/>
  <c r="DO141" i="6"/>
  <c r="DS130" i="6"/>
  <c r="DR130" i="6"/>
  <c r="BT113" i="6"/>
  <c r="BS113" i="6"/>
  <c r="BT105" i="6"/>
  <c r="BS105" i="6"/>
  <c r="BT237" i="6"/>
  <c r="BS237" i="6"/>
  <c r="EL226" i="6"/>
  <c r="BT224" i="6"/>
  <c r="BS224" i="6"/>
  <c r="BP223" i="6"/>
  <c r="BO223" i="6"/>
  <c r="BN223" i="6"/>
  <c r="BB223" i="6"/>
  <c r="BA223" i="6"/>
  <c r="BK223" i="6"/>
  <c r="AY223" i="6"/>
  <c r="BI223" i="6"/>
  <c r="BE223" i="6"/>
  <c r="AZ223" i="6"/>
  <c r="DT223" i="6"/>
  <c r="DI223" i="6"/>
  <c r="BD223" i="6" s="1"/>
  <c r="DS221" i="6"/>
  <c r="DR221" i="6"/>
  <c r="DO221" i="6" s="1"/>
  <c r="BQ221" i="6"/>
  <c r="BR221" i="6"/>
  <c r="BT219" i="6"/>
  <c r="BS219" i="6"/>
  <c r="DH201" i="6"/>
  <c r="T207" i="5" s="1"/>
  <c r="EE201" i="6"/>
  <c r="EY201" i="6"/>
  <c r="BT192" i="6"/>
  <c r="BS192" i="6"/>
  <c r="DR196" i="6"/>
  <c r="BC196" i="6"/>
  <c r="DO193" i="6"/>
  <c r="DN186" i="6"/>
  <c r="DP186" i="6"/>
  <c r="DQ186" i="6"/>
  <c r="CI187" i="6"/>
  <c r="DT191" i="6"/>
  <c r="BE191" i="6"/>
  <c r="BP191" i="6"/>
  <c r="BO191" i="6"/>
  <c r="BN191" i="6"/>
  <c r="BB191" i="6"/>
  <c r="BA191" i="6"/>
  <c r="AZ191" i="6"/>
  <c r="BK191" i="6"/>
  <c r="AY191" i="6"/>
  <c r="BI191" i="6"/>
  <c r="DI191" i="6"/>
  <c r="BD191" i="6" s="1"/>
  <c r="EE181" i="6"/>
  <c r="DH181" i="6"/>
  <c r="EY181" i="6"/>
  <c r="BR167" i="6"/>
  <c r="BQ167" i="6"/>
  <c r="DS161" i="6"/>
  <c r="DQ156" i="6"/>
  <c r="DS160" i="6"/>
  <c r="T162" i="5"/>
  <c r="V132" i="11"/>
  <c r="J135" i="4"/>
  <c r="C121" i="10"/>
  <c r="BT127" i="6"/>
  <c r="BS127" i="6"/>
  <c r="V96" i="11"/>
  <c r="DT93" i="6"/>
  <c r="BE93" i="6"/>
  <c r="BO93" i="6"/>
  <c r="J99" i="4"/>
  <c r="BT80" i="6"/>
  <c r="BS80" i="6"/>
  <c r="L188" i="5"/>
  <c r="J188" i="5"/>
  <c r="K188" i="5" s="1"/>
  <c r="DT240" i="6"/>
  <c r="BE240" i="6"/>
  <c r="BN240" i="6"/>
  <c r="BB240" i="6"/>
  <c r="AZ240" i="6"/>
  <c r="DI240" i="6"/>
  <c r="AY240" i="6"/>
  <c r="BK240" i="6"/>
  <c r="BP240" i="6"/>
  <c r="BO240" i="6"/>
  <c r="BI240" i="6"/>
  <c r="BA240" i="6"/>
  <c r="BR238" i="6"/>
  <c r="BQ238" i="6"/>
  <c r="DS216" i="6"/>
  <c r="DR216" i="6"/>
  <c r="DS224" i="6"/>
  <c r="DR224" i="6"/>
  <c r="DO230" i="6"/>
  <c r="BC216" i="6"/>
  <c r="BD216" i="6"/>
  <c r="BA207" i="6"/>
  <c r="BI207" i="6"/>
  <c r="DT207" i="6"/>
  <c r="BP207" i="6"/>
  <c r="BB207" i="6"/>
  <c r="BN207" i="6"/>
  <c r="AY207" i="6"/>
  <c r="BE207" i="6"/>
  <c r="AZ207" i="6"/>
  <c r="DI207" i="6"/>
  <c r="BD207" i="6" s="1"/>
  <c r="BO207" i="6"/>
  <c r="BK207" i="6"/>
  <c r="DH202" i="6"/>
  <c r="T208" i="5" s="1"/>
  <c r="EE202" i="6"/>
  <c r="EY202" i="6"/>
  <c r="DS206" i="6"/>
  <c r="DR206" i="6"/>
  <c r="T213" i="5"/>
  <c r="T206" i="5"/>
  <c r="DO190" i="6"/>
  <c r="DS194" i="6"/>
  <c r="DH187" i="6"/>
  <c r="T193" i="5" s="1"/>
  <c r="EE187" i="6"/>
  <c r="EY187" i="6"/>
  <c r="DS175" i="6"/>
  <c r="DR175" i="6"/>
  <c r="DQ175" i="6" s="1"/>
  <c r="DS176" i="6"/>
  <c r="BI163" i="6"/>
  <c r="DT163" i="6"/>
  <c r="BE163" i="6"/>
  <c r="BP163" i="6"/>
  <c r="BO163" i="6"/>
  <c r="BA163" i="6"/>
  <c r="DI163" i="6"/>
  <c r="DR163" i="6" s="1"/>
  <c r="DQ163" i="6" s="1"/>
  <c r="AY163" i="6"/>
  <c r="BN163" i="6"/>
  <c r="BK163" i="6"/>
  <c r="BB163" i="6"/>
  <c r="AZ163" i="6"/>
  <c r="BT163" i="6"/>
  <c r="BS163" i="6"/>
  <c r="T145" i="5"/>
  <c r="EL139" i="6"/>
  <c r="B105" i="6"/>
  <c r="AE105" i="6"/>
  <c r="CI105" i="6" s="1"/>
  <c r="EX105" i="6"/>
  <c r="C90" i="10"/>
  <c r="T55" i="5"/>
  <c r="DU49" i="6"/>
  <c r="EL49" i="6"/>
  <c r="B52" i="10"/>
  <c r="EF52" i="6"/>
  <c r="BT31" i="6"/>
  <c r="BS31" i="6"/>
  <c r="BT19" i="6"/>
  <c r="BS19" i="6"/>
  <c r="EY100" i="6"/>
  <c r="E103" i="10" s="1"/>
  <c r="EE100" i="6"/>
  <c r="DH100" i="6"/>
  <c r="EY90" i="6"/>
  <c r="E93" i="10" s="1"/>
  <c r="EE90" i="6"/>
  <c r="BG90" i="6"/>
  <c r="DS96" i="6"/>
  <c r="BT109" i="6"/>
  <c r="BS109" i="6"/>
  <c r="EY84" i="6"/>
  <c r="E87" i="10" s="1"/>
  <c r="EE84" i="6"/>
  <c r="BG84" i="6"/>
  <c r="EL117" i="6"/>
  <c r="EX93" i="6"/>
  <c r="BT137" i="6"/>
  <c r="BS137" i="6"/>
  <c r="BT85" i="6"/>
  <c r="BS85" i="6"/>
  <c r="B83" i="6"/>
  <c r="V90" i="11"/>
  <c r="BE87" i="6"/>
  <c r="J93" i="4"/>
  <c r="EE36" i="6"/>
  <c r="EY36" i="6"/>
  <c r="E39" i="10" s="1"/>
  <c r="DH36" i="6"/>
  <c r="EY20" i="6"/>
  <c r="E23" i="10" s="1"/>
  <c r="BG20" i="6"/>
  <c r="EE20" i="6"/>
  <c r="C31" i="10"/>
  <c r="C25" i="10"/>
  <c r="N20" i="4"/>
  <c r="AX5" i="6"/>
  <c r="FC5" i="6"/>
  <c r="DS9" i="6"/>
  <c r="DT9" i="6" s="1"/>
  <c r="EL222" i="6"/>
  <c r="BR217" i="6"/>
  <c r="BQ217" i="6"/>
  <c r="DQ217" i="6"/>
  <c r="BT215" i="6"/>
  <c r="BS215" i="6"/>
  <c r="CI219" i="6"/>
  <c r="BT207" i="6"/>
  <c r="BS207" i="6"/>
  <c r="EL209" i="6"/>
  <c r="DP210" i="6"/>
  <c r="DP202" i="6"/>
  <c r="CI212" i="6"/>
  <c r="BQ212" i="6"/>
  <c r="BR212" i="6"/>
  <c r="DH205" i="6"/>
  <c r="EY205" i="6"/>
  <c r="EE205" i="6"/>
  <c r="BT186" i="6"/>
  <c r="BS186" i="6"/>
  <c r="BN194" i="6"/>
  <c r="BB194" i="6"/>
  <c r="AZ194" i="6"/>
  <c r="BK194" i="6"/>
  <c r="AY194" i="6"/>
  <c r="DT194" i="6"/>
  <c r="BA194" i="6"/>
  <c r="BP194" i="6"/>
  <c r="DI194" i="6"/>
  <c r="DR194" i="6" s="1"/>
  <c r="DN194" i="6" s="1"/>
  <c r="BO194" i="6"/>
  <c r="BI194" i="6"/>
  <c r="BE194" i="6"/>
  <c r="EY194" i="6"/>
  <c r="EE194" i="6"/>
  <c r="DH194" i="6"/>
  <c r="DS192" i="6"/>
  <c r="DR192" i="6"/>
  <c r="DP185" i="6"/>
  <c r="DP193" i="6"/>
  <c r="BC182" i="6"/>
  <c r="DR182" i="6"/>
  <c r="DS170" i="6"/>
  <c r="DR170" i="6"/>
  <c r="BT187" i="6"/>
  <c r="BS187" i="6"/>
  <c r="DN179" i="6"/>
  <c r="CI181" i="6"/>
  <c r="DS177" i="6"/>
  <c r="DR177" i="6"/>
  <c r="EY173" i="6"/>
  <c r="DH173" i="6"/>
  <c r="EE173" i="6"/>
  <c r="CI171" i="6"/>
  <c r="BT167" i="6"/>
  <c r="BS167" i="6"/>
  <c r="BT176" i="6"/>
  <c r="BS176" i="6"/>
  <c r="BD171" i="6"/>
  <c r="EE161" i="6"/>
  <c r="EY161" i="6"/>
  <c r="DH161" i="6"/>
  <c r="DS162" i="6"/>
  <c r="DS159" i="6"/>
  <c r="DR159" i="6"/>
  <c r="DN159" i="6" s="1"/>
  <c r="EL150" i="6"/>
  <c r="DT160" i="6"/>
  <c r="BE160" i="6"/>
  <c r="BN160" i="6"/>
  <c r="BB160" i="6"/>
  <c r="BA160" i="6"/>
  <c r="BP160" i="6"/>
  <c r="BO160" i="6"/>
  <c r="BI160" i="6"/>
  <c r="BK160" i="6"/>
  <c r="DI160" i="6"/>
  <c r="BD160" i="6" s="1"/>
  <c r="AZ160" i="6"/>
  <c r="AY160" i="6"/>
  <c r="EL160" i="6"/>
  <c r="DP149" i="6"/>
  <c r="DS138" i="6"/>
  <c r="DR138" i="6"/>
  <c r="B121" i="10"/>
  <c r="DN169" i="6"/>
  <c r="BT169" i="6"/>
  <c r="BS169" i="6"/>
  <c r="EL151" i="6"/>
  <c r="DP141" i="6"/>
  <c r="DR147" i="6"/>
  <c r="DP147" i="6" s="1"/>
  <c r="DS147" i="6"/>
  <c r="EL146" i="6"/>
  <c r="DS135" i="6"/>
  <c r="BS129" i="6"/>
  <c r="BT129" i="6"/>
  <c r="BD130" i="6"/>
  <c r="DH116" i="6"/>
  <c r="EY116" i="6"/>
  <c r="E119" i="10" s="1"/>
  <c r="EE116" i="6"/>
  <c r="BS116" i="6"/>
  <c r="BT116" i="6"/>
  <c r="BH108" i="6"/>
  <c r="EY113" i="6"/>
  <c r="E116" i="10" s="1"/>
  <c r="DH113" i="6"/>
  <c r="EE113" i="6"/>
  <c r="DS112" i="6"/>
  <c r="AE106" i="6"/>
  <c r="CI106" i="6" s="1"/>
  <c r="AE107" i="6" s="1"/>
  <c r="EX117" i="6"/>
  <c r="EY88" i="6"/>
  <c r="E91" i="10" s="1"/>
  <c r="EE88" i="6"/>
  <c r="DH88" i="6"/>
  <c r="DS111" i="6"/>
  <c r="DT111" i="6" s="1"/>
  <c r="BH92" i="6"/>
  <c r="V108" i="11"/>
  <c r="BO105" i="6"/>
  <c r="BE105" i="6"/>
  <c r="J111" i="4"/>
  <c r="BR137" i="6"/>
  <c r="BQ137" i="6"/>
  <c r="B95" i="6"/>
  <c r="DS95" i="6"/>
  <c r="DS87" i="6"/>
  <c r="DT87" i="6" s="1"/>
  <c r="BI87" i="6" s="1"/>
  <c r="B87" i="6"/>
  <c r="BT79" i="6"/>
  <c r="BS79" i="6"/>
  <c r="DS108" i="6"/>
  <c r="C68" i="10"/>
  <c r="B60" i="6"/>
  <c r="EX60" i="6"/>
  <c r="N66" i="4"/>
  <c r="C30" i="10"/>
  <c r="EX13" i="6"/>
  <c r="AE13" i="6"/>
  <c r="CI13" i="6" s="1"/>
  <c r="AE14" i="6" s="1"/>
  <c r="CI14" i="6" s="1"/>
  <c r="B13" i="6"/>
  <c r="BT13" i="6"/>
  <c r="BS13" i="6"/>
  <c r="J233" i="5"/>
  <c r="K233" i="5" s="1"/>
  <c r="BT9" i="6"/>
  <c r="BS9" i="6"/>
  <c r="L208" i="5"/>
  <c r="J208" i="5"/>
  <c r="K208" i="5" s="1"/>
  <c r="DH176" i="6"/>
  <c r="EY176" i="6"/>
  <c r="EE176" i="6"/>
  <c r="T174" i="5"/>
  <c r="BN161" i="6"/>
  <c r="BB161" i="6"/>
  <c r="BK161" i="6"/>
  <c r="AY161" i="6"/>
  <c r="DI161" i="6"/>
  <c r="BD161" i="6" s="1"/>
  <c r="BA161" i="6"/>
  <c r="AZ161" i="6"/>
  <c r="DT161" i="6"/>
  <c r="BI161" i="6"/>
  <c r="BP161" i="6"/>
  <c r="BO161" i="6"/>
  <c r="BE161" i="6"/>
  <c r="DH157" i="6"/>
  <c r="EE157" i="6"/>
  <c r="EY157" i="6"/>
  <c r="DH163" i="6"/>
  <c r="T169" i="5" s="1"/>
  <c r="EE163" i="6"/>
  <c r="EY163" i="6"/>
  <c r="BN153" i="6"/>
  <c r="BB153" i="6"/>
  <c r="AZ153" i="6"/>
  <c r="BI153" i="6"/>
  <c r="DI153" i="6"/>
  <c r="BD153" i="6" s="1"/>
  <c r="BE153" i="6"/>
  <c r="DT153" i="6"/>
  <c r="BA153" i="6"/>
  <c r="BP153" i="6"/>
  <c r="AY153" i="6"/>
  <c r="BK153" i="6"/>
  <c r="BO153" i="6"/>
  <c r="DS124" i="6"/>
  <c r="DT124" i="6" s="1"/>
  <c r="BD138" i="6"/>
  <c r="BC138" i="6"/>
  <c r="DS126" i="6"/>
  <c r="DT126" i="6" s="1"/>
  <c r="BO135" i="6"/>
  <c r="BA135" i="6"/>
  <c r="AZ135" i="6"/>
  <c r="BI135" i="6"/>
  <c r="DI135" i="6"/>
  <c r="DR135" i="6" s="1"/>
  <c r="DN135" i="6" s="1"/>
  <c r="BE135" i="6"/>
  <c r="BB135" i="6"/>
  <c r="DT135" i="6"/>
  <c r="BP135" i="6"/>
  <c r="BN135" i="6"/>
  <c r="BK135" i="6"/>
  <c r="AY135" i="6"/>
  <c r="V122" i="11"/>
  <c r="J125" i="4"/>
  <c r="BS119" i="6"/>
  <c r="BT119" i="6"/>
  <c r="DH101" i="6"/>
  <c r="EY101" i="6"/>
  <c r="E104" i="10" s="1"/>
  <c r="EE101" i="6"/>
  <c r="DS99" i="6"/>
  <c r="DT99" i="6" s="1"/>
  <c r="BH90" i="6"/>
  <c r="DS90" i="6"/>
  <c r="DT90" i="6" s="1"/>
  <c r="CO93" i="6"/>
  <c r="AK94" i="6" s="1"/>
  <c r="CO94" i="6" s="1"/>
  <c r="AK95" i="6" s="1"/>
  <c r="CN93" i="6"/>
  <c r="AJ94" i="6" s="1"/>
  <c r="CN94" i="6" s="1"/>
  <c r="AJ95" i="6" s="1"/>
  <c r="EY93" i="6"/>
  <c r="E96" i="10" s="1"/>
  <c r="BG93" i="6"/>
  <c r="EL138" i="6"/>
  <c r="T85" i="5"/>
  <c r="B82" i="10"/>
  <c r="DS91" i="6"/>
  <c r="DH80" i="6"/>
  <c r="DS72" i="6"/>
  <c r="DT72" i="6" s="1"/>
  <c r="CL66" i="6"/>
  <c r="AH67" i="6" s="1"/>
  <c r="CL67" i="6" s="1"/>
  <c r="AH68" i="6" s="1"/>
  <c r="EY66" i="6"/>
  <c r="E69" i="10" s="1"/>
  <c r="DS64" i="6"/>
  <c r="DT64" i="6" s="1"/>
  <c r="AE80" i="6"/>
  <c r="CI80" i="6" s="1"/>
  <c r="AE81" i="6" s="1"/>
  <c r="CI81" i="6" s="1"/>
  <c r="C73" i="10"/>
  <c r="AE82" i="6"/>
  <c r="CI82" i="6" s="1"/>
  <c r="AE83" i="6" s="1"/>
  <c r="CI83" i="6" s="1"/>
  <c r="AE84" i="6" s="1"/>
  <c r="CI84" i="6" s="1"/>
  <c r="AE85" i="6" s="1"/>
  <c r="CI85" i="6" s="1"/>
  <c r="AE86" i="6" s="1"/>
  <c r="CI86" i="6" s="1"/>
  <c r="AE87" i="6" s="1"/>
  <c r="CI87" i="6" s="1"/>
  <c r="AE88" i="6" s="1"/>
  <c r="CI88" i="6" s="1"/>
  <c r="AE89" i="6" s="1"/>
  <c r="CI89" i="6" s="1"/>
  <c r="AE90" i="6" s="1"/>
  <c r="CI90" i="6" s="1"/>
  <c r="AE91" i="6" s="1"/>
  <c r="CI91" i="6" s="1"/>
  <c r="B81" i="6"/>
  <c r="DS59" i="6"/>
  <c r="DT59" i="6" s="1"/>
  <c r="BG59" i="6"/>
  <c r="BT52" i="6"/>
  <c r="BS52" i="6"/>
  <c r="DS63" i="6"/>
  <c r="EE34" i="6"/>
  <c r="DH34" i="6"/>
  <c r="EY34" i="6"/>
  <c r="E37" i="10" s="1"/>
  <c r="B44" i="6"/>
  <c r="EL45" i="6"/>
  <c r="EX44" i="6"/>
  <c r="C55" i="10"/>
  <c r="EE44" i="6"/>
  <c r="DH44" i="6"/>
  <c r="EY44" i="6"/>
  <c r="E47" i="10" s="1"/>
  <c r="L158" i="5"/>
  <c r="J158" i="5"/>
  <c r="K158" i="5" s="1"/>
  <c r="DS4" i="6"/>
  <c r="L212" i="5"/>
  <c r="J212" i="5"/>
  <c r="K212" i="5" s="1"/>
  <c r="V26" i="11"/>
  <c r="BE23" i="6"/>
  <c r="J29" i="4"/>
  <c r="T202" i="5"/>
  <c r="DH192" i="6"/>
  <c r="T198" i="5" s="1"/>
  <c r="EY192" i="6"/>
  <c r="EE192" i="6"/>
  <c r="BR190" i="6"/>
  <c r="BQ190" i="6"/>
  <c r="EE198" i="6"/>
  <c r="EY198" i="6"/>
  <c r="DH198" i="6"/>
  <c r="BC190" i="6"/>
  <c r="DQ184" i="6"/>
  <c r="EY184" i="6"/>
  <c r="EE184" i="6"/>
  <c r="DH184" i="6"/>
  <c r="EL178" i="6"/>
  <c r="CI174" i="6"/>
  <c r="CI184" i="6"/>
  <c r="DO156" i="6"/>
  <c r="BR161" i="6"/>
  <c r="BQ161" i="6"/>
  <c r="AZ162" i="6"/>
  <c r="BK162" i="6"/>
  <c r="AY162" i="6"/>
  <c r="DI162" i="6"/>
  <c r="DR162" i="6" s="1"/>
  <c r="BP162" i="6"/>
  <c r="BN162" i="6"/>
  <c r="BE162" i="6"/>
  <c r="BB162" i="6"/>
  <c r="BO162" i="6"/>
  <c r="DT162" i="6"/>
  <c r="BI162" i="6"/>
  <c r="BA162" i="6"/>
  <c r="BT155" i="6"/>
  <c r="BS155" i="6"/>
  <c r="CI153" i="6"/>
  <c r="T152" i="5"/>
  <c r="BR153" i="6"/>
  <c r="BQ153" i="6"/>
  <c r="CI160" i="6"/>
  <c r="DO169" i="6"/>
  <c r="EE147" i="6"/>
  <c r="EY147" i="6"/>
  <c r="DH147" i="6"/>
  <c r="EL136" i="6"/>
  <c r="BR135" i="6"/>
  <c r="BQ135" i="6"/>
  <c r="CS129" i="6"/>
  <c r="AO130" i="6" s="1"/>
  <c r="CE129" i="6"/>
  <c r="EE129" i="6"/>
  <c r="EY129" i="6"/>
  <c r="E132" i="10" s="1"/>
  <c r="DH129" i="6"/>
  <c r="DU129" i="6" s="1"/>
  <c r="CD129" i="6"/>
  <c r="Z130" i="6" s="1"/>
  <c r="CC129" i="6"/>
  <c r="B116" i="6"/>
  <c r="AA116" i="6"/>
  <c r="CE116" i="6" s="1"/>
  <c r="AA117" i="6" s="1"/>
  <c r="CE117" i="6" s="1"/>
  <c r="AA118" i="6" s="1"/>
  <c r="CE118" i="6" s="1"/>
  <c r="EX116" i="6"/>
  <c r="EY108" i="6"/>
  <c r="E111" i="10" s="1"/>
  <c r="EE108" i="6"/>
  <c r="EX106" i="6"/>
  <c r="B113" i="6"/>
  <c r="DS106" i="6"/>
  <c r="DS117" i="6"/>
  <c r="DT117" i="6" s="1"/>
  <c r="BT98" i="6"/>
  <c r="BS98" i="6"/>
  <c r="EX101" i="6"/>
  <c r="N103" i="4"/>
  <c r="B94" i="6"/>
  <c r="CK94" i="6" s="1"/>
  <c r="AG95" i="6" s="1"/>
  <c r="EX94" i="6"/>
  <c r="V98" i="11"/>
  <c r="BO95" i="6"/>
  <c r="BI95" i="6"/>
  <c r="BE95" i="6"/>
  <c r="DT95" i="6"/>
  <c r="J101" i="4"/>
  <c r="DU79" i="6"/>
  <c r="BG73" i="6"/>
  <c r="DS81" i="6"/>
  <c r="DS40" i="6"/>
  <c r="DS20" i="6"/>
  <c r="DT20" i="6" s="1"/>
  <c r="BT32" i="6"/>
  <c r="BS32" i="6"/>
  <c r="EX12" i="6"/>
  <c r="AE12" i="6"/>
  <c r="CI12" i="6" s="1"/>
  <c r="B12" i="6"/>
  <c r="EY4" i="6"/>
  <c r="E7" i="10" s="1"/>
  <c r="EE4" i="6"/>
  <c r="FB4" i="6"/>
  <c r="CF4" i="6"/>
  <c r="AB5" i="6" s="1"/>
  <c r="BG4" i="6"/>
  <c r="BT4" i="6"/>
  <c r="BS4" i="6"/>
  <c r="AX9" i="6"/>
  <c r="L181" i="5"/>
  <c r="J181" i="5"/>
  <c r="K181" i="5" s="1"/>
  <c r="DS3" i="6"/>
  <c r="BG3" i="6"/>
  <c r="EY174" i="6"/>
  <c r="DH174" i="6"/>
  <c r="EE174" i="6"/>
  <c r="BT179" i="6"/>
  <c r="BS179" i="6"/>
  <c r="EY162" i="6"/>
  <c r="DH162" i="6"/>
  <c r="T168" i="5" s="1"/>
  <c r="EE162" i="6"/>
  <c r="T186" i="5"/>
  <c r="BR162" i="6"/>
  <c r="BQ162" i="6"/>
  <c r="BQ160" i="6"/>
  <c r="BR160" i="6"/>
  <c r="CI163" i="6"/>
  <c r="BT154" i="6"/>
  <c r="BS154" i="6"/>
  <c r="BT150" i="6"/>
  <c r="BS150" i="6"/>
  <c r="DQ169" i="6"/>
  <c r="BT151" i="6"/>
  <c r="BS151" i="6"/>
  <c r="EL144" i="6"/>
  <c r="DS118" i="6"/>
  <c r="DT118" i="6" s="1"/>
  <c r="T160" i="5"/>
  <c r="V119" i="11"/>
  <c r="DT116" i="6"/>
  <c r="J122" i="4"/>
  <c r="BT114" i="6"/>
  <c r="BS114" i="6"/>
  <c r="B130" i="10"/>
  <c r="DS129" i="6"/>
  <c r="DT129" i="6" s="1"/>
  <c r="DU115" i="6"/>
  <c r="DS119" i="6"/>
  <c r="DT119" i="6" s="1"/>
  <c r="EM113" i="6"/>
  <c r="AA113" i="6"/>
  <c r="CE113" i="6" s="1"/>
  <c r="AA114" i="6" s="1"/>
  <c r="CE114" i="6" s="1"/>
  <c r="AA115" i="6" s="1"/>
  <c r="CE115" i="6" s="1"/>
  <c r="Y113" i="6"/>
  <c r="AE113" i="6"/>
  <c r="CI113" i="6" s="1"/>
  <c r="AE114" i="6" s="1"/>
  <c r="CI114" i="6" s="1"/>
  <c r="AE115" i="6" s="1"/>
  <c r="CI115" i="6" s="1"/>
  <c r="AE116" i="6" s="1"/>
  <c r="CI116" i="6" s="1"/>
  <c r="AE117" i="6" s="1"/>
  <c r="CI117" i="6" s="1"/>
  <c r="AE118" i="6" s="1"/>
  <c r="CI118" i="6" s="1"/>
  <c r="DU113" i="6"/>
  <c r="BM113" i="6" s="1"/>
  <c r="C102" i="10"/>
  <c r="T126" i="5"/>
  <c r="T120" i="5"/>
  <c r="T132" i="5"/>
  <c r="DS86" i="6"/>
  <c r="B97" i="6"/>
  <c r="EX97" i="6"/>
  <c r="DS102" i="6"/>
  <c r="DT102" i="6" s="1"/>
  <c r="EY109" i="6"/>
  <c r="E112" i="10" s="1"/>
  <c r="EE109" i="6"/>
  <c r="B89" i="6"/>
  <c r="EE137" i="6"/>
  <c r="DH137" i="6"/>
  <c r="EY137" i="6"/>
  <c r="BT72" i="6"/>
  <c r="BS72" i="6"/>
  <c r="BE65" i="6"/>
  <c r="EX81" i="6"/>
  <c r="CI54" i="6"/>
  <c r="AE55" i="6" s="1"/>
  <c r="CI55" i="6" s="1"/>
  <c r="AE56" i="6" s="1"/>
  <c r="CI56" i="6" s="1"/>
  <c r="AE57" i="6" s="1"/>
  <c r="CI57" i="6" s="1"/>
  <c r="EH53" i="6"/>
  <c r="CS53" i="6"/>
  <c r="AO54" i="6" s="1"/>
  <c r="CC53" i="6"/>
  <c r="EX42" i="6"/>
  <c r="B42" i="6"/>
  <c r="T53" i="5"/>
  <c r="DU47" i="6"/>
  <c r="BH26" i="6"/>
  <c r="DS26" i="6"/>
  <c r="BT5" i="6"/>
  <c r="BS5" i="6"/>
  <c r="DS19" i="6"/>
  <c r="DT19" i="6" s="1"/>
  <c r="EY91" i="6"/>
  <c r="E94" i="10" s="1"/>
  <c r="DH91" i="6"/>
  <c r="EE91" i="6"/>
  <c r="BR79" i="6"/>
  <c r="BQ79" i="6"/>
  <c r="N85" i="4"/>
  <c r="CK69" i="6"/>
  <c r="AG70" i="6" s="1"/>
  <c r="CK70" i="6" s="1"/>
  <c r="AG71" i="6" s="1"/>
  <c r="DS70" i="6"/>
  <c r="DT70" i="6" s="1"/>
  <c r="C76" i="10"/>
  <c r="N89" i="4"/>
  <c r="AE63" i="6"/>
  <c r="CI63" i="6" s="1"/>
  <c r="AE64" i="6" s="1"/>
  <c r="CI64" i="6" s="1"/>
  <c r="AE65" i="6" s="1"/>
  <c r="CI65" i="6" s="1"/>
  <c r="AE66" i="6" s="1"/>
  <c r="CI66" i="6" s="1"/>
  <c r="EX63" i="6"/>
  <c r="V37" i="11"/>
  <c r="BE34" i="6"/>
  <c r="DT34" i="6"/>
  <c r="J40" i="4"/>
  <c r="AX8" i="6"/>
  <c r="AX4" i="6"/>
  <c r="FC4" i="6"/>
  <c r="AZ4" i="6" s="1"/>
  <c r="L10" i="4" s="1"/>
  <c r="V22" i="11"/>
  <c r="BE19" i="6"/>
  <c r="J25" i="4"/>
  <c r="BT211" i="6"/>
  <c r="BS211" i="6"/>
  <c r="EE211" i="6"/>
  <c r="DH211" i="6"/>
  <c r="EY211" i="6"/>
  <c r="DS215" i="6"/>
  <c r="DR215" i="6"/>
  <c r="DQ215" i="6" s="1"/>
  <c r="EE215" i="6"/>
  <c r="EY215" i="6"/>
  <c r="DH215" i="6"/>
  <c r="EL208" i="6"/>
  <c r="DN205" i="6"/>
  <c r="EL210" i="6"/>
  <c r="DO203" i="6"/>
  <c r="EY203" i="6"/>
  <c r="EE203" i="6"/>
  <c r="DH203" i="6"/>
  <c r="T209" i="5" s="1"/>
  <c r="AZ199" i="6"/>
  <c r="BK199" i="6"/>
  <c r="AY199" i="6"/>
  <c r="BI199" i="6"/>
  <c r="DI199" i="6"/>
  <c r="DR199" i="6" s="1"/>
  <c r="DT199" i="6"/>
  <c r="BE199" i="6"/>
  <c r="BP199" i="6"/>
  <c r="BB199" i="6"/>
  <c r="BA199" i="6"/>
  <c r="BO199" i="6"/>
  <c r="BN199" i="6"/>
  <c r="BC199" i="6"/>
  <c r="DO212" i="6"/>
  <c r="DP212" i="6"/>
  <c r="DQ189" i="6"/>
  <c r="BT194" i="6"/>
  <c r="BS194" i="6"/>
  <c r="BO198" i="6"/>
  <c r="BN198" i="6"/>
  <c r="BB198" i="6"/>
  <c r="BA198" i="6"/>
  <c r="AZ198" i="6"/>
  <c r="BK198" i="6"/>
  <c r="AY198" i="6"/>
  <c r="BI198" i="6"/>
  <c r="DT198" i="6"/>
  <c r="BP198" i="6"/>
  <c r="DI198" i="6"/>
  <c r="DR198" i="6" s="1"/>
  <c r="BE198" i="6"/>
  <c r="BD198" i="6"/>
  <c r="CI186" i="6"/>
  <c r="BT188" i="6"/>
  <c r="BS188" i="6"/>
  <c r="BT184" i="6"/>
  <c r="BS184" i="6"/>
  <c r="EL182" i="6"/>
  <c r="DO179" i="6"/>
  <c r="EL174" i="6"/>
  <c r="EL175" i="6"/>
  <c r="BI167" i="6"/>
  <c r="BN167" i="6"/>
  <c r="BB167" i="6"/>
  <c r="DI167" i="6"/>
  <c r="DR167" i="6" s="1"/>
  <c r="DN167" i="6" s="1"/>
  <c r="BA167" i="6"/>
  <c r="DT167" i="6"/>
  <c r="BP167" i="6"/>
  <c r="AZ167" i="6"/>
  <c r="BO167" i="6"/>
  <c r="AY167" i="6"/>
  <c r="BK167" i="6"/>
  <c r="BE167" i="6"/>
  <c r="BN165" i="6"/>
  <c r="BB165" i="6"/>
  <c r="BE165" i="6"/>
  <c r="BP165" i="6"/>
  <c r="DI165" i="6"/>
  <c r="DR165" i="6" s="1"/>
  <c r="DN165" i="6" s="1"/>
  <c r="BO165" i="6"/>
  <c r="BA165" i="6"/>
  <c r="AZ165" i="6"/>
  <c r="DT165" i="6"/>
  <c r="BK165" i="6"/>
  <c r="BI165" i="6"/>
  <c r="AY165" i="6"/>
  <c r="BS156" i="6"/>
  <c r="BT156" i="6"/>
  <c r="DQ150" i="6"/>
  <c r="DO145" i="6"/>
  <c r="DS154" i="6"/>
  <c r="DR154" i="6"/>
  <c r="DQ154" i="6" s="1"/>
  <c r="EY150" i="6"/>
  <c r="DH150" i="6"/>
  <c r="T156" i="5" s="1"/>
  <c r="EE150" i="6"/>
  <c r="DR142" i="6"/>
  <c r="DS142" i="6"/>
  <c r="DS128" i="6"/>
  <c r="DT128" i="6" s="1"/>
  <c r="BG128" i="6"/>
  <c r="DP169" i="6"/>
  <c r="BI133" i="6"/>
  <c r="DI133" i="6"/>
  <c r="DR133" i="6" s="1"/>
  <c r="BO133" i="6"/>
  <c r="BN133" i="6"/>
  <c r="BB133" i="6"/>
  <c r="BA133" i="6"/>
  <c r="BP133" i="6"/>
  <c r="BK133" i="6"/>
  <c r="BE133" i="6"/>
  <c r="AZ133" i="6"/>
  <c r="DT133" i="6"/>
  <c r="AY133" i="6"/>
  <c r="EE133" i="6"/>
  <c r="DH133" i="6"/>
  <c r="EY133" i="6"/>
  <c r="DS114" i="6"/>
  <c r="DT114" i="6" s="1"/>
  <c r="V128" i="11"/>
  <c r="DT125" i="6"/>
  <c r="J131" i="4"/>
  <c r="DU116" i="6"/>
  <c r="T134" i="5"/>
  <c r="BG108" i="6"/>
  <c r="T127" i="5"/>
  <c r="BG119" i="6"/>
  <c r="EE99" i="6"/>
  <c r="EY99" i="6"/>
  <c r="E102" i="10" s="1"/>
  <c r="BG99" i="6"/>
  <c r="EL121" i="6"/>
  <c r="EE117" i="6"/>
  <c r="DH117" i="6"/>
  <c r="EY117" i="6"/>
  <c r="E120" i="10" s="1"/>
  <c r="EY104" i="6"/>
  <c r="E107" i="10" s="1"/>
  <c r="DH104" i="6"/>
  <c r="EE104" i="6"/>
  <c r="V99" i="11"/>
  <c r="BE96" i="6"/>
  <c r="DT96" i="6"/>
  <c r="J102" i="4"/>
  <c r="BH94" i="6"/>
  <c r="DS94" i="6"/>
  <c r="DT94" i="6" s="1"/>
  <c r="DS80" i="6"/>
  <c r="DT80" i="6" s="1"/>
  <c r="EL78" i="6"/>
  <c r="V79" i="11"/>
  <c r="BE76" i="6"/>
  <c r="J82" i="4"/>
  <c r="V82" i="11"/>
  <c r="BO79" i="6"/>
  <c r="DT79" i="6"/>
  <c r="BI79" i="6"/>
  <c r="BE79" i="6"/>
  <c r="J85" i="4"/>
  <c r="V78" i="11"/>
  <c r="BI75" i="6"/>
  <c r="BE75" i="6"/>
  <c r="DT75" i="6"/>
  <c r="J81" i="4"/>
  <c r="DS77" i="6"/>
  <c r="DT77" i="6" s="1"/>
  <c r="B70" i="6"/>
  <c r="BG81" i="6"/>
  <c r="DS54" i="6"/>
  <c r="DT54" i="6" s="1"/>
  <c r="BT38" i="6"/>
  <c r="BS38" i="6"/>
  <c r="BH28" i="6"/>
  <c r="DS28" i="6"/>
  <c r="BO131" i="6"/>
  <c r="BA131" i="6"/>
  <c r="BI131" i="6"/>
  <c r="AY131" i="6"/>
  <c r="BP131" i="6"/>
  <c r="DI131" i="6"/>
  <c r="DR131" i="6" s="1"/>
  <c r="DQ131" i="6" s="1"/>
  <c r="BN131" i="6"/>
  <c r="BK131" i="6"/>
  <c r="AZ131" i="6"/>
  <c r="DT131" i="6"/>
  <c r="BE131" i="6"/>
  <c r="BB131" i="6"/>
  <c r="BS125" i="6"/>
  <c r="BT125" i="6"/>
  <c r="N131" i="4"/>
  <c r="V118" i="11"/>
  <c r="DT115" i="6"/>
  <c r="J121" i="4"/>
  <c r="V103" i="11"/>
  <c r="DT100" i="6"/>
  <c r="BE100" i="6"/>
  <c r="J106" i="4"/>
  <c r="EL118" i="6"/>
  <c r="B106" i="6"/>
  <c r="EX107" i="6"/>
  <c r="EY94" i="6"/>
  <c r="E97" i="10" s="1"/>
  <c r="EE94" i="6"/>
  <c r="DS103" i="6"/>
  <c r="DT103" i="6" s="1"/>
  <c r="BR92" i="6"/>
  <c r="BQ92" i="6"/>
  <c r="N98" i="4"/>
  <c r="V92" i="11"/>
  <c r="DT89" i="6"/>
  <c r="BE89" i="6"/>
  <c r="BI89" i="6"/>
  <c r="J95" i="4"/>
  <c r="V114" i="11"/>
  <c r="BE111" i="6"/>
  <c r="J117" i="4"/>
  <c r="V89" i="11"/>
  <c r="DT86" i="6"/>
  <c r="BE86" i="6"/>
  <c r="BO86" i="6"/>
  <c r="DI86" i="6"/>
  <c r="DR86" i="6" s="1"/>
  <c r="AY86" i="6"/>
  <c r="J92" i="4"/>
  <c r="EX89" i="6"/>
  <c r="EX95" i="6"/>
  <c r="BT91" i="6"/>
  <c r="BS91" i="6"/>
  <c r="FB87" i="6"/>
  <c r="FC88" i="6" s="1"/>
  <c r="AZ88" i="6" s="1"/>
  <c r="L94" i="4" s="1"/>
  <c r="EY87" i="6"/>
  <c r="E90" i="10" s="1"/>
  <c r="DH87" i="6"/>
  <c r="EE87" i="6"/>
  <c r="BG86" i="6"/>
  <c r="DS67" i="6"/>
  <c r="DT67" i="6" s="1"/>
  <c r="DS71" i="6"/>
  <c r="DT71" i="6" s="1"/>
  <c r="C43" i="10"/>
  <c r="C39" i="10"/>
  <c r="BI22" i="6"/>
  <c r="J199" i="5"/>
  <c r="K199" i="5" s="1"/>
  <c r="L199" i="5"/>
  <c r="J206" i="5"/>
  <c r="K206" i="5" s="1"/>
  <c r="AX54" i="6"/>
  <c r="EJ3" i="6"/>
  <c r="EI3" i="6"/>
  <c r="AX10" i="6"/>
  <c r="AX45" i="6"/>
  <c r="AX6" i="6"/>
  <c r="DT176" i="6"/>
  <c r="BE176" i="6"/>
  <c r="AZ176" i="6"/>
  <c r="BI176" i="6"/>
  <c r="BD176" i="6"/>
  <c r="BB176" i="6"/>
  <c r="BP176" i="6"/>
  <c r="BA176" i="6"/>
  <c r="BO176" i="6"/>
  <c r="AY176" i="6"/>
  <c r="BN176" i="6"/>
  <c r="BK176" i="6"/>
  <c r="DI176" i="6"/>
  <c r="DH164" i="6"/>
  <c r="EE164" i="6"/>
  <c r="EY164" i="6"/>
  <c r="BS166" i="6"/>
  <c r="BT166" i="6"/>
  <c r="EL165" i="6"/>
  <c r="BR165" i="6"/>
  <c r="BQ165" i="6"/>
  <c r="BT162" i="6"/>
  <c r="BS162" i="6"/>
  <c r="BR158" i="6"/>
  <c r="BQ158" i="6"/>
  <c r="DP145" i="6"/>
  <c r="DR140" i="6"/>
  <c r="DS140" i="6"/>
  <c r="BT145" i="6"/>
  <c r="BS145" i="6"/>
  <c r="EL145" i="6"/>
  <c r="BQ154" i="6"/>
  <c r="BR154" i="6"/>
  <c r="DO149" i="6"/>
  <c r="DR146" i="6"/>
  <c r="DS146" i="6"/>
  <c r="CI151" i="6"/>
  <c r="BR143" i="6"/>
  <c r="BQ143" i="6"/>
  <c r="BT141" i="6"/>
  <c r="BS141" i="6"/>
  <c r="BQ147" i="6"/>
  <c r="BR147" i="6"/>
  <c r="DQ147" i="6"/>
  <c r="EL131" i="6"/>
  <c r="DP134" i="6"/>
  <c r="DQ134" i="6"/>
  <c r="BR131" i="6"/>
  <c r="BQ131" i="6"/>
  <c r="BH110" i="6"/>
  <c r="BR110" i="6"/>
  <c r="BQ110" i="6"/>
  <c r="N116" i="4"/>
  <c r="T124" i="5"/>
  <c r="DS127" i="6"/>
  <c r="DT127" i="6" s="1"/>
  <c r="V116" i="11"/>
  <c r="DT113" i="6"/>
  <c r="J119" i="4"/>
  <c r="BT117" i="6"/>
  <c r="BS117" i="6"/>
  <c r="V115" i="11"/>
  <c r="DT112" i="6"/>
  <c r="BE112" i="6"/>
  <c r="J118" i="4"/>
  <c r="V109" i="11"/>
  <c r="DT106" i="6"/>
  <c r="BE106" i="6"/>
  <c r="J112" i="4"/>
  <c r="EY92" i="6"/>
  <c r="E95" i="10" s="1"/>
  <c r="EE92" i="6"/>
  <c r="CM92" i="6"/>
  <c r="AI93" i="6" s="1"/>
  <c r="CM93" i="6" s="1"/>
  <c r="AI94" i="6" s="1"/>
  <c r="CM94" i="6" s="1"/>
  <c r="AI95" i="6" s="1"/>
  <c r="CO92" i="6"/>
  <c r="AK93" i="6" s="1"/>
  <c r="CN92" i="6"/>
  <c r="AJ93" i="6" s="1"/>
  <c r="CI92" i="6"/>
  <c r="AE93" i="6" s="1"/>
  <c r="CI93" i="6" s="1"/>
  <c r="AE94" i="6" s="1"/>
  <c r="BT89" i="6"/>
  <c r="BS89" i="6"/>
  <c r="EX109" i="6"/>
  <c r="B93" i="6"/>
  <c r="EX96" i="6"/>
  <c r="DH77" i="6"/>
  <c r="EY77" i="6"/>
  <c r="E80" i="10" s="1"/>
  <c r="EE77" i="6"/>
  <c r="BG77" i="6"/>
  <c r="BT87" i="6"/>
  <c r="BS87" i="6"/>
  <c r="FE79" i="6"/>
  <c r="EX79" i="6"/>
  <c r="EX83" i="6"/>
  <c r="EE71" i="6"/>
  <c r="BG71" i="6"/>
  <c r="EY71" i="6"/>
  <c r="E74" i="10" s="1"/>
  <c r="CK71" i="6"/>
  <c r="AG72" i="6" s="1"/>
  <c r="EX66" i="6"/>
  <c r="B66" i="6"/>
  <c r="AE67" i="6"/>
  <c r="CI67" i="6" s="1"/>
  <c r="AE68" i="6" s="1"/>
  <c r="CI68" i="6" s="1"/>
  <c r="AE69" i="6" s="1"/>
  <c r="BG64" i="6"/>
  <c r="BT63" i="6"/>
  <c r="BS63" i="6"/>
  <c r="DS58" i="6"/>
  <c r="DT58" i="6" s="1"/>
  <c r="BT40" i="6"/>
  <c r="BS40" i="6"/>
  <c r="BH36" i="6"/>
  <c r="DS36" i="6"/>
  <c r="DT36" i="6" s="1"/>
  <c r="EL43" i="6"/>
  <c r="BH10" i="6"/>
  <c r="DS10" i="6"/>
  <c r="DT10" i="6" s="1"/>
  <c r="DS16" i="6"/>
  <c r="DH32" i="6"/>
  <c r="EE32" i="6"/>
  <c r="EY32" i="6"/>
  <c r="E35" i="10" s="1"/>
  <c r="T27" i="5"/>
  <c r="EL21" i="6"/>
  <c r="B24" i="10"/>
  <c r="DU21" i="6"/>
  <c r="J226" i="5"/>
  <c r="K226" i="5" s="1"/>
  <c r="L226" i="5"/>
  <c r="DQ212" i="6"/>
  <c r="BT195" i="6"/>
  <c r="BS195" i="6"/>
  <c r="DN195" i="6"/>
  <c r="EE193" i="6"/>
  <c r="EY193" i="6"/>
  <c r="DH193" i="6"/>
  <c r="DS180" i="6"/>
  <c r="DR180" i="6"/>
  <c r="DN177" i="6"/>
  <c r="T178" i="5"/>
  <c r="DP179" i="6"/>
  <c r="BN173" i="6"/>
  <c r="BB173" i="6"/>
  <c r="AY173" i="6"/>
  <c r="DI173" i="6"/>
  <c r="DR173" i="6" s="1"/>
  <c r="BK173" i="6"/>
  <c r="DT173" i="6"/>
  <c r="BE173" i="6"/>
  <c r="BO173" i="6"/>
  <c r="BI173" i="6"/>
  <c r="BA173" i="6"/>
  <c r="BP173" i="6"/>
  <c r="AZ173" i="6"/>
  <c r="DS166" i="6"/>
  <c r="DR166" i="6"/>
  <c r="EE167" i="6"/>
  <c r="EY167" i="6"/>
  <c r="DH167" i="6"/>
  <c r="BQ176" i="6"/>
  <c r="BR176" i="6"/>
  <c r="EL166" i="6"/>
  <c r="DN158" i="6"/>
  <c r="DP150" i="6"/>
  <c r="DS153" i="6"/>
  <c r="EL170" i="6"/>
  <c r="CI169" i="6"/>
  <c r="BA151" i="6"/>
  <c r="DI151" i="6"/>
  <c r="DT151" i="6"/>
  <c r="BB151" i="6"/>
  <c r="BP151" i="6"/>
  <c r="AZ151" i="6"/>
  <c r="BN151" i="6"/>
  <c r="BK151" i="6"/>
  <c r="BI151" i="6"/>
  <c r="BE151" i="6"/>
  <c r="AY151" i="6"/>
  <c r="BO151" i="6"/>
  <c r="EE143" i="6"/>
  <c r="DH143" i="6"/>
  <c r="EY143" i="6"/>
  <c r="BO139" i="6"/>
  <c r="BI139" i="6"/>
  <c r="BE139" i="6"/>
  <c r="BB139" i="6"/>
  <c r="BP139" i="6"/>
  <c r="BA139" i="6"/>
  <c r="BN139" i="6"/>
  <c r="AZ139" i="6"/>
  <c r="AY139" i="6"/>
  <c r="DI139" i="6"/>
  <c r="DR139" i="6" s="1"/>
  <c r="DQ139" i="6" s="1"/>
  <c r="BK139" i="6"/>
  <c r="DT139" i="6"/>
  <c r="DS122" i="6"/>
  <c r="DT122" i="6" s="1"/>
  <c r="AA130" i="6"/>
  <c r="CE130" i="6" s="1"/>
  <c r="AA131" i="6" s="1"/>
  <c r="CE131" i="6" s="1"/>
  <c r="AA132" i="6" s="1"/>
  <c r="CE132" i="6" s="1"/>
  <c r="Y130" i="6"/>
  <c r="DN131" i="6"/>
  <c r="B123" i="6"/>
  <c r="EL123" i="6"/>
  <c r="DH123" i="6"/>
  <c r="EX123" i="6"/>
  <c r="T133" i="5"/>
  <c r="V113" i="11"/>
  <c r="DT110" i="6"/>
  <c r="BE110" i="6"/>
  <c r="J116" i="4"/>
  <c r="DU127" i="6"/>
  <c r="EL115" i="6"/>
  <c r="AE119" i="6"/>
  <c r="CI119" i="6" s="1"/>
  <c r="AE120" i="6" s="1"/>
  <c r="CI120" i="6" s="1"/>
  <c r="AE121" i="6" s="1"/>
  <c r="CI121" i="6" s="1"/>
  <c r="AE122" i="6" s="1"/>
  <c r="CI122" i="6" s="1"/>
  <c r="AE123" i="6" s="1"/>
  <c r="CI123" i="6" s="1"/>
  <c r="AE124" i="6" s="1"/>
  <c r="CI124" i="6" s="1"/>
  <c r="AE125" i="6" s="1"/>
  <c r="CI125" i="6" s="1"/>
  <c r="AE126" i="6" s="1"/>
  <c r="CI126" i="6" s="1"/>
  <c r="AE127" i="6" s="1"/>
  <c r="CI127" i="6" s="1"/>
  <c r="AE128" i="6" s="1"/>
  <c r="CI128" i="6" s="1"/>
  <c r="AE129" i="6" s="1"/>
  <c r="CI129" i="6" s="1"/>
  <c r="EL113" i="6"/>
  <c r="EY107" i="6"/>
  <c r="E110" i="10" s="1"/>
  <c r="CK107" i="6"/>
  <c r="AG108" i="6" s="1"/>
  <c r="CK108" i="6" s="1"/>
  <c r="AG109" i="6" s="1"/>
  <c r="CK109" i="6" s="1"/>
  <c r="AG110" i="6" s="1"/>
  <c r="EE107" i="6"/>
  <c r="BT93" i="6"/>
  <c r="BS93" i="6"/>
  <c r="B111" i="6"/>
  <c r="V95" i="11"/>
  <c r="DT92" i="6"/>
  <c r="BE92" i="6"/>
  <c r="J98" i="4"/>
  <c r="B96" i="6"/>
  <c r="DH89" i="6"/>
  <c r="DU89" i="6" s="1"/>
  <c r="EE89" i="6"/>
  <c r="EY89" i="6"/>
  <c r="E92" i="10" s="1"/>
  <c r="BI137" i="6"/>
  <c r="BO137" i="6"/>
  <c r="AY137" i="6"/>
  <c r="DI137" i="6"/>
  <c r="BK137" i="6"/>
  <c r="BE137" i="6"/>
  <c r="BN137" i="6"/>
  <c r="AZ137" i="6"/>
  <c r="DT137" i="6"/>
  <c r="BB137" i="6"/>
  <c r="BP137" i="6"/>
  <c r="BA137" i="6"/>
  <c r="EF79" i="6"/>
  <c r="DS75" i="6"/>
  <c r="BH75" i="6"/>
  <c r="EL79" i="6"/>
  <c r="EX72" i="6"/>
  <c r="BI78" i="6"/>
  <c r="V67" i="11"/>
  <c r="BI64" i="6"/>
  <c r="BE64" i="6"/>
  <c r="BO64" i="6"/>
  <c r="J70" i="4"/>
  <c r="N59" i="4"/>
  <c r="DU44" i="6"/>
  <c r="V43" i="11"/>
  <c r="DT40" i="6"/>
  <c r="J46" i="4"/>
  <c r="EY24" i="6"/>
  <c r="E27" i="10" s="1"/>
  <c r="EE24" i="6"/>
  <c r="BG24" i="6"/>
  <c r="FA7" i="6"/>
  <c r="FE35" i="6"/>
  <c r="EX7" i="6"/>
  <c r="L164" i="5"/>
  <c r="J164" i="5"/>
  <c r="K164" i="5" s="1"/>
  <c r="L238" i="5"/>
  <c r="J238" i="5"/>
  <c r="K238" i="5" s="1"/>
  <c r="J160" i="5"/>
  <c r="K160" i="5" s="1"/>
  <c r="L160" i="5"/>
  <c r="DU123" i="6"/>
  <c r="N108" i="4"/>
  <c r="EX100" i="6"/>
  <c r="EL100" i="6"/>
  <c r="V112" i="11"/>
  <c r="DT109" i="6"/>
  <c r="BE109" i="6"/>
  <c r="J115" i="4"/>
  <c r="DH119" i="6"/>
  <c r="BT95" i="6"/>
  <c r="BS95" i="6"/>
  <c r="EE95" i="6"/>
  <c r="EY95" i="6"/>
  <c r="E98" i="10" s="1"/>
  <c r="CO95" i="6"/>
  <c r="AK96" i="6" s="1"/>
  <c r="CO96" i="6" s="1"/>
  <c r="AK97" i="6" s="1"/>
  <c r="CO97" i="6" s="1"/>
  <c r="AK98" i="6" s="1"/>
  <c r="CO98" i="6" s="1"/>
  <c r="AK99" i="6" s="1"/>
  <c r="CO99" i="6" s="1"/>
  <c r="AK100" i="6" s="1"/>
  <c r="CO100" i="6" s="1"/>
  <c r="AK101" i="6" s="1"/>
  <c r="CO101" i="6" s="1"/>
  <c r="AK102" i="6" s="1"/>
  <c r="CO102" i="6" s="1"/>
  <c r="AK103" i="6" s="1"/>
  <c r="CO103" i="6" s="1"/>
  <c r="AK104" i="6" s="1"/>
  <c r="CO104" i="6" s="1"/>
  <c r="AK105" i="6" s="1"/>
  <c r="CO105" i="6" s="1"/>
  <c r="AK106" i="6" s="1"/>
  <c r="CO106" i="6" s="1"/>
  <c r="AK107" i="6" s="1"/>
  <c r="CO107" i="6" s="1"/>
  <c r="AK108" i="6" s="1"/>
  <c r="CO108" i="6" s="1"/>
  <c r="AK109" i="6" s="1"/>
  <c r="CO109" i="6" s="1"/>
  <c r="AK110" i="6" s="1"/>
  <c r="CO110" i="6" s="1"/>
  <c r="AK111" i="6" s="1"/>
  <c r="CO111" i="6" s="1"/>
  <c r="AK112" i="6" s="1"/>
  <c r="CO112" i="6" s="1"/>
  <c r="AK113" i="6" s="1"/>
  <c r="CO113" i="6" s="1"/>
  <c r="AK114" i="6" s="1"/>
  <c r="CO114" i="6" s="1"/>
  <c r="AK115" i="6" s="1"/>
  <c r="CO115" i="6" s="1"/>
  <c r="AK116" i="6" s="1"/>
  <c r="CO116" i="6" s="1"/>
  <c r="AK117" i="6" s="1"/>
  <c r="CO117" i="6" s="1"/>
  <c r="AK118" i="6" s="1"/>
  <c r="CO118" i="6" s="1"/>
  <c r="AK119" i="6" s="1"/>
  <c r="CO119" i="6" s="1"/>
  <c r="AK120" i="6" s="1"/>
  <c r="CO120" i="6" s="1"/>
  <c r="AK121" i="6" s="1"/>
  <c r="CO121" i="6" s="1"/>
  <c r="AK122" i="6" s="1"/>
  <c r="CO122" i="6" s="1"/>
  <c r="AK123" i="6" s="1"/>
  <c r="CO123" i="6" s="1"/>
  <c r="AK124" i="6" s="1"/>
  <c r="CO124" i="6" s="1"/>
  <c r="AK125" i="6" s="1"/>
  <c r="CO125" i="6" s="1"/>
  <c r="AK126" i="6" s="1"/>
  <c r="CO126" i="6" s="1"/>
  <c r="AK127" i="6" s="1"/>
  <c r="CO127" i="6" s="1"/>
  <c r="AK128" i="6" s="1"/>
  <c r="CO128" i="6" s="1"/>
  <c r="AK129" i="6" s="1"/>
  <c r="CO129" i="6" s="1"/>
  <c r="AK130" i="6" s="1"/>
  <c r="CO130" i="6" s="1"/>
  <c r="AK131" i="6" s="1"/>
  <c r="CO131" i="6" s="1"/>
  <c r="AK132" i="6" s="1"/>
  <c r="CO132" i="6" s="1"/>
  <c r="AK133" i="6" s="1"/>
  <c r="CO133" i="6" s="1"/>
  <c r="AK134" i="6" s="1"/>
  <c r="CO134" i="6" s="1"/>
  <c r="AK135" i="6" s="1"/>
  <c r="CO135" i="6" s="1"/>
  <c r="AK136" i="6" s="1"/>
  <c r="CO136" i="6" s="1"/>
  <c r="AK137" i="6" s="1"/>
  <c r="CO137" i="6" s="1"/>
  <c r="AK138" i="6" s="1"/>
  <c r="CO138" i="6" s="1"/>
  <c r="AK139" i="6" s="1"/>
  <c r="CO139" i="6" s="1"/>
  <c r="AK140" i="6" s="1"/>
  <c r="CO140" i="6" s="1"/>
  <c r="AK141" i="6" s="1"/>
  <c r="CO141" i="6" s="1"/>
  <c r="AK142" i="6" s="1"/>
  <c r="CO142" i="6" s="1"/>
  <c r="AK143" i="6" s="1"/>
  <c r="CO143" i="6" s="1"/>
  <c r="AK144" i="6" s="1"/>
  <c r="CO144" i="6" s="1"/>
  <c r="AK145" i="6" s="1"/>
  <c r="CO145" i="6" s="1"/>
  <c r="AK146" i="6" s="1"/>
  <c r="CO146" i="6" s="1"/>
  <c r="AK147" i="6" s="1"/>
  <c r="CO147" i="6" s="1"/>
  <c r="AK148" i="6" s="1"/>
  <c r="CO148" i="6" s="1"/>
  <c r="AK149" i="6" s="1"/>
  <c r="CO149" i="6" s="1"/>
  <c r="AK150" i="6" s="1"/>
  <c r="CO150" i="6" s="1"/>
  <c r="AK151" i="6" s="1"/>
  <c r="CO151" i="6" s="1"/>
  <c r="AK152" i="6" s="1"/>
  <c r="CO152" i="6" s="1"/>
  <c r="AK153" i="6" s="1"/>
  <c r="CO153" i="6" s="1"/>
  <c r="AK154" i="6" s="1"/>
  <c r="CO154" i="6" s="1"/>
  <c r="AK155" i="6" s="1"/>
  <c r="CO155" i="6" s="1"/>
  <c r="AK156" i="6" s="1"/>
  <c r="CO156" i="6" s="1"/>
  <c r="AK157" i="6" s="1"/>
  <c r="CO157" i="6" s="1"/>
  <c r="AK158" i="6" s="1"/>
  <c r="CO158" i="6" s="1"/>
  <c r="AK159" i="6" s="1"/>
  <c r="CO159" i="6" s="1"/>
  <c r="AK160" i="6" s="1"/>
  <c r="CO160" i="6" s="1"/>
  <c r="AK161" i="6" s="1"/>
  <c r="CO161" i="6" s="1"/>
  <c r="AK162" i="6" s="1"/>
  <c r="CO162" i="6" s="1"/>
  <c r="AK163" i="6" s="1"/>
  <c r="CO163" i="6" s="1"/>
  <c r="AK164" i="6" s="1"/>
  <c r="CO164" i="6" s="1"/>
  <c r="AK165" i="6" s="1"/>
  <c r="CO165" i="6" s="1"/>
  <c r="AK166" i="6" s="1"/>
  <c r="CO166" i="6" s="1"/>
  <c r="AK167" i="6" s="1"/>
  <c r="CO167" i="6" s="1"/>
  <c r="AK168" i="6" s="1"/>
  <c r="CO168" i="6" s="1"/>
  <c r="AK169" i="6" s="1"/>
  <c r="CO169" i="6" s="1"/>
  <c r="AK170" i="6" s="1"/>
  <c r="CO170" i="6" s="1"/>
  <c r="AK171" i="6" s="1"/>
  <c r="CO171" i="6" s="1"/>
  <c r="AK172" i="6" s="1"/>
  <c r="CO172" i="6" s="1"/>
  <c r="AK173" i="6" s="1"/>
  <c r="CO173" i="6" s="1"/>
  <c r="AK174" i="6" s="1"/>
  <c r="CO174" i="6" s="1"/>
  <c r="AK175" i="6" s="1"/>
  <c r="CO175" i="6" s="1"/>
  <c r="AK176" i="6" s="1"/>
  <c r="CO176" i="6" s="1"/>
  <c r="AK177" i="6" s="1"/>
  <c r="CO177" i="6" s="1"/>
  <c r="AK178" i="6" s="1"/>
  <c r="CO178" i="6" s="1"/>
  <c r="AK179" i="6" s="1"/>
  <c r="CO179" i="6" s="1"/>
  <c r="AK180" i="6" s="1"/>
  <c r="CO180" i="6" s="1"/>
  <c r="AK181" i="6" s="1"/>
  <c r="CO181" i="6" s="1"/>
  <c r="AK182" i="6" s="1"/>
  <c r="CO182" i="6" s="1"/>
  <c r="AK183" i="6" s="1"/>
  <c r="CO183" i="6" s="1"/>
  <c r="AK184" i="6" s="1"/>
  <c r="CO184" i="6" s="1"/>
  <c r="AK185" i="6" s="1"/>
  <c r="CO185" i="6" s="1"/>
  <c r="AK186" i="6" s="1"/>
  <c r="CO186" i="6" s="1"/>
  <c r="AK187" i="6" s="1"/>
  <c r="CO187" i="6" s="1"/>
  <c r="AK188" i="6" s="1"/>
  <c r="CO188" i="6" s="1"/>
  <c r="AK189" i="6" s="1"/>
  <c r="CO189" i="6" s="1"/>
  <c r="AK190" i="6" s="1"/>
  <c r="CO190" i="6" s="1"/>
  <c r="AK191" i="6" s="1"/>
  <c r="CO191" i="6" s="1"/>
  <c r="AK192" i="6" s="1"/>
  <c r="CO192" i="6" s="1"/>
  <c r="AK193" i="6" s="1"/>
  <c r="CO193" i="6" s="1"/>
  <c r="AK194" i="6" s="1"/>
  <c r="CO194" i="6" s="1"/>
  <c r="AK195" i="6" s="1"/>
  <c r="CO195" i="6" s="1"/>
  <c r="AK196" i="6" s="1"/>
  <c r="CO196" i="6" s="1"/>
  <c r="AK197" i="6" s="1"/>
  <c r="CO197" i="6" s="1"/>
  <c r="AK198" i="6" s="1"/>
  <c r="CO198" i="6" s="1"/>
  <c r="AK199" i="6" s="1"/>
  <c r="CO199" i="6" s="1"/>
  <c r="AK200" i="6" s="1"/>
  <c r="CO200" i="6" s="1"/>
  <c r="AK201" i="6" s="1"/>
  <c r="CO201" i="6" s="1"/>
  <c r="AK202" i="6" s="1"/>
  <c r="CO202" i="6" s="1"/>
  <c r="AK203" i="6" s="1"/>
  <c r="CO203" i="6" s="1"/>
  <c r="AK204" i="6" s="1"/>
  <c r="CO204" i="6" s="1"/>
  <c r="AK205" i="6" s="1"/>
  <c r="CO205" i="6" s="1"/>
  <c r="AK206" i="6" s="1"/>
  <c r="CO206" i="6" s="1"/>
  <c r="AK207" i="6" s="1"/>
  <c r="CO207" i="6" s="1"/>
  <c r="AK208" i="6" s="1"/>
  <c r="CO208" i="6" s="1"/>
  <c r="AK209" i="6" s="1"/>
  <c r="CO209" i="6" s="1"/>
  <c r="AK210" i="6" s="1"/>
  <c r="CO210" i="6" s="1"/>
  <c r="AK211" i="6" s="1"/>
  <c r="CO211" i="6" s="1"/>
  <c r="AK212" i="6" s="1"/>
  <c r="CO212" i="6" s="1"/>
  <c r="AK213" i="6" s="1"/>
  <c r="CO213" i="6" s="1"/>
  <c r="AK214" i="6" s="1"/>
  <c r="CO214" i="6" s="1"/>
  <c r="AK215" i="6" s="1"/>
  <c r="CO215" i="6" s="1"/>
  <c r="AK216" i="6" s="1"/>
  <c r="CO216" i="6" s="1"/>
  <c r="AK217" i="6" s="1"/>
  <c r="CO217" i="6" s="1"/>
  <c r="AK218" i="6" s="1"/>
  <c r="CO218" i="6" s="1"/>
  <c r="AK219" i="6" s="1"/>
  <c r="CO219" i="6" s="1"/>
  <c r="AK220" i="6" s="1"/>
  <c r="CO220" i="6" s="1"/>
  <c r="AK221" i="6" s="1"/>
  <c r="CO221" i="6" s="1"/>
  <c r="AK222" i="6" s="1"/>
  <c r="CO222" i="6" s="1"/>
  <c r="AK223" i="6" s="1"/>
  <c r="CO223" i="6" s="1"/>
  <c r="AK224" i="6" s="1"/>
  <c r="CO224" i="6" s="1"/>
  <c r="AK225" i="6" s="1"/>
  <c r="CO225" i="6" s="1"/>
  <c r="AK226" i="6" s="1"/>
  <c r="CO226" i="6" s="1"/>
  <c r="AK227" i="6" s="1"/>
  <c r="CO227" i="6" s="1"/>
  <c r="AK228" i="6" s="1"/>
  <c r="CO228" i="6" s="1"/>
  <c r="AK229" i="6" s="1"/>
  <c r="CO229" i="6" s="1"/>
  <c r="AK230" i="6" s="1"/>
  <c r="CO230" i="6" s="1"/>
  <c r="AK231" i="6" s="1"/>
  <c r="CO231" i="6" s="1"/>
  <c r="AK232" i="6" s="1"/>
  <c r="CO232" i="6" s="1"/>
  <c r="AK233" i="6" s="1"/>
  <c r="CO233" i="6" s="1"/>
  <c r="AK234" i="6" s="1"/>
  <c r="CO234" i="6" s="1"/>
  <c r="AK235" i="6" s="1"/>
  <c r="CO235" i="6" s="1"/>
  <c r="AK236" i="6" s="1"/>
  <c r="CO236" i="6" s="1"/>
  <c r="AK237" i="6" s="1"/>
  <c r="CO237" i="6" s="1"/>
  <c r="AK238" i="6" s="1"/>
  <c r="CO238" i="6" s="1"/>
  <c r="AK239" i="6" s="1"/>
  <c r="CO239" i="6" s="1"/>
  <c r="AK240" i="6" s="1"/>
  <c r="CO240" i="6" s="1"/>
  <c r="AK241" i="6" s="1"/>
  <c r="CO241" i="6" s="1"/>
  <c r="AK242" i="6" s="1"/>
  <c r="CO242" i="6" s="1"/>
  <c r="CN95" i="6"/>
  <c r="AJ96" i="6" s="1"/>
  <c r="CN96" i="6" s="1"/>
  <c r="AJ97" i="6" s="1"/>
  <c r="CN97" i="6" s="1"/>
  <c r="AJ98" i="6" s="1"/>
  <c r="DU86" i="6"/>
  <c r="T92" i="5"/>
  <c r="DS76" i="6"/>
  <c r="DT76" i="6" s="1"/>
  <c r="V94" i="11"/>
  <c r="BI91" i="6"/>
  <c r="DT91" i="6"/>
  <c r="BE91" i="6"/>
  <c r="J97" i="4"/>
  <c r="FB86" i="6"/>
  <c r="CL68" i="6"/>
  <c r="AH69" i="6" s="1"/>
  <c r="CL69" i="6" s="1"/>
  <c r="AH70" i="6" s="1"/>
  <c r="CL70" i="6" s="1"/>
  <c r="AH71" i="6" s="1"/>
  <c r="CL71" i="6" s="1"/>
  <c r="AH72" i="6" s="1"/>
  <c r="CL72" i="6" s="1"/>
  <c r="AH73" i="6" s="1"/>
  <c r="CL73" i="6" s="1"/>
  <c r="AH74" i="6" s="1"/>
  <c r="CL74" i="6" s="1"/>
  <c r="AH75" i="6" s="1"/>
  <c r="CL75" i="6" s="1"/>
  <c r="AH76" i="6" s="1"/>
  <c r="CL76" i="6" s="1"/>
  <c r="AH77" i="6" s="1"/>
  <c r="CL77" i="6" s="1"/>
  <c r="AH78" i="6" s="1"/>
  <c r="CL78" i="6" s="1"/>
  <c r="AH79" i="6" s="1"/>
  <c r="EE68" i="6"/>
  <c r="BO68" i="6"/>
  <c r="EY68" i="6"/>
  <c r="E71" i="10" s="1"/>
  <c r="BG68" i="6"/>
  <c r="DT68" i="6"/>
  <c r="BH66" i="6"/>
  <c r="EY73" i="6"/>
  <c r="E76" i="10" s="1"/>
  <c r="EE73" i="6"/>
  <c r="T82" i="5"/>
  <c r="DS43" i="6"/>
  <c r="DT43" i="6" s="1"/>
  <c r="CL54" i="6"/>
  <c r="AH55" i="6" s="1"/>
  <c r="CL55" i="6" s="1"/>
  <c r="AH56" i="6" s="1"/>
  <c r="CL56" i="6" s="1"/>
  <c r="AH57" i="6" s="1"/>
  <c r="CL57" i="6" s="1"/>
  <c r="AH58" i="6" s="1"/>
  <c r="CL58" i="6" s="1"/>
  <c r="AH59" i="6" s="1"/>
  <c r="CL59" i="6" s="1"/>
  <c r="AH60" i="6" s="1"/>
  <c r="CL60" i="6" s="1"/>
  <c r="AH61" i="6" s="1"/>
  <c r="CL61" i="6" s="1"/>
  <c r="AH62" i="6" s="1"/>
  <c r="EY54" i="6"/>
  <c r="E57" i="10" s="1"/>
  <c r="DH54" i="6"/>
  <c r="AX7" i="6"/>
  <c r="EX15" i="6"/>
  <c r="B15" i="6"/>
  <c r="AE15" i="6"/>
  <c r="CI15" i="6" s="1"/>
  <c r="AE16" i="6" s="1"/>
  <c r="CI16" i="6" s="1"/>
  <c r="AE17" i="6" s="1"/>
  <c r="CI17" i="6" s="1"/>
  <c r="AE18" i="6" s="1"/>
  <c r="CI18" i="6" s="1"/>
  <c r="AE19" i="6" s="1"/>
  <c r="CI19" i="6" s="1"/>
  <c r="AE20" i="6" s="1"/>
  <c r="CI20" i="6" s="1"/>
  <c r="AE21" i="6" s="1"/>
  <c r="CI21" i="6" s="1"/>
  <c r="J184" i="5"/>
  <c r="K184" i="5" s="1"/>
  <c r="L184" i="5"/>
  <c r="BT3" i="6"/>
  <c r="BS3" i="6"/>
  <c r="CG3" i="6"/>
  <c r="AC4" i="6" s="1"/>
  <c r="CG4" i="6" s="1"/>
  <c r="AC5" i="6" s="1"/>
  <c r="CG5" i="6" s="1"/>
  <c r="AC6" i="6" s="1"/>
  <c r="CL81" i="6"/>
  <c r="AH82" i="6" s="1"/>
  <c r="CL82" i="6" s="1"/>
  <c r="AH83" i="6" s="1"/>
  <c r="CL83" i="6" s="1"/>
  <c r="AH84" i="6" s="1"/>
  <c r="CL84" i="6" s="1"/>
  <c r="AH85" i="6" s="1"/>
  <c r="CL85" i="6" s="1"/>
  <c r="AH86" i="6" s="1"/>
  <c r="EY81" i="6"/>
  <c r="E84" i="10" s="1"/>
  <c r="EE81" i="6"/>
  <c r="DS51" i="6"/>
  <c r="DT51" i="6" s="1"/>
  <c r="EE58" i="6"/>
  <c r="EY58" i="6"/>
  <c r="E61" i="10" s="1"/>
  <c r="BG58" i="6"/>
  <c r="EF53" i="6"/>
  <c r="EF54" i="6" s="1"/>
  <c r="T59" i="5"/>
  <c r="DS44" i="6"/>
  <c r="DT44" i="6" s="1"/>
  <c r="EL48" i="6"/>
  <c r="BT12" i="6"/>
  <c r="BS12" i="6"/>
  <c r="EE18" i="6"/>
  <c r="EY18" i="6"/>
  <c r="E21" i="10" s="1"/>
  <c r="DH18" i="6"/>
  <c r="CK26" i="6"/>
  <c r="AG27" i="6" s="1"/>
  <c r="EY26" i="6"/>
  <c r="E29" i="10" s="1"/>
  <c r="DS12" i="6"/>
  <c r="CQ6" i="6"/>
  <c r="AM7" i="6" s="1"/>
  <c r="CQ7" i="6" s="1"/>
  <c r="AM8" i="6" s="1"/>
  <c r="CQ8" i="6" s="1"/>
  <c r="AM9" i="6" s="1"/>
  <c r="CQ9" i="6" s="1"/>
  <c r="AM10" i="6" s="1"/>
  <c r="CQ10" i="6" s="1"/>
  <c r="AM11" i="6" s="1"/>
  <c r="CQ11" i="6" s="1"/>
  <c r="AM12" i="6" s="1"/>
  <c r="CQ12" i="6" s="1"/>
  <c r="AM13" i="6" s="1"/>
  <c r="CQ13" i="6" s="1"/>
  <c r="AM14" i="6" s="1"/>
  <c r="CQ14" i="6" s="1"/>
  <c r="AM15" i="6" s="1"/>
  <c r="CQ15" i="6" s="1"/>
  <c r="AM16" i="6" s="1"/>
  <c r="CQ16" i="6" s="1"/>
  <c r="AM17" i="6" s="1"/>
  <c r="CQ17" i="6" s="1"/>
  <c r="AM18" i="6" s="1"/>
  <c r="CQ18" i="6" s="1"/>
  <c r="AM19" i="6" s="1"/>
  <c r="CQ19" i="6" s="1"/>
  <c r="AM20" i="6" s="1"/>
  <c r="CQ20" i="6" s="1"/>
  <c r="AM21" i="6" s="1"/>
  <c r="CQ21" i="6" s="1"/>
  <c r="AM22" i="6" s="1"/>
  <c r="CQ22" i="6" s="1"/>
  <c r="AM23" i="6" s="1"/>
  <c r="CQ23" i="6" s="1"/>
  <c r="AM24" i="6" s="1"/>
  <c r="CQ24" i="6" s="1"/>
  <c r="AM25" i="6" s="1"/>
  <c r="CQ25" i="6" s="1"/>
  <c r="AM26" i="6" s="1"/>
  <c r="CQ26" i="6" s="1"/>
  <c r="AM27" i="6" s="1"/>
  <c r="CQ27" i="6" s="1"/>
  <c r="AM28" i="6" s="1"/>
  <c r="CQ28" i="6" s="1"/>
  <c r="AM29" i="6" s="1"/>
  <c r="CQ29" i="6" s="1"/>
  <c r="AM30" i="6" s="1"/>
  <c r="CQ30" i="6" s="1"/>
  <c r="AM31" i="6" s="1"/>
  <c r="CQ31" i="6" s="1"/>
  <c r="AM32" i="6" s="1"/>
  <c r="CQ32" i="6" s="1"/>
  <c r="AM33" i="6" s="1"/>
  <c r="CQ33" i="6" s="1"/>
  <c r="AM34" i="6" s="1"/>
  <c r="CQ34" i="6" s="1"/>
  <c r="AM35" i="6" s="1"/>
  <c r="CQ35" i="6" s="1"/>
  <c r="AM36" i="6" s="1"/>
  <c r="CQ36" i="6" s="1"/>
  <c r="AM37" i="6" s="1"/>
  <c r="CQ37" i="6" s="1"/>
  <c r="AM38" i="6" s="1"/>
  <c r="CQ38" i="6" s="1"/>
  <c r="AM39" i="6" s="1"/>
  <c r="CQ39" i="6" s="1"/>
  <c r="AM40" i="6" s="1"/>
  <c r="CQ40" i="6" s="1"/>
  <c r="AM41" i="6" s="1"/>
  <c r="CQ41" i="6" s="1"/>
  <c r="AM42" i="6" s="1"/>
  <c r="CQ42" i="6" s="1"/>
  <c r="AM43" i="6" s="1"/>
  <c r="CQ43" i="6" s="1"/>
  <c r="AM44" i="6" s="1"/>
  <c r="CQ44" i="6" s="1"/>
  <c r="AM45" i="6" s="1"/>
  <c r="CQ45" i="6" s="1"/>
  <c r="AM46" i="6" s="1"/>
  <c r="CQ46" i="6" s="1"/>
  <c r="AM47" i="6" s="1"/>
  <c r="CQ47" i="6" s="1"/>
  <c r="AM48" i="6" s="1"/>
  <c r="CQ48" i="6" s="1"/>
  <c r="AM49" i="6" s="1"/>
  <c r="CQ49" i="6" s="1"/>
  <c r="AM50" i="6" s="1"/>
  <c r="CQ50" i="6" s="1"/>
  <c r="AM51" i="6" s="1"/>
  <c r="CQ51" i="6" s="1"/>
  <c r="AM52" i="6" s="1"/>
  <c r="CQ52" i="6" s="1"/>
  <c r="AM53" i="6" s="1"/>
  <c r="CQ53" i="6" s="1"/>
  <c r="AM54" i="6" s="1"/>
  <c r="CQ54" i="6" s="1"/>
  <c r="AM55" i="6" s="1"/>
  <c r="CQ55" i="6" s="1"/>
  <c r="AM56" i="6" s="1"/>
  <c r="CQ56" i="6" s="1"/>
  <c r="AM57" i="6" s="1"/>
  <c r="CQ57" i="6" s="1"/>
  <c r="AM58" i="6" s="1"/>
  <c r="CQ58" i="6" s="1"/>
  <c r="AM59" i="6" s="1"/>
  <c r="CQ59" i="6" s="1"/>
  <c r="AM60" i="6" s="1"/>
  <c r="CQ60" i="6" s="1"/>
  <c r="AM61" i="6" s="1"/>
  <c r="CQ61" i="6" s="1"/>
  <c r="AM62" i="6" s="1"/>
  <c r="CQ62" i="6" s="1"/>
  <c r="AM63" i="6" s="1"/>
  <c r="CQ63" i="6" s="1"/>
  <c r="AM64" i="6" s="1"/>
  <c r="CQ64" i="6" s="1"/>
  <c r="AM65" i="6" s="1"/>
  <c r="CQ65" i="6" s="1"/>
  <c r="AM66" i="6" s="1"/>
  <c r="CQ66" i="6" s="1"/>
  <c r="AM67" i="6" s="1"/>
  <c r="CQ67" i="6" s="1"/>
  <c r="AM68" i="6" s="1"/>
  <c r="CQ68" i="6" s="1"/>
  <c r="AM69" i="6" s="1"/>
  <c r="CQ69" i="6" s="1"/>
  <c r="AM70" i="6" s="1"/>
  <c r="CQ70" i="6" s="1"/>
  <c r="AM71" i="6" s="1"/>
  <c r="CQ71" i="6" s="1"/>
  <c r="AM72" i="6" s="1"/>
  <c r="CQ72" i="6" s="1"/>
  <c r="AM73" i="6" s="1"/>
  <c r="CQ73" i="6" s="1"/>
  <c r="AM74" i="6" s="1"/>
  <c r="CQ74" i="6" s="1"/>
  <c r="AM75" i="6" s="1"/>
  <c r="CQ75" i="6" s="1"/>
  <c r="AM76" i="6" s="1"/>
  <c r="CQ76" i="6" s="1"/>
  <c r="AM77" i="6" s="1"/>
  <c r="CQ77" i="6" s="1"/>
  <c r="AM78" i="6" s="1"/>
  <c r="CQ78" i="6" s="1"/>
  <c r="AM79" i="6" s="1"/>
  <c r="CQ79" i="6" s="1"/>
  <c r="AM80" i="6" s="1"/>
  <c r="CQ80" i="6" s="1"/>
  <c r="AM81" i="6" s="1"/>
  <c r="CQ81" i="6" s="1"/>
  <c r="AM82" i="6" s="1"/>
  <c r="CQ82" i="6" s="1"/>
  <c r="AM83" i="6" s="1"/>
  <c r="CQ83" i="6" s="1"/>
  <c r="AM84" i="6" s="1"/>
  <c r="CQ84" i="6" s="1"/>
  <c r="AM85" i="6" s="1"/>
  <c r="CQ85" i="6" s="1"/>
  <c r="AM86" i="6" s="1"/>
  <c r="CQ86" i="6" s="1"/>
  <c r="AM87" i="6" s="1"/>
  <c r="CQ87" i="6" s="1"/>
  <c r="AM88" i="6" s="1"/>
  <c r="CQ88" i="6" s="1"/>
  <c r="AM89" i="6" s="1"/>
  <c r="CQ89" i="6" s="1"/>
  <c r="AM90" i="6" s="1"/>
  <c r="CQ90" i="6" s="1"/>
  <c r="AM91" i="6" s="1"/>
  <c r="CQ91" i="6" s="1"/>
  <c r="AM92" i="6" s="1"/>
  <c r="CQ92" i="6" s="1"/>
  <c r="AM93" i="6" s="1"/>
  <c r="CQ93" i="6" s="1"/>
  <c r="AM94" i="6" s="1"/>
  <c r="CQ94" i="6" s="1"/>
  <c r="AM95" i="6" s="1"/>
  <c r="CQ95" i="6" s="1"/>
  <c r="AM96" i="6" s="1"/>
  <c r="CQ96" i="6" s="1"/>
  <c r="AM97" i="6" s="1"/>
  <c r="CQ97" i="6" s="1"/>
  <c r="AM98" i="6" s="1"/>
  <c r="CQ98" i="6" s="1"/>
  <c r="AM99" i="6" s="1"/>
  <c r="CQ99" i="6" s="1"/>
  <c r="AM100" i="6" s="1"/>
  <c r="CQ100" i="6" s="1"/>
  <c r="AM101" i="6" s="1"/>
  <c r="CQ101" i="6" s="1"/>
  <c r="AM102" i="6" s="1"/>
  <c r="CQ102" i="6" s="1"/>
  <c r="AM103" i="6" s="1"/>
  <c r="CQ103" i="6" s="1"/>
  <c r="AM104" i="6" s="1"/>
  <c r="CQ104" i="6" s="1"/>
  <c r="AM105" i="6" s="1"/>
  <c r="CQ105" i="6" s="1"/>
  <c r="AM106" i="6" s="1"/>
  <c r="CQ106" i="6" s="1"/>
  <c r="AM107" i="6" s="1"/>
  <c r="CQ107" i="6" s="1"/>
  <c r="AM108" i="6" s="1"/>
  <c r="CQ108" i="6" s="1"/>
  <c r="AM109" i="6" s="1"/>
  <c r="CQ109" i="6" s="1"/>
  <c r="AM110" i="6" s="1"/>
  <c r="CQ110" i="6" s="1"/>
  <c r="AM111" i="6" s="1"/>
  <c r="CQ111" i="6" s="1"/>
  <c r="AM112" i="6" s="1"/>
  <c r="CQ112" i="6" s="1"/>
  <c r="AM113" i="6" s="1"/>
  <c r="CQ113" i="6" s="1"/>
  <c r="AM114" i="6" s="1"/>
  <c r="CQ114" i="6" s="1"/>
  <c r="AM115" i="6" s="1"/>
  <c r="CQ115" i="6" s="1"/>
  <c r="AM116" i="6" s="1"/>
  <c r="CQ116" i="6" s="1"/>
  <c r="AM117" i="6" s="1"/>
  <c r="CQ117" i="6" s="1"/>
  <c r="AM118" i="6" s="1"/>
  <c r="CQ118" i="6" s="1"/>
  <c r="AM119" i="6" s="1"/>
  <c r="CQ119" i="6" s="1"/>
  <c r="AM120" i="6" s="1"/>
  <c r="CQ120" i="6" s="1"/>
  <c r="AM121" i="6" s="1"/>
  <c r="CQ121" i="6" s="1"/>
  <c r="AM122" i="6" s="1"/>
  <c r="CQ122" i="6" s="1"/>
  <c r="AM123" i="6" s="1"/>
  <c r="CQ123" i="6" s="1"/>
  <c r="AM124" i="6" s="1"/>
  <c r="CQ124" i="6" s="1"/>
  <c r="AM125" i="6" s="1"/>
  <c r="CQ125" i="6" s="1"/>
  <c r="AM126" i="6" s="1"/>
  <c r="CQ126" i="6" s="1"/>
  <c r="AM127" i="6" s="1"/>
  <c r="CQ127" i="6" s="1"/>
  <c r="AM128" i="6" s="1"/>
  <c r="CQ128" i="6" s="1"/>
  <c r="AM129" i="6" s="1"/>
  <c r="CQ129" i="6" s="1"/>
  <c r="AM130" i="6" s="1"/>
  <c r="CQ130" i="6" s="1"/>
  <c r="AM131" i="6" s="1"/>
  <c r="CQ131" i="6" s="1"/>
  <c r="AM132" i="6" s="1"/>
  <c r="CQ132" i="6" s="1"/>
  <c r="AM133" i="6" s="1"/>
  <c r="CQ133" i="6" s="1"/>
  <c r="AM134" i="6" s="1"/>
  <c r="CQ134" i="6" s="1"/>
  <c r="AM135" i="6" s="1"/>
  <c r="CQ135" i="6" s="1"/>
  <c r="AM136" i="6" s="1"/>
  <c r="CQ136" i="6" s="1"/>
  <c r="AM137" i="6" s="1"/>
  <c r="CQ137" i="6" s="1"/>
  <c r="AM138" i="6" s="1"/>
  <c r="CQ138" i="6" s="1"/>
  <c r="AM139" i="6" s="1"/>
  <c r="CQ139" i="6" s="1"/>
  <c r="AM140" i="6" s="1"/>
  <c r="CQ140" i="6" s="1"/>
  <c r="AM141" i="6" s="1"/>
  <c r="CQ141" i="6" s="1"/>
  <c r="AM142" i="6" s="1"/>
  <c r="CQ142" i="6" s="1"/>
  <c r="AM143" i="6" s="1"/>
  <c r="CQ143" i="6" s="1"/>
  <c r="AM144" i="6" s="1"/>
  <c r="CQ144" i="6" s="1"/>
  <c r="AM145" i="6" s="1"/>
  <c r="CQ145" i="6" s="1"/>
  <c r="AM146" i="6" s="1"/>
  <c r="CQ146" i="6" s="1"/>
  <c r="AM147" i="6" s="1"/>
  <c r="CQ147" i="6" s="1"/>
  <c r="AM148" i="6" s="1"/>
  <c r="CQ148" i="6" s="1"/>
  <c r="AM149" i="6" s="1"/>
  <c r="CQ149" i="6" s="1"/>
  <c r="AM150" i="6" s="1"/>
  <c r="CQ150" i="6" s="1"/>
  <c r="AM151" i="6" s="1"/>
  <c r="CQ151" i="6" s="1"/>
  <c r="AM152" i="6" s="1"/>
  <c r="CQ152" i="6" s="1"/>
  <c r="AM153" i="6" s="1"/>
  <c r="CQ153" i="6" s="1"/>
  <c r="AM154" i="6" s="1"/>
  <c r="CQ154" i="6" s="1"/>
  <c r="AM155" i="6" s="1"/>
  <c r="CQ155" i="6" s="1"/>
  <c r="AM156" i="6" s="1"/>
  <c r="CQ156" i="6" s="1"/>
  <c r="AM157" i="6" s="1"/>
  <c r="CQ157" i="6" s="1"/>
  <c r="AM158" i="6" s="1"/>
  <c r="CQ158" i="6" s="1"/>
  <c r="AM159" i="6" s="1"/>
  <c r="CQ159" i="6" s="1"/>
  <c r="AM160" i="6" s="1"/>
  <c r="CQ160" i="6" s="1"/>
  <c r="AM161" i="6" s="1"/>
  <c r="CQ161" i="6" s="1"/>
  <c r="AM162" i="6" s="1"/>
  <c r="CQ162" i="6" s="1"/>
  <c r="AM163" i="6" s="1"/>
  <c r="CQ163" i="6" s="1"/>
  <c r="AM164" i="6" s="1"/>
  <c r="CQ164" i="6" s="1"/>
  <c r="AM165" i="6" s="1"/>
  <c r="CQ165" i="6" s="1"/>
  <c r="AM166" i="6" s="1"/>
  <c r="CQ166" i="6" s="1"/>
  <c r="AM167" i="6" s="1"/>
  <c r="CQ167" i="6" s="1"/>
  <c r="AM168" i="6" s="1"/>
  <c r="CQ168" i="6" s="1"/>
  <c r="AM169" i="6" s="1"/>
  <c r="CQ169" i="6" s="1"/>
  <c r="AM170" i="6" s="1"/>
  <c r="CQ170" i="6" s="1"/>
  <c r="AM171" i="6" s="1"/>
  <c r="CQ171" i="6" s="1"/>
  <c r="AM172" i="6" s="1"/>
  <c r="CQ172" i="6" s="1"/>
  <c r="AM173" i="6" s="1"/>
  <c r="CQ173" i="6" s="1"/>
  <c r="AM174" i="6" s="1"/>
  <c r="CQ174" i="6" s="1"/>
  <c r="AM175" i="6" s="1"/>
  <c r="CQ175" i="6" s="1"/>
  <c r="AM176" i="6" s="1"/>
  <c r="CQ176" i="6" s="1"/>
  <c r="AM177" i="6" s="1"/>
  <c r="CQ177" i="6" s="1"/>
  <c r="AM178" i="6" s="1"/>
  <c r="CQ178" i="6" s="1"/>
  <c r="AM179" i="6" s="1"/>
  <c r="CQ179" i="6" s="1"/>
  <c r="AM180" i="6" s="1"/>
  <c r="CQ180" i="6" s="1"/>
  <c r="AM181" i="6" s="1"/>
  <c r="CQ181" i="6" s="1"/>
  <c r="AM182" i="6" s="1"/>
  <c r="CQ182" i="6" s="1"/>
  <c r="AM183" i="6" s="1"/>
  <c r="CQ183" i="6" s="1"/>
  <c r="AM184" i="6" s="1"/>
  <c r="CQ184" i="6" s="1"/>
  <c r="AM185" i="6" s="1"/>
  <c r="CQ185" i="6" s="1"/>
  <c r="AM186" i="6" s="1"/>
  <c r="CQ186" i="6" s="1"/>
  <c r="AM187" i="6" s="1"/>
  <c r="CQ187" i="6" s="1"/>
  <c r="AM188" i="6" s="1"/>
  <c r="CQ188" i="6" s="1"/>
  <c r="AM189" i="6" s="1"/>
  <c r="CQ189" i="6" s="1"/>
  <c r="AM190" i="6" s="1"/>
  <c r="CQ190" i="6" s="1"/>
  <c r="AM191" i="6" s="1"/>
  <c r="CQ191" i="6" s="1"/>
  <c r="AM192" i="6" s="1"/>
  <c r="CQ192" i="6" s="1"/>
  <c r="AM193" i="6" s="1"/>
  <c r="CQ193" i="6" s="1"/>
  <c r="AM194" i="6" s="1"/>
  <c r="CQ194" i="6" s="1"/>
  <c r="AM195" i="6" s="1"/>
  <c r="CQ195" i="6" s="1"/>
  <c r="AM196" i="6" s="1"/>
  <c r="CQ196" i="6" s="1"/>
  <c r="AM197" i="6" s="1"/>
  <c r="CQ197" i="6" s="1"/>
  <c r="AM198" i="6" s="1"/>
  <c r="CQ198" i="6" s="1"/>
  <c r="AM199" i="6" s="1"/>
  <c r="CQ199" i="6" s="1"/>
  <c r="AM200" i="6" s="1"/>
  <c r="CQ200" i="6" s="1"/>
  <c r="AM201" i="6" s="1"/>
  <c r="CQ201" i="6" s="1"/>
  <c r="AM202" i="6" s="1"/>
  <c r="CQ202" i="6" s="1"/>
  <c r="AM203" i="6" s="1"/>
  <c r="CQ203" i="6" s="1"/>
  <c r="AM204" i="6" s="1"/>
  <c r="CQ204" i="6" s="1"/>
  <c r="AM205" i="6" s="1"/>
  <c r="CQ205" i="6" s="1"/>
  <c r="AM206" i="6" s="1"/>
  <c r="CQ206" i="6" s="1"/>
  <c r="AM207" i="6" s="1"/>
  <c r="CQ207" i="6" s="1"/>
  <c r="AM208" i="6" s="1"/>
  <c r="CQ208" i="6" s="1"/>
  <c r="AM209" i="6" s="1"/>
  <c r="CQ209" i="6" s="1"/>
  <c r="AM210" i="6" s="1"/>
  <c r="CQ210" i="6" s="1"/>
  <c r="AM211" i="6" s="1"/>
  <c r="CQ211" i="6" s="1"/>
  <c r="AM212" i="6" s="1"/>
  <c r="CQ212" i="6" s="1"/>
  <c r="AM213" i="6" s="1"/>
  <c r="CQ213" i="6" s="1"/>
  <c r="AM214" i="6" s="1"/>
  <c r="CQ214" i="6" s="1"/>
  <c r="AM215" i="6" s="1"/>
  <c r="CQ215" i="6" s="1"/>
  <c r="AM216" i="6" s="1"/>
  <c r="CQ216" i="6" s="1"/>
  <c r="AM217" i="6" s="1"/>
  <c r="CQ217" i="6" s="1"/>
  <c r="AM218" i="6" s="1"/>
  <c r="CQ218" i="6" s="1"/>
  <c r="AM219" i="6" s="1"/>
  <c r="CQ219" i="6" s="1"/>
  <c r="AM220" i="6" s="1"/>
  <c r="CQ220" i="6" s="1"/>
  <c r="AM221" i="6" s="1"/>
  <c r="CQ221" i="6" s="1"/>
  <c r="AM222" i="6" s="1"/>
  <c r="CQ222" i="6" s="1"/>
  <c r="AM223" i="6" s="1"/>
  <c r="CQ223" i="6" s="1"/>
  <c r="AM224" i="6" s="1"/>
  <c r="CQ224" i="6" s="1"/>
  <c r="AM225" i="6" s="1"/>
  <c r="CQ225" i="6" s="1"/>
  <c r="AM226" i="6" s="1"/>
  <c r="CQ226" i="6" s="1"/>
  <c r="AM227" i="6" s="1"/>
  <c r="CQ227" i="6" s="1"/>
  <c r="AM228" i="6" s="1"/>
  <c r="CQ228" i="6" s="1"/>
  <c r="AM229" i="6" s="1"/>
  <c r="CQ229" i="6" s="1"/>
  <c r="AM230" i="6" s="1"/>
  <c r="CQ230" i="6" s="1"/>
  <c r="AM231" i="6" s="1"/>
  <c r="CQ231" i="6" s="1"/>
  <c r="AM232" i="6" s="1"/>
  <c r="CQ232" i="6" s="1"/>
  <c r="AM233" i="6" s="1"/>
  <c r="CQ233" i="6" s="1"/>
  <c r="AM234" i="6" s="1"/>
  <c r="CQ234" i="6" s="1"/>
  <c r="AM235" i="6" s="1"/>
  <c r="CQ235" i="6" s="1"/>
  <c r="AM236" i="6" s="1"/>
  <c r="CQ236" i="6" s="1"/>
  <c r="AM237" i="6" s="1"/>
  <c r="CQ237" i="6" s="1"/>
  <c r="AM238" i="6" s="1"/>
  <c r="CQ238" i="6" s="1"/>
  <c r="AM239" i="6" s="1"/>
  <c r="CQ239" i="6" s="1"/>
  <c r="AM240" i="6" s="1"/>
  <c r="CQ240" i="6" s="1"/>
  <c r="AM241" i="6" s="1"/>
  <c r="CQ241" i="6" s="1"/>
  <c r="AM242" i="6" s="1"/>
  <c r="CQ242" i="6" s="1"/>
  <c r="EX8" i="6"/>
  <c r="L136" i="5"/>
  <c r="DS30" i="6"/>
  <c r="J11" i="5"/>
  <c r="K11" i="5" s="1"/>
  <c r="J146" i="5"/>
  <c r="K146" i="5" s="1"/>
  <c r="L217" i="5"/>
  <c r="EO3" i="6"/>
  <c r="EN3" i="6"/>
  <c r="Q3" i="6" s="1"/>
  <c r="EL75" i="6"/>
  <c r="DU75" i="6"/>
  <c r="T81" i="5"/>
  <c r="V76" i="11"/>
  <c r="BE73" i="6"/>
  <c r="J79" i="4"/>
  <c r="EL74" i="6"/>
  <c r="BT70" i="6"/>
  <c r="BS70" i="6"/>
  <c r="V84" i="11"/>
  <c r="DT81" i="6"/>
  <c r="BE81" i="6"/>
  <c r="J87" i="4"/>
  <c r="AE58" i="6"/>
  <c r="CI58" i="6" s="1"/>
  <c r="AE59" i="6" s="1"/>
  <c r="CI59" i="6" s="1"/>
  <c r="AE60" i="6" s="1"/>
  <c r="CI60" i="6" s="1"/>
  <c r="AE61" i="6" s="1"/>
  <c r="CI61" i="6" s="1"/>
  <c r="AE62" i="6" s="1"/>
  <c r="CI62" i="6" s="1"/>
  <c r="BT48" i="6"/>
  <c r="BS48" i="6"/>
  <c r="DU48" i="6"/>
  <c r="EE38" i="6"/>
  <c r="DH38" i="6"/>
  <c r="EY38" i="6"/>
  <c r="E41" i="10" s="1"/>
  <c r="BG38" i="6"/>
  <c r="B16" i="6"/>
  <c r="N21" i="4"/>
  <c r="V10" i="11"/>
  <c r="BE7" i="6"/>
  <c r="DT7" i="6"/>
  <c r="J13" i="4"/>
  <c r="DS31" i="6"/>
  <c r="V27" i="11"/>
  <c r="BE24" i="6"/>
  <c r="J30" i="4"/>
  <c r="V31" i="11"/>
  <c r="DT28" i="6"/>
  <c r="BE28" i="6"/>
  <c r="J34" i="4"/>
  <c r="FD4" i="6"/>
  <c r="J242" i="5"/>
  <c r="K242" i="5" s="1"/>
  <c r="DS24" i="6"/>
  <c r="DT24" i="6" s="1"/>
  <c r="EY30" i="6"/>
  <c r="E33" i="10" s="1"/>
  <c r="EE30" i="6"/>
  <c r="J170" i="5"/>
  <c r="K170" i="5" s="1"/>
  <c r="J176" i="5"/>
  <c r="K176" i="5" s="1"/>
  <c r="DS39" i="6"/>
  <c r="DT39" i="6" s="1"/>
  <c r="EL53" i="6"/>
  <c r="T51" i="5"/>
  <c r="V18" i="11"/>
  <c r="BE15" i="6"/>
  <c r="DT15" i="6"/>
  <c r="J21" i="4"/>
  <c r="EZ6" i="6"/>
  <c r="B34" i="10"/>
  <c r="DT18" i="6"/>
  <c r="J236" i="5"/>
  <c r="K236" i="5" s="1"/>
  <c r="EZ19" i="6"/>
  <c r="EE8" i="6"/>
  <c r="EY8" i="6"/>
  <c r="E11" i="10" s="1"/>
  <c r="J230" i="5"/>
  <c r="K230" i="5" s="1"/>
  <c r="EY3" i="6"/>
  <c r="AW32" i="6" s="1"/>
  <c r="DZ3" i="6"/>
  <c r="DY4" i="6" s="1"/>
  <c r="DZ4" i="6" s="1"/>
  <c r="DY5" i="6" s="1"/>
  <c r="DZ5" i="6" s="1"/>
  <c r="DY6" i="6" s="1"/>
  <c r="DZ6" i="6" s="1"/>
  <c r="DY7" i="6" s="1"/>
  <c r="DZ7" i="6" s="1"/>
  <c r="DY8" i="6" s="1"/>
  <c r="DZ8" i="6" s="1"/>
  <c r="DY9" i="6" s="1"/>
  <c r="DZ9" i="6" s="1"/>
  <c r="DY10" i="6" s="1"/>
  <c r="DZ10" i="6" s="1"/>
  <c r="DY11" i="6" s="1"/>
  <c r="DZ11" i="6" s="1"/>
  <c r="DY12" i="6" s="1"/>
  <c r="CU3" i="6"/>
  <c r="AQ4" i="6" s="1"/>
  <c r="CU4" i="6" s="1"/>
  <c r="AQ5" i="6" s="1"/>
  <c r="CT5" i="6" s="1"/>
  <c r="AP6" i="6" s="1"/>
  <c r="CR3" i="6"/>
  <c r="AN4" i="6" s="1"/>
  <c r="CR4" i="6" s="1"/>
  <c r="AN5" i="6" s="1"/>
  <c r="CR5" i="6" s="1"/>
  <c r="AN6" i="6" s="1"/>
  <c r="CR6" i="6" s="1"/>
  <c r="AN7" i="6" s="1"/>
  <c r="CR7" i="6" s="1"/>
  <c r="AN8" i="6" s="1"/>
  <c r="CR8" i="6" s="1"/>
  <c r="AN9" i="6" s="1"/>
  <c r="CR9" i="6" s="1"/>
  <c r="AN10" i="6" s="1"/>
  <c r="CR10" i="6" s="1"/>
  <c r="AN11" i="6" s="1"/>
  <c r="CR11" i="6" s="1"/>
  <c r="AN12" i="6" s="1"/>
  <c r="CR12" i="6" s="1"/>
  <c r="AN13" i="6" s="1"/>
  <c r="CR13" i="6" s="1"/>
  <c r="AN14" i="6" s="1"/>
  <c r="CR14" i="6" s="1"/>
  <c r="AN15" i="6" s="1"/>
  <c r="CR15" i="6" s="1"/>
  <c r="AN16" i="6" s="1"/>
  <c r="CR16" i="6" s="1"/>
  <c r="AN17" i="6" s="1"/>
  <c r="CR17" i="6" s="1"/>
  <c r="AN18" i="6" s="1"/>
  <c r="CR18" i="6" s="1"/>
  <c r="AN19" i="6" s="1"/>
  <c r="CR19" i="6" s="1"/>
  <c r="AN20" i="6" s="1"/>
  <c r="CR20" i="6" s="1"/>
  <c r="AN21" i="6" s="1"/>
  <c r="CR21" i="6" s="1"/>
  <c r="AN22" i="6" s="1"/>
  <c r="CR22" i="6" s="1"/>
  <c r="AN23" i="6" s="1"/>
  <c r="CE3" i="6"/>
  <c r="CN3" i="6"/>
  <c r="AJ4" i="6" s="1"/>
  <c r="CB3" i="6"/>
  <c r="X4" i="6" s="1"/>
  <c r="EE3" i="6"/>
  <c r="CY3" i="6"/>
  <c r="AU4" i="6" s="1"/>
  <c r="CM3" i="6"/>
  <c r="AI4" i="6" s="1"/>
  <c r="CM4" i="6" s="1"/>
  <c r="AI5" i="6" s="1"/>
  <c r="CA3" i="6"/>
  <c r="CX3" i="6"/>
  <c r="AT4" i="6" s="1"/>
  <c r="CL3" i="6"/>
  <c r="AH4" i="6" s="1"/>
  <c r="CL4" i="6" s="1"/>
  <c r="AH5" i="6" s="1"/>
  <c r="CL5" i="6" s="1"/>
  <c r="AH6" i="6" s="1"/>
  <c r="CL6" i="6" s="1"/>
  <c r="AH7" i="6" s="1"/>
  <c r="CL7" i="6" s="1"/>
  <c r="AH8" i="6" s="1"/>
  <c r="CL8" i="6" s="1"/>
  <c r="AH9" i="6" s="1"/>
  <c r="CL9" i="6" s="1"/>
  <c r="AH10" i="6" s="1"/>
  <c r="CL10" i="6" s="1"/>
  <c r="AH11" i="6" s="1"/>
  <c r="CL11" i="6" s="1"/>
  <c r="AH12" i="6" s="1"/>
  <c r="CL12" i="6" s="1"/>
  <c r="AH13" i="6" s="1"/>
  <c r="CL13" i="6" s="1"/>
  <c r="AH14" i="6" s="1"/>
  <c r="CL14" i="6" s="1"/>
  <c r="AH15" i="6" s="1"/>
  <c r="CL15" i="6" s="1"/>
  <c r="AH16" i="6" s="1"/>
  <c r="CL16" i="6" s="1"/>
  <c r="AH17" i="6" s="1"/>
  <c r="CL17" i="6" s="1"/>
  <c r="AH18" i="6" s="1"/>
  <c r="CL18" i="6" s="1"/>
  <c r="AH19" i="6" s="1"/>
  <c r="CL19" i="6" s="1"/>
  <c r="AH20" i="6" s="1"/>
  <c r="CL20" i="6" s="1"/>
  <c r="AH21" i="6" s="1"/>
  <c r="CL21" i="6" s="1"/>
  <c r="AH22" i="6" s="1"/>
  <c r="CD3" i="6"/>
  <c r="CC3" i="6"/>
  <c r="BY3" i="6"/>
  <c r="CW3" i="6"/>
  <c r="AS4" i="6" s="1"/>
  <c r="EJ4" i="6" s="1"/>
  <c r="CV3" i="6"/>
  <c r="AR4" i="6" s="1"/>
  <c r="CS3" i="6"/>
  <c r="AO4" i="6" s="1"/>
  <c r="CP3" i="6"/>
  <c r="AL4" i="6" s="1"/>
  <c r="CP4" i="6" s="1"/>
  <c r="AL5" i="6" s="1"/>
  <c r="CP5" i="6" s="1"/>
  <c r="AL6" i="6" s="1"/>
  <c r="CP6" i="6" s="1"/>
  <c r="AL7" i="6" s="1"/>
  <c r="CP7" i="6" s="1"/>
  <c r="AL8" i="6" s="1"/>
  <c r="CP8" i="6" s="1"/>
  <c r="AL9" i="6" s="1"/>
  <c r="CP9" i="6" s="1"/>
  <c r="AL10" i="6" s="1"/>
  <c r="CP10" i="6" s="1"/>
  <c r="AL11" i="6" s="1"/>
  <c r="CP11" i="6" s="1"/>
  <c r="AL12" i="6" s="1"/>
  <c r="CP12" i="6" s="1"/>
  <c r="AL13" i="6" s="1"/>
  <c r="CP13" i="6" s="1"/>
  <c r="AL14" i="6" s="1"/>
  <c r="CP14" i="6" s="1"/>
  <c r="AL15" i="6" s="1"/>
  <c r="CP15" i="6" s="1"/>
  <c r="AL16" i="6" s="1"/>
  <c r="CP16" i="6" s="1"/>
  <c r="AL17" i="6" s="1"/>
  <c r="CP17" i="6" s="1"/>
  <c r="AL18" i="6" s="1"/>
  <c r="CP18" i="6" s="1"/>
  <c r="AL19" i="6" s="1"/>
  <c r="CP19" i="6" s="1"/>
  <c r="AL20" i="6" s="1"/>
  <c r="CP20" i="6" s="1"/>
  <c r="AL21" i="6" s="1"/>
  <c r="CP21" i="6" s="1"/>
  <c r="AL22" i="6" s="1"/>
  <c r="CP22" i="6" s="1"/>
  <c r="AL23" i="6" s="1"/>
  <c r="CP23" i="6" s="1"/>
  <c r="AL24" i="6" s="1"/>
  <c r="CP24" i="6" s="1"/>
  <c r="AL25" i="6" s="1"/>
  <c r="CP25" i="6" s="1"/>
  <c r="AL26" i="6" s="1"/>
  <c r="CP26" i="6" s="1"/>
  <c r="AL27" i="6" s="1"/>
  <c r="CP27" i="6" s="1"/>
  <c r="AL28" i="6" s="1"/>
  <c r="CP28" i="6" s="1"/>
  <c r="AL29" i="6" s="1"/>
  <c r="CP29" i="6" s="1"/>
  <c r="AL30" i="6" s="1"/>
  <c r="CP30" i="6" s="1"/>
  <c r="AL31" i="6" s="1"/>
  <c r="CP31" i="6" s="1"/>
  <c r="AL32" i="6" s="1"/>
  <c r="CP32" i="6" s="1"/>
  <c r="AL33" i="6" s="1"/>
  <c r="CP33" i="6" s="1"/>
  <c r="AL34" i="6" s="1"/>
  <c r="CP34" i="6" s="1"/>
  <c r="AL35" i="6" s="1"/>
  <c r="CP35" i="6" s="1"/>
  <c r="AL36" i="6" s="1"/>
  <c r="CP36" i="6" s="1"/>
  <c r="AL37" i="6" s="1"/>
  <c r="CP37" i="6" s="1"/>
  <c r="AL38" i="6" s="1"/>
  <c r="CP38" i="6" s="1"/>
  <c r="AL39" i="6" s="1"/>
  <c r="CP39" i="6" s="1"/>
  <c r="AL40" i="6" s="1"/>
  <c r="CP40" i="6" s="1"/>
  <c r="AL41" i="6" s="1"/>
  <c r="CP41" i="6" s="1"/>
  <c r="AL42" i="6" s="1"/>
  <c r="CP42" i="6" s="1"/>
  <c r="AL43" i="6" s="1"/>
  <c r="CP43" i="6" s="1"/>
  <c r="AL44" i="6" s="1"/>
  <c r="CP44" i="6" s="1"/>
  <c r="AL45" i="6" s="1"/>
  <c r="CP45" i="6" s="1"/>
  <c r="AL46" i="6" s="1"/>
  <c r="CP46" i="6" s="1"/>
  <c r="AL47" i="6" s="1"/>
  <c r="CP47" i="6" s="1"/>
  <c r="AL48" i="6" s="1"/>
  <c r="CP48" i="6" s="1"/>
  <c r="AL49" i="6" s="1"/>
  <c r="CP49" i="6" s="1"/>
  <c r="AL50" i="6" s="1"/>
  <c r="CP50" i="6" s="1"/>
  <c r="AL51" i="6" s="1"/>
  <c r="CP51" i="6" s="1"/>
  <c r="AL52" i="6" s="1"/>
  <c r="CP52" i="6" s="1"/>
  <c r="AL53" i="6" s="1"/>
  <c r="CP53" i="6" s="1"/>
  <c r="AL54" i="6" s="1"/>
  <c r="CP54" i="6" s="1"/>
  <c r="AL55" i="6" s="1"/>
  <c r="CP55" i="6" s="1"/>
  <c r="AL56" i="6" s="1"/>
  <c r="CP56" i="6" s="1"/>
  <c r="AL57" i="6" s="1"/>
  <c r="CP57" i="6" s="1"/>
  <c r="AL58" i="6" s="1"/>
  <c r="CP58" i="6" s="1"/>
  <c r="AL59" i="6" s="1"/>
  <c r="CP59" i="6" s="1"/>
  <c r="AL60" i="6" s="1"/>
  <c r="CP60" i="6" s="1"/>
  <c r="AL61" i="6" s="1"/>
  <c r="CP61" i="6" s="1"/>
  <c r="AL62" i="6" s="1"/>
  <c r="CP62" i="6" s="1"/>
  <c r="AL63" i="6" s="1"/>
  <c r="CP63" i="6" s="1"/>
  <c r="AL64" i="6" s="1"/>
  <c r="CP64" i="6" s="1"/>
  <c r="AL65" i="6" s="1"/>
  <c r="CP65" i="6" s="1"/>
  <c r="AL66" i="6" s="1"/>
  <c r="CP66" i="6" s="1"/>
  <c r="AL67" i="6" s="1"/>
  <c r="CP67" i="6" s="1"/>
  <c r="AL68" i="6" s="1"/>
  <c r="CP68" i="6" s="1"/>
  <c r="AL69" i="6" s="1"/>
  <c r="CP69" i="6" s="1"/>
  <c r="AL70" i="6" s="1"/>
  <c r="CP70" i="6" s="1"/>
  <c r="AL71" i="6" s="1"/>
  <c r="CP71" i="6" s="1"/>
  <c r="AL72" i="6" s="1"/>
  <c r="CP72" i="6" s="1"/>
  <c r="AL73" i="6" s="1"/>
  <c r="CP73" i="6" s="1"/>
  <c r="AL74" i="6" s="1"/>
  <c r="CP74" i="6" s="1"/>
  <c r="AL75" i="6" s="1"/>
  <c r="CP75" i="6" s="1"/>
  <c r="AL76" i="6" s="1"/>
  <c r="CP76" i="6" s="1"/>
  <c r="AL77" i="6" s="1"/>
  <c r="CP77" i="6" s="1"/>
  <c r="AL78" i="6" s="1"/>
  <c r="CP78" i="6" s="1"/>
  <c r="AL79" i="6" s="1"/>
  <c r="CP79" i="6" s="1"/>
  <c r="AL80" i="6" s="1"/>
  <c r="CP80" i="6" s="1"/>
  <c r="AL81" i="6" s="1"/>
  <c r="CP81" i="6" s="1"/>
  <c r="AL82" i="6" s="1"/>
  <c r="CP82" i="6" s="1"/>
  <c r="AL83" i="6" s="1"/>
  <c r="CP83" i="6" s="1"/>
  <c r="AL84" i="6" s="1"/>
  <c r="CP84" i="6" s="1"/>
  <c r="AL85" i="6" s="1"/>
  <c r="CP85" i="6" s="1"/>
  <c r="AL86" i="6" s="1"/>
  <c r="CP86" i="6" s="1"/>
  <c r="AL87" i="6" s="1"/>
  <c r="CP87" i="6" s="1"/>
  <c r="AL88" i="6" s="1"/>
  <c r="CP88" i="6" s="1"/>
  <c r="AL89" i="6" s="1"/>
  <c r="CP89" i="6" s="1"/>
  <c r="AL90" i="6" s="1"/>
  <c r="CP90" i="6" s="1"/>
  <c r="AL91" i="6" s="1"/>
  <c r="CP91" i="6" s="1"/>
  <c r="AL92" i="6" s="1"/>
  <c r="CP92" i="6" s="1"/>
  <c r="AL93" i="6" s="1"/>
  <c r="CP93" i="6" s="1"/>
  <c r="AL94" i="6" s="1"/>
  <c r="CP94" i="6" s="1"/>
  <c r="AL95" i="6" s="1"/>
  <c r="CP95" i="6" s="1"/>
  <c r="AL96" i="6" s="1"/>
  <c r="CP96" i="6" s="1"/>
  <c r="AL97" i="6" s="1"/>
  <c r="CP97" i="6" s="1"/>
  <c r="AL98" i="6" s="1"/>
  <c r="CP98" i="6" s="1"/>
  <c r="AL99" i="6" s="1"/>
  <c r="CP99" i="6" s="1"/>
  <c r="AL100" i="6" s="1"/>
  <c r="CP100" i="6" s="1"/>
  <c r="AL101" i="6" s="1"/>
  <c r="CP101" i="6" s="1"/>
  <c r="AL102" i="6" s="1"/>
  <c r="CP102" i="6" s="1"/>
  <c r="AL103" i="6" s="1"/>
  <c r="CP103" i="6" s="1"/>
  <c r="AL104" i="6" s="1"/>
  <c r="CP104" i="6" s="1"/>
  <c r="AL105" i="6" s="1"/>
  <c r="CP105" i="6" s="1"/>
  <c r="AL106" i="6" s="1"/>
  <c r="CP106" i="6" s="1"/>
  <c r="AL107" i="6" s="1"/>
  <c r="CP107" i="6" s="1"/>
  <c r="AL108" i="6" s="1"/>
  <c r="CP108" i="6" s="1"/>
  <c r="AL109" i="6" s="1"/>
  <c r="CP109" i="6" s="1"/>
  <c r="AL110" i="6" s="1"/>
  <c r="CP110" i="6" s="1"/>
  <c r="AL111" i="6" s="1"/>
  <c r="CP111" i="6" s="1"/>
  <c r="AL112" i="6" s="1"/>
  <c r="CP112" i="6" s="1"/>
  <c r="AL113" i="6" s="1"/>
  <c r="CP113" i="6" s="1"/>
  <c r="AL114" i="6" s="1"/>
  <c r="CP114" i="6" s="1"/>
  <c r="AL115" i="6" s="1"/>
  <c r="CP115" i="6" s="1"/>
  <c r="AL116" i="6" s="1"/>
  <c r="CP116" i="6" s="1"/>
  <c r="AL117" i="6" s="1"/>
  <c r="CP117" i="6" s="1"/>
  <c r="AL118" i="6" s="1"/>
  <c r="CP118" i="6" s="1"/>
  <c r="AL119" i="6" s="1"/>
  <c r="CP119" i="6" s="1"/>
  <c r="AL120" i="6" s="1"/>
  <c r="CP120" i="6" s="1"/>
  <c r="AL121" i="6" s="1"/>
  <c r="CP121" i="6" s="1"/>
  <c r="AL122" i="6" s="1"/>
  <c r="CP122" i="6" s="1"/>
  <c r="AL123" i="6" s="1"/>
  <c r="CP123" i="6" s="1"/>
  <c r="AL124" i="6" s="1"/>
  <c r="CP124" i="6" s="1"/>
  <c r="AL125" i="6" s="1"/>
  <c r="CP125" i="6" s="1"/>
  <c r="AL126" i="6" s="1"/>
  <c r="CP126" i="6" s="1"/>
  <c r="AL127" i="6" s="1"/>
  <c r="CP127" i="6" s="1"/>
  <c r="AL128" i="6" s="1"/>
  <c r="CP128" i="6" s="1"/>
  <c r="AL129" i="6" s="1"/>
  <c r="CP129" i="6" s="1"/>
  <c r="AL130" i="6" s="1"/>
  <c r="CP130" i="6" s="1"/>
  <c r="AL131" i="6" s="1"/>
  <c r="CP131" i="6" s="1"/>
  <c r="AL132" i="6" s="1"/>
  <c r="CP132" i="6" s="1"/>
  <c r="AL133" i="6" s="1"/>
  <c r="CP133" i="6" s="1"/>
  <c r="AL134" i="6" s="1"/>
  <c r="CP134" i="6" s="1"/>
  <c r="AL135" i="6" s="1"/>
  <c r="CP135" i="6" s="1"/>
  <c r="AL136" i="6" s="1"/>
  <c r="CP136" i="6" s="1"/>
  <c r="AL137" i="6" s="1"/>
  <c r="CP137" i="6" s="1"/>
  <c r="AL138" i="6" s="1"/>
  <c r="CP138" i="6" s="1"/>
  <c r="AL139" i="6" s="1"/>
  <c r="CP139" i="6" s="1"/>
  <c r="AL140" i="6" s="1"/>
  <c r="CP140" i="6" s="1"/>
  <c r="AL141" i="6" s="1"/>
  <c r="CP141" i="6" s="1"/>
  <c r="AL142" i="6" s="1"/>
  <c r="CP142" i="6" s="1"/>
  <c r="AL143" i="6" s="1"/>
  <c r="CP143" i="6" s="1"/>
  <c r="AL144" i="6" s="1"/>
  <c r="CP144" i="6" s="1"/>
  <c r="AL145" i="6" s="1"/>
  <c r="CP145" i="6" s="1"/>
  <c r="AL146" i="6" s="1"/>
  <c r="CP146" i="6" s="1"/>
  <c r="AL147" i="6" s="1"/>
  <c r="CP147" i="6" s="1"/>
  <c r="AL148" i="6" s="1"/>
  <c r="CP148" i="6" s="1"/>
  <c r="AL149" i="6" s="1"/>
  <c r="CP149" i="6" s="1"/>
  <c r="AL150" i="6" s="1"/>
  <c r="CP150" i="6" s="1"/>
  <c r="AL151" i="6" s="1"/>
  <c r="CP151" i="6" s="1"/>
  <c r="AL152" i="6" s="1"/>
  <c r="CP152" i="6" s="1"/>
  <c r="AL153" i="6" s="1"/>
  <c r="CP153" i="6" s="1"/>
  <c r="AL154" i="6" s="1"/>
  <c r="CP154" i="6" s="1"/>
  <c r="AL155" i="6" s="1"/>
  <c r="CP155" i="6" s="1"/>
  <c r="AL156" i="6" s="1"/>
  <c r="CP156" i="6" s="1"/>
  <c r="AL157" i="6" s="1"/>
  <c r="CP157" i="6" s="1"/>
  <c r="AL158" i="6" s="1"/>
  <c r="CP158" i="6" s="1"/>
  <c r="AL159" i="6" s="1"/>
  <c r="CP159" i="6" s="1"/>
  <c r="AL160" i="6" s="1"/>
  <c r="CP160" i="6" s="1"/>
  <c r="AL161" i="6" s="1"/>
  <c r="CP161" i="6" s="1"/>
  <c r="AL162" i="6" s="1"/>
  <c r="CP162" i="6" s="1"/>
  <c r="AL163" i="6" s="1"/>
  <c r="CP163" i="6" s="1"/>
  <c r="AL164" i="6" s="1"/>
  <c r="CP164" i="6" s="1"/>
  <c r="AL165" i="6" s="1"/>
  <c r="CP165" i="6" s="1"/>
  <c r="AL166" i="6" s="1"/>
  <c r="CP166" i="6" s="1"/>
  <c r="AL167" i="6" s="1"/>
  <c r="CP167" i="6" s="1"/>
  <c r="AL168" i="6" s="1"/>
  <c r="CP168" i="6" s="1"/>
  <c r="AL169" i="6" s="1"/>
  <c r="CP169" i="6" s="1"/>
  <c r="AL170" i="6" s="1"/>
  <c r="CP170" i="6" s="1"/>
  <c r="AL171" i="6" s="1"/>
  <c r="CP171" i="6" s="1"/>
  <c r="AL172" i="6" s="1"/>
  <c r="CP172" i="6" s="1"/>
  <c r="AL173" i="6" s="1"/>
  <c r="CP173" i="6" s="1"/>
  <c r="AL174" i="6" s="1"/>
  <c r="CP174" i="6" s="1"/>
  <c r="AL175" i="6" s="1"/>
  <c r="CP175" i="6" s="1"/>
  <c r="AL176" i="6" s="1"/>
  <c r="CP176" i="6" s="1"/>
  <c r="AL177" i="6" s="1"/>
  <c r="CP177" i="6" s="1"/>
  <c r="AL178" i="6" s="1"/>
  <c r="CP178" i="6" s="1"/>
  <c r="AL179" i="6" s="1"/>
  <c r="CP179" i="6" s="1"/>
  <c r="AL180" i="6" s="1"/>
  <c r="CP180" i="6" s="1"/>
  <c r="AL181" i="6" s="1"/>
  <c r="CP181" i="6" s="1"/>
  <c r="AL182" i="6" s="1"/>
  <c r="CP182" i="6" s="1"/>
  <c r="AL183" i="6" s="1"/>
  <c r="CP183" i="6" s="1"/>
  <c r="AL184" i="6" s="1"/>
  <c r="CP184" i="6" s="1"/>
  <c r="AL185" i="6" s="1"/>
  <c r="CP185" i="6" s="1"/>
  <c r="AL186" i="6" s="1"/>
  <c r="CP186" i="6" s="1"/>
  <c r="AL187" i="6" s="1"/>
  <c r="CP187" i="6" s="1"/>
  <c r="AL188" i="6" s="1"/>
  <c r="CP188" i="6" s="1"/>
  <c r="AL189" i="6" s="1"/>
  <c r="CP189" i="6" s="1"/>
  <c r="AL190" i="6" s="1"/>
  <c r="CP190" i="6" s="1"/>
  <c r="AL191" i="6" s="1"/>
  <c r="CP191" i="6" s="1"/>
  <c r="AL192" i="6" s="1"/>
  <c r="CP192" i="6" s="1"/>
  <c r="AL193" i="6" s="1"/>
  <c r="CP193" i="6" s="1"/>
  <c r="AL194" i="6" s="1"/>
  <c r="CP194" i="6" s="1"/>
  <c r="AL195" i="6" s="1"/>
  <c r="CP195" i="6" s="1"/>
  <c r="AL196" i="6" s="1"/>
  <c r="CP196" i="6" s="1"/>
  <c r="AL197" i="6" s="1"/>
  <c r="CP197" i="6" s="1"/>
  <c r="AL198" i="6" s="1"/>
  <c r="CP198" i="6" s="1"/>
  <c r="AL199" i="6" s="1"/>
  <c r="CP199" i="6" s="1"/>
  <c r="AL200" i="6" s="1"/>
  <c r="CP200" i="6" s="1"/>
  <c r="AL201" i="6" s="1"/>
  <c r="CP201" i="6" s="1"/>
  <c r="AL202" i="6" s="1"/>
  <c r="CP202" i="6" s="1"/>
  <c r="AL203" i="6" s="1"/>
  <c r="CP203" i="6" s="1"/>
  <c r="AL204" i="6" s="1"/>
  <c r="CP204" i="6" s="1"/>
  <c r="AL205" i="6" s="1"/>
  <c r="CP205" i="6" s="1"/>
  <c r="AL206" i="6" s="1"/>
  <c r="CP206" i="6" s="1"/>
  <c r="AL207" i="6" s="1"/>
  <c r="CP207" i="6" s="1"/>
  <c r="AL208" i="6" s="1"/>
  <c r="CP208" i="6" s="1"/>
  <c r="AL209" i="6" s="1"/>
  <c r="CP209" i="6" s="1"/>
  <c r="AL210" i="6" s="1"/>
  <c r="CP210" i="6" s="1"/>
  <c r="AL211" i="6" s="1"/>
  <c r="CP211" i="6" s="1"/>
  <c r="AL212" i="6" s="1"/>
  <c r="CP212" i="6" s="1"/>
  <c r="AL213" i="6" s="1"/>
  <c r="CP213" i="6" s="1"/>
  <c r="AL214" i="6" s="1"/>
  <c r="CP214" i="6" s="1"/>
  <c r="AL215" i="6" s="1"/>
  <c r="CP215" i="6" s="1"/>
  <c r="AL216" i="6" s="1"/>
  <c r="CP216" i="6" s="1"/>
  <c r="AL217" i="6" s="1"/>
  <c r="CP217" i="6" s="1"/>
  <c r="AL218" i="6" s="1"/>
  <c r="CP218" i="6" s="1"/>
  <c r="AL219" i="6" s="1"/>
  <c r="CP219" i="6" s="1"/>
  <c r="AL220" i="6" s="1"/>
  <c r="CP220" i="6" s="1"/>
  <c r="AL221" i="6" s="1"/>
  <c r="CP221" i="6" s="1"/>
  <c r="AL222" i="6" s="1"/>
  <c r="CP222" i="6" s="1"/>
  <c r="AL223" i="6" s="1"/>
  <c r="CP223" i="6" s="1"/>
  <c r="AL224" i="6" s="1"/>
  <c r="CP224" i="6" s="1"/>
  <c r="AL225" i="6" s="1"/>
  <c r="CP225" i="6" s="1"/>
  <c r="AL226" i="6" s="1"/>
  <c r="CP226" i="6" s="1"/>
  <c r="AL227" i="6" s="1"/>
  <c r="CP227" i="6" s="1"/>
  <c r="AL228" i="6" s="1"/>
  <c r="CP228" i="6" s="1"/>
  <c r="AL229" i="6" s="1"/>
  <c r="CP229" i="6" s="1"/>
  <c r="AL230" i="6" s="1"/>
  <c r="CP230" i="6" s="1"/>
  <c r="AL231" i="6" s="1"/>
  <c r="CP231" i="6" s="1"/>
  <c r="AL232" i="6" s="1"/>
  <c r="CP232" i="6" s="1"/>
  <c r="AL233" i="6" s="1"/>
  <c r="CP233" i="6" s="1"/>
  <c r="AL234" i="6" s="1"/>
  <c r="CP234" i="6" s="1"/>
  <c r="AL235" i="6" s="1"/>
  <c r="CP235" i="6" s="1"/>
  <c r="AL236" i="6" s="1"/>
  <c r="CP236" i="6" s="1"/>
  <c r="AL237" i="6" s="1"/>
  <c r="CP237" i="6" s="1"/>
  <c r="AL238" i="6" s="1"/>
  <c r="CP238" i="6" s="1"/>
  <c r="AL239" i="6" s="1"/>
  <c r="CP239" i="6" s="1"/>
  <c r="AL240" i="6" s="1"/>
  <c r="CP240" i="6" s="1"/>
  <c r="AL241" i="6" s="1"/>
  <c r="CP241" i="6" s="1"/>
  <c r="AL242" i="6" s="1"/>
  <c r="CP242" i="6" s="1"/>
  <c r="CO3" i="6"/>
  <c r="AK4" i="6" s="1"/>
  <c r="CO4" i="6" s="1"/>
  <c r="AK5" i="6" s="1"/>
  <c r="CO5" i="6" s="1"/>
  <c r="AK6" i="6" s="1"/>
  <c r="CO6" i="6" s="1"/>
  <c r="AK7" i="6" s="1"/>
  <c r="CO7" i="6" s="1"/>
  <c r="AK8" i="6" s="1"/>
  <c r="CO8" i="6" s="1"/>
  <c r="AK9" i="6" s="1"/>
  <c r="CO9" i="6" s="1"/>
  <c r="AK10" i="6" s="1"/>
  <c r="CO10" i="6" s="1"/>
  <c r="AK11" i="6" s="1"/>
  <c r="CO11" i="6" s="1"/>
  <c r="AK12" i="6" s="1"/>
  <c r="CK3" i="6"/>
  <c r="AG4" i="6" s="1"/>
  <c r="CJ4" i="6" s="1"/>
  <c r="AF5" i="6" s="1"/>
  <c r="DH3" i="6"/>
  <c r="CJ3" i="6"/>
  <c r="AF4" i="6" s="1"/>
  <c r="BF3" i="6"/>
  <c r="AW209" i="6"/>
  <c r="EZ179" i="6"/>
  <c r="AW124" i="6"/>
  <c r="AW29" i="6"/>
  <c r="EZ3" i="6"/>
  <c r="EK53" i="6"/>
  <c r="BR62" i="6"/>
  <c r="BQ62" i="6"/>
  <c r="N68" i="4"/>
  <c r="DS60" i="6"/>
  <c r="DT60" i="6" s="1"/>
  <c r="BT57" i="6"/>
  <c r="BS57" i="6"/>
  <c r="N63" i="4"/>
  <c r="EL40" i="6"/>
  <c r="EE42" i="6"/>
  <c r="EY42" i="6"/>
  <c r="E45" i="10" s="1"/>
  <c r="BG42" i="6"/>
  <c r="DH42" i="6"/>
  <c r="BT37" i="6"/>
  <c r="BS37" i="6"/>
  <c r="BT27" i="6"/>
  <c r="BS27" i="6"/>
  <c r="EY16" i="6"/>
  <c r="E19" i="10" s="1"/>
  <c r="BG16" i="6"/>
  <c r="EE16" i="6"/>
  <c r="BR12" i="6"/>
  <c r="BQ12" i="6"/>
  <c r="N18" i="4"/>
  <c r="BT7" i="6"/>
  <c r="BS7" i="6"/>
  <c r="V35" i="11"/>
  <c r="BE32" i="6"/>
  <c r="DT32" i="6"/>
  <c r="BI32" i="6" s="1"/>
  <c r="J38" i="4"/>
  <c r="DS13" i="6"/>
  <c r="DT13" i="6" s="1"/>
  <c r="V9" i="11"/>
  <c r="DT6" i="6"/>
  <c r="BE6" i="6"/>
  <c r="AZ6" i="6"/>
  <c r="L12" i="4" s="1"/>
  <c r="J12" i="4"/>
  <c r="EL17" i="6"/>
  <c r="V11" i="11"/>
  <c r="DT8" i="6"/>
  <c r="BE8" i="6"/>
  <c r="J14" i="4"/>
  <c r="V7" i="11"/>
  <c r="DT4" i="6"/>
  <c r="BE4" i="6"/>
  <c r="BO4" i="6"/>
  <c r="BI4" i="6"/>
  <c r="J10" i="4"/>
  <c r="J239" i="5"/>
  <c r="K239" i="5" s="1"/>
  <c r="DH9" i="6"/>
  <c r="EY9" i="6"/>
  <c r="E12" i="10" s="1"/>
  <c r="EE9" i="6"/>
  <c r="J182" i="5"/>
  <c r="K182" i="5" s="1"/>
  <c r="J194" i="5"/>
  <c r="K194" i="5" s="1"/>
  <c r="CI3" i="6"/>
  <c r="AE4" i="6" s="1"/>
  <c r="CI4" i="6" s="1"/>
  <c r="AE5" i="6" s="1"/>
  <c r="CI5" i="6" s="1"/>
  <c r="AE6" i="6" s="1"/>
  <c r="CI6" i="6" s="1"/>
  <c r="AE7" i="6" s="1"/>
  <c r="CI7" i="6" s="1"/>
  <c r="AE8" i="6" s="1"/>
  <c r="CI8" i="6" s="1"/>
  <c r="AE9" i="6" s="1"/>
  <c r="CI9" i="6" s="1"/>
  <c r="AE10" i="6" s="1"/>
  <c r="CI10" i="6" s="1"/>
  <c r="AE11" i="6" s="1"/>
  <c r="CI11" i="6" s="1"/>
  <c r="J210" i="5"/>
  <c r="K210" i="5" s="1"/>
  <c r="L76" i="5"/>
  <c r="BT74" i="6"/>
  <c r="BS74" i="6"/>
  <c r="BT64" i="6"/>
  <c r="BS64" i="6"/>
  <c r="CN63" i="6"/>
  <c r="AJ64" i="6" s="1"/>
  <c r="CY64" i="6" s="1"/>
  <c r="AU65" i="6" s="1"/>
  <c r="EE63" i="6"/>
  <c r="CM63" i="6"/>
  <c r="AI64" i="6" s="1"/>
  <c r="CO63" i="6"/>
  <c r="AK64" i="6" s="1"/>
  <c r="CO64" i="6" s="1"/>
  <c r="AK65" i="6" s="1"/>
  <c r="CO65" i="6" s="1"/>
  <c r="AK66" i="6" s="1"/>
  <c r="CO66" i="6" s="1"/>
  <c r="AK67" i="6" s="1"/>
  <c r="CO67" i="6" s="1"/>
  <c r="AK68" i="6" s="1"/>
  <c r="CO68" i="6" s="1"/>
  <c r="AK69" i="6" s="1"/>
  <c r="CO69" i="6" s="1"/>
  <c r="AK70" i="6" s="1"/>
  <c r="CO70" i="6" s="1"/>
  <c r="AK71" i="6" s="1"/>
  <c r="CO71" i="6" s="1"/>
  <c r="AK72" i="6" s="1"/>
  <c r="EY63" i="6"/>
  <c r="E66" i="10" s="1"/>
  <c r="DH63" i="6"/>
  <c r="V63" i="11"/>
  <c r="BE60" i="6"/>
  <c r="J66" i="4"/>
  <c r="EK52" i="6"/>
  <c r="BG63" i="6"/>
  <c r="DT46" i="6"/>
  <c r="EZ49" i="6"/>
  <c r="BT44" i="6"/>
  <c r="BS44" i="6"/>
  <c r="N62" i="4"/>
  <c r="EH52" i="6"/>
  <c r="T47" i="5"/>
  <c r="T58" i="5"/>
  <c r="AX39" i="6"/>
  <c r="CL22" i="6"/>
  <c r="AH23" i="6" s="1"/>
  <c r="FE22" i="6"/>
  <c r="EY22" i="6"/>
  <c r="E25" i="10" s="1"/>
  <c r="DH22" i="6"/>
  <c r="EF22" i="6" s="1"/>
  <c r="BG22" i="6"/>
  <c r="V15" i="11"/>
  <c r="DT12" i="6"/>
  <c r="BE12" i="6"/>
  <c r="J18" i="4"/>
  <c r="V29" i="11"/>
  <c r="BE26" i="6"/>
  <c r="DT26" i="6"/>
  <c r="J32" i="4"/>
  <c r="V14" i="11"/>
  <c r="BI11" i="6"/>
  <c r="DT11" i="6"/>
  <c r="BE11" i="6"/>
  <c r="J17" i="4"/>
  <c r="V19" i="11"/>
  <c r="DT16" i="6"/>
  <c r="BE16" i="6"/>
  <c r="J22" i="4"/>
  <c r="EY27" i="6"/>
  <c r="E30" i="10" s="1"/>
  <c r="CK27" i="6"/>
  <c r="AG28" i="6" s="1"/>
  <c r="EY11" i="6"/>
  <c r="E14" i="10" s="1"/>
  <c r="EE11" i="6"/>
  <c r="DH11" i="6"/>
  <c r="DH12" i="6" s="1"/>
  <c r="BT33" i="6"/>
  <c r="BS33" i="6"/>
  <c r="T39" i="5"/>
  <c r="N14" i="4"/>
  <c r="C22" i="10"/>
  <c r="L220" i="5"/>
  <c r="J220" i="5"/>
  <c r="K220" i="5" s="1"/>
  <c r="J162" i="5"/>
  <c r="K162" i="5" s="1"/>
  <c r="L41" i="5"/>
  <c r="V88" i="11"/>
  <c r="DT85" i="6"/>
  <c r="BE85" i="6"/>
  <c r="J91" i="4"/>
  <c r="BT76" i="6"/>
  <c r="BS76" i="6"/>
  <c r="EX76" i="6"/>
  <c r="B76" i="6"/>
  <c r="CO72" i="6"/>
  <c r="AK73" i="6" s="1"/>
  <c r="CO73" i="6" s="1"/>
  <c r="AK74" i="6" s="1"/>
  <c r="CO74" i="6" s="1"/>
  <c r="AK75" i="6" s="1"/>
  <c r="CO75" i="6" s="1"/>
  <c r="AK76" i="6" s="1"/>
  <c r="CO76" i="6" s="1"/>
  <c r="AK77" i="6" s="1"/>
  <c r="CO77" i="6" s="1"/>
  <c r="AK78" i="6" s="1"/>
  <c r="CO78" i="6" s="1"/>
  <c r="AK79" i="6" s="1"/>
  <c r="CO79" i="6" s="1"/>
  <c r="AK80" i="6" s="1"/>
  <c r="CO80" i="6" s="1"/>
  <c r="AK81" i="6" s="1"/>
  <c r="CO81" i="6" s="1"/>
  <c r="AK82" i="6" s="1"/>
  <c r="CO82" i="6" s="1"/>
  <c r="AK83" i="6" s="1"/>
  <c r="CO83" i="6" s="1"/>
  <c r="AK84" i="6" s="1"/>
  <c r="CO84" i="6" s="1"/>
  <c r="AK85" i="6" s="1"/>
  <c r="CO85" i="6" s="1"/>
  <c r="AK86" i="6" s="1"/>
  <c r="CO86" i="6" s="1"/>
  <c r="AK87" i="6" s="1"/>
  <c r="CO87" i="6" s="1"/>
  <c r="AK88" i="6" s="1"/>
  <c r="CO88" i="6" s="1"/>
  <c r="AK89" i="6" s="1"/>
  <c r="CO89" i="6" s="1"/>
  <c r="AK90" i="6" s="1"/>
  <c r="CO90" i="6" s="1"/>
  <c r="AK91" i="6" s="1"/>
  <c r="CO91" i="6" s="1"/>
  <c r="AK92" i="6" s="1"/>
  <c r="EY72" i="6"/>
  <c r="E75" i="10" s="1"/>
  <c r="CK72" i="6"/>
  <c r="AG73" i="6" s="1"/>
  <c r="CK73" i="6" s="1"/>
  <c r="AG74" i="6" s="1"/>
  <c r="EE72" i="6"/>
  <c r="DS73" i="6"/>
  <c r="DT73" i="6" s="1"/>
  <c r="AW71" i="6"/>
  <c r="V69" i="11"/>
  <c r="DT66" i="6"/>
  <c r="BE66" i="6"/>
  <c r="J72" i="4"/>
  <c r="T80" i="5"/>
  <c r="AX74" i="6"/>
  <c r="BG55" i="6"/>
  <c r="DS55" i="6"/>
  <c r="DT55" i="6" s="1"/>
  <c r="DS47" i="6"/>
  <c r="DT47" i="6" s="1"/>
  <c r="EE50" i="6"/>
  <c r="EY50" i="6"/>
  <c r="E53" i="10" s="1"/>
  <c r="BG50" i="6"/>
  <c r="DH50" i="6"/>
  <c r="DS50" i="6"/>
  <c r="DT50" i="6" s="1"/>
  <c r="N55" i="4"/>
  <c r="FE52" i="6"/>
  <c r="FE53" i="6" s="1"/>
  <c r="EE40" i="6"/>
  <c r="DH40" i="6"/>
  <c r="EY40" i="6"/>
  <c r="E43" i="10" s="1"/>
  <c r="EY10" i="6"/>
  <c r="E13" i="10" s="1"/>
  <c r="DH10" i="6"/>
  <c r="EE10" i="6"/>
  <c r="EZ11" i="6"/>
  <c r="EL33" i="6"/>
  <c r="B11" i="6"/>
  <c r="EC178" i="6" s="1"/>
  <c r="AV178" i="6" s="1"/>
  <c r="C13" i="10"/>
  <c r="J246" i="5"/>
  <c r="K246" i="5" s="1"/>
  <c r="L246" i="5"/>
  <c r="DS8" i="6"/>
  <c r="J151" i="5"/>
  <c r="K151" i="5" s="1"/>
  <c r="CH4" i="6"/>
  <c r="AD5" i="6" s="1"/>
  <c r="CH5" i="6" s="1"/>
  <c r="AD6" i="6" s="1"/>
  <c r="CH6" i="6" s="1"/>
  <c r="AD7" i="6" s="1"/>
  <c r="CH7" i="6" s="1"/>
  <c r="AD8" i="6" s="1"/>
  <c r="CH8" i="6" s="1"/>
  <c r="AD9" i="6" s="1"/>
  <c r="BG9" i="6" s="1"/>
  <c r="EX4" i="6"/>
  <c r="AW129" i="6" s="1"/>
  <c r="CI36" i="6"/>
  <c r="AE37" i="6" s="1"/>
  <c r="CI37" i="6" s="1"/>
  <c r="AE38" i="6" s="1"/>
  <c r="CI38" i="6" s="1"/>
  <c r="AE39" i="6" s="1"/>
  <c r="CI39" i="6" s="1"/>
  <c r="AE40" i="6" s="1"/>
  <c r="CI40" i="6" s="1"/>
  <c r="BH6" i="6"/>
  <c r="BI17" i="6"/>
  <c r="EE13" i="6"/>
  <c r="EY13" i="6"/>
  <c r="E16" i="10" s="1"/>
  <c r="BG13" i="6"/>
  <c r="EK35" i="6"/>
  <c r="DU31" i="6"/>
  <c r="EY7" i="6"/>
  <c r="E10" i="10" s="1"/>
  <c r="EE7" i="6"/>
  <c r="DH7" i="6"/>
  <c r="DH8" i="6" s="1"/>
  <c r="AX26" i="6"/>
  <c r="BR23" i="6"/>
  <c r="BQ23" i="6"/>
  <c r="N29" i="4"/>
  <c r="DU9" i="6"/>
  <c r="V6" i="11"/>
  <c r="AY3" i="6"/>
  <c r="K9" i="4" s="1"/>
  <c r="DV3" i="6"/>
  <c r="BO3" i="6"/>
  <c r="BC3" i="6"/>
  <c r="BB3" i="6"/>
  <c r="BA3" i="6"/>
  <c r="M9" i="4" s="1"/>
  <c r="AZ3" i="6"/>
  <c r="L9" i="4" s="1"/>
  <c r="DI3" i="6"/>
  <c r="DT3" i="6"/>
  <c r="BL3" i="6" s="1"/>
  <c r="BE3" i="6"/>
  <c r="EK3" i="6" s="1"/>
  <c r="J9" i="4"/>
  <c r="L19" i="5"/>
  <c r="AX19" i="6"/>
  <c r="V8" i="11"/>
  <c r="DT5" i="6"/>
  <c r="BE5" i="6"/>
  <c r="AZ5" i="6"/>
  <c r="L11" i="4" s="1"/>
  <c r="BO5" i="6"/>
  <c r="J11" i="4"/>
  <c r="L29" i="5"/>
  <c r="V66" i="11"/>
  <c r="BI63" i="6"/>
  <c r="BE63" i="6"/>
  <c r="DT63" i="6"/>
  <c r="J69" i="4"/>
  <c r="DR62" i="6"/>
  <c r="EX46" i="6"/>
  <c r="EL46" i="6"/>
  <c r="EL47" i="6"/>
  <c r="Z52" i="6"/>
  <c r="CD52" i="6" s="1"/>
  <c r="Z53" i="6" s="1"/>
  <c r="CD53" i="6" s="1"/>
  <c r="T43" i="5"/>
  <c r="BR52" i="6"/>
  <c r="BQ52" i="6"/>
  <c r="N58" i="4"/>
  <c r="EZ43" i="6"/>
  <c r="AW43" i="6"/>
  <c r="EY14" i="6"/>
  <c r="E17" i="10" s="1"/>
  <c r="EE14" i="6"/>
  <c r="EX16" i="6"/>
  <c r="EZ71" i="6" s="1"/>
  <c r="EZ24" i="6"/>
  <c r="EN35" i="6"/>
  <c r="Q35" i="6" s="1"/>
  <c r="EO35" i="6" s="1"/>
  <c r="EH35" i="6"/>
  <c r="EL31" i="6"/>
  <c r="AW18" i="6"/>
  <c r="EZ18" i="6"/>
  <c r="V17" i="11"/>
  <c r="DT14" i="6"/>
  <c r="BE14" i="6"/>
  <c r="J20" i="4"/>
  <c r="BI21" i="6"/>
  <c r="EY15" i="6"/>
  <c r="E18" i="10" s="1"/>
  <c r="EE15" i="6"/>
  <c r="EX5" i="6"/>
  <c r="FA8" i="6"/>
  <c r="FA9" i="6" s="1"/>
  <c r="FA10" i="6" s="1"/>
  <c r="FA11" i="6" s="1"/>
  <c r="V33" i="11"/>
  <c r="BE30" i="6"/>
  <c r="DT30" i="6"/>
  <c r="J36" i="4"/>
  <c r="EX30" i="6"/>
  <c r="EY23" i="6"/>
  <c r="E26" i="10" s="1"/>
  <c r="DH23" i="6"/>
  <c r="DH24" i="6" s="1"/>
  <c r="CL23" i="6"/>
  <c r="AH24" i="6" s="1"/>
  <c r="CL24" i="6" s="1"/>
  <c r="AH25" i="6" s="1"/>
  <c r="CL25" i="6" s="1"/>
  <c r="AH26" i="6" s="1"/>
  <c r="CL26" i="6" s="1"/>
  <c r="AH27" i="6" s="1"/>
  <c r="CL27" i="6" s="1"/>
  <c r="AH28" i="6" s="1"/>
  <c r="CL28" i="6" s="1"/>
  <c r="AH29" i="6" s="1"/>
  <c r="CL29" i="6" s="1"/>
  <c r="AH30" i="6" s="1"/>
  <c r="CL30" i="6" s="1"/>
  <c r="AH31" i="6" s="1"/>
  <c r="CL31" i="6" s="1"/>
  <c r="AH32" i="6" s="1"/>
  <c r="CL32" i="6" s="1"/>
  <c r="AH33" i="6" s="1"/>
  <c r="CL33" i="6" s="1"/>
  <c r="AH34" i="6" s="1"/>
  <c r="CL34" i="6" s="1"/>
  <c r="AH35" i="6" s="1"/>
  <c r="EE23" i="6"/>
  <c r="A6" i="11"/>
  <c r="EE46" i="6"/>
  <c r="EY46" i="6"/>
  <c r="E49" i="10" s="1"/>
  <c r="BG46" i="6"/>
  <c r="DH46" i="6"/>
  <c r="EZ59" i="6"/>
  <c r="AW59" i="6"/>
  <c r="EX58" i="6"/>
  <c r="B58" i="6"/>
  <c r="AX182" i="6" s="1"/>
  <c r="T54" i="5"/>
  <c r="EL41" i="6"/>
  <c r="AE41" i="6"/>
  <c r="CI41" i="6" s="1"/>
  <c r="AE42" i="6" s="1"/>
  <c r="CI42" i="6" s="1"/>
  <c r="AE43" i="6" s="1"/>
  <c r="CI43" i="6" s="1"/>
  <c r="AE44" i="6" s="1"/>
  <c r="CI44" i="6" s="1"/>
  <c r="AE45" i="6" s="1"/>
  <c r="CI45" i="6" s="1"/>
  <c r="AE46" i="6" s="1"/>
  <c r="CI46" i="6" s="1"/>
  <c r="AE47" i="6" s="1"/>
  <c r="CI47" i="6" s="1"/>
  <c r="AE48" i="6" s="1"/>
  <c r="CI48" i="6" s="1"/>
  <c r="AE49" i="6" s="1"/>
  <c r="CI49" i="6" s="1"/>
  <c r="AE50" i="6" s="1"/>
  <c r="CI50" i="6" s="1"/>
  <c r="AE51" i="6" s="1"/>
  <c r="CI51" i="6" s="1"/>
  <c r="DU40" i="6"/>
  <c r="EZ37" i="6"/>
  <c r="FB6" i="6"/>
  <c r="FC7" i="6" s="1"/>
  <c r="AZ7" i="6" s="1"/>
  <c r="L13" i="4" s="1"/>
  <c r="EY6" i="6"/>
  <c r="E9" i="10" s="1"/>
  <c r="EE6" i="6"/>
  <c r="DS27" i="6"/>
  <c r="DT27" i="6" s="1"/>
  <c r="BH14" i="6"/>
  <c r="DS14" i="6"/>
  <c r="BT11" i="6"/>
  <c r="BS11" i="6"/>
  <c r="V34" i="11"/>
  <c r="DT31" i="6"/>
  <c r="BE31" i="6"/>
  <c r="BI31" i="6"/>
  <c r="J37" i="4"/>
  <c r="EX31" i="6"/>
  <c r="V13" i="11"/>
  <c r="BE10" i="6"/>
  <c r="J16" i="4"/>
  <c r="N36" i="4"/>
  <c r="BT23" i="6"/>
  <c r="BS23" i="6"/>
  <c r="DS23" i="6"/>
  <c r="DT23" i="6" s="1"/>
  <c r="EY19" i="6"/>
  <c r="E22" i="10" s="1"/>
  <c r="DH19" i="6"/>
  <c r="EE19" i="6"/>
  <c r="EL9" i="6"/>
  <c r="P6" i="11"/>
  <c r="J68" i="5"/>
  <c r="K68" i="5" s="1"/>
  <c r="L68" i="5"/>
  <c r="DO139" i="6" l="1"/>
  <c r="BC209" i="6"/>
  <c r="BC165" i="6"/>
  <c r="DP195" i="6"/>
  <c r="DO229" i="6"/>
  <c r="BD167" i="6"/>
  <c r="BD199" i="6"/>
  <c r="DR181" i="6"/>
  <c r="BC181" i="6"/>
  <c r="DN229" i="6"/>
  <c r="BD214" i="6"/>
  <c r="DR143" i="6"/>
  <c r="BC169" i="6"/>
  <c r="BC147" i="6"/>
  <c r="DO163" i="6"/>
  <c r="DP167" i="6"/>
  <c r="BC162" i="6"/>
  <c r="DO167" i="6"/>
  <c r="DO158" i="6"/>
  <c r="BD203" i="6"/>
  <c r="BC131" i="6"/>
  <c r="DO147" i="6"/>
  <c r="BD158" i="6"/>
  <c r="DO195" i="6"/>
  <c r="BD235" i="6"/>
  <c r="BD211" i="6"/>
  <c r="BD131" i="6"/>
  <c r="BD162" i="6"/>
  <c r="BC161" i="6"/>
  <c r="BC160" i="6"/>
  <c r="DR160" i="6"/>
  <c r="BD218" i="6"/>
  <c r="BC204" i="6"/>
  <c r="DO134" i="6"/>
  <c r="DN134" i="6"/>
  <c r="BC194" i="6"/>
  <c r="DP203" i="6"/>
  <c r="BC133" i="6"/>
  <c r="DQ174" i="6"/>
  <c r="BD194" i="6"/>
  <c r="DQ221" i="6"/>
  <c r="DR223" i="6"/>
  <c r="BD143" i="6"/>
  <c r="BC174" i="6"/>
  <c r="DR153" i="6"/>
  <c r="DR161" i="6"/>
  <c r="BC233" i="6"/>
  <c r="BC201" i="6"/>
  <c r="BC214" i="6"/>
  <c r="DO189" i="6"/>
  <c r="DN189" i="6"/>
  <c r="DO159" i="6"/>
  <c r="BD233" i="6"/>
  <c r="DP234" i="6"/>
  <c r="DP175" i="6"/>
  <c r="DN147" i="6"/>
  <c r="BC167" i="6"/>
  <c r="DP163" i="6"/>
  <c r="DQ181" i="6"/>
  <c r="DO131" i="6"/>
  <c r="BC135" i="6"/>
  <c r="BC191" i="6"/>
  <c r="DN204" i="6"/>
  <c r="BD141" i="6"/>
  <c r="BD204" i="6"/>
  <c r="BC203" i="6"/>
  <c r="T18" i="5"/>
  <c r="EF12" i="6"/>
  <c r="FE12" i="6"/>
  <c r="B15" i="10"/>
  <c r="DU12" i="6"/>
  <c r="EL12" i="6"/>
  <c r="DH13" i="6"/>
  <c r="CM95" i="6"/>
  <c r="AI96" i="6" s="1"/>
  <c r="BI10" i="6"/>
  <c r="T30" i="5"/>
  <c r="DH25" i="6"/>
  <c r="DU24" i="6"/>
  <c r="B27" i="10"/>
  <c r="EL24" i="6"/>
  <c r="CN98" i="6"/>
  <c r="AJ99" i="6" s="1"/>
  <c r="F35" i="10"/>
  <c r="CK95" i="6"/>
  <c r="AG96" i="6" s="1"/>
  <c r="CK96" i="6" s="1"/>
  <c r="AG97" i="6" s="1"/>
  <c r="CK97" i="6" s="1"/>
  <c r="AG98" i="6" s="1"/>
  <c r="CK74" i="6"/>
  <c r="AG75" i="6" s="1"/>
  <c r="F132" i="10"/>
  <c r="T14" i="5"/>
  <c r="DU8" i="6"/>
  <c r="B11" i="10"/>
  <c r="EL8" i="6"/>
  <c r="N15" i="4"/>
  <c r="CM5" i="6"/>
  <c r="AI6" i="6" s="1"/>
  <c r="G74" i="10"/>
  <c r="CL35" i="6"/>
  <c r="AH36" i="6" s="1"/>
  <c r="CL36" i="6" s="1"/>
  <c r="AH37" i="6" s="1"/>
  <c r="CL37" i="6" s="1"/>
  <c r="AH38" i="6" s="1"/>
  <c r="CL38" i="6" s="1"/>
  <c r="AH39" i="6" s="1"/>
  <c r="CL39" i="6" s="1"/>
  <c r="AH40" i="6" s="1"/>
  <c r="CL40" i="6" s="1"/>
  <c r="AH41" i="6" s="1"/>
  <c r="CL41" i="6" s="1"/>
  <c r="AH42" i="6" s="1"/>
  <c r="CL42" i="6" s="1"/>
  <c r="AH43" i="6" s="1"/>
  <c r="CL43" i="6" s="1"/>
  <c r="AH44" i="6" s="1"/>
  <c r="CL44" i="6" s="1"/>
  <c r="AH45" i="6" s="1"/>
  <c r="CL45" i="6" s="1"/>
  <c r="AH46" i="6" s="1"/>
  <c r="CL46" i="6" s="1"/>
  <c r="AH47" i="6" s="1"/>
  <c r="CL47" i="6" s="1"/>
  <c r="AH48" i="6" s="1"/>
  <c r="CL48" i="6" s="1"/>
  <c r="AH49" i="6" s="1"/>
  <c r="CL49" i="6" s="1"/>
  <c r="AH50" i="6" s="1"/>
  <c r="CL50" i="6" s="1"/>
  <c r="AH51" i="6" s="1"/>
  <c r="CL51" i="6" s="1"/>
  <c r="AH52" i="6" s="1"/>
  <c r="BC35" i="6"/>
  <c r="F21" i="10"/>
  <c r="F32" i="10"/>
  <c r="N44" i="4"/>
  <c r="T52" i="5"/>
  <c r="DU46" i="6"/>
  <c r="B49" i="10"/>
  <c r="FE23" i="6"/>
  <c r="B77" i="11"/>
  <c r="C77" i="11" s="1"/>
  <c r="E120" i="11"/>
  <c r="B13" i="11"/>
  <c r="C13" i="11" s="1"/>
  <c r="B119" i="11"/>
  <c r="D14" i="11"/>
  <c r="E122" i="11"/>
  <c r="E121" i="11"/>
  <c r="B120" i="11"/>
  <c r="B122" i="11"/>
  <c r="B121" i="11"/>
  <c r="N50" i="11"/>
  <c r="D11" i="11"/>
  <c r="N78" i="11"/>
  <c r="N77" i="11"/>
  <c r="N76" i="11"/>
  <c r="D51" i="11"/>
  <c r="D50" i="11"/>
  <c r="L49" i="11"/>
  <c r="M49" i="11" s="1"/>
  <c r="L48" i="11"/>
  <c r="L78" i="11"/>
  <c r="M78" i="11" s="1"/>
  <c r="L77" i="11"/>
  <c r="M77" i="11" s="1"/>
  <c r="L76" i="11"/>
  <c r="B51" i="11"/>
  <c r="C51" i="11" s="1"/>
  <c r="D13" i="11"/>
  <c r="B50" i="11"/>
  <c r="C50" i="11" s="1"/>
  <c r="B11" i="11"/>
  <c r="D77" i="11"/>
  <c r="N51" i="11"/>
  <c r="L51" i="11"/>
  <c r="M51" i="11" s="1"/>
  <c r="N48" i="11"/>
  <c r="N52" i="11" s="1"/>
  <c r="D12" i="11"/>
  <c r="N49" i="11"/>
  <c r="B12" i="11"/>
  <c r="C12" i="11" s="1"/>
  <c r="B48" i="11"/>
  <c r="D76" i="11"/>
  <c r="D78" i="11" s="1"/>
  <c r="D49" i="11"/>
  <c r="B49" i="11"/>
  <c r="C49" i="11" s="1"/>
  <c r="B76" i="11"/>
  <c r="D48" i="11"/>
  <c r="E108" i="11"/>
  <c r="E119" i="11"/>
  <c r="E123" i="11" s="1"/>
  <c r="B14" i="11"/>
  <c r="C14" i="11" s="1"/>
  <c r="L50" i="11"/>
  <c r="M50" i="11" s="1"/>
  <c r="C108" i="11"/>
  <c r="E129" i="11"/>
  <c r="D129" i="11"/>
  <c r="G129" i="11"/>
  <c r="F108" i="11"/>
  <c r="D108" i="11"/>
  <c r="F129" i="11"/>
  <c r="EZ76" i="6"/>
  <c r="AW76" i="6"/>
  <c r="C79" i="10"/>
  <c r="BL4" i="6"/>
  <c r="EZ78" i="6"/>
  <c r="AW146" i="6"/>
  <c r="AW200" i="6"/>
  <c r="T9" i="5"/>
  <c r="B6" i="10"/>
  <c r="DU3" i="6"/>
  <c r="BM3" i="6" s="1"/>
  <c r="BN3" i="6" s="1"/>
  <c r="BI18" i="6"/>
  <c r="BR58" i="6"/>
  <c r="BQ58" i="6"/>
  <c r="N64" i="4"/>
  <c r="DR3" i="6"/>
  <c r="BD3" i="6"/>
  <c r="CK28" i="6"/>
  <c r="AG29" i="6" s="1"/>
  <c r="BI12" i="6"/>
  <c r="D109" i="11"/>
  <c r="C109" i="11"/>
  <c r="F130" i="11"/>
  <c r="D130" i="11"/>
  <c r="E109" i="11"/>
  <c r="F109" i="11"/>
  <c r="E130" i="11"/>
  <c r="G130" i="11"/>
  <c r="AW56" i="6"/>
  <c r="EZ104" i="6"/>
  <c r="AW168" i="6"/>
  <c r="EZ200" i="6"/>
  <c r="AW19" i="6"/>
  <c r="CL86" i="6"/>
  <c r="AH87" i="6" s="1"/>
  <c r="CL87" i="6" s="1"/>
  <c r="AH88" i="6" s="1"/>
  <c r="CL88" i="6" s="1"/>
  <c r="AH89" i="6" s="1"/>
  <c r="CL89" i="6" s="1"/>
  <c r="AH90" i="6" s="1"/>
  <c r="CL90" i="6" s="1"/>
  <c r="AH91" i="6" s="1"/>
  <c r="CL91" i="6" s="1"/>
  <c r="AH92" i="6" s="1"/>
  <c r="CL92" i="6" s="1"/>
  <c r="AH93" i="6" s="1"/>
  <c r="EL54" i="6"/>
  <c r="Z54" i="6"/>
  <c r="DH55" i="6"/>
  <c r="T60" i="5"/>
  <c r="B57" i="10"/>
  <c r="DU54" i="6"/>
  <c r="BM54" i="6" s="1"/>
  <c r="Y54" i="6"/>
  <c r="AA54" i="6"/>
  <c r="CE54" i="6" s="1"/>
  <c r="FE54" i="6"/>
  <c r="AX129" i="6"/>
  <c r="AX145" i="6"/>
  <c r="BC173" i="6"/>
  <c r="BT36" i="6"/>
  <c r="BS36" i="6"/>
  <c r="AX103" i="6"/>
  <c r="AX37" i="6"/>
  <c r="AX75" i="6"/>
  <c r="EC164" i="6"/>
  <c r="AV164" i="6" s="1"/>
  <c r="AX240" i="6"/>
  <c r="AW36" i="6"/>
  <c r="AW85" i="6"/>
  <c r="E112" i="11"/>
  <c r="F135" i="11"/>
  <c r="D112" i="11"/>
  <c r="G135" i="11"/>
  <c r="C112" i="11"/>
  <c r="F112" i="11"/>
  <c r="D135" i="11"/>
  <c r="E135" i="11"/>
  <c r="T221" i="5"/>
  <c r="EL215" i="6"/>
  <c r="BS26" i="6"/>
  <c r="BT26" i="6"/>
  <c r="EZ98" i="6"/>
  <c r="AX177" i="6"/>
  <c r="DH20" i="6"/>
  <c r="AW137" i="6"/>
  <c r="AX105" i="6"/>
  <c r="CL105" i="6"/>
  <c r="AH106" i="6" s="1"/>
  <c r="CL106" i="6" s="1"/>
  <c r="AH107" i="6" s="1"/>
  <c r="CL107" i="6" s="1"/>
  <c r="AH108" i="6" s="1"/>
  <c r="CL108" i="6" s="1"/>
  <c r="AH109" i="6" s="1"/>
  <c r="CL109" i="6" s="1"/>
  <c r="AH110" i="6" s="1"/>
  <c r="CL110" i="6" s="1"/>
  <c r="AH111" i="6" s="1"/>
  <c r="CL111" i="6" s="1"/>
  <c r="AH112" i="6" s="1"/>
  <c r="CL112" i="6" s="1"/>
  <c r="AH113" i="6" s="1"/>
  <c r="CL113" i="6" s="1"/>
  <c r="AH114" i="6" s="1"/>
  <c r="CL114" i="6" s="1"/>
  <c r="AH115" i="6" s="1"/>
  <c r="CL115" i="6" s="1"/>
  <c r="AH116" i="6" s="1"/>
  <c r="CL116" i="6" s="1"/>
  <c r="AH117" i="6" s="1"/>
  <c r="CL117" i="6" s="1"/>
  <c r="AH118" i="6" s="1"/>
  <c r="CL118" i="6" s="1"/>
  <c r="AH119" i="6" s="1"/>
  <c r="CL119" i="6" s="1"/>
  <c r="AH120" i="6" s="1"/>
  <c r="CL120" i="6" s="1"/>
  <c r="AH121" i="6" s="1"/>
  <c r="CL121" i="6" s="1"/>
  <c r="AH122" i="6" s="1"/>
  <c r="CL122" i="6" s="1"/>
  <c r="AH123" i="6" s="1"/>
  <c r="CL123" i="6" s="1"/>
  <c r="AH124" i="6" s="1"/>
  <c r="CL124" i="6" s="1"/>
  <c r="AH125" i="6" s="1"/>
  <c r="CL125" i="6" s="1"/>
  <c r="AH126" i="6" s="1"/>
  <c r="CL126" i="6" s="1"/>
  <c r="AH127" i="6" s="1"/>
  <c r="CL127" i="6" s="1"/>
  <c r="AH128" i="6" s="1"/>
  <c r="CL128" i="6" s="1"/>
  <c r="AH129" i="6" s="1"/>
  <c r="CL129" i="6" s="1"/>
  <c r="AH130" i="6" s="1"/>
  <c r="CL130" i="6" s="1"/>
  <c r="AH131" i="6" s="1"/>
  <c r="CL131" i="6" s="1"/>
  <c r="AH132" i="6" s="1"/>
  <c r="CL132" i="6" s="1"/>
  <c r="AH133" i="6" s="1"/>
  <c r="CL133" i="6" s="1"/>
  <c r="AH134" i="6" s="1"/>
  <c r="CL134" i="6" s="1"/>
  <c r="AH135" i="6" s="1"/>
  <c r="CL135" i="6" s="1"/>
  <c r="AH136" i="6" s="1"/>
  <c r="CL136" i="6" s="1"/>
  <c r="AH137" i="6" s="1"/>
  <c r="CL137" i="6" s="1"/>
  <c r="AH138" i="6" s="1"/>
  <c r="CL138" i="6" s="1"/>
  <c r="AH139" i="6" s="1"/>
  <c r="CL139" i="6" s="1"/>
  <c r="AH140" i="6" s="1"/>
  <c r="CL140" i="6" s="1"/>
  <c r="AH141" i="6" s="1"/>
  <c r="CL141" i="6" s="1"/>
  <c r="AH142" i="6" s="1"/>
  <c r="CL142" i="6" s="1"/>
  <c r="AH143" i="6" s="1"/>
  <c r="CL143" i="6" s="1"/>
  <c r="AH144" i="6" s="1"/>
  <c r="CL144" i="6" s="1"/>
  <c r="AH145" i="6" s="1"/>
  <c r="CL145" i="6" s="1"/>
  <c r="AH146" i="6" s="1"/>
  <c r="CL146" i="6" s="1"/>
  <c r="AH147" i="6" s="1"/>
  <c r="CL147" i="6" s="1"/>
  <c r="AH148" i="6" s="1"/>
  <c r="CL148" i="6" s="1"/>
  <c r="AH149" i="6" s="1"/>
  <c r="CL149" i="6" s="1"/>
  <c r="AH150" i="6" s="1"/>
  <c r="CL150" i="6" s="1"/>
  <c r="AH151" i="6" s="1"/>
  <c r="CL151" i="6" s="1"/>
  <c r="AH152" i="6" s="1"/>
  <c r="CL152" i="6" s="1"/>
  <c r="AH153" i="6" s="1"/>
  <c r="CL153" i="6" s="1"/>
  <c r="AH154" i="6" s="1"/>
  <c r="CL154" i="6" s="1"/>
  <c r="AH155" i="6" s="1"/>
  <c r="CL155" i="6" s="1"/>
  <c r="AH156" i="6" s="1"/>
  <c r="CL156" i="6" s="1"/>
  <c r="AH157" i="6" s="1"/>
  <c r="CL157" i="6" s="1"/>
  <c r="AH158" i="6" s="1"/>
  <c r="CL158" i="6" s="1"/>
  <c r="AH159" i="6" s="1"/>
  <c r="CL159" i="6" s="1"/>
  <c r="AH160" i="6" s="1"/>
  <c r="CL160" i="6" s="1"/>
  <c r="AH161" i="6" s="1"/>
  <c r="CL161" i="6" s="1"/>
  <c r="AH162" i="6" s="1"/>
  <c r="CL162" i="6" s="1"/>
  <c r="AH163" i="6" s="1"/>
  <c r="CL163" i="6" s="1"/>
  <c r="AH164" i="6" s="1"/>
  <c r="CL164" i="6" s="1"/>
  <c r="AH165" i="6" s="1"/>
  <c r="CL165" i="6" s="1"/>
  <c r="AH166" i="6" s="1"/>
  <c r="CL166" i="6" s="1"/>
  <c r="AH167" i="6" s="1"/>
  <c r="CL167" i="6" s="1"/>
  <c r="AH168" i="6" s="1"/>
  <c r="CL168" i="6" s="1"/>
  <c r="AH169" i="6" s="1"/>
  <c r="CL169" i="6" s="1"/>
  <c r="AH170" i="6" s="1"/>
  <c r="CL170" i="6" s="1"/>
  <c r="AH171" i="6" s="1"/>
  <c r="CL171" i="6" s="1"/>
  <c r="AH172" i="6" s="1"/>
  <c r="CL172" i="6" s="1"/>
  <c r="AH173" i="6" s="1"/>
  <c r="CL173" i="6" s="1"/>
  <c r="AH174" i="6" s="1"/>
  <c r="CL174" i="6" s="1"/>
  <c r="AH175" i="6" s="1"/>
  <c r="CL175" i="6" s="1"/>
  <c r="AH176" i="6" s="1"/>
  <c r="CL176" i="6" s="1"/>
  <c r="AH177" i="6" s="1"/>
  <c r="CL177" i="6" s="1"/>
  <c r="AH178" i="6" s="1"/>
  <c r="CL178" i="6" s="1"/>
  <c r="AH179" i="6" s="1"/>
  <c r="CL179" i="6" s="1"/>
  <c r="AH180" i="6" s="1"/>
  <c r="CL180" i="6" s="1"/>
  <c r="AH181" i="6" s="1"/>
  <c r="CL181" i="6" s="1"/>
  <c r="AH182" i="6" s="1"/>
  <c r="CL182" i="6" s="1"/>
  <c r="AH183" i="6" s="1"/>
  <c r="CL183" i="6" s="1"/>
  <c r="AH184" i="6" s="1"/>
  <c r="CL184" i="6" s="1"/>
  <c r="AH185" i="6" s="1"/>
  <c r="CL185" i="6" s="1"/>
  <c r="AH186" i="6" s="1"/>
  <c r="CL186" i="6" s="1"/>
  <c r="AH187" i="6" s="1"/>
  <c r="CL187" i="6" s="1"/>
  <c r="AH188" i="6" s="1"/>
  <c r="CL188" i="6" s="1"/>
  <c r="AH189" i="6" s="1"/>
  <c r="CL189" i="6" s="1"/>
  <c r="AH190" i="6" s="1"/>
  <c r="CL190" i="6" s="1"/>
  <c r="AH191" i="6" s="1"/>
  <c r="CL191" i="6" s="1"/>
  <c r="AH192" i="6" s="1"/>
  <c r="CL192" i="6" s="1"/>
  <c r="AH193" i="6" s="1"/>
  <c r="CL193" i="6" s="1"/>
  <c r="AH194" i="6" s="1"/>
  <c r="CL194" i="6" s="1"/>
  <c r="AH195" i="6" s="1"/>
  <c r="CL195" i="6" s="1"/>
  <c r="AH196" i="6" s="1"/>
  <c r="CL196" i="6" s="1"/>
  <c r="AH197" i="6" s="1"/>
  <c r="CL197" i="6" s="1"/>
  <c r="AH198" i="6" s="1"/>
  <c r="CL198" i="6" s="1"/>
  <c r="AH199" i="6" s="1"/>
  <c r="CL199" i="6" s="1"/>
  <c r="AH200" i="6" s="1"/>
  <c r="CL200" i="6" s="1"/>
  <c r="AH201" i="6" s="1"/>
  <c r="CL201" i="6" s="1"/>
  <c r="AH202" i="6" s="1"/>
  <c r="CL202" i="6" s="1"/>
  <c r="AH203" i="6" s="1"/>
  <c r="CL203" i="6" s="1"/>
  <c r="AH204" i="6" s="1"/>
  <c r="CL204" i="6" s="1"/>
  <c r="AH205" i="6" s="1"/>
  <c r="CL205" i="6" s="1"/>
  <c r="AH206" i="6" s="1"/>
  <c r="CL206" i="6" s="1"/>
  <c r="AH207" i="6" s="1"/>
  <c r="CL207" i="6" s="1"/>
  <c r="AH208" i="6" s="1"/>
  <c r="CL208" i="6" s="1"/>
  <c r="AH209" i="6" s="1"/>
  <c r="CL209" i="6" s="1"/>
  <c r="AH210" i="6" s="1"/>
  <c r="CL210" i="6" s="1"/>
  <c r="AH211" i="6" s="1"/>
  <c r="CL211" i="6" s="1"/>
  <c r="AH212" i="6" s="1"/>
  <c r="CL212" i="6" s="1"/>
  <c r="AH213" i="6" s="1"/>
  <c r="CL213" i="6" s="1"/>
  <c r="AH214" i="6" s="1"/>
  <c r="CL214" i="6" s="1"/>
  <c r="AH215" i="6" s="1"/>
  <c r="CL215" i="6" s="1"/>
  <c r="AH216" i="6" s="1"/>
  <c r="CL216" i="6" s="1"/>
  <c r="AH217" i="6" s="1"/>
  <c r="CL217" i="6" s="1"/>
  <c r="AH218" i="6" s="1"/>
  <c r="CL218" i="6" s="1"/>
  <c r="AH219" i="6" s="1"/>
  <c r="CL219" i="6" s="1"/>
  <c r="AH220" i="6" s="1"/>
  <c r="CL220" i="6" s="1"/>
  <c r="AH221" i="6" s="1"/>
  <c r="CL221" i="6" s="1"/>
  <c r="AH222" i="6" s="1"/>
  <c r="CL222" i="6" s="1"/>
  <c r="AH223" i="6" s="1"/>
  <c r="CL223" i="6" s="1"/>
  <c r="AH224" i="6" s="1"/>
  <c r="CL224" i="6" s="1"/>
  <c r="AH225" i="6" s="1"/>
  <c r="CL225" i="6" s="1"/>
  <c r="AH226" i="6" s="1"/>
  <c r="CL226" i="6" s="1"/>
  <c r="AH227" i="6" s="1"/>
  <c r="CL227" i="6" s="1"/>
  <c r="AH228" i="6" s="1"/>
  <c r="CL228" i="6" s="1"/>
  <c r="AH229" i="6" s="1"/>
  <c r="CL229" i="6" s="1"/>
  <c r="AH230" i="6" s="1"/>
  <c r="CL230" i="6" s="1"/>
  <c r="AH231" i="6" s="1"/>
  <c r="CL231" i="6" s="1"/>
  <c r="AH232" i="6" s="1"/>
  <c r="CL232" i="6" s="1"/>
  <c r="AH233" i="6" s="1"/>
  <c r="CL233" i="6" s="1"/>
  <c r="AH234" i="6" s="1"/>
  <c r="CL234" i="6" s="1"/>
  <c r="AH235" i="6" s="1"/>
  <c r="CL235" i="6" s="1"/>
  <c r="AH236" i="6" s="1"/>
  <c r="CL236" i="6" s="1"/>
  <c r="AH237" i="6" s="1"/>
  <c r="CL237" i="6" s="1"/>
  <c r="AH238" i="6" s="1"/>
  <c r="CL238" i="6" s="1"/>
  <c r="AH239" i="6" s="1"/>
  <c r="CL239" i="6" s="1"/>
  <c r="AH240" i="6" s="1"/>
  <c r="CL240" i="6" s="1"/>
  <c r="AH241" i="6" s="1"/>
  <c r="CL241" i="6" s="1"/>
  <c r="AH242" i="6" s="1"/>
  <c r="CL242" i="6" s="1"/>
  <c r="EZ225" i="6"/>
  <c r="DN223" i="6"/>
  <c r="DP223" i="6"/>
  <c r="DO223" i="6"/>
  <c r="AX117" i="6"/>
  <c r="AX53" i="6"/>
  <c r="EZ175" i="6"/>
  <c r="DP214" i="6"/>
  <c r="DQ214" i="6"/>
  <c r="DO214" i="6"/>
  <c r="DN214" i="6"/>
  <c r="T16" i="5"/>
  <c r="EL10" i="6"/>
  <c r="DU10" i="6"/>
  <c r="B13" i="10"/>
  <c r="AX66" i="6"/>
  <c r="AX190" i="6"/>
  <c r="DU104" i="6"/>
  <c r="T110" i="5"/>
  <c r="EL104" i="6"/>
  <c r="B107" i="10"/>
  <c r="DH105" i="6"/>
  <c r="T217" i="5"/>
  <c r="EL211" i="6"/>
  <c r="T97" i="5"/>
  <c r="DU91" i="6"/>
  <c r="B94" i="10"/>
  <c r="EL91" i="6"/>
  <c r="DH92" i="6"/>
  <c r="CV4" i="6"/>
  <c r="AR5" i="6" s="1"/>
  <c r="AW70" i="6"/>
  <c r="EZ60" i="6"/>
  <c r="AW60" i="6"/>
  <c r="C63" i="10"/>
  <c r="DQ194" i="6"/>
  <c r="DP194" i="6"/>
  <c r="DO194" i="6"/>
  <c r="CU5" i="6"/>
  <c r="AQ6" i="6" s="1"/>
  <c r="AW92" i="6"/>
  <c r="EZ156" i="6"/>
  <c r="F74" i="10"/>
  <c r="BR63" i="6"/>
  <c r="BQ63" i="6"/>
  <c r="N69" i="4"/>
  <c r="G22" i="10"/>
  <c r="BI76" i="6"/>
  <c r="BC151" i="6"/>
  <c r="DR151" i="6"/>
  <c r="AW30" i="6"/>
  <c r="EZ30" i="6"/>
  <c r="C33" i="10"/>
  <c r="N56" i="4"/>
  <c r="T69" i="5"/>
  <c r="FE63" i="6"/>
  <c r="B66" i="10"/>
  <c r="DU63" i="6"/>
  <c r="DH64" i="6"/>
  <c r="BI13" i="6"/>
  <c r="AW130" i="6"/>
  <c r="AW178" i="6"/>
  <c r="AW214" i="6"/>
  <c r="CK110" i="6"/>
  <c r="AG111" i="6" s="1"/>
  <c r="N77" i="4"/>
  <c r="EZ109" i="6"/>
  <c r="AW109" i="6"/>
  <c r="C112" i="10"/>
  <c r="EC189" i="6"/>
  <c r="AV189" i="6" s="1"/>
  <c r="EZ40" i="6"/>
  <c r="BG7" i="6"/>
  <c r="CK4" i="6"/>
  <c r="AG5" i="6" s="1"/>
  <c r="DP154" i="6"/>
  <c r="AW171" i="6"/>
  <c r="DQ138" i="6"/>
  <c r="DP138" i="6"/>
  <c r="DO138" i="6"/>
  <c r="DN138" i="6"/>
  <c r="DP162" i="6"/>
  <c r="DQ162" i="6"/>
  <c r="DO162" i="6"/>
  <c r="AW211" i="6"/>
  <c r="EZ192" i="6"/>
  <c r="EC162" i="6"/>
  <c r="AV162" i="6" s="1"/>
  <c r="DR208" i="6"/>
  <c r="BD208" i="6"/>
  <c r="BC208" i="6"/>
  <c r="EG3" i="6"/>
  <c r="EB3" i="6"/>
  <c r="AW6" i="6"/>
  <c r="EZ48" i="6"/>
  <c r="AX15" i="6"/>
  <c r="AW24" i="6"/>
  <c r="EZ46" i="6"/>
  <c r="AW46" i="6"/>
  <c r="C49" i="10"/>
  <c r="EB53" i="6"/>
  <c r="T46" i="5"/>
  <c r="B43" i="10"/>
  <c r="CM64" i="6"/>
  <c r="AI65" i="6" s="1"/>
  <c r="EZ139" i="6"/>
  <c r="AW190" i="6"/>
  <c r="AW222" i="6"/>
  <c r="BT75" i="6"/>
  <c r="BS75" i="6"/>
  <c r="BD173" i="6"/>
  <c r="EC137" i="6"/>
  <c r="AV137" i="6" s="1"/>
  <c r="AX188" i="6"/>
  <c r="BC86" i="6"/>
  <c r="AW86" i="6"/>
  <c r="DP199" i="6"/>
  <c r="DO199" i="6"/>
  <c r="DN199" i="6"/>
  <c r="DQ199" i="6"/>
  <c r="AX92" i="6"/>
  <c r="AX187" i="6"/>
  <c r="DP135" i="6"/>
  <c r="DQ135" i="6"/>
  <c r="DO135" i="6"/>
  <c r="AW141" i="6"/>
  <c r="DP235" i="6"/>
  <c r="DO235" i="6"/>
  <c r="DQ235" i="6"/>
  <c r="DN235" i="6"/>
  <c r="BI105" i="6"/>
  <c r="DO228" i="6"/>
  <c r="DQ228" i="6"/>
  <c r="DP228" i="6"/>
  <c r="DN228" i="6"/>
  <c r="F62" i="10"/>
  <c r="AX100" i="6"/>
  <c r="T29" i="5"/>
  <c r="B26" i="10"/>
  <c r="EL23" i="6"/>
  <c r="DU23" i="6"/>
  <c r="BQ13" i="6"/>
  <c r="BR13" i="6"/>
  <c r="N19" i="4"/>
  <c r="AX11" i="6"/>
  <c r="AX99" i="6"/>
  <c r="AX127" i="6"/>
  <c r="BE127" i="6" s="1"/>
  <c r="AX138" i="6"/>
  <c r="AX126" i="6"/>
  <c r="EC133" i="6"/>
  <c r="AV133" i="6" s="1"/>
  <c r="AX84" i="6"/>
  <c r="AX121" i="6"/>
  <c r="EC161" i="6"/>
  <c r="AV161" i="6" s="1"/>
  <c r="AX202" i="6"/>
  <c r="AX134" i="6"/>
  <c r="EC179" i="6"/>
  <c r="AV179" i="6" s="1"/>
  <c r="AX173" i="6"/>
  <c r="AX102" i="6"/>
  <c r="AX128" i="6"/>
  <c r="BE128" i="6" s="1"/>
  <c r="AX78" i="6"/>
  <c r="AX160" i="6"/>
  <c r="AX165" i="6"/>
  <c r="AX185" i="6"/>
  <c r="EC196" i="6"/>
  <c r="AV196" i="6" s="1"/>
  <c r="AX186" i="6"/>
  <c r="EC197" i="6"/>
  <c r="AV197" i="6" s="1"/>
  <c r="AX197" i="6"/>
  <c r="EC200" i="6"/>
  <c r="AV200" i="6" s="1"/>
  <c r="AX226" i="6"/>
  <c r="AX147" i="6"/>
  <c r="AX181" i="6"/>
  <c r="AX196" i="6"/>
  <c r="AX68" i="6"/>
  <c r="AX122" i="6"/>
  <c r="AX132" i="6"/>
  <c r="AX141" i="6"/>
  <c r="EC146" i="6"/>
  <c r="AV146" i="6" s="1"/>
  <c r="EC155" i="6"/>
  <c r="AV155" i="6" s="1"/>
  <c r="EC168" i="6"/>
  <c r="AV168" i="6" s="1"/>
  <c r="EC198" i="6"/>
  <c r="AV198" i="6" s="1"/>
  <c r="EC220" i="6"/>
  <c r="AV220" i="6" s="1"/>
  <c r="AX124" i="6"/>
  <c r="EC141" i="6"/>
  <c r="AV141" i="6" s="1"/>
  <c r="AX146" i="6"/>
  <c r="AX155" i="6"/>
  <c r="AX170" i="6"/>
  <c r="AX98" i="6"/>
  <c r="EC170" i="6"/>
  <c r="AV170" i="6" s="1"/>
  <c r="EC203" i="6"/>
  <c r="AV203" i="6" s="1"/>
  <c r="AX204" i="6"/>
  <c r="AX179" i="6"/>
  <c r="EC186" i="6"/>
  <c r="AV186" i="6" s="1"/>
  <c r="AX130" i="6"/>
  <c r="EC157" i="6"/>
  <c r="AV157" i="6" s="1"/>
  <c r="EC173" i="6"/>
  <c r="AV173" i="6" s="1"/>
  <c r="EC181" i="6"/>
  <c r="AV181" i="6" s="1"/>
  <c r="EC184" i="6"/>
  <c r="AV184" i="6" s="1"/>
  <c r="EC232" i="6"/>
  <c r="AV232" i="6" s="1"/>
  <c r="AX161" i="6"/>
  <c r="AX184" i="6"/>
  <c r="AX209" i="6"/>
  <c r="AX213" i="6"/>
  <c r="AX157" i="6"/>
  <c r="AX171" i="6"/>
  <c r="EC183" i="6"/>
  <c r="AV183" i="6" s="1"/>
  <c r="EC231" i="6"/>
  <c r="AV231" i="6" s="1"/>
  <c r="EC192" i="6"/>
  <c r="AV192" i="6" s="1"/>
  <c r="EC224" i="6"/>
  <c r="AV224" i="6" s="1"/>
  <c r="AX237" i="6"/>
  <c r="EC225" i="6"/>
  <c r="AV225" i="6" s="1"/>
  <c r="AX231" i="6"/>
  <c r="EC160" i="6"/>
  <c r="AV160" i="6" s="1"/>
  <c r="EC185" i="6"/>
  <c r="AV185" i="6" s="1"/>
  <c r="AX192" i="6"/>
  <c r="EC202" i="6"/>
  <c r="AV202" i="6" s="1"/>
  <c r="EC207" i="6"/>
  <c r="AV207" i="6" s="1"/>
  <c r="EC226" i="6"/>
  <c r="AV226" i="6" s="1"/>
  <c r="AX225" i="6"/>
  <c r="AX36" i="6"/>
  <c r="BE36" i="6" s="1"/>
  <c r="EC138" i="6"/>
  <c r="AV138" i="6" s="1"/>
  <c r="EC131" i="6"/>
  <c r="AV131" i="6" s="1"/>
  <c r="EC142" i="6"/>
  <c r="AV142" i="6" s="1"/>
  <c r="EC152" i="6"/>
  <c r="AV152" i="6" s="1"/>
  <c r="EC153" i="6"/>
  <c r="AV153" i="6" s="1"/>
  <c r="AX189" i="6"/>
  <c r="EC190" i="6"/>
  <c r="AV190" i="6" s="1"/>
  <c r="AX220" i="6"/>
  <c r="AX224" i="6"/>
  <c r="EC229" i="6"/>
  <c r="AV229" i="6" s="1"/>
  <c r="EC237" i="6"/>
  <c r="AV237" i="6" s="1"/>
  <c r="AX131" i="6"/>
  <c r="EC194" i="6"/>
  <c r="AV194" i="6" s="1"/>
  <c r="AX229" i="6"/>
  <c r="AX239" i="6"/>
  <c r="EC216" i="6"/>
  <c r="AV216" i="6" s="1"/>
  <c r="EC172" i="6"/>
  <c r="AV172" i="6" s="1"/>
  <c r="AX180" i="6"/>
  <c r="AX236" i="6"/>
  <c r="AX152" i="6"/>
  <c r="EC171" i="6"/>
  <c r="AV171" i="6" s="1"/>
  <c r="AX198" i="6"/>
  <c r="AX203" i="6"/>
  <c r="AX172" i="6"/>
  <c r="AX140" i="6"/>
  <c r="EC188" i="6"/>
  <c r="AV188" i="6" s="1"/>
  <c r="AX232" i="6"/>
  <c r="AX223" i="6"/>
  <c r="EC206" i="6"/>
  <c r="AV206" i="6" s="1"/>
  <c r="AX238" i="6"/>
  <c r="AX120" i="6"/>
  <c r="EC199" i="6"/>
  <c r="AV199" i="6" s="1"/>
  <c r="AX149" i="6"/>
  <c r="AX72" i="6"/>
  <c r="EC177" i="6"/>
  <c r="AV177" i="6" s="1"/>
  <c r="AX63" i="6"/>
  <c r="AX205" i="6"/>
  <c r="AX88" i="6"/>
  <c r="AX212" i="6"/>
  <c r="AX210" i="6"/>
  <c r="AX241" i="6"/>
  <c r="EC217" i="6"/>
  <c r="AV217" i="6" s="1"/>
  <c r="AX31" i="6"/>
  <c r="AX199" i="6"/>
  <c r="EC187" i="6"/>
  <c r="AV187" i="6" s="1"/>
  <c r="AX156" i="6"/>
  <c r="EC201" i="6"/>
  <c r="AV201" i="6" s="1"/>
  <c r="EC227" i="6"/>
  <c r="AV227" i="6" s="1"/>
  <c r="AX194" i="6"/>
  <c r="AX136" i="6"/>
  <c r="EC136" i="6"/>
  <c r="AV136" i="6" s="1"/>
  <c r="AX29" i="6"/>
  <c r="AX24" i="6"/>
  <c r="AX137" i="6"/>
  <c r="EC166" i="6"/>
  <c r="AV166" i="6" s="1"/>
  <c r="AX32" i="6"/>
  <c r="AX195" i="6"/>
  <c r="AX28" i="6"/>
  <c r="AX143" i="6"/>
  <c r="EC211" i="6"/>
  <c r="AV211" i="6" s="1"/>
  <c r="AX219" i="6"/>
  <c r="AX150" i="6"/>
  <c r="EC195" i="6"/>
  <c r="AV195" i="6" s="1"/>
  <c r="EC212" i="6"/>
  <c r="AV212" i="6" s="1"/>
  <c r="EC175" i="6"/>
  <c r="AV175" i="6" s="1"/>
  <c r="EC159" i="6"/>
  <c r="AV159" i="6" s="1"/>
  <c r="AX211" i="6"/>
  <c r="AX20" i="6"/>
  <c r="EC139" i="6"/>
  <c r="AV139" i="6" s="1"/>
  <c r="AX41" i="6"/>
  <c r="AX208" i="6"/>
  <c r="AX175" i="6"/>
  <c r="EC233" i="6"/>
  <c r="AV233" i="6" s="1"/>
  <c r="AX108" i="6"/>
  <c r="AX176" i="6"/>
  <c r="EC156" i="6"/>
  <c r="AV156" i="6" s="1"/>
  <c r="AX46" i="6"/>
  <c r="BE46" i="6" s="1"/>
  <c r="AX201" i="6"/>
  <c r="EC218" i="6"/>
  <c r="AV218" i="6" s="1"/>
  <c r="EC180" i="6"/>
  <c r="AV180" i="6" s="1"/>
  <c r="EC147" i="6"/>
  <c r="AV147" i="6" s="1"/>
  <c r="AX43" i="6"/>
  <c r="AX57" i="6"/>
  <c r="AX82" i="6"/>
  <c r="AX235" i="6"/>
  <c r="AX139" i="6"/>
  <c r="AX119" i="6"/>
  <c r="BE119" i="6" s="1"/>
  <c r="EC210" i="6"/>
  <c r="AV210" i="6" s="1"/>
  <c r="EC143" i="6"/>
  <c r="AV143" i="6" s="1"/>
  <c r="AX233" i="6"/>
  <c r="AX159" i="6"/>
  <c r="EC228" i="6"/>
  <c r="AV228" i="6" s="1"/>
  <c r="AX221" i="6"/>
  <c r="AX79" i="6"/>
  <c r="AX48" i="6"/>
  <c r="EC135" i="6"/>
  <c r="AV135" i="6" s="1"/>
  <c r="AX14" i="6"/>
  <c r="AX86" i="6"/>
  <c r="AX178" i="6"/>
  <c r="EC191" i="6"/>
  <c r="AV191" i="6" s="1"/>
  <c r="AX158" i="6"/>
  <c r="AX110" i="6"/>
  <c r="EC214" i="6"/>
  <c r="AV214" i="6" s="1"/>
  <c r="AX183" i="6"/>
  <c r="EC132" i="6"/>
  <c r="AV132" i="6" s="1"/>
  <c r="AX104" i="6"/>
  <c r="AX49" i="6"/>
  <c r="BE49" i="6" s="1"/>
  <c r="AX35" i="6"/>
  <c r="EC235" i="6"/>
  <c r="AV235" i="6" s="1"/>
  <c r="AX56" i="6"/>
  <c r="AX234" i="6"/>
  <c r="AX162" i="6"/>
  <c r="EC230" i="6"/>
  <c r="AV230" i="6" s="1"/>
  <c r="AX107" i="6"/>
  <c r="EC167" i="6"/>
  <c r="AV167" i="6" s="1"/>
  <c r="AX101" i="6"/>
  <c r="AX77" i="6"/>
  <c r="AX191" i="6"/>
  <c r="AX69" i="6"/>
  <c r="AX65" i="6"/>
  <c r="EC236" i="6"/>
  <c r="AV236" i="6" s="1"/>
  <c r="EC213" i="6"/>
  <c r="AV213" i="6" s="1"/>
  <c r="AX168" i="6"/>
  <c r="AX148" i="6"/>
  <c r="AX38" i="6"/>
  <c r="BE38" i="6" s="1"/>
  <c r="AX22" i="6"/>
  <c r="AX17" i="6"/>
  <c r="AX166" i="6"/>
  <c r="EC145" i="6"/>
  <c r="AV145" i="6" s="1"/>
  <c r="EC151" i="6"/>
  <c r="AV151" i="6" s="1"/>
  <c r="EC174" i="6"/>
  <c r="AV174" i="6" s="1"/>
  <c r="AX52" i="6"/>
  <c r="AX115" i="6"/>
  <c r="BE115" i="6" s="1"/>
  <c r="AX217" i="6"/>
  <c r="EC150" i="6"/>
  <c r="AV150" i="6" s="1"/>
  <c r="AX71" i="6"/>
  <c r="AX167" i="6"/>
  <c r="EC240" i="6"/>
  <c r="AV240" i="6" s="1"/>
  <c r="AX200" i="6"/>
  <c r="AX164" i="6"/>
  <c r="EC134" i="6"/>
  <c r="AV134" i="6" s="1"/>
  <c r="AX55" i="6"/>
  <c r="AX50" i="6"/>
  <c r="BE50" i="6" s="1"/>
  <c r="AX25" i="6"/>
  <c r="AX62" i="6"/>
  <c r="AX228" i="6"/>
  <c r="EC221" i="6"/>
  <c r="AV221" i="6" s="1"/>
  <c r="AX59" i="6"/>
  <c r="EC215" i="6"/>
  <c r="AV215" i="6" s="1"/>
  <c r="AX40" i="6"/>
  <c r="AX206" i="6"/>
  <c r="EC238" i="6"/>
  <c r="AV238" i="6" s="1"/>
  <c r="EC219" i="6"/>
  <c r="AV219" i="6" s="1"/>
  <c r="AX242" i="6"/>
  <c r="AX135" i="6"/>
  <c r="EC149" i="6"/>
  <c r="AV149" i="6" s="1"/>
  <c r="AX174" i="6"/>
  <c r="EC223" i="6"/>
  <c r="AV223" i="6" s="1"/>
  <c r="EC234" i="6"/>
  <c r="AV234" i="6" s="1"/>
  <c r="AX215" i="6"/>
  <c r="AX109" i="6"/>
  <c r="EC241" i="6"/>
  <c r="AV241" i="6" s="1"/>
  <c r="AX230" i="6"/>
  <c r="EC205" i="6"/>
  <c r="AV205" i="6" s="1"/>
  <c r="AX227" i="6"/>
  <c r="EC204" i="6"/>
  <c r="AV204" i="6" s="1"/>
  <c r="AX142" i="6"/>
  <c r="AX118" i="6"/>
  <c r="AX51" i="6"/>
  <c r="AX18" i="6"/>
  <c r="EC169" i="6"/>
  <c r="AV169" i="6" s="1"/>
  <c r="AX64" i="6"/>
  <c r="EZ14" i="6"/>
  <c r="N48" i="4"/>
  <c r="AW134" i="6"/>
  <c r="AW183" i="6"/>
  <c r="EZ232" i="6"/>
  <c r="CY4" i="6"/>
  <c r="AU5" i="6" s="1"/>
  <c r="EI5" i="6" s="1"/>
  <c r="W4" i="6"/>
  <c r="U4" i="6"/>
  <c r="V4" i="6"/>
  <c r="BZ4" i="6" s="1"/>
  <c r="FD5" i="6"/>
  <c r="AW15" i="6"/>
  <c r="EZ15" i="6"/>
  <c r="C18" i="10"/>
  <c r="BR68" i="6"/>
  <c r="BQ68" i="6"/>
  <c r="N74" i="4"/>
  <c r="AW123" i="6"/>
  <c r="EZ123" i="6"/>
  <c r="C126" i="10"/>
  <c r="BD151" i="6"/>
  <c r="AX169" i="6"/>
  <c r="AW66" i="6"/>
  <c r="EZ66" i="6"/>
  <c r="C69" i="10"/>
  <c r="AX133" i="6"/>
  <c r="EC209" i="6"/>
  <c r="AV209" i="6" s="1"/>
  <c r="EZ181" i="6"/>
  <c r="EZ73" i="6"/>
  <c r="EZ39" i="6"/>
  <c r="BR3" i="6"/>
  <c r="DX3" i="6" s="1"/>
  <c r="BV3" i="6" s="1"/>
  <c r="P9" i="4" s="1"/>
  <c r="F9" i="5" s="1"/>
  <c r="BQ3" i="6"/>
  <c r="DW3" i="6" s="1"/>
  <c r="BU3" i="6" s="1"/>
  <c r="N9" i="4"/>
  <c r="DH4" i="6"/>
  <c r="AW217" i="6"/>
  <c r="EC242" i="6"/>
  <c r="AV242" i="6" s="1"/>
  <c r="AW241" i="6"/>
  <c r="F134" i="11"/>
  <c r="D134" i="11"/>
  <c r="D111" i="11"/>
  <c r="E134" i="11"/>
  <c r="C111" i="11"/>
  <c r="F111" i="11"/>
  <c r="G134" i="11"/>
  <c r="E111" i="11"/>
  <c r="BI92" i="6"/>
  <c r="G27" i="10"/>
  <c r="EB23" i="6"/>
  <c r="EZ4" i="6"/>
  <c r="AW4" i="6"/>
  <c r="AW35" i="6"/>
  <c r="EZ51" i="6"/>
  <c r="EZ64" i="6"/>
  <c r="EZ67" i="6"/>
  <c r="EZ41" i="6"/>
  <c r="AW47" i="6"/>
  <c r="EZ54" i="6"/>
  <c r="EZ50" i="6"/>
  <c r="EZ62" i="6"/>
  <c r="AW50" i="6"/>
  <c r="AW54" i="6"/>
  <c r="EZ35" i="6"/>
  <c r="C7" i="10"/>
  <c r="EZ38" i="6"/>
  <c r="AW55" i="6"/>
  <c r="EZ55" i="6"/>
  <c r="AW51" i="6"/>
  <c r="AW64" i="6"/>
  <c r="EZ82" i="6"/>
  <c r="EZ75" i="6"/>
  <c r="AW82" i="6"/>
  <c r="AW121" i="6"/>
  <c r="EZ128" i="6"/>
  <c r="AW144" i="6"/>
  <c r="AW41" i="6"/>
  <c r="EZ121" i="6"/>
  <c r="EZ122" i="6"/>
  <c r="AW128" i="6"/>
  <c r="EZ148" i="6"/>
  <c r="EZ158" i="6"/>
  <c r="AW179" i="6"/>
  <c r="AW195" i="6"/>
  <c r="AW69" i="6"/>
  <c r="AW122" i="6"/>
  <c r="AW148" i="6"/>
  <c r="AW164" i="6"/>
  <c r="EZ45" i="6"/>
  <c r="AW75" i="6"/>
  <c r="EZ142" i="6"/>
  <c r="AW45" i="6"/>
  <c r="AW78" i="6"/>
  <c r="AW104" i="6"/>
  <c r="EZ102" i="6"/>
  <c r="EZ124" i="6"/>
  <c r="EZ134" i="6"/>
  <c r="AW139" i="6"/>
  <c r="EZ138" i="6"/>
  <c r="EZ172" i="6"/>
  <c r="AW186" i="6"/>
  <c r="AW227" i="6"/>
  <c r="AW68" i="6"/>
  <c r="EZ136" i="6"/>
  <c r="AW145" i="6"/>
  <c r="EZ155" i="6"/>
  <c r="EZ170" i="6"/>
  <c r="AW177" i="6"/>
  <c r="EZ47" i="6"/>
  <c r="EZ69" i="6"/>
  <c r="EZ68" i="6"/>
  <c r="AW149" i="6"/>
  <c r="EZ146" i="6"/>
  <c r="EZ177" i="6"/>
  <c r="EZ190" i="6"/>
  <c r="AW210" i="6"/>
  <c r="AW133" i="6"/>
  <c r="EZ130" i="6"/>
  <c r="EZ149" i="6"/>
  <c r="EZ153" i="6"/>
  <c r="EZ166" i="6"/>
  <c r="AW102" i="6"/>
  <c r="EZ133" i="6"/>
  <c r="AW166" i="6"/>
  <c r="EZ132" i="6"/>
  <c r="AW170" i="6"/>
  <c r="EZ218" i="6"/>
  <c r="AW224" i="6"/>
  <c r="EZ236" i="6"/>
  <c r="AW38" i="6"/>
  <c r="EZ159" i="6"/>
  <c r="EZ186" i="6"/>
  <c r="EZ183" i="6"/>
  <c r="EZ202" i="6"/>
  <c r="EZ140" i="6"/>
  <c r="AW159" i="6"/>
  <c r="AW157" i="6"/>
  <c r="EZ178" i="6"/>
  <c r="EZ210" i="6"/>
  <c r="AW218" i="6"/>
  <c r="AW202" i="6"/>
  <c r="EZ222" i="6"/>
  <c r="EZ126" i="6"/>
  <c r="EZ157" i="6"/>
  <c r="EZ194" i="6"/>
  <c r="EZ227" i="6"/>
  <c r="EZ220" i="6"/>
  <c r="AW67" i="6"/>
  <c r="AW126" i="6"/>
  <c r="AW158" i="6"/>
  <c r="EZ188" i="6"/>
  <c r="EZ144" i="6"/>
  <c r="AW188" i="6"/>
  <c r="EZ237" i="6"/>
  <c r="EZ242" i="6"/>
  <c r="EZ164" i="6"/>
  <c r="EZ228" i="6"/>
  <c r="EZ214" i="6"/>
  <c r="AW232" i="6"/>
  <c r="AW242" i="6"/>
  <c r="EZ240" i="6"/>
  <c r="EZ209" i="6"/>
  <c r="AW228" i="6"/>
  <c r="EZ216" i="6"/>
  <c r="EZ224" i="6"/>
  <c r="AW155" i="6"/>
  <c r="EZ168" i="6"/>
  <c r="EZ206" i="6"/>
  <c r="AW172" i="6"/>
  <c r="AW182" i="6"/>
  <c r="AW185" i="6"/>
  <c r="AW226" i="6"/>
  <c r="EZ118" i="6"/>
  <c r="EZ230" i="6"/>
  <c r="EZ127" i="6"/>
  <c r="AW52" i="6"/>
  <c r="AW77" i="6"/>
  <c r="EZ182" i="6"/>
  <c r="EZ185" i="6"/>
  <c r="EZ229" i="6"/>
  <c r="EZ226" i="6"/>
  <c r="AW203" i="6"/>
  <c r="AW118" i="6"/>
  <c r="AW230" i="6"/>
  <c r="EZ52" i="6"/>
  <c r="EZ77" i="6"/>
  <c r="EZ36" i="6"/>
  <c r="AW163" i="6"/>
  <c r="AW74" i="6"/>
  <c r="AW115" i="6"/>
  <c r="AW84" i="6"/>
  <c r="EZ57" i="6"/>
  <c r="EZ191" i="6"/>
  <c r="AW223" i="6"/>
  <c r="AW152" i="6"/>
  <c r="AW238" i="6"/>
  <c r="AW229" i="6"/>
  <c r="EZ203" i="6"/>
  <c r="EZ176" i="6"/>
  <c r="AW150" i="6"/>
  <c r="AW191" i="6"/>
  <c r="EZ223" i="6"/>
  <c r="EZ152" i="6"/>
  <c r="EZ238" i="6"/>
  <c r="EZ180" i="6"/>
  <c r="EZ199" i="6"/>
  <c r="AW176" i="6"/>
  <c r="EZ212" i="6"/>
  <c r="AW167" i="6"/>
  <c r="AW215" i="6"/>
  <c r="EZ150" i="6"/>
  <c r="AW201" i="6"/>
  <c r="EZ162" i="6"/>
  <c r="EZ147" i="6"/>
  <c r="EZ197" i="6"/>
  <c r="AW180" i="6"/>
  <c r="AW103" i="6"/>
  <c r="AW199" i="6"/>
  <c r="AW212" i="6"/>
  <c r="EZ167" i="6"/>
  <c r="EZ211" i="6"/>
  <c r="EZ215" i="6"/>
  <c r="EZ165" i="6"/>
  <c r="AW162" i="6"/>
  <c r="EZ112" i="6"/>
  <c r="AW39" i="6"/>
  <c r="EZ193" i="6"/>
  <c r="AW187" i="6"/>
  <c r="EZ143" i="6"/>
  <c r="AW80" i="6"/>
  <c r="EZ113" i="6"/>
  <c r="AW147" i="6"/>
  <c r="EZ213" i="6"/>
  <c r="EZ198" i="6"/>
  <c r="EZ151" i="6"/>
  <c r="AW197" i="6"/>
  <c r="EZ103" i="6"/>
  <c r="EZ235" i="6"/>
  <c r="AW221" i="6"/>
  <c r="EZ233" i="6"/>
  <c r="AW213" i="6"/>
  <c r="AW198" i="6"/>
  <c r="AW151" i="6"/>
  <c r="EZ207" i="6"/>
  <c r="EZ135" i="6"/>
  <c r="AW235" i="6"/>
  <c r="EZ221" i="6"/>
  <c r="EZ87" i="6"/>
  <c r="AW99" i="6"/>
  <c r="EZ137" i="6"/>
  <c r="EZ219" i="6"/>
  <c r="AW160" i="6"/>
  <c r="EZ70" i="6"/>
  <c r="EZ120" i="6"/>
  <c r="EZ110" i="6"/>
  <c r="AW98" i="6"/>
  <c r="EZ85" i="6"/>
  <c r="AW61" i="6"/>
  <c r="AW220" i="6"/>
  <c r="AW196" i="6"/>
  <c r="AW140" i="6"/>
  <c r="EZ92" i="6"/>
  <c r="AW233" i="6"/>
  <c r="AW175" i="6"/>
  <c r="EZ161" i="6"/>
  <c r="AW207" i="6"/>
  <c r="EZ241" i="6"/>
  <c r="AW135" i="6"/>
  <c r="AW239" i="6"/>
  <c r="AW87" i="6"/>
  <c r="EZ99" i="6"/>
  <c r="EZ160" i="6"/>
  <c r="AW120" i="6"/>
  <c r="AW110" i="6"/>
  <c r="AW131" i="6"/>
  <c r="AW119" i="6"/>
  <c r="EZ61" i="6"/>
  <c r="AW156" i="6"/>
  <c r="AW169" i="6"/>
  <c r="EZ129" i="6"/>
  <c r="G132" i="10" s="1"/>
  <c r="AW189" i="6"/>
  <c r="AW234" i="6"/>
  <c r="EZ111" i="6"/>
  <c r="AW192" i="6"/>
  <c r="AW184" i="6"/>
  <c r="EZ91" i="6"/>
  <c r="AW225" i="6"/>
  <c r="AW173" i="6"/>
  <c r="EZ217" i="6"/>
  <c r="EZ174" i="6"/>
  <c r="EZ154" i="6"/>
  <c r="AW114" i="6"/>
  <c r="EZ171" i="6"/>
  <c r="EZ141" i="6"/>
  <c r="EZ108" i="6"/>
  <c r="AW181" i="6"/>
  <c r="EZ86" i="6"/>
  <c r="AW40" i="6"/>
  <c r="EZ231" i="6"/>
  <c r="EZ169" i="6"/>
  <c r="AW208" i="6"/>
  <c r="EZ189" i="6"/>
  <c r="EZ234" i="6"/>
  <c r="AW111" i="6"/>
  <c r="EZ173" i="6"/>
  <c r="AW174" i="6"/>
  <c r="AW154" i="6"/>
  <c r="AW65" i="6"/>
  <c r="AW231" i="6"/>
  <c r="EZ208" i="6"/>
  <c r="AW127" i="6"/>
  <c r="EZ65" i="6"/>
  <c r="EZ205" i="6"/>
  <c r="AW48" i="6"/>
  <c r="AW10" i="6"/>
  <c r="AY4" i="6"/>
  <c r="AW138" i="6"/>
  <c r="EZ196" i="6"/>
  <c r="AW216" i="6"/>
  <c r="T24" i="5"/>
  <c r="DU18" i="6"/>
  <c r="EL18" i="6"/>
  <c r="B21" i="10"/>
  <c r="EH130" i="6"/>
  <c r="EK130" i="6" s="1"/>
  <c r="CS130" i="6"/>
  <c r="AO131" i="6" s="1"/>
  <c r="CD130" i="6"/>
  <c r="Z131" i="6" s="1"/>
  <c r="CC130" i="6"/>
  <c r="Y131" i="6" s="1"/>
  <c r="EZ163" i="6"/>
  <c r="T170" i="5"/>
  <c r="EL164" i="6"/>
  <c r="AX33" i="6"/>
  <c r="EC130" i="6"/>
  <c r="AV130" i="6" s="1"/>
  <c r="AX207" i="6"/>
  <c r="BT94" i="6"/>
  <c r="BS94" i="6"/>
  <c r="EL63" i="6"/>
  <c r="AW73" i="6"/>
  <c r="AX94" i="6"/>
  <c r="AW112" i="6"/>
  <c r="FB88" i="6"/>
  <c r="FB89" i="6" s="1"/>
  <c r="FB90" i="6" s="1"/>
  <c r="T200" i="5"/>
  <c r="EL194" i="6"/>
  <c r="EI4" i="6"/>
  <c r="CX4" i="6"/>
  <c r="AT5" i="6" s="1"/>
  <c r="T95" i="5"/>
  <c r="B92" i="10"/>
  <c r="DH90" i="6"/>
  <c r="EL89" i="6"/>
  <c r="N52" i="4"/>
  <c r="EZ20" i="6"/>
  <c r="N22" i="4"/>
  <c r="AW236" i="6"/>
  <c r="BC137" i="6"/>
  <c r="DR137" i="6"/>
  <c r="BD137" i="6"/>
  <c r="AX151" i="6"/>
  <c r="EC154" i="6"/>
  <c r="AV154" i="6" s="1"/>
  <c r="DR176" i="6"/>
  <c r="BC176" i="6"/>
  <c r="EC144" i="6"/>
  <c r="AV144" i="6" s="1"/>
  <c r="AX222" i="6"/>
  <c r="BF4" i="6"/>
  <c r="AX112" i="6"/>
  <c r="AW165" i="6"/>
  <c r="EC193" i="6"/>
  <c r="AV193" i="6" s="1"/>
  <c r="T107" i="5"/>
  <c r="B104" i="10"/>
  <c r="DU101" i="6"/>
  <c r="DH102" i="6"/>
  <c r="EL101" i="6"/>
  <c r="BD187" i="6"/>
  <c r="BC187" i="6"/>
  <c r="DR187" i="6"/>
  <c r="F127" i="10"/>
  <c r="G9" i="10"/>
  <c r="G62" i="10"/>
  <c r="EZ34" i="6"/>
  <c r="AW16" i="6"/>
  <c r="EZ16" i="6"/>
  <c r="C19" i="10"/>
  <c r="AW34" i="6"/>
  <c r="FB7" i="6"/>
  <c r="EZ10" i="6"/>
  <c r="BQ22" i="6"/>
  <c r="BR22" i="6"/>
  <c r="N28" i="4"/>
  <c r="CN64" i="6"/>
  <c r="AJ65" i="6" s="1"/>
  <c r="AW136" i="6"/>
  <c r="AW194" i="6"/>
  <c r="EZ32" i="6"/>
  <c r="EZ84" i="6"/>
  <c r="AW113" i="6"/>
  <c r="AW37" i="6"/>
  <c r="EZ58" i="6"/>
  <c r="AW58" i="6"/>
  <c r="C61" i="10"/>
  <c r="EF23" i="6"/>
  <c r="AW20" i="6"/>
  <c r="BP3" i="6"/>
  <c r="CH9" i="6"/>
  <c r="AD10" i="6" s="1"/>
  <c r="EZ26" i="6"/>
  <c r="D133" i="11"/>
  <c r="G133" i="11"/>
  <c r="E133" i="11"/>
  <c r="F133" i="11"/>
  <c r="EF63" i="6"/>
  <c r="EZ145" i="6"/>
  <c r="AW206" i="6"/>
  <c r="AW240" i="6"/>
  <c r="CT3" i="6"/>
  <c r="AP4" i="6" s="1"/>
  <c r="DU38" i="6"/>
  <c r="T44" i="5"/>
  <c r="B41" i="10"/>
  <c r="AA38" i="6"/>
  <c r="CE38" i="6" s="1"/>
  <c r="AA39" i="6" s="1"/>
  <c r="CE39" i="6" s="1"/>
  <c r="AA40" i="6" s="1"/>
  <c r="CE40" i="6" s="1"/>
  <c r="AA41" i="6" s="1"/>
  <c r="CE41" i="6" s="1"/>
  <c r="AA42" i="6" s="1"/>
  <c r="CE42" i="6" s="1"/>
  <c r="AA43" i="6" s="1"/>
  <c r="CE43" i="6" s="1"/>
  <c r="AA44" i="6" s="1"/>
  <c r="CE44" i="6" s="1"/>
  <c r="AA45" i="6" s="1"/>
  <c r="CE45" i="6" s="1"/>
  <c r="AA46" i="6" s="1"/>
  <c r="CE46" i="6" s="1"/>
  <c r="AA47" i="6" s="1"/>
  <c r="CE47" i="6" s="1"/>
  <c r="AA48" i="6" s="1"/>
  <c r="CE48" i="6" s="1"/>
  <c r="AA49" i="6" s="1"/>
  <c r="CE49" i="6" s="1"/>
  <c r="AA50" i="6" s="1"/>
  <c r="CE50" i="6" s="1"/>
  <c r="AA51" i="6" s="1"/>
  <c r="EL38" i="6"/>
  <c r="AW53" i="6"/>
  <c r="CG6" i="6"/>
  <c r="AC7" i="6" s="1"/>
  <c r="EZ115" i="6"/>
  <c r="EZ119" i="6"/>
  <c r="DP153" i="6"/>
  <c r="DO153" i="6"/>
  <c r="DN153" i="6"/>
  <c r="DQ153" i="6"/>
  <c r="DP173" i="6"/>
  <c r="DO173" i="6"/>
  <c r="DQ173" i="6"/>
  <c r="DN173" i="6"/>
  <c r="AX34" i="6"/>
  <c r="AX47" i="6"/>
  <c r="EC148" i="6"/>
  <c r="AV148" i="6" s="1"/>
  <c r="AX214" i="6"/>
  <c r="BQ86" i="6"/>
  <c r="BR86" i="6"/>
  <c r="N92" i="4"/>
  <c r="DQ133" i="6"/>
  <c r="DO133" i="6"/>
  <c r="DN133" i="6"/>
  <c r="DP133" i="6"/>
  <c r="AX163" i="6"/>
  <c r="EZ97" i="6"/>
  <c r="AW97" i="6"/>
  <c r="C100" i="10"/>
  <c r="EC176" i="6"/>
  <c r="AV176" i="6" s="1"/>
  <c r="AX193" i="6"/>
  <c r="T86" i="5"/>
  <c r="EF80" i="6"/>
  <c r="B83" i="10"/>
  <c r="FE80" i="6"/>
  <c r="DU80" i="6"/>
  <c r="EL80" i="6"/>
  <c r="DH81" i="6"/>
  <c r="T211" i="5"/>
  <c r="EL205" i="6"/>
  <c r="EZ239" i="6"/>
  <c r="DP211" i="6"/>
  <c r="DQ211" i="6"/>
  <c r="DO211" i="6"/>
  <c r="DN211" i="6"/>
  <c r="T48" i="5"/>
  <c r="B45" i="10"/>
  <c r="EL42" i="6"/>
  <c r="DU42" i="6"/>
  <c r="G40" i="10"/>
  <c r="G21" i="10"/>
  <c r="F46" i="10"/>
  <c r="EL19" i="6"/>
  <c r="AW26" i="6"/>
  <c r="AW49" i="6"/>
  <c r="G6" i="10"/>
  <c r="AW132" i="6"/>
  <c r="EZ195" i="6"/>
  <c r="AW237" i="6"/>
  <c r="BI7" i="6"/>
  <c r="EZ53" i="6"/>
  <c r="EC182" i="6"/>
  <c r="AV182" i="6" s="1"/>
  <c r="BR64" i="6"/>
  <c r="BQ64" i="6"/>
  <c r="N70" i="4"/>
  <c r="AX154" i="6"/>
  <c r="AX21" i="6"/>
  <c r="EC165" i="6"/>
  <c r="AV165" i="6" s="1"/>
  <c r="AX218" i="6"/>
  <c r="K92" i="4"/>
  <c r="EC163" i="6"/>
  <c r="AV163" i="6" s="1"/>
  <c r="EZ187" i="6"/>
  <c r="BI34" i="6"/>
  <c r="BI19" i="6"/>
  <c r="AW108" i="6"/>
  <c r="AX81" i="6"/>
  <c r="T182" i="5"/>
  <c r="EL176" i="6"/>
  <c r="AW219" i="6"/>
  <c r="DN162" i="6"/>
  <c r="AW91" i="6"/>
  <c r="DN171" i="6"/>
  <c r="DQ171" i="6"/>
  <c r="DP171" i="6"/>
  <c r="DO171" i="6"/>
  <c r="DQ223" i="6"/>
  <c r="T13" i="5"/>
  <c r="B10" i="10"/>
  <c r="EL7" i="6"/>
  <c r="DU7" i="6"/>
  <c r="G14" i="10"/>
  <c r="G52" i="10"/>
  <c r="EZ204" i="6"/>
  <c r="EC140" i="6"/>
  <c r="AV140" i="6" s="1"/>
  <c r="AX216" i="6"/>
  <c r="AX27" i="6"/>
  <c r="BI100" i="6"/>
  <c r="EZ131" i="6"/>
  <c r="AX114" i="6"/>
  <c r="AW143" i="6"/>
  <c r="DN154" i="6"/>
  <c r="DO154" i="6"/>
  <c r="EC158" i="6"/>
  <c r="AV158" i="6" s="1"/>
  <c r="CT4" i="6"/>
  <c r="AP5" i="6" s="1"/>
  <c r="EZ12" i="6"/>
  <c r="AW12" i="6"/>
  <c r="C15" i="10"/>
  <c r="AX73" i="6"/>
  <c r="EZ114" i="6"/>
  <c r="AX85" i="6"/>
  <c r="EZ184" i="6"/>
  <c r="G46" i="10"/>
  <c r="BS6" i="6"/>
  <c r="BT6" i="6"/>
  <c r="AW57" i="6"/>
  <c r="DQ146" i="6"/>
  <c r="DP146" i="6"/>
  <c r="DO146" i="6"/>
  <c r="DN146" i="6"/>
  <c r="EZ31" i="6"/>
  <c r="AW31" i="6"/>
  <c r="C34" i="10"/>
  <c r="AW5" i="6"/>
  <c r="EZ5" i="6"/>
  <c r="C8" i="10"/>
  <c r="BI3" i="6"/>
  <c r="BK3" i="6"/>
  <c r="T56" i="5"/>
  <c r="EL50" i="6"/>
  <c r="B53" i="10"/>
  <c r="DU50" i="6"/>
  <c r="N61" i="4"/>
  <c r="AX76" i="6"/>
  <c r="EL22" i="6"/>
  <c r="T28" i="5"/>
  <c r="DU22" i="6"/>
  <c r="B25" i="10"/>
  <c r="AW62" i="6"/>
  <c r="AW142" i="6"/>
  <c r="AW204" i="6"/>
  <c r="AW25" i="6"/>
  <c r="EZ25" i="6"/>
  <c r="E6" i="10"/>
  <c r="AW17" i="6"/>
  <c r="EZ17" i="6"/>
  <c r="AW21" i="6"/>
  <c r="EZ21" i="6"/>
  <c r="EZ29" i="6"/>
  <c r="EZ33" i="6"/>
  <c r="AW33" i="6"/>
  <c r="EZ22" i="6"/>
  <c r="EZ27" i="6"/>
  <c r="EZ9" i="6"/>
  <c r="AW27" i="6"/>
  <c r="AW9" i="6"/>
  <c r="AW14" i="6"/>
  <c r="AW11" i="6"/>
  <c r="AW28" i="6"/>
  <c r="EZ28" i="6"/>
  <c r="AW22" i="6"/>
  <c r="AX80" i="6"/>
  <c r="CL62" i="6"/>
  <c r="AH63" i="6" s="1"/>
  <c r="CL63" i="6" s="1"/>
  <c r="AH64" i="6" s="1"/>
  <c r="BC62" i="6"/>
  <c r="FE36" i="6"/>
  <c r="N30" i="4"/>
  <c r="EZ74" i="6"/>
  <c r="EZ80" i="6"/>
  <c r="EZ83" i="6"/>
  <c r="AW83" i="6"/>
  <c r="C86" i="10"/>
  <c r="AX153" i="6"/>
  <c r="EC222" i="6"/>
  <c r="AV222" i="6" s="1"/>
  <c r="AX91" i="6"/>
  <c r="BI86" i="6"/>
  <c r="AX106" i="6"/>
  <c r="BD133" i="6"/>
  <c r="DN198" i="6"/>
  <c r="DO198" i="6"/>
  <c r="DQ198" i="6"/>
  <c r="DP198" i="6"/>
  <c r="AW193" i="6"/>
  <c r="AW42" i="6"/>
  <c r="EZ42" i="6"/>
  <c r="C45" i="10"/>
  <c r="AX67" i="6"/>
  <c r="EH113" i="6"/>
  <c r="EN113" i="6"/>
  <c r="Q113" i="6" s="1"/>
  <c r="EO113" i="6" s="1"/>
  <c r="EM114" i="6" s="1"/>
  <c r="CC113" i="6"/>
  <c r="Y114" i="6" s="1"/>
  <c r="BG113" i="6"/>
  <c r="T122" i="5"/>
  <c r="B119" i="10"/>
  <c r="EL116" i="6"/>
  <c r="DP182" i="6"/>
  <c r="DQ182" i="6"/>
  <c r="DO182" i="6"/>
  <c r="DN182" i="6"/>
  <c r="DN206" i="6"/>
  <c r="DQ206" i="6"/>
  <c r="DP206" i="6"/>
  <c r="DO206" i="6"/>
  <c r="DR240" i="6"/>
  <c r="BC240" i="6"/>
  <c r="BD240" i="6"/>
  <c r="DN152" i="6"/>
  <c r="DP152" i="6"/>
  <c r="DO152" i="6"/>
  <c r="DQ152" i="6"/>
  <c r="AW161" i="6"/>
  <c r="BM130" i="6"/>
  <c r="AX58" i="6"/>
  <c r="T17" i="5"/>
  <c r="DU11" i="6"/>
  <c r="EL11" i="6"/>
  <c r="B14" i="10"/>
  <c r="K6" i="11"/>
  <c r="F6" i="11"/>
  <c r="AW153" i="6"/>
  <c r="T25" i="5"/>
  <c r="B22" i="10"/>
  <c r="DU19" i="6"/>
  <c r="EZ56" i="6"/>
  <c r="AX61" i="6"/>
  <c r="AW205" i="6"/>
  <c r="N83" i="4"/>
  <c r="AX144" i="6"/>
  <c r="EC239" i="6"/>
  <c r="AV239" i="6" s="1"/>
  <c r="BT28" i="6"/>
  <c r="BS28" i="6"/>
  <c r="AA137" i="6"/>
  <c r="CE137" i="6" s="1"/>
  <c r="AA138" i="6" s="1"/>
  <c r="CE138" i="6" s="1"/>
  <c r="AA139" i="6" s="1"/>
  <c r="CE139" i="6" s="1"/>
  <c r="AA140" i="6" s="1"/>
  <c r="CE140" i="6" s="1"/>
  <c r="AA141" i="6" s="1"/>
  <c r="CE141" i="6" s="1"/>
  <c r="AA142" i="6" s="1"/>
  <c r="CE142" i="6" s="1"/>
  <c r="AA143" i="6" s="1"/>
  <c r="CE143" i="6" s="1"/>
  <c r="AA144" i="6" s="1"/>
  <c r="CE144" i="6" s="1"/>
  <c r="AA145" i="6" s="1"/>
  <c r="CE145" i="6" s="1"/>
  <c r="AA146" i="6" s="1"/>
  <c r="CE146" i="6" s="1"/>
  <c r="AA147" i="6" s="1"/>
  <c r="CE147" i="6" s="1"/>
  <c r="AA148" i="6" s="1"/>
  <c r="CE148" i="6" s="1"/>
  <c r="AA149" i="6" s="1"/>
  <c r="CE149" i="6" s="1"/>
  <c r="AA150" i="6" s="1"/>
  <c r="CE150" i="6" s="1"/>
  <c r="AA151" i="6" s="1"/>
  <c r="CE151" i="6" s="1"/>
  <c r="AA152" i="6" s="1"/>
  <c r="CE152" i="6" s="1"/>
  <c r="AA153" i="6" s="1"/>
  <c r="CE153" i="6" s="1"/>
  <c r="AA154" i="6" s="1"/>
  <c r="CE154" i="6" s="1"/>
  <c r="AA155" i="6" s="1"/>
  <c r="CE155" i="6" s="1"/>
  <c r="AA156" i="6" s="1"/>
  <c r="CE156" i="6" s="1"/>
  <c r="AA157" i="6" s="1"/>
  <c r="CE157" i="6" s="1"/>
  <c r="AA158" i="6" s="1"/>
  <c r="CE158" i="6" s="1"/>
  <c r="AA159" i="6" s="1"/>
  <c r="CE159" i="6" s="1"/>
  <c r="AA160" i="6" s="1"/>
  <c r="CE160" i="6" s="1"/>
  <c r="AA161" i="6" s="1"/>
  <c r="CE161" i="6" s="1"/>
  <c r="AA162" i="6" s="1"/>
  <c r="CE162" i="6" s="1"/>
  <c r="AA163" i="6" s="1"/>
  <c r="CE163" i="6" s="1"/>
  <c r="AA164" i="6" s="1"/>
  <c r="CE164" i="6" s="1"/>
  <c r="AA165" i="6" s="1"/>
  <c r="CE165" i="6" s="1"/>
  <c r="AA166" i="6" s="1"/>
  <c r="CE166" i="6" s="1"/>
  <c r="AA167" i="6" s="1"/>
  <c r="CE167" i="6" s="1"/>
  <c r="AA168" i="6" s="1"/>
  <c r="CE168" i="6" s="1"/>
  <c r="AA169" i="6" s="1"/>
  <c r="CE169" i="6" s="1"/>
  <c r="AA170" i="6" s="1"/>
  <c r="CE170" i="6" s="1"/>
  <c r="AA171" i="6" s="1"/>
  <c r="CE171" i="6" s="1"/>
  <c r="AA172" i="6" s="1"/>
  <c r="CE172" i="6" s="1"/>
  <c r="AA173" i="6" s="1"/>
  <c r="CE173" i="6" s="1"/>
  <c r="AA174" i="6" s="1"/>
  <c r="CE174" i="6" s="1"/>
  <c r="AA175" i="6" s="1"/>
  <c r="CE175" i="6" s="1"/>
  <c r="AA176" i="6" s="1"/>
  <c r="CE176" i="6" s="1"/>
  <c r="AA177" i="6" s="1"/>
  <c r="CE177" i="6" s="1"/>
  <c r="AA178" i="6" s="1"/>
  <c r="CE178" i="6" s="1"/>
  <c r="AA179" i="6" s="1"/>
  <c r="CE179" i="6" s="1"/>
  <c r="AA180" i="6" s="1"/>
  <c r="CE180" i="6" s="1"/>
  <c r="AA181" i="6" s="1"/>
  <c r="CE181" i="6" s="1"/>
  <c r="AA182" i="6" s="1"/>
  <c r="CE182" i="6" s="1"/>
  <c r="AA183" i="6" s="1"/>
  <c r="CE183" i="6" s="1"/>
  <c r="AA184" i="6" s="1"/>
  <c r="CE184" i="6" s="1"/>
  <c r="AA185" i="6" s="1"/>
  <c r="CE185" i="6" s="1"/>
  <c r="AA186" i="6" s="1"/>
  <c r="CE186" i="6" s="1"/>
  <c r="AA187" i="6" s="1"/>
  <c r="CE187" i="6" s="1"/>
  <c r="AA188" i="6" s="1"/>
  <c r="CE188" i="6" s="1"/>
  <c r="AA189" i="6" s="1"/>
  <c r="CE189" i="6" s="1"/>
  <c r="AA190" i="6" s="1"/>
  <c r="CE190" i="6" s="1"/>
  <c r="AA191" i="6" s="1"/>
  <c r="CE191" i="6" s="1"/>
  <c r="AA192" i="6" s="1"/>
  <c r="CE192" i="6" s="1"/>
  <c r="AA193" i="6" s="1"/>
  <c r="CE193" i="6" s="1"/>
  <c r="AA194" i="6" s="1"/>
  <c r="CE194" i="6" s="1"/>
  <c r="AA195" i="6" s="1"/>
  <c r="CE195" i="6" s="1"/>
  <c r="AA196" i="6" s="1"/>
  <c r="CE196" i="6" s="1"/>
  <c r="AA197" i="6" s="1"/>
  <c r="CE197" i="6" s="1"/>
  <c r="AA198" i="6" s="1"/>
  <c r="CE198" i="6" s="1"/>
  <c r="AA199" i="6" s="1"/>
  <c r="CE199" i="6" s="1"/>
  <c r="AA200" i="6" s="1"/>
  <c r="CE200" i="6" s="1"/>
  <c r="AA201" i="6" s="1"/>
  <c r="CE201" i="6" s="1"/>
  <c r="AA202" i="6" s="1"/>
  <c r="CE202" i="6" s="1"/>
  <c r="AA203" i="6" s="1"/>
  <c r="CE203" i="6" s="1"/>
  <c r="AA204" i="6" s="1"/>
  <c r="CE204" i="6" s="1"/>
  <c r="AA205" i="6" s="1"/>
  <c r="CE205" i="6" s="1"/>
  <c r="AA206" i="6" s="1"/>
  <c r="CE206" i="6" s="1"/>
  <c r="AA207" i="6" s="1"/>
  <c r="CE207" i="6" s="1"/>
  <c r="AA208" i="6" s="1"/>
  <c r="CE208" i="6" s="1"/>
  <c r="AA209" i="6" s="1"/>
  <c r="CE209" i="6" s="1"/>
  <c r="AA210" i="6" s="1"/>
  <c r="CE210" i="6" s="1"/>
  <c r="AA211" i="6" s="1"/>
  <c r="CE211" i="6" s="1"/>
  <c r="AA212" i="6" s="1"/>
  <c r="CE212" i="6" s="1"/>
  <c r="AA213" i="6" s="1"/>
  <c r="CE213" i="6" s="1"/>
  <c r="AA214" i="6" s="1"/>
  <c r="CE214" i="6" s="1"/>
  <c r="AA215" i="6" s="1"/>
  <c r="CE215" i="6" s="1"/>
  <c r="AA216" i="6" s="1"/>
  <c r="CE216" i="6" s="1"/>
  <c r="AA217" i="6" s="1"/>
  <c r="CE217" i="6" s="1"/>
  <c r="AA218" i="6" s="1"/>
  <c r="CE218" i="6" s="1"/>
  <c r="AA219" i="6" s="1"/>
  <c r="CE219" i="6" s="1"/>
  <c r="AA220" i="6" s="1"/>
  <c r="CE220" i="6" s="1"/>
  <c r="AA221" i="6" s="1"/>
  <c r="CE221" i="6" s="1"/>
  <c r="AA222" i="6" s="1"/>
  <c r="CE222" i="6" s="1"/>
  <c r="AA223" i="6" s="1"/>
  <c r="CE223" i="6" s="1"/>
  <c r="AA224" i="6" s="1"/>
  <c r="CE224" i="6" s="1"/>
  <c r="AA225" i="6" s="1"/>
  <c r="CE225" i="6" s="1"/>
  <c r="AA226" i="6" s="1"/>
  <c r="CE226" i="6" s="1"/>
  <c r="AA227" i="6" s="1"/>
  <c r="CE227" i="6" s="1"/>
  <c r="AA228" i="6" s="1"/>
  <c r="CE228" i="6" s="1"/>
  <c r="AA229" i="6" s="1"/>
  <c r="CE229" i="6" s="1"/>
  <c r="AA230" i="6" s="1"/>
  <c r="CE230" i="6" s="1"/>
  <c r="AA231" i="6" s="1"/>
  <c r="CE231" i="6" s="1"/>
  <c r="AA232" i="6" s="1"/>
  <c r="CE232" i="6" s="1"/>
  <c r="AA233" i="6" s="1"/>
  <c r="CE233" i="6" s="1"/>
  <c r="AA234" i="6" s="1"/>
  <c r="CE234" i="6" s="1"/>
  <c r="AA235" i="6" s="1"/>
  <c r="CE235" i="6" s="1"/>
  <c r="AA236" i="6" s="1"/>
  <c r="CE236" i="6" s="1"/>
  <c r="AA237" i="6" s="1"/>
  <c r="CE237" i="6" s="1"/>
  <c r="AA238" i="6" s="1"/>
  <c r="CE238" i="6" s="1"/>
  <c r="AA239" i="6" s="1"/>
  <c r="CE239" i="6" s="1"/>
  <c r="AA240" i="6" s="1"/>
  <c r="CE240" i="6" s="1"/>
  <c r="AA241" i="6" s="1"/>
  <c r="CE241" i="6" s="1"/>
  <c r="AA242" i="6" s="1"/>
  <c r="CE242" i="6" s="1"/>
  <c r="AX30" i="6"/>
  <c r="EZ201" i="6"/>
  <c r="DQ216" i="6"/>
  <c r="DP216" i="6"/>
  <c r="DN216" i="6"/>
  <c r="DO216" i="6"/>
  <c r="DP217" i="6"/>
  <c r="DN217" i="6"/>
  <c r="DO217" i="6"/>
  <c r="DP219" i="6"/>
  <c r="DQ219" i="6"/>
  <c r="DO219" i="6"/>
  <c r="EC208" i="6"/>
  <c r="AV208" i="6" s="1"/>
  <c r="T125" i="5"/>
  <c r="EL119" i="6"/>
  <c r="B122" i="10"/>
  <c r="DU119" i="6"/>
  <c r="F132" i="11"/>
  <c r="D132" i="11"/>
  <c r="E132" i="11"/>
  <c r="G132" i="11"/>
  <c r="EZ72" i="6"/>
  <c r="AW72" i="6"/>
  <c r="C75" i="10"/>
  <c r="AX111" i="6"/>
  <c r="T129" i="5"/>
  <c r="B126" i="10"/>
  <c r="BS10" i="6"/>
  <c r="BT10" i="6"/>
  <c r="T93" i="5"/>
  <c r="DU87" i="6"/>
  <c r="B90" i="10"/>
  <c r="EL87" i="6"/>
  <c r="AW107" i="6"/>
  <c r="EZ107" i="6"/>
  <c r="C110" i="10"/>
  <c r="DN221" i="6"/>
  <c r="AX89" i="6"/>
  <c r="FC89" i="6"/>
  <c r="AZ89" i="6" s="1"/>
  <c r="L95" i="4" s="1"/>
  <c r="DP165" i="6"/>
  <c r="AX12" i="6"/>
  <c r="CO12" i="6"/>
  <c r="AK13" i="6" s="1"/>
  <c r="CO13" i="6" s="1"/>
  <c r="AK14" i="6" s="1"/>
  <c r="CO14" i="6" s="1"/>
  <c r="AK15" i="6" s="1"/>
  <c r="CO15" i="6" s="1"/>
  <c r="AK16" i="6" s="1"/>
  <c r="CO16" i="6" s="1"/>
  <c r="AK17" i="6" s="1"/>
  <c r="CO17" i="6" s="1"/>
  <c r="AK18" i="6" s="1"/>
  <c r="CO18" i="6" s="1"/>
  <c r="AK19" i="6" s="1"/>
  <c r="CO19" i="6" s="1"/>
  <c r="AK20" i="6" s="1"/>
  <c r="CO20" i="6" s="1"/>
  <c r="AK21" i="6" s="1"/>
  <c r="CO21" i="6" s="1"/>
  <c r="AK22" i="6" s="1"/>
  <c r="CO22" i="6" s="1"/>
  <c r="AK23" i="6" s="1"/>
  <c r="CO23" i="6" s="1"/>
  <c r="AK24" i="6" s="1"/>
  <c r="CO24" i="6" s="1"/>
  <c r="AK25" i="6" s="1"/>
  <c r="CO25" i="6" s="1"/>
  <c r="AK26" i="6" s="1"/>
  <c r="CO26" i="6" s="1"/>
  <c r="AK27" i="6" s="1"/>
  <c r="CO27" i="6" s="1"/>
  <c r="AK28" i="6" s="1"/>
  <c r="CO28" i="6" s="1"/>
  <c r="AK29" i="6" s="1"/>
  <c r="CO29" i="6" s="1"/>
  <c r="AK30" i="6" s="1"/>
  <c r="CO30" i="6" s="1"/>
  <c r="AK31" i="6" s="1"/>
  <c r="CO31" i="6" s="1"/>
  <c r="AK32" i="6" s="1"/>
  <c r="CO32" i="6" s="1"/>
  <c r="AK33" i="6" s="1"/>
  <c r="CO33" i="6" s="1"/>
  <c r="AK34" i="6" s="1"/>
  <c r="CO34" i="6" s="1"/>
  <c r="AK35" i="6" s="1"/>
  <c r="CO35" i="6" s="1"/>
  <c r="AK36" i="6" s="1"/>
  <c r="CO36" i="6" s="1"/>
  <c r="AK37" i="6" s="1"/>
  <c r="CO37" i="6" s="1"/>
  <c r="AK38" i="6" s="1"/>
  <c r="CO38" i="6" s="1"/>
  <c r="AK39" i="6" s="1"/>
  <c r="CO39" i="6" s="1"/>
  <c r="AK40" i="6" s="1"/>
  <c r="CO40" i="6" s="1"/>
  <c r="AK41" i="6" s="1"/>
  <c r="CO41" i="6" s="1"/>
  <c r="AK42" i="6" s="1"/>
  <c r="CO42" i="6" s="1"/>
  <c r="AK43" i="6" s="1"/>
  <c r="CO43" i="6" s="1"/>
  <c r="AK44" i="6" s="1"/>
  <c r="CO44" i="6" s="1"/>
  <c r="AK45" i="6" s="1"/>
  <c r="CO45" i="6" s="1"/>
  <c r="AK46" i="6" s="1"/>
  <c r="CO46" i="6" s="1"/>
  <c r="AK47" i="6" s="1"/>
  <c r="CO47" i="6" s="1"/>
  <c r="AK48" i="6" s="1"/>
  <c r="CO48" i="6" s="1"/>
  <c r="AK49" i="6" s="1"/>
  <c r="CO49" i="6" s="1"/>
  <c r="AK50" i="6" s="1"/>
  <c r="CO50" i="6" s="1"/>
  <c r="AK51" i="6" s="1"/>
  <c r="CO51" i="6" s="1"/>
  <c r="AK52" i="6" s="1"/>
  <c r="CO52" i="6" s="1"/>
  <c r="AK53" i="6" s="1"/>
  <c r="CO53" i="6" s="1"/>
  <c r="AK54" i="6" s="1"/>
  <c r="CO54" i="6" s="1"/>
  <c r="AK55" i="6" s="1"/>
  <c r="CO55" i="6" s="1"/>
  <c r="AK56" i="6" s="1"/>
  <c r="CO56" i="6" s="1"/>
  <c r="AK57" i="6" s="1"/>
  <c r="CO57" i="6" s="1"/>
  <c r="AK58" i="6" s="1"/>
  <c r="CO58" i="6" s="1"/>
  <c r="AK59" i="6" s="1"/>
  <c r="CO59" i="6" s="1"/>
  <c r="AK60" i="6" s="1"/>
  <c r="CO60" i="6" s="1"/>
  <c r="AK61" i="6" s="1"/>
  <c r="CO61" i="6" s="1"/>
  <c r="AK62" i="6" s="1"/>
  <c r="CO62" i="6" s="1"/>
  <c r="AK63" i="6" s="1"/>
  <c r="CN12" i="6"/>
  <c r="AJ13" i="6" s="1"/>
  <c r="CM12" i="6"/>
  <c r="AI13" i="6" s="1"/>
  <c r="CM13" i="6" s="1"/>
  <c r="AI14" i="6" s="1"/>
  <c r="N79" i="4"/>
  <c r="AX113" i="6"/>
  <c r="T190" i="5"/>
  <c r="EL184" i="6"/>
  <c r="AW44" i="6"/>
  <c r="EZ44" i="6"/>
  <c r="C47" i="10"/>
  <c r="N65" i="4"/>
  <c r="AX95" i="6"/>
  <c r="AW117" i="6"/>
  <c r="EZ117" i="6"/>
  <c r="C120" i="10"/>
  <c r="DQ170" i="6"/>
  <c r="DP170" i="6"/>
  <c r="DO170" i="6"/>
  <c r="DN170" i="6"/>
  <c r="N96" i="4"/>
  <c r="DP224" i="6"/>
  <c r="DO224" i="6"/>
  <c r="DQ224" i="6"/>
  <c r="DN224" i="6"/>
  <c r="T183" i="5"/>
  <c r="EL177" i="6"/>
  <c r="T229" i="5"/>
  <c r="DR207" i="6"/>
  <c r="BC227" i="6"/>
  <c r="T159" i="5"/>
  <c r="EL153" i="6"/>
  <c r="BD234" i="6"/>
  <c r="EL198" i="6"/>
  <c r="DN215" i="6"/>
  <c r="DP230" i="6"/>
  <c r="AX90" i="6"/>
  <c r="EL187" i="6"/>
  <c r="DO184" i="6"/>
  <c r="DO238" i="6"/>
  <c r="DQ177" i="6"/>
  <c r="DO177" i="6"/>
  <c r="T185" i="5"/>
  <c r="EL179" i="6"/>
  <c r="DP221" i="6"/>
  <c r="BS123" i="6"/>
  <c r="BT123" i="6"/>
  <c r="T244" i="5"/>
  <c r="DR218" i="6"/>
  <c r="BC211" i="6"/>
  <c r="DQ167" i="6"/>
  <c r="DO205" i="6"/>
  <c r="EL163" i="6"/>
  <c r="T123" i="5"/>
  <c r="B120" i="10"/>
  <c r="DU117" i="6"/>
  <c r="DQ165" i="6"/>
  <c r="EZ63" i="6"/>
  <c r="AW63" i="6"/>
  <c r="C66" i="10"/>
  <c r="AW81" i="6"/>
  <c r="EZ81" i="6"/>
  <c r="C84" i="10"/>
  <c r="AW94" i="6"/>
  <c r="EZ94" i="6"/>
  <c r="C97" i="10"/>
  <c r="AW106" i="6"/>
  <c r="EZ106" i="6"/>
  <c r="C109" i="10"/>
  <c r="T153" i="5"/>
  <c r="T50" i="5"/>
  <c r="B47" i="10"/>
  <c r="CY93" i="6"/>
  <c r="AU94" i="6" s="1"/>
  <c r="DP177" i="6"/>
  <c r="BC163" i="6"/>
  <c r="DN160" i="6"/>
  <c r="BC215" i="6"/>
  <c r="BD217" i="6"/>
  <c r="BD227" i="6"/>
  <c r="DP131" i="6"/>
  <c r="DQ172" i="6"/>
  <c r="DP172" i="6"/>
  <c r="DN172" i="6"/>
  <c r="DO172" i="6"/>
  <c r="AW125" i="6"/>
  <c r="EZ125" i="6"/>
  <c r="C128" i="10"/>
  <c r="BC157" i="6"/>
  <c r="DO215" i="6"/>
  <c r="DQ144" i="6"/>
  <c r="DP144" i="6"/>
  <c r="DO144" i="6"/>
  <c r="DN144" i="6"/>
  <c r="EZ88" i="6"/>
  <c r="AW88" i="6"/>
  <c r="C91" i="10"/>
  <c r="EL223" i="6"/>
  <c r="BD222" i="6"/>
  <c r="DO242" i="6"/>
  <c r="DQ242" i="6"/>
  <c r="EL202" i="6"/>
  <c r="DQ233" i="6"/>
  <c r="EZ8" i="6"/>
  <c r="AW8" i="6"/>
  <c r="C11" i="10"/>
  <c r="EZ100" i="6"/>
  <c r="AW100" i="6"/>
  <c r="C103" i="10"/>
  <c r="AW7" i="6"/>
  <c r="EZ7" i="6"/>
  <c r="C10" i="10"/>
  <c r="AX123" i="6"/>
  <c r="BE123" i="6" s="1"/>
  <c r="T149" i="5"/>
  <c r="EL143" i="6"/>
  <c r="T173" i="5"/>
  <c r="DO166" i="6"/>
  <c r="DP166" i="6"/>
  <c r="DP180" i="6"/>
  <c r="DN180" i="6"/>
  <c r="DO180" i="6"/>
  <c r="EZ96" i="6"/>
  <c r="AW96" i="6"/>
  <c r="C99" i="10"/>
  <c r="DO164" i="6"/>
  <c r="BI103" i="6"/>
  <c r="EL137" i="6"/>
  <c r="DQ142" i="6"/>
  <c r="DN142" i="6"/>
  <c r="DO142" i="6"/>
  <c r="DP142" i="6"/>
  <c r="BD165" i="6"/>
  <c r="BC198" i="6"/>
  <c r="AX42" i="6"/>
  <c r="BE42" i="6" s="1"/>
  <c r="Z113" i="6"/>
  <c r="CD113" i="6" s="1"/>
  <c r="Z114" i="6" s="1"/>
  <c r="CW4" i="6"/>
  <c r="AS5" i="6" s="1"/>
  <c r="EJ5" i="6" s="1"/>
  <c r="BL5" i="6" s="1"/>
  <c r="EZ116" i="6"/>
  <c r="AW116" i="6"/>
  <c r="C119" i="10"/>
  <c r="T204" i="5"/>
  <c r="BC153" i="6"/>
  <c r="DO161" i="6"/>
  <c r="DN166" i="6"/>
  <c r="EZ13" i="6"/>
  <c r="AW13" i="6"/>
  <c r="C16" i="10"/>
  <c r="DN163" i="6"/>
  <c r="DP159" i="6"/>
  <c r="DQ159" i="6"/>
  <c r="DP181" i="6"/>
  <c r="BR84" i="6"/>
  <c r="BQ84" i="6"/>
  <c r="N90" i="4"/>
  <c r="BD163" i="6"/>
  <c r="DO165" i="6"/>
  <c r="BC207" i="6"/>
  <c r="EL159" i="6"/>
  <c r="DN175" i="6"/>
  <c r="EL228" i="6"/>
  <c r="DP229" i="6"/>
  <c r="EL167" i="6"/>
  <c r="DN202" i="6"/>
  <c r="DO202" i="6"/>
  <c r="DQ202" i="6"/>
  <c r="DO233" i="6"/>
  <c r="DU103" i="6"/>
  <c r="T109" i="5"/>
  <c r="EL103" i="6"/>
  <c r="B106" i="10"/>
  <c r="DQ234" i="6"/>
  <c r="N138" i="11"/>
  <c r="BC234" i="6"/>
  <c r="BC222" i="6"/>
  <c r="EZ23" i="6"/>
  <c r="AW23" i="6"/>
  <c r="C26" i="10"/>
  <c r="DP136" i="6"/>
  <c r="DQ136" i="6"/>
  <c r="DN136" i="6"/>
  <c r="DO136" i="6"/>
  <c r="BC177" i="6"/>
  <c r="T15" i="5"/>
  <c r="B12" i="10"/>
  <c r="AX96" i="6"/>
  <c r="T38" i="5"/>
  <c r="DU32" i="6"/>
  <c r="B35" i="10"/>
  <c r="EL32" i="6"/>
  <c r="AX93" i="6"/>
  <c r="DQ161" i="6"/>
  <c r="N87" i="4"/>
  <c r="AX70" i="6"/>
  <c r="CN4" i="6"/>
  <c r="AJ5" i="6" s="1"/>
  <c r="CL93" i="6"/>
  <c r="AH94" i="6" s="1"/>
  <c r="CL94" i="6" s="1"/>
  <c r="AH95" i="6" s="1"/>
  <c r="CL95" i="6" s="1"/>
  <c r="AH96" i="6" s="1"/>
  <c r="CL96" i="6" s="1"/>
  <c r="AH97" i="6" s="1"/>
  <c r="CL97" i="6" s="1"/>
  <c r="AH98" i="6" s="1"/>
  <c r="CL98" i="6" s="1"/>
  <c r="AH99" i="6" s="1"/>
  <c r="CL99" i="6" s="1"/>
  <c r="AH100" i="6" s="1"/>
  <c r="CL100" i="6" s="1"/>
  <c r="AH101" i="6" s="1"/>
  <c r="CL101" i="6" s="1"/>
  <c r="AH102" i="6" s="1"/>
  <c r="CL102" i="6" s="1"/>
  <c r="AH103" i="6" s="1"/>
  <c r="CL103" i="6" s="1"/>
  <c r="AH104" i="6" s="1"/>
  <c r="CL104" i="6" s="1"/>
  <c r="AH105" i="6" s="1"/>
  <c r="BD135" i="6"/>
  <c r="AX60" i="6"/>
  <c r="AX83" i="6"/>
  <c r="EL191" i="6"/>
  <c r="DP233" i="6"/>
  <c r="N137" i="11"/>
  <c r="DO174" i="6"/>
  <c r="DN174" i="6"/>
  <c r="BD219" i="6"/>
  <c r="T131" i="5"/>
  <c r="B128" i="10"/>
  <c r="BQ5" i="6"/>
  <c r="BR5" i="6"/>
  <c r="N11" i="4"/>
  <c r="EL88" i="6"/>
  <c r="DQ204" i="6"/>
  <c r="DP204" i="6"/>
  <c r="DO209" i="6"/>
  <c r="DQ209" i="6"/>
  <c r="DP209" i="6"/>
  <c r="T106" i="5"/>
  <c r="B103" i="10"/>
  <c r="DQ220" i="6"/>
  <c r="DP220" i="6"/>
  <c r="DO220" i="6"/>
  <c r="DN220" i="6"/>
  <c r="N115" i="4"/>
  <c r="DQ227" i="6"/>
  <c r="DO227" i="6"/>
  <c r="DP227" i="6"/>
  <c r="T240" i="5"/>
  <c r="EL234" i="6"/>
  <c r="BT88" i="6"/>
  <c r="BS88" i="6"/>
  <c r="DP164" i="6"/>
  <c r="DN148" i="6"/>
  <c r="DP148" i="6"/>
  <c r="DO148" i="6"/>
  <c r="DQ148" i="6"/>
  <c r="DQ164" i="6"/>
  <c r="T177" i="5"/>
  <c r="EL171" i="6"/>
  <c r="CF5" i="6"/>
  <c r="AB6" i="6" s="1"/>
  <c r="DP222" i="6"/>
  <c r="DO222" i="6"/>
  <c r="DQ222" i="6"/>
  <c r="DQ166" i="6"/>
  <c r="DN222" i="6"/>
  <c r="T227" i="5"/>
  <c r="EL221" i="6"/>
  <c r="DQ231" i="6"/>
  <c r="DN231" i="6"/>
  <c r="DO231" i="6"/>
  <c r="BT66" i="6"/>
  <c r="BS66" i="6"/>
  <c r="BD139" i="6"/>
  <c r="T199" i="5"/>
  <c r="EL193" i="6"/>
  <c r="AW79" i="6"/>
  <c r="EZ79" i="6"/>
  <c r="C82" i="10"/>
  <c r="T83" i="5"/>
  <c r="DU77" i="6"/>
  <c r="B80" i="10"/>
  <c r="EL77" i="6"/>
  <c r="DP140" i="6"/>
  <c r="DN140" i="6"/>
  <c r="DO140" i="6"/>
  <c r="DQ140" i="6"/>
  <c r="AW95" i="6"/>
  <c r="EZ95" i="6"/>
  <c r="C98" i="10"/>
  <c r="N114" i="4"/>
  <c r="AA133" i="6"/>
  <c r="CE133" i="6" s="1"/>
  <c r="AA134" i="6" s="1"/>
  <c r="CE134" i="6" s="1"/>
  <c r="AA135" i="6" s="1"/>
  <c r="CE135" i="6" s="1"/>
  <c r="AA136" i="6" s="1"/>
  <c r="CE136" i="6" s="1"/>
  <c r="T139" i="5"/>
  <c r="EL133" i="6"/>
  <c r="DO175" i="6"/>
  <c r="AW101" i="6"/>
  <c r="EZ101" i="6"/>
  <c r="C104" i="10"/>
  <c r="DN139" i="6"/>
  <c r="E131" i="11"/>
  <c r="D110" i="11"/>
  <c r="E110" i="11"/>
  <c r="C110" i="11"/>
  <c r="G131" i="11"/>
  <c r="F110" i="11"/>
  <c r="D131" i="11"/>
  <c r="F131" i="11"/>
  <c r="BQ93" i="6"/>
  <c r="BR93" i="6"/>
  <c r="N99" i="4"/>
  <c r="AX13" i="6"/>
  <c r="T42" i="5"/>
  <c r="Y36" i="6"/>
  <c r="AA36" i="6"/>
  <c r="CE36" i="6" s="1"/>
  <c r="AA37" i="6" s="1"/>
  <c r="CE37" i="6" s="1"/>
  <c r="Z36" i="6"/>
  <c r="EM36" i="6"/>
  <c r="B39" i="10"/>
  <c r="DU36" i="6"/>
  <c r="BM36" i="6" s="1"/>
  <c r="EL36" i="6"/>
  <c r="BC223" i="6"/>
  <c r="DQ130" i="6"/>
  <c r="DP130" i="6"/>
  <c r="DN130" i="6"/>
  <c r="DO130" i="6"/>
  <c r="DN238" i="6"/>
  <c r="DQ238" i="6"/>
  <c r="BC158" i="6"/>
  <c r="BR35" i="6"/>
  <c r="BQ35" i="6"/>
  <c r="N41" i="4"/>
  <c r="T121" i="5"/>
  <c r="B118" i="10"/>
  <c r="EL240" i="6"/>
  <c r="T246" i="5"/>
  <c r="T223" i="5"/>
  <c r="EL217" i="6"/>
  <c r="DO201" i="6"/>
  <c r="DN201" i="6"/>
  <c r="DP201" i="6"/>
  <c r="DQ201" i="6"/>
  <c r="BI88" i="6"/>
  <c r="BC154" i="6"/>
  <c r="BC205" i="6"/>
  <c r="DQ132" i="6"/>
  <c r="DP132" i="6"/>
  <c r="DN132" i="6"/>
  <c r="DO132" i="6"/>
  <c r="EL219" i="6"/>
  <c r="EL230" i="6"/>
  <c r="EL192" i="6"/>
  <c r="DU125" i="6"/>
  <c r="T143" i="5"/>
  <c r="AX97" i="6"/>
  <c r="T180" i="5"/>
  <c r="BQ4" i="6"/>
  <c r="BR4" i="6"/>
  <c r="N10" i="4"/>
  <c r="T40" i="5"/>
  <c r="EF35" i="6"/>
  <c r="B37" i="10"/>
  <c r="EL34" i="6"/>
  <c r="DU34" i="6"/>
  <c r="G137" i="11"/>
  <c r="D137" i="11"/>
  <c r="E114" i="11"/>
  <c r="E137" i="11"/>
  <c r="F114" i="11"/>
  <c r="F137" i="11"/>
  <c r="D114" i="11"/>
  <c r="C114" i="11"/>
  <c r="T179" i="5"/>
  <c r="EL173" i="6"/>
  <c r="BI9" i="6"/>
  <c r="BR105" i="6"/>
  <c r="BQ105" i="6"/>
  <c r="N111" i="4"/>
  <c r="EL203" i="6"/>
  <c r="DO200" i="6"/>
  <c r="DN200" i="6"/>
  <c r="DP200" i="6"/>
  <c r="DQ200" i="6"/>
  <c r="AX125" i="6"/>
  <c r="BE125" i="6" s="1"/>
  <c r="DR191" i="6"/>
  <c r="AW90" i="6"/>
  <c r="EZ90" i="6"/>
  <c r="C93" i="10"/>
  <c r="DP215" i="6"/>
  <c r="EZ93" i="6"/>
  <c r="AW93" i="6"/>
  <c r="C96" i="10"/>
  <c r="EZ105" i="6"/>
  <c r="AW105" i="6"/>
  <c r="C108" i="10"/>
  <c r="EL186" i="6"/>
  <c r="T192" i="5"/>
  <c r="BC221" i="6"/>
  <c r="T218" i="5"/>
  <c r="EL212" i="6"/>
  <c r="DN234" i="6"/>
  <c r="DO157" i="6"/>
  <c r="DP157" i="6"/>
  <c r="DQ157" i="6"/>
  <c r="DN188" i="6"/>
  <c r="DQ188" i="6"/>
  <c r="T194" i="5"/>
  <c r="DO150" i="6"/>
  <c r="DN150" i="6"/>
  <c r="DN156" i="6"/>
  <c r="DP156" i="6"/>
  <c r="AX16" i="6"/>
  <c r="G136" i="11"/>
  <c r="D136" i="11"/>
  <c r="F136" i="11"/>
  <c r="E136" i="11"/>
  <c r="E113" i="11"/>
  <c r="D113" i="11"/>
  <c r="C113" i="11"/>
  <c r="F113" i="11"/>
  <c r="BC139" i="6"/>
  <c r="G138" i="11"/>
  <c r="F138" i="11"/>
  <c r="E138" i="11"/>
  <c r="D138" i="11"/>
  <c r="BT110" i="6"/>
  <c r="BS110" i="6"/>
  <c r="EZ89" i="6"/>
  <c r="AW89" i="6"/>
  <c r="C92" i="10"/>
  <c r="N105" i="4"/>
  <c r="AX44" i="6"/>
  <c r="BT92" i="6"/>
  <c r="BS92" i="6"/>
  <c r="T119" i="5"/>
  <c r="FE113" i="6"/>
  <c r="B116" i="10"/>
  <c r="T167" i="5"/>
  <c r="EL161" i="6"/>
  <c r="DQ192" i="6"/>
  <c r="DO192" i="6"/>
  <c r="DN192" i="6"/>
  <c r="EL44" i="6"/>
  <c r="DQ178" i="6"/>
  <c r="DO178" i="6"/>
  <c r="DN178" i="6"/>
  <c r="DP178" i="6"/>
  <c r="T239" i="5"/>
  <c r="EL233" i="6"/>
  <c r="DQ155" i="6"/>
  <c r="DP155" i="6"/>
  <c r="DQ180" i="6"/>
  <c r="DQ210" i="6"/>
  <c r="DN210" i="6"/>
  <c r="DO210" i="6"/>
  <c r="N121" i="4"/>
  <c r="T247" i="5"/>
  <c r="DN145" i="6"/>
  <c r="DQ145" i="6"/>
  <c r="EL147" i="6"/>
  <c r="T175" i="5"/>
  <c r="EL169" i="6"/>
  <c r="EL197" i="6"/>
  <c r="N125" i="4"/>
  <c r="N134" i="4"/>
  <c r="AA119" i="6"/>
  <c r="CE119" i="6" s="1"/>
  <c r="AA120" i="6" s="1"/>
  <c r="CE120" i="6" s="1"/>
  <c r="AA121" i="6" s="1"/>
  <c r="CE121" i="6" s="1"/>
  <c r="AA122" i="6" s="1"/>
  <c r="CE122" i="6" s="1"/>
  <c r="AA123" i="6" s="1"/>
  <c r="CE123" i="6" s="1"/>
  <c r="AA124" i="6" s="1"/>
  <c r="CE124" i="6" s="1"/>
  <c r="AA125" i="6" s="1"/>
  <c r="CE125" i="6" s="1"/>
  <c r="AA126" i="6" s="1"/>
  <c r="CE126" i="6" s="1"/>
  <c r="AA127" i="6" s="1"/>
  <c r="CE127" i="6" s="1"/>
  <c r="AA128" i="6" s="1"/>
  <c r="CE128" i="6" s="1"/>
  <c r="AA129" i="6" s="1"/>
  <c r="DP139" i="6"/>
  <c r="AX116" i="6"/>
  <c r="T135" i="5"/>
  <c r="B132" i="10"/>
  <c r="EF130" i="6"/>
  <c r="EL129" i="6"/>
  <c r="T163" i="5"/>
  <c r="EL157" i="6"/>
  <c r="AX87" i="6"/>
  <c r="FC87" i="6"/>
  <c r="AZ87" i="6" s="1"/>
  <c r="L93" i="4" s="1"/>
  <c r="T94" i="5"/>
  <c r="B91" i="10"/>
  <c r="N26" i="4"/>
  <c r="BI93" i="6"/>
  <c r="T187" i="5"/>
  <c r="EL181" i="6"/>
  <c r="DO196" i="6"/>
  <c r="DN196" i="6"/>
  <c r="DP196" i="6"/>
  <c r="DQ196" i="6"/>
  <c r="DP192" i="6"/>
  <c r="N118" i="4"/>
  <c r="DQ183" i="6"/>
  <c r="DO183" i="6"/>
  <c r="DN183" i="6"/>
  <c r="BD201" i="6"/>
  <c r="N102" i="4"/>
  <c r="DU100" i="6"/>
  <c r="DP158" i="6"/>
  <c r="DP188" i="6"/>
  <c r="AX23" i="6"/>
  <c r="DQ230" i="6"/>
  <c r="DN141" i="6"/>
  <c r="DQ141" i="6"/>
  <c r="DN155" i="6"/>
  <c r="EL188" i="6"/>
  <c r="DO143" i="6" l="1"/>
  <c r="DQ143" i="6"/>
  <c r="DN143" i="6"/>
  <c r="DP143" i="6"/>
  <c r="DO181" i="6"/>
  <c r="DN181" i="6"/>
  <c r="DP161" i="6"/>
  <c r="DN161" i="6"/>
  <c r="DO160" i="6"/>
  <c r="DQ160" i="6"/>
  <c r="DP160" i="6"/>
  <c r="F125" i="10"/>
  <c r="F9" i="10"/>
  <c r="F73" i="10"/>
  <c r="L52" i="11"/>
  <c r="M48" i="11"/>
  <c r="M52" i="11" s="1"/>
  <c r="CM6" i="6"/>
  <c r="AI7" i="6" s="1"/>
  <c r="CK98" i="6"/>
  <c r="AG99" i="6" s="1"/>
  <c r="G123" i="10"/>
  <c r="F105" i="10"/>
  <c r="H105" i="10" s="1"/>
  <c r="F128" i="10"/>
  <c r="H128" i="10" s="1"/>
  <c r="G122" i="10"/>
  <c r="F61" i="10"/>
  <c r="G64" i="10"/>
  <c r="H74" i="10"/>
  <c r="G73" i="10"/>
  <c r="F106" i="10"/>
  <c r="G50" i="10"/>
  <c r="F72" i="10"/>
  <c r="F85" i="10"/>
  <c r="G65" i="10"/>
  <c r="EC3" i="6"/>
  <c r="AV3" i="6" s="1"/>
  <c r="T9" i="4" s="1"/>
  <c r="CJ5" i="6"/>
  <c r="AF6" i="6" s="1"/>
  <c r="CK5" i="6"/>
  <c r="AG6" i="6" s="1"/>
  <c r="K10" i="4"/>
  <c r="BK4" i="6"/>
  <c r="F124" i="10"/>
  <c r="H124" i="10" s="1"/>
  <c r="G66" i="10"/>
  <c r="F97" i="10"/>
  <c r="F110" i="10"/>
  <c r="G75" i="10"/>
  <c r="F86" i="10"/>
  <c r="FE38" i="6"/>
  <c r="FE37" i="6"/>
  <c r="F12" i="10"/>
  <c r="H9" i="10"/>
  <c r="G8" i="10"/>
  <c r="H62" i="10"/>
  <c r="G61" i="10"/>
  <c r="CN65" i="6"/>
  <c r="AJ66" i="6" s="1"/>
  <c r="CY65" i="6"/>
  <c r="AU66" i="6" s="1"/>
  <c r="BG65" i="6"/>
  <c r="CW65" i="6"/>
  <c r="AS66" i="6" s="1"/>
  <c r="G19" i="10"/>
  <c r="F115" i="10"/>
  <c r="F76" i="10"/>
  <c r="H76" i="10" s="1"/>
  <c r="EB63" i="6"/>
  <c r="G68" i="10"/>
  <c r="F122" i="10"/>
  <c r="G60" i="10"/>
  <c r="H61" i="10"/>
  <c r="G127" i="10"/>
  <c r="G78" i="10"/>
  <c r="H79" i="10"/>
  <c r="H54" i="10"/>
  <c r="G53" i="10"/>
  <c r="CM65" i="6"/>
  <c r="AI66" i="6" s="1"/>
  <c r="T111" i="5"/>
  <c r="B108" i="10"/>
  <c r="DU105" i="6"/>
  <c r="EF105" i="6"/>
  <c r="FE105" i="6"/>
  <c r="EL105" i="6"/>
  <c r="DH106" i="6"/>
  <c r="H102" i="10"/>
  <c r="G101" i="10"/>
  <c r="F22" i="10"/>
  <c r="H22" i="10" s="1"/>
  <c r="F79" i="10"/>
  <c r="F16" i="10"/>
  <c r="G10" i="10"/>
  <c r="H48" i="10"/>
  <c r="G47" i="10"/>
  <c r="G72" i="10"/>
  <c r="H73" i="10"/>
  <c r="F75" i="10"/>
  <c r="H75" i="10" s="1"/>
  <c r="G104" i="10"/>
  <c r="G45" i="10"/>
  <c r="H46" i="10"/>
  <c r="G86" i="10"/>
  <c r="F30" i="10"/>
  <c r="G28" i="10"/>
  <c r="H29" i="10"/>
  <c r="F8" i="10"/>
  <c r="BB5" i="6"/>
  <c r="F15" i="10"/>
  <c r="H15" i="10" s="1"/>
  <c r="G56" i="10"/>
  <c r="F29" i="10"/>
  <c r="F40" i="10"/>
  <c r="F19" i="10"/>
  <c r="F130" i="10"/>
  <c r="F87" i="10"/>
  <c r="H87" i="10" s="1"/>
  <c r="H130" i="10"/>
  <c r="G129" i="10"/>
  <c r="G105" i="10"/>
  <c r="H106" i="10"/>
  <c r="H86" i="10"/>
  <c r="G85" i="10"/>
  <c r="G57" i="10"/>
  <c r="H58" i="10"/>
  <c r="T10" i="5"/>
  <c r="DJ4" i="6"/>
  <c r="B7" i="10"/>
  <c r="DH5" i="6"/>
  <c r="Z4" i="6"/>
  <c r="FE4" i="6"/>
  <c r="EM4" i="6"/>
  <c r="DU4" i="6"/>
  <c r="BM4" i="6" s="1"/>
  <c r="EF4" i="6"/>
  <c r="AA4" i="6"/>
  <c r="CE4" i="6" s="1"/>
  <c r="Y4" i="6"/>
  <c r="EL4" i="6"/>
  <c r="ED4" i="6"/>
  <c r="G18" i="10"/>
  <c r="H19" i="10"/>
  <c r="F112" i="10"/>
  <c r="EL55" i="6"/>
  <c r="FE55" i="6"/>
  <c r="T61" i="5"/>
  <c r="EF55" i="6"/>
  <c r="EB55" i="6" s="1"/>
  <c r="B58" i="10"/>
  <c r="AA55" i="6"/>
  <c r="CE55" i="6" s="1"/>
  <c r="DU55" i="6"/>
  <c r="DH56" i="6"/>
  <c r="DN3" i="6"/>
  <c r="DP3" i="6"/>
  <c r="DL4" i="6" s="1"/>
  <c r="DO3" i="6"/>
  <c r="DK4" i="6" s="1"/>
  <c r="DQ3" i="6"/>
  <c r="DM4" i="6" s="1"/>
  <c r="H80" i="10"/>
  <c r="G79" i="10"/>
  <c r="E115" i="11"/>
  <c r="C119" i="11"/>
  <c r="B123" i="11"/>
  <c r="F119" i="11"/>
  <c r="D119" i="11"/>
  <c r="EF24" i="6"/>
  <c r="G119" i="10"/>
  <c r="F66" i="10"/>
  <c r="H66" i="10" s="1"/>
  <c r="F52" i="10"/>
  <c r="T108" i="5"/>
  <c r="B105" i="10"/>
  <c r="DU102" i="6"/>
  <c r="EL102" i="6"/>
  <c r="G16" i="10"/>
  <c r="F103" i="10"/>
  <c r="H103" i="10" s="1"/>
  <c r="CN13" i="6"/>
  <c r="AJ14" i="6" s="1"/>
  <c r="G108" i="10"/>
  <c r="DN191" i="6"/>
  <c r="DQ191" i="6"/>
  <c r="DP191" i="6"/>
  <c r="DO191" i="6"/>
  <c r="F104" i="10"/>
  <c r="H104" i="10" s="1"/>
  <c r="G103" i="10"/>
  <c r="F45" i="10"/>
  <c r="H45" i="10" s="1"/>
  <c r="G12" i="10"/>
  <c r="H13" i="10"/>
  <c r="F28" i="10"/>
  <c r="H28" i="10" s="1"/>
  <c r="H16" i="10"/>
  <c r="G15" i="10"/>
  <c r="F111" i="10"/>
  <c r="CH10" i="6"/>
  <c r="AD11" i="6" s="1"/>
  <c r="BG10" i="6"/>
  <c r="G37" i="10"/>
  <c r="CY94" i="6"/>
  <c r="AU95" i="6" s="1"/>
  <c r="F43" i="10"/>
  <c r="G94" i="10"/>
  <c r="F113" i="10"/>
  <c r="H96" i="10"/>
  <c r="G95" i="10"/>
  <c r="F42" i="10"/>
  <c r="F118" i="10"/>
  <c r="F41" i="10"/>
  <c r="H41" i="10" s="1"/>
  <c r="F107" i="10"/>
  <c r="F67" i="10"/>
  <c r="H67" i="10" s="1"/>
  <c r="F50" i="10"/>
  <c r="F18" i="10"/>
  <c r="H18" i="10" s="1"/>
  <c r="F49" i="10"/>
  <c r="DO208" i="6"/>
  <c r="DP208" i="6"/>
  <c r="DN208" i="6"/>
  <c r="DQ208" i="6"/>
  <c r="G112" i="10"/>
  <c r="H113" i="10"/>
  <c r="G33" i="10"/>
  <c r="FE39" i="6"/>
  <c r="D52" i="11"/>
  <c r="N79" i="11"/>
  <c r="CK75" i="6"/>
  <c r="AG76" i="6" s="1"/>
  <c r="CN99" i="6"/>
  <c r="AJ100" i="6" s="1"/>
  <c r="F83" i="10"/>
  <c r="F108" i="10"/>
  <c r="H108" i="10" s="1"/>
  <c r="G30" i="10"/>
  <c r="G118" i="10"/>
  <c r="F116" i="10"/>
  <c r="DQ137" i="6"/>
  <c r="DN137" i="6"/>
  <c r="DO137" i="6"/>
  <c r="DP137" i="6"/>
  <c r="G89" i="10"/>
  <c r="F123" i="10"/>
  <c r="H123" i="10" s="1"/>
  <c r="F102" i="10"/>
  <c r="G106" i="10"/>
  <c r="H107" i="10"/>
  <c r="G115" i="10"/>
  <c r="H116" i="10"/>
  <c r="F77" i="10"/>
  <c r="F80" i="10"/>
  <c r="F81" i="10"/>
  <c r="F54" i="10"/>
  <c r="G44" i="10"/>
  <c r="O9" i="4"/>
  <c r="E9" i="5" s="1"/>
  <c r="BW3" i="6"/>
  <c r="EU3" i="6" s="1"/>
  <c r="ET3" i="6" s="1"/>
  <c r="EP4" i="6" s="1"/>
  <c r="G126" i="10"/>
  <c r="H127" i="10"/>
  <c r="U5" i="6"/>
  <c r="V5" i="6"/>
  <c r="BZ5" i="6" s="1"/>
  <c r="FD6" i="6"/>
  <c r="AY5" i="6"/>
  <c r="G17" i="10"/>
  <c r="H50" i="10"/>
  <c r="G49" i="10"/>
  <c r="F33" i="10"/>
  <c r="H33" i="10" s="1"/>
  <c r="G107" i="10"/>
  <c r="F139" i="11"/>
  <c r="C76" i="11"/>
  <c r="C78" i="11" s="1"/>
  <c r="B78" i="11"/>
  <c r="B15" i="11"/>
  <c r="N136" i="11" s="1"/>
  <c r="C11" i="11"/>
  <c r="C15" i="11" s="1"/>
  <c r="CM96" i="6"/>
  <c r="AI97" i="6" s="1"/>
  <c r="H21" i="10"/>
  <c r="G20" i="10"/>
  <c r="F37" i="10"/>
  <c r="F53" i="10"/>
  <c r="H53" i="10" s="1"/>
  <c r="F92" i="10"/>
  <c r="EO36" i="6"/>
  <c r="EM37" i="6" s="1"/>
  <c r="G92" i="10"/>
  <c r="EH36" i="6"/>
  <c r="EN36" i="6"/>
  <c r="Q36" i="6" s="1"/>
  <c r="BG36" i="6"/>
  <c r="CD36" i="6"/>
  <c r="Z37" i="6" s="1"/>
  <c r="CC36" i="6"/>
  <c r="Y37" i="6" s="1"/>
  <c r="CS36" i="6"/>
  <c r="AO37" i="6" s="1"/>
  <c r="BE37" i="6" s="1"/>
  <c r="F26" i="10"/>
  <c r="G26" i="10"/>
  <c r="DP207" i="6"/>
  <c r="DQ207" i="6"/>
  <c r="DN207" i="6"/>
  <c r="DO207" i="6"/>
  <c r="DO240" i="6"/>
  <c r="DP240" i="6"/>
  <c r="DN240" i="6"/>
  <c r="DQ240" i="6"/>
  <c r="G83" i="10"/>
  <c r="G25" i="10"/>
  <c r="H26" i="10"/>
  <c r="G87" i="10"/>
  <c r="H88" i="10"/>
  <c r="F68" i="10"/>
  <c r="H68" i="10" s="1"/>
  <c r="G90" i="10"/>
  <c r="F55" i="10"/>
  <c r="F48" i="10"/>
  <c r="F131" i="10"/>
  <c r="G58" i="10"/>
  <c r="H59" i="10"/>
  <c r="G70" i="10"/>
  <c r="F126" i="10"/>
  <c r="F27" i="10"/>
  <c r="H27" i="10" s="1"/>
  <c r="N13" i="4"/>
  <c r="DQ151" i="6"/>
  <c r="DN151" i="6"/>
  <c r="DP151" i="6"/>
  <c r="DO151" i="6"/>
  <c r="T98" i="5"/>
  <c r="EL92" i="6"/>
  <c r="B95" i="10"/>
  <c r="DU92" i="6"/>
  <c r="FE92" i="6"/>
  <c r="DH93" i="6"/>
  <c r="EF92" i="6"/>
  <c r="D115" i="11"/>
  <c r="F47" i="10"/>
  <c r="H47" i="10" s="1"/>
  <c r="FE115" i="6"/>
  <c r="FE114" i="6"/>
  <c r="G98" i="10"/>
  <c r="F96" i="10"/>
  <c r="G93" i="10"/>
  <c r="F98" i="10"/>
  <c r="H60" i="10"/>
  <c r="G59" i="10"/>
  <c r="G77" i="10"/>
  <c r="F36" i="10"/>
  <c r="F65" i="10"/>
  <c r="H65" i="10" s="1"/>
  <c r="CG7" i="6"/>
  <c r="AC8" i="6" s="1"/>
  <c r="F23" i="10"/>
  <c r="H23" i="10" s="1"/>
  <c r="G23" i="10"/>
  <c r="G111" i="10"/>
  <c r="H112" i="10"/>
  <c r="G114" i="10"/>
  <c r="H115" i="10"/>
  <c r="G102" i="10"/>
  <c r="G39" i="10"/>
  <c r="H40" i="10"/>
  <c r="G130" i="10"/>
  <c r="H131" i="10"/>
  <c r="F71" i="10"/>
  <c r="H71" i="10" s="1"/>
  <c r="H126" i="10"/>
  <c r="G125" i="10"/>
  <c r="F58" i="10"/>
  <c r="G67" i="10"/>
  <c r="BY4" i="6"/>
  <c r="W5" i="6" s="1"/>
  <c r="G51" i="10"/>
  <c r="H52" i="10"/>
  <c r="T70" i="5"/>
  <c r="EF64" i="6"/>
  <c r="FE64" i="6"/>
  <c r="DH65" i="6"/>
  <c r="B67" i="10"/>
  <c r="DU64" i="6"/>
  <c r="EL64" i="6"/>
  <c r="F95" i="10"/>
  <c r="H95" i="10" s="1"/>
  <c r="F115" i="11"/>
  <c r="D15" i="11"/>
  <c r="T19" i="5"/>
  <c r="FE13" i="6"/>
  <c r="B16" i="10"/>
  <c r="DU13" i="6"/>
  <c r="EL13" i="6"/>
  <c r="EF13" i="6"/>
  <c r="EB13" i="6" s="1"/>
  <c r="DH14" i="6"/>
  <c r="EB12" i="6"/>
  <c r="G117" i="10"/>
  <c r="H118" i="10"/>
  <c r="T87" i="5"/>
  <c r="FE81" i="6"/>
  <c r="B84" i="10"/>
  <c r="DH82" i="6"/>
  <c r="EL81" i="6"/>
  <c r="EF81" i="6"/>
  <c r="EB81" i="6" s="1"/>
  <c r="DU81" i="6"/>
  <c r="F51" i="10"/>
  <c r="H51" i="10" s="1"/>
  <c r="F10" i="10"/>
  <c r="H10" i="10" s="1"/>
  <c r="H111" i="10"/>
  <c r="G110" i="10"/>
  <c r="F17" i="10"/>
  <c r="H17" i="10" s="1"/>
  <c r="G96" i="10"/>
  <c r="H97" i="10"/>
  <c r="F93" i="10"/>
  <c r="H93" i="10" s="1"/>
  <c r="G82" i="10"/>
  <c r="H83" i="10"/>
  <c r="F99" i="10"/>
  <c r="H99" i="10" s="1"/>
  <c r="F11" i="10"/>
  <c r="H11" i="10" s="1"/>
  <c r="H110" i="10"/>
  <c r="G109" i="10"/>
  <c r="FC90" i="6"/>
  <c r="AZ90" i="6" s="1"/>
  <c r="L96" i="4" s="1"/>
  <c r="N119" i="4"/>
  <c r="G36" i="10"/>
  <c r="H37" i="10"/>
  <c r="F34" i="10"/>
  <c r="H34" i="10" s="1"/>
  <c r="F60" i="10"/>
  <c r="F94" i="10"/>
  <c r="H94" i="10" s="1"/>
  <c r="F100" i="10"/>
  <c r="H100" i="10" s="1"/>
  <c r="H30" i="10"/>
  <c r="G29" i="10"/>
  <c r="H36" i="10"/>
  <c r="G35" i="10"/>
  <c r="T96" i="5"/>
  <c r="B93" i="10"/>
  <c r="EL90" i="6"/>
  <c r="DU90" i="6"/>
  <c r="F90" i="10"/>
  <c r="H90" i="10" s="1"/>
  <c r="F64" i="10"/>
  <c r="H81" i="10"/>
  <c r="G80" i="10"/>
  <c r="F78" i="10"/>
  <c r="H78" i="10" s="1"/>
  <c r="G124" i="10"/>
  <c r="H125" i="10"/>
  <c r="H42" i="10"/>
  <c r="G41" i="10"/>
  <c r="G54" i="10"/>
  <c r="H55" i="10"/>
  <c r="CA4" i="6"/>
  <c r="EK36" i="6"/>
  <c r="BO36" i="6" s="1"/>
  <c r="CT6" i="6"/>
  <c r="AP7" i="6" s="1"/>
  <c r="CU6" i="6"/>
  <c r="AQ7" i="6" s="1"/>
  <c r="F63" i="10"/>
  <c r="H63" i="10" s="1"/>
  <c r="T26" i="5"/>
  <c r="B23" i="10"/>
  <c r="DU20" i="6"/>
  <c r="EL20" i="6"/>
  <c r="F88" i="10"/>
  <c r="F59" i="10"/>
  <c r="CK29" i="6"/>
  <c r="AG30" i="6" s="1"/>
  <c r="G139" i="11"/>
  <c r="G128" i="10"/>
  <c r="H98" i="10"/>
  <c r="G97" i="10"/>
  <c r="F82" i="10"/>
  <c r="CF6" i="6"/>
  <c r="AB7" i="6" s="1"/>
  <c r="G11" i="10"/>
  <c r="H12" i="10"/>
  <c r="F25" i="10"/>
  <c r="G32" i="10"/>
  <c r="EB80" i="6"/>
  <c r="H101" i="10"/>
  <c r="G100" i="10"/>
  <c r="F56" i="10"/>
  <c r="G13" i="10"/>
  <c r="EH131" i="6"/>
  <c r="EK131" i="6" s="1"/>
  <c r="CC131" i="6"/>
  <c r="Y132" i="6" s="1"/>
  <c r="CD131" i="6"/>
  <c r="Z132" i="6" s="1"/>
  <c r="BM131" i="6"/>
  <c r="CS131" i="6"/>
  <c r="AO132" i="6" s="1"/>
  <c r="G88" i="10"/>
  <c r="H89" i="10"/>
  <c r="H56" i="10"/>
  <c r="G55" i="10"/>
  <c r="G121" i="10"/>
  <c r="H122" i="10"/>
  <c r="F129" i="10"/>
  <c r="H129" i="10" s="1"/>
  <c r="G48" i="10"/>
  <c r="H49" i="10"/>
  <c r="F44" i="10"/>
  <c r="H44" i="10" s="1"/>
  <c r="F38" i="10"/>
  <c r="H38" i="10" s="1"/>
  <c r="G42" i="10"/>
  <c r="H43" i="10"/>
  <c r="CK111" i="6"/>
  <c r="AG112" i="6" s="1"/>
  <c r="G63" i="10"/>
  <c r="H64" i="10"/>
  <c r="D139" i="11"/>
  <c r="B52" i="11"/>
  <c r="C48" i="11"/>
  <c r="C52" i="11" s="1"/>
  <c r="L79" i="11"/>
  <c r="M76" i="11"/>
  <c r="M79" i="11" s="1"/>
  <c r="F121" i="11"/>
  <c r="D121" i="11"/>
  <c r="C121" i="11"/>
  <c r="CM14" i="6"/>
  <c r="AI15" i="6" s="1"/>
  <c r="F14" i="10"/>
  <c r="H14" i="10" s="1"/>
  <c r="F20" i="10"/>
  <c r="H20" i="10" s="1"/>
  <c r="G99" i="10"/>
  <c r="F91" i="10"/>
  <c r="H91" i="10" s="1"/>
  <c r="F109" i="10"/>
  <c r="H109" i="10" s="1"/>
  <c r="G84" i="10"/>
  <c r="H85" i="10"/>
  <c r="H35" i="10"/>
  <c r="G34" i="10"/>
  <c r="EB35" i="6"/>
  <c r="EF37" i="6"/>
  <c r="EB37" i="6" s="1"/>
  <c r="CN5" i="6"/>
  <c r="AJ6" i="6" s="1"/>
  <c r="CX5" i="6"/>
  <c r="AT6" i="6" s="1"/>
  <c r="CY5" i="6"/>
  <c r="AU6" i="6" s="1"/>
  <c r="EI6" i="6" s="1"/>
  <c r="CV5" i="6"/>
  <c r="AR6" i="6" s="1"/>
  <c r="CW5" i="6"/>
  <c r="AS6" i="6" s="1"/>
  <c r="EJ6" i="6" s="1"/>
  <c r="BL6" i="6" s="1"/>
  <c r="G91" i="10"/>
  <c r="H92" i="10"/>
  <c r="F84" i="10"/>
  <c r="H84" i="10" s="1"/>
  <c r="DP218" i="6"/>
  <c r="DQ218" i="6"/>
  <c r="DO218" i="6"/>
  <c r="DN218" i="6"/>
  <c r="G120" i="10"/>
  <c r="EN114" i="6"/>
  <c r="Q114" i="6" s="1"/>
  <c r="EO114" i="6" s="1"/>
  <c r="EM115" i="6" s="1"/>
  <c r="EH114" i="6"/>
  <c r="CD114" i="6"/>
  <c r="Z115" i="6" s="1"/>
  <c r="BG114" i="6"/>
  <c r="CC114" i="6"/>
  <c r="Y115" i="6" s="1"/>
  <c r="BM114" i="6"/>
  <c r="H32" i="10"/>
  <c r="G31" i="10"/>
  <c r="G24" i="10"/>
  <c r="H25" i="10"/>
  <c r="FC8" i="6"/>
  <c r="AZ8" i="6" s="1"/>
  <c r="L14" i="4" s="1"/>
  <c r="FB8" i="6"/>
  <c r="DQ176" i="6"/>
  <c r="DO176" i="6"/>
  <c r="DP176" i="6"/>
  <c r="DN176" i="6"/>
  <c r="F114" i="10"/>
  <c r="F117" i="10"/>
  <c r="F101" i="10"/>
  <c r="F70" i="10"/>
  <c r="H39" i="10"/>
  <c r="G38" i="10"/>
  <c r="F7" i="10"/>
  <c r="H7" i="10" s="1"/>
  <c r="BB4" i="6"/>
  <c r="BN4" i="6" s="1"/>
  <c r="G69" i="10"/>
  <c r="H70" i="10"/>
  <c r="EF36" i="6"/>
  <c r="FE40" i="6"/>
  <c r="G43" i="10"/>
  <c r="EH54" i="6"/>
  <c r="EK54" i="6" s="1"/>
  <c r="CS54" i="6"/>
  <c r="AO55" i="6" s="1"/>
  <c r="CD54" i="6"/>
  <c r="Z55" i="6" s="1"/>
  <c r="CC54" i="6"/>
  <c r="Y55" i="6" s="1"/>
  <c r="G81" i="10"/>
  <c r="H82" i="10"/>
  <c r="E139" i="11"/>
  <c r="F122" i="11"/>
  <c r="D122" i="11"/>
  <c r="C122" i="11"/>
  <c r="FE24" i="6"/>
  <c r="T31" i="5"/>
  <c r="EL25" i="6"/>
  <c r="B28" i="10"/>
  <c r="DU25" i="6"/>
  <c r="EF25" i="6"/>
  <c r="EB25" i="6" s="1"/>
  <c r="DH26" i="6"/>
  <c r="EB130" i="6"/>
  <c r="EF132" i="6"/>
  <c r="EB132" i="6" s="1"/>
  <c r="EF131" i="6"/>
  <c r="F119" i="10"/>
  <c r="H119" i="10" s="1"/>
  <c r="F120" i="10"/>
  <c r="H120" i="10" s="1"/>
  <c r="F31" i="10"/>
  <c r="H31" i="10" s="1"/>
  <c r="F24" i="10"/>
  <c r="H24" i="10" s="1"/>
  <c r="DO187" i="6"/>
  <c r="DN187" i="6"/>
  <c r="DP187" i="6"/>
  <c r="DQ187" i="6"/>
  <c r="FB91" i="6"/>
  <c r="FC91" i="6"/>
  <c r="AZ91" i="6" s="1"/>
  <c r="L97" i="4" s="1"/>
  <c r="F13" i="10"/>
  <c r="H114" i="10"/>
  <c r="G113" i="10"/>
  <c r="H117" i="10"/>
  <c r="G116" i="10"/>
  <c r="F121" i="10"/>
  <c r="H121" i="10" s="1"/>
  <c r="H72" i="10"/>
  <c r="G71" i="10"/>
  <c r="G131" i="10"/>
  <c r="H132" i="10"/>
  <c r="F57" i="10"/>
  <c r="H57" i="10" s="1"/>
  <c r="H8" i="10"/>
  <c r="G7" i="10"/>
  <c r="G76" i="10"/>
  <c r="H77" i="10"/>
  <c r="F69" i="10"/>
  <c r="H69" i="10" s="1"/>
  <c r="F89" i="10"/>
  <c r="F39" i="10"/>
  <c r="C115" i="11"/>
  <c r="D120" i="11"/>
  <c r="C120" i="11"/>
  <c r="F120" i="11"/>
  <c r="DI4" i="6" l="1"/>
  <c r="EH55" i="6"/>
  <c r="EK55" i="6" s="1"/>
  <c r="CC55" i="6"/>
  <c r="CD55" i="6"/>
  <c r="CS55" i="6"/>
  <c r="AO56" i="6" s="1"/>
  <c r="EN115" i="6"/>
  <c r="Q115" i="6" s="1"/>
  <c r="EO115" i="6" s="1"/>
  <c r="EM116" i="6" s="1"/>
  <c r="EH115" i="6"/>
  <c r="EK115" i="6" s="1"/>
  <c r="BO115" i="6" s="1"/>
  <c r="CC115" i="6"/>
  <c r="Y116" i="6" s="1"/>
  <c r="CD115" i="6"/>
  <c r="Z116" i="6" s="1"/>
  <c r="BM115" i="6"/>
  <c r="EQ4" i="6"/>
  <c r="T112" i="5"/>
  <c r="B109" i="10"/>
  <c r="EF106" i="6"/>
  <c r="DH107" i="6"/>
  <c r="FE106" i="6"/>
  <c r="DU106" i="6"/>
  <c r="EL106" i="6"/>
  <c r="CN66" i="6"/>
  <c r="AJ67" i="6" s="1"/>
  <c r="CY66" i="6"/>
  <c r="AU67" i="6" s="1"/>
  <c r="BG66" i="6"/>
  <c r="CW66" i="6"/>
  <c r="AS67" i="6" s="1"/>
  <c r="FE41" i="6"/>
  <c r="T99" i="5"/>
  <c r="FE93" i="6"/>
  <c r="B96" i="10"/>
  <c r="EL93" i="6"/>
  <c r="DU93" i="6"/>
  <c r="EF93" i="6"/>
  <c r="DH94" i="6"/>
  <c r="EK37" i="6"/>
  <c r="BO37" i="6" s="1"/>
  <c r="CH11" i="6"/>
  <c r="AD12" i="6" s="1"/>
  <c r="BG11" i="6"/>
  <c r="EF38" i="6"/>
  <c r="EB38" i="6" s="1"/>
  <c r="N120" i="4"/>
  <c r="EH37" i="6"/>
  <c r="EN37" i="6"/>
  <c r="Q37" i="6" s="1"/>
  <c r="CS37" i="6"/>
  <c r="AO38" i="6" s="1"/>
  <c r="CC37" i="6"/>
  <c r="Y38" i="6" s="1"/>
  <c r="BG37" i="6"/>
  <c r="CD37" i="6"/>
  <c r="Z38" i="6" s="1"/>
  <c r="BM37" i="6"/>
  <c r="EF39" i="6"/>
  <c r="EB39" i="6" s="1"/>
  <c r="N16" i="4"/>
  <c r="CG8" i="6"/>
  <c r="AC9" i="6" s="1"/>
  <c r="T11" i="5"/>
  <c r="B8" i="10"/>
  <c r="EL5" i="6"/>
  <c r="FE5" i="6"/>
  <c r="CA5" i="6" s="1"/>
  <c r="EF5" i="6"/>
  <c r="EB5" i="6" s="1"/>
  <c r="DU5" i="6"/>
  <c r="AA5" i="6"/>
  <c r="CE5" i="6" s="1"/>
  <c r="DH6" i="6"/>
  <c r="CM97" i="6"/>
  <c r="AI98" i="6" s="1"/>
  <c r="CF7" i="6"/>
  <c r="AB8" i="6" s="1"/>
  <c r="CK30" i="6"/>
  <c r="AG31" i="6" s="1"/>
  <c r="FC92" i="6"/>
  <c r="AZ92" i="6" s="1"/>
  <c r="L98" i="4" s="1"/>
  <c r="FB92" i="6"/>
  <c r="EF40" i="6"/>
  <c r="EB40" i="6" s="1"/>
  <c r="FE82" i="6"/>
  <c r="EF82" i="6"/>
  <c r="T88" i="5"/>
  <c r="B85" i="10"/>
  <c r="DU82" i="6"/>
  <c r="EL82" i="6"/>
  <c r="DH83" i="6"/>
  <c r="N42" i="4"/>
  <c r="K11" i="4"/>
  <c r="T71" i="5"/>
  <c r="EL65" i="6"/>
  <c r="B68" i="10"/>
  <c r="EF65" i="6"/>
  <c r="DU65" i="6"/>
  <c r="FE65" i="6"/>
  <c r="DH66" i="6"/>
  <c r="CM15" i="6"/>
  <c r="AI16" i="6" s="1"/>
  <c r="FC9" i="6"/>
  <c r="AZ9" i="6" s="1"/>
  <c r="L15" i="4" s="1"/>
  <c r="FB9" i="6"/>
  <c r="EH132" i="6"/>
  <c r="EK132" i="6" s="1"/>
  <c r="CC132" i="6"/>
  <c r="Y133" i="6" s="1"/>
  <c r="CS132" i="6"/>
  <c r="AO133" i="6" s="1"/>
  <c r="CD132" i="6"/>
  <c r="Z133" i="6" s="1"/>
  <c r="BM132" i="6"/>
  <c r="V6" i="6"/>
  <c r="BZ6" i="6" s="1"/>
  <c r="FD7" i="6"/>
  <c r="AY6" i="6"/>
  <c r="EB24" i="6"/>
  <c r="CK112" i="6"/>
  <c r="AG113" i="6" s="1"/>
  <c r="T20" i="5"/>
  <c r="B17" i="10"/>
  <c r="DU14" i="6"/>
  <c r="EL14" i="6"/>
  <c r="FE14" i="6"/>
  <c r="EF14" i="6"/>
  <c r="DH15" i="6"/>
  <c r="FE25" i="6"/>
  <c r="EB36" i="6"/>
  <c r="CU7" i="6"/>
  <c r="AQ8" i="6" s="1"/>
  <c r="CT7" i="6"/>
  <c r="AP8" i="6" s="1"/>
  <c r="FE117" i="6"/>
  <c r="FE116" i="6"/>
  <c r="CN100" i="6"/>
  <c r="AJ101" i="6" s="1"/>
  <c r="D123" i="11"/>
  <c r="T62" i="5"/>
  <c r="Y56" i="6"/>
  <c r="EF56" i="6"/>
  <c r="EB56" i="6" s="1"/>
  <c r="EL56" i="6"/>
  <c r="AA56" i="6"/>
  <c r="CE56" i="6" s="1"/>
  <c r="DU56" i="6"/>
  <c r="DH57" i="6"/>
  <c r="FE56" i="6"/>
  <c r="Z56" i="6"/>
  <c r="B59" i="10"/>
  <c r="EG4" i="6"/>
  <c r="ED5" i="6" s="1"/>
  <c r="EG5" i="6" s="1"/>
  <c r="CM66" i="6"/>
  <c r="AI67" i="6" s="1"/>
  <c r="CK99" i="6"/>
  <c r="AG100" i="6" s="1"/>
  <c r="CY95" i="6"/>
  <c r="AU96" i="6" s="1"/>
  <c r="F123" i="11"/>
  <c r="T32" i="5"/>
  <c r="DU26" i="6"/>
  <c r="EL26" i="6"/>
  <c r="B29" i="10"/>
  <c r="DH27" i="6"/>
  <c r="FE26" i="6"/>
  <c r="EF26" i="6"/>
  <c r="BY5" i="6"/>
  <c r="BM55" i="6"/>
  <c r="EN4" i="6"/>
  <c r="Q4" i="6" s="1"/>
  <c r="EO4" i="6" s="1"/>
  <c r="EM5" i="6" s="1"/>
  <c r="EH4" i="6"/>
  <c r="EK4" i="6" s="1"/>
  <c r="CC4" i="6"/>
  <c r="Y5" i="6" s="1"/>
  <c r="CS4" i="6"/>
  <c r="AO5" i="6" s="1"/>
  <c r="CD4" i="6"/>
  <c r="Z5" i="6" s="1"/>
  <c r="BA4" i="6"/>
  <c r="BX4" i="6"/>
  <c r="U10" i="4" s="1"/>
  <c r="CB4" i="6"/>
  <c r="X5" i="6" s="1"/>
  <c r="N71" i="4"/>
  <c r="CM7" i="6"/>
  <c r="AI8" i="6" s="1"/>
  <c r="EB131" i="6"/>
  <c r="EF133" i="6"/>
  <c r="CN6" i="6"/>
  <c r="AJ7" i="6" s="1"/>
  <c r="CX6" i="6"/>
  <c r="AT7" i="6" s="1"/>
  <c r="CW6" i="6"/>
  <c r="AS7" i="6" s="1"/>
  <c r="EJ7" i="6" s="1"/>
  <c r="BL7" i="6" s="1"/>
  <c r="CY6" i="6"/>
  <c r="AU7" i="6" s="1"/>
  <c r="EI7" i="6" s="1"/>
  <c r="CV6" i="6"/>
  <c r="AR7" i="6" s="1"/>
  <c r="EB92" i="6"/>
  <c r="EO37" i="6"/>
  <c r="EM38" i="6" s="1"/>
  <c r="C123" i="11"/>
  <c r="CK6" i="6"/>
  <c r="AG7" i="6" s="1"/>
  <c r="CJ6" i="6"/>
  <c r="AF7" i="6" s="1"/>
  <c r="CK76" i="6"/>
  <c r="AG77" i="6" s="1"/>
  <c r="CN14" i="6"/>
  <c r="AJ15" i="6" s="1"/>
  <c r="EB4" i="6"/>
  <c r="EO5" i="6" l="1"/>
  <c r="EN5" i="6"/>
  <c r="Q5" i="6" s="1"/>
  <c r="EH5" i="6"/>
  <c r="EK5" i="6" s="1"/>
  <c r="CS5" i="6"/>
  <c r="AO6" i="6" s="1"/>
  <c r="CC5" i="6"/>
  <c r="CD5" i="6"/>
  <c r="BX5" i="6"/>
  <c r="U11" i="4" s="1"/>
  <c r="W6" i="6"/>
  <c r="T33" i="5"/>
  <c r="EL27" i="6"/>
  <c r="FE27" i="6"/>
  <c r="B30" i="10"/>
  <c r="DH28" i="6"/>
  <c r="DU27" i="6"/>
  <c r="EF27" i="6"/>
  <c r="CM98" i="6"/>
  <c r="AI99" i="6" s="1"/>
  <c r="N43" i="4"/>
  <c r="CH12" i="6"/>
  <c r="AD13" i="6" s="1"/>
  <c r="FA12" i="6"/>
  <c r="FA13" i="6" s="1"/>
  <c r="FA14" i="6" s="1"/>
  <c r="FA15" i="6" s="1"/>
  <c r="FA16" i="6" s="1"/>
  <c r="FA17" i="6" s="1"/>
  <c r="FA18" i="6" s="1"/>
  <c r="FA19" i="6" s="1"/>
  <c r="FA20" i="6" s="1"/>
  <c r="FA21" i="6" s="1"/>
  <c r="FB93" i="6"/>
  <c r="FC93" i="6"/>
  <c r="AZ93" i="6" s="1"/>
  <c r="L99" i="4" s="1"/>
  <c r="EN38" i="6"/>
  <c r="Q38" i="6" s="1"/>
  <c r="EO38" i="6" s="1"/>
  <c r="EM39" i="6" s="1"/>
  <c r="EH38" i="6"/>
  <c r="EK38" i="6" s="1"/>
  <c r="BO38" i="6" s="1"/>
  <c r="CD38" i="6"/>
  <c r="Z39" i="6" s="1"/>
  <c r="CS38" i="6"/>
  <c r="AO39" i="6" s="1"/>
  <c r="BE39" i="6" s="1"/>
  <c r="CC38" i="6"/>
  <c r="Y39" i="6" s="1"/>
  <c r="BM38" i="6"/>
  <c r="CN67" i="6"/>
  <c r="AJ68" i="6" s="1"/>
  <c r="CW67" i="6"/>
  <c r="AS68" i="6" s="1"/>
  <c r="CY67" i="6"/>
  <c r="AU68" i="6" s="1"/>
  <c r="CN15" i="6"/>
  <c r="AJ16" i="6" s="1"/>
  <c r="CB5" i="6"/>
  <c r="X6" i="6" s="1"/>
  <c r="BF5" i="6"/>
  <c r="BK5" i="6" s="1"/>
  <c r="BA5" i="6"/>
  <c r="BM56" i="6"/>
  <c r="CN101" i="6"/>
  <c r="AJ102" i="6" s="1"/>
  <c r="BM5" i="6"/>
  <c r="BN5" i="6" s="1"/>
  <c r="EF134" i="6"/>
  <c r="CM67" i="6"/>
  <c r="AI68" i="6" s="1"/>
  <c r="AA57" i="6"/>
  <c r="CE57" i="6" s="1"/>
  <c r="T63" i="5"/>
  <c r="EL57" i="6"/>
  <c r="DU57" i="6"/>
  <c r="FE57" i="6"/>
  <c r="EF57" i="6"/>
  <c r="EB57" i="6" s="1"/>
  <c r="B60" i="10"/>
  <c r="DH58" i="6"/>
  <c r="T89" i="5"/>
  <c r="FE83" i="6"/>
  <c r="EF83" i="6"/>
  <c r="EB83" i="6" s="1"/>
  <c r="B86" i="10"/>
  <c r="DH84" i="6"/>
  <c r="EL83" i="6"/>
  <c r="DU83" i="6"/>
  <c r="CK31" i="6"/>
  <c r="AG32" i="6" s="1"/>
  <c r="DR4" i="6"/>
  <c r="BD4" i="6"/>
  <c r="BC4" i="6"/>
  <c r="EB82" i="6"/>
  <c r="CK77" i="6"/>
  <c r="AG78" i="6" s="1"/>
  <c r="M10" i="4"/>
  <c r="BP4" i="6"/>
  <c r="CK113" i="6"/>
  <c r="AG114" i="6" s="1"/>
  <c r="EH133" i="6"/>
  <c r="EK133" i="6" s="1"/>
  <c r="CS133" i="6"/>
  <c r="AO134" i="6" s="1"/>
  <c r="BM133" i="6"/>
  <c r="CC133" i="6"/>
  <c r="Y134" i="6" s="1"/>
  <c r="CD133" i="6"/>
  <c r="Z134" i="6" s="1"/>
  <c r="FE42" i="6"/>
  <c r="FE43" i="6" s="1"/>
  <c r="V7" i="6"/>
  <c r="BZ7" i="6" s="1"/>
  <c r="FD8" i="6"/>
  <c r="AY7" i="6"/>
  <c r="CF8" i="6"/>
  <c r="AB9" i="6" s="1"/>
  <c r="CN7" i="6"/>
  <c r="AJ8" i="6" s="1"/>
  <c r="CY7" i="6"/>
  <c r="AU8" i="6" s="1"/>
  <c r="EI8" i="6" s="1"/>
  <c r="CW7" i="6"/>
  <c r="AS8" i="6" s="1"/>
  <c r="EJ8" i="6" s="1"/>
  <c r="BL8" i="6" s="1"/>
  <c r="CV7" i="6"/>
  <c r="AR8" i="6" s="1"/>
  <c r="CX7" i="6"/>
  <c r="AT8" i="6" s="1"/>
  <c r="T21" i="5"/>
  <c r="FE15" i="6"/>
  <c r="B18" i="10"/>
  <c r="EL15" i="6"/>
  <c r="DU15" i="6"/>
  <c r="DH16" i="6"/>
  <c r="EF15" i="6"/>
  <c r="EB15" i="6" s="1"/>
  <c r="U6" i="6"/>
  <c r="EF41" i="6"/>
  <c r="CG9" i="6"/>
  <c r="AC10" i="6" s="1"/>
  <c r="FE7" i="6"/>
  <c r="FE44" i="6"/>
  <c r="FE45" i="6" s="1"/>
  <c r="EH116" i="6"/>
  <c r="EN116" i="6"/>
  <c r="Q116" i="6" s="1"/>
  <c r="EO116" i="6" s="1"/>
  <c r="EM117" i="6" s="1"/>
  <c r="BG116" i="6"/>
  <c r="CD116" i="6"/>
  <c r="Z117" i="6" s="1"/>
  <c r="CC116" i="6"/>
  <c r="Y117" i="6" s="1"/>
  <c r="BM116" i="6"/>
  <c r="EH56" i="6"/>
  <c r="EK56" i="6" s="1"/>
  <c r="CD56" i="6"/>
  <c r="Z57" i="6" s="1"/>
  <c r="CC56" i="6"/>
  <c r="Y57" i="6" s="1"/>
  <c r="CS56" i="6"/>
  <c r="AO57" i="6" s="1"/>
  <c r="EC4" i="6"/>
  <c r="AV4" i="6" s="1"/>
  <c r="T10" i="4" s="1"/>
  <c r="EC5" i="6"/>
  <c r="AV5" i="6" s="1"/>
  <c r="BI5" i="6" s="1"/>
  <c r="CM8" i="6"/>
  <c r="AI9" i="6" s="1"/>
  <c r="EB14" i="6"/>
  <c r="FC10" i="6"/>
  <c r="AZ10" i="6" s="1"/>
  <c r="L16" i="4" s="1"/>
  <c r="FB10" i="6"/>
  <c r="EB133" i="6"/>
  <c r="CM16" i="6"/>
  <c r="AI17" i="6" s="1"/>
  <c r="T72" i="5"/>
  <c r="B69" i="10"/>
  <c r="EL66" i="6"/>
  <c r="DU66" i="6"/>
  <c r="FE66" i="6"/>
  <c r="EF66" i="6"/>
  <c r="DH67" i="6"/>
  <c r="CK100" i="6"/>
  <c r="AG101" i="6" s="1"/>
  <c r="EV4" i="6"/>
  <c r="EW4" i="6" s="1"/>
  <c r="ES4" i="6"/>
  <c r="ER4" i="6"/>
  <c r="V10" i="5" s="1"/>
  <c r="U10" i="5"/>
  <c r="CU8" i="6"/>
  <c r="AQ9" i="6" s="1"/>
  <c r="CT8" i="6"/>
  <c r="AP9" i="6" s="1"/>
  <c r="CJ7" i="6"/>
  <c r="AF8" i="6" s="1"/>
  <c r="CK7" i="6"/>
  <c r="AG8" i="6" s="1"/>
  <c r="BB7" i="6"/>
  <c r="N72" i="4"/>
  <c r="T113" i="5"/>
  <c r="B110" i="10"/>
  <c r="FE107" i="6"/>
  <c r="DU107" i="6"/>
  <c r="EL107" i="6"/>
  <c r="EF107" i="6"/>
  <c r="EB107" i="6" s="1"/>
  <c r="DH108" i="6"/>
  <c r="FE118" i="6"/>
  <c r="K12" i="4"/>
  <c r="CY96" i="6"/>
  <c r="AU97" i="6" s="1"/>
  <c r="EF135" i="6"/>
  <c r="EB135" i="6" s="1"/>
  <c r="T12" i="5"/>
  <c r="ED6" i="6"/>
  <c r="EG6" i="6" s="1"/>
  <c r="ED7" i="6" s="1"/>
  <c r="B9" i="10"/>
  <c r="EL6" i="6"/>
  <c r="DU6" i="6"/>
  <c r="FE6" i="6"/>
  <c r="Y6" i="6"/>
  <c r="Z6" i="6"/>
  <c r="AA6" i="6"/>
  <c r="CE6" i="6" s="1"/>
  <c r="AA7" i="6" s="1"/>
  <c r="CE7" i="6" s="1"/>
  <c r="AA8" i="6" s="1"/>
  <c r="CE8" i="6" s="1"/>
  <c r="AA9" i="6" s="1"/>
  <c r="CE9" i="6" s="1"/>
  <c r="AA10" i="6" s="1"/>
  <c r="CE10" i="6" s="1"/>
  <c r="AA11" i="6" s="1"/>
  <c r="CE11" i="6" s="1"/>
  <c r="AA12" i="6" s="1"/>
  <c r="CE12" i="6" s="1"/>
  <c r="AA13" i="6" s="1"/>
  <c r="CE13" i="6" s="1"/>
  <c r="AA14" i="6" s="1"/>
  <c r="CE14" i="6" s="1"/>
  <c r="AA15" i="6" s="1"/>
  <c r="CE15" i="6" s="1"/>
  <c r="EM6" i="6"/>
  <c r="EF6" i="6"/>
  <c r="N17" i="4"/>
  <c r="T100" i="5"/>
  <c r="B97" i="10"/>
  <c r="EF94" i="6"/>
  <c r="FE94" i="6"/>
  <c r="EL94" i="6"/>
  <c r="DU94" i="6"/>
  <c r="DH95" i="6"/>
  <c r="EH57" i="6" l="1"/>
  <c r="EK57" i="6" s="1"/>
  <c r="CD57" i="6"/>
  <c r="CC57" i="6"/>
  <c r="CS57" i="6"/>
  <c r="AO58" i="6" s="1"/>
  <c r="EB6" i="6"/>
  <c r="T22" i="5"/>
  <c r="DU16" i="6"/>
  <c r="B19" i="10"/>
  <c r="EL16" i="6"/>
  <c r="EF16" i="6"/>
  <c r="AA16" i="6"/>
  <c r="CE16" i="6" s="1"/>
  <c r="AA17" i="6" s="1"/>
  <c r="CE17" i="6" s="1"/>
  <c r="AA18" i="6" s="1"/>
  <c r="CE18" i="6" s="1"/>
  <c r="AA19" i="6" s="1"/>
  <c r="CE19" i="6" s="1"/>
  <c r="AA20" i="6" s="1"/>
  <c r="CE20" i="6" s="1"/>
  <c r="AA21" i="6" s="1"/>
  <c r="CE21" i="6" s="1"/>
  <c r="AA22" i="6" s="1"/>
  <c r="CE22" i="6" s="1"/>
  <c r="AA23" i="6" s="1"/>
  <c r="CE23" i="6" s="1"/>
  <c r="AA24" i="6" s="1"/>
  <c r="CE24" i="6" s="1"/>
  <c r="AA25" i="6" s="1"/>
  <c r="CE25" i="6" s="1"/>
  <c r="AA26" i="6" s="1"/>
  <c r="CE26" i="6" s="1"/>
  <c r="AA27" i="6" s="1"/>
  <c r="CE27" i="6" s="1"/>
  <c r="FE16" i="6"/>
  <c r="CK114" i="6"/>
  <c r="AG115" i="6" s="1"/>
  <c r="CF9" i="6"/>
  <c r="AB10" i="6" s="1"/>
  <c r="T64" i="5"/>
  <c r="B61" i="10"/>
  <c r="DU58" i="6"/>
  <c r="BM58" i="6" s="1"/>
  <c r="FE58" i="6"/>
  <c r="AA58" i="6"/>
  <c r="CE58" i="6" s="1"/>
  <c r="EF58" i="6"/>
  <c r="EB58" i="6" s="1"/>
  <c r="EL58" i="6"/>
  <c r="Z58" i="6"/>
  <c r="Y58" i="6"/>
  <c r="DH59" i="6"/>
  <c r="T114" i="5"/>
  <c r="B111" i="10"/>
  <c r="DU108" i="6"/>
  <c r="EL108" i="6"/>
  <c r="DH109" i="6"/>
  <c r="FE108" i="6"/>
  <c r="EF108" i="6"/>
  <c r="EB108" i="6" s="1"/>
  <c r="DU67" i="6"/>
  <c r="T73" i="5"/>
  <c r="B70" i="10"/>
  <c r="FE67" i="6"/>
  <c r="EF67" i="6"/>
  <c r="EB67" i="6" s="1"/>
  <c r="DH68" i="6"/>
  <c r="EL67" i="6"/>
  <c r="CK78" i="6"/>
  <c r="AG79" i="6" s="1"/>
  <c r="CN16" i="6"/>
  <c r="AJ17" i="6" s="1"/>
  <c r="CH13" i="6"/>
  <c r="AD14" i="6" s="1"/>
  <c r="CH14" i="6" s="1"/>
  <c r="AD15" i="6" s="1"/>
  <c r="CH15" i="6" s="1"/>
  <c r="AD16" i="6" s="1"/>
  <c r="CH16" i="6" s="1"/>
  <c r="AD17" i="6" s="1"/>
  <c r="CA6" i="6"/>
  <c r="T101" i="5"/>
  <c r="B98" i="10"/>
  <c r="EL95" i="6"/>
  <c r="DH96" i="6"/>
  <c r="DU95" i="6"/>
  <c r="EF95" i="6"/>
  <c r="EB95" i="6" s="1"/>
  <c r="FE95" i="6"/>
  <c r="EF136" i="6"/>
  <c r="DU84" i="6"/>
  <c r="T90" i="5"/>
  <c r="B87" i="10"/>
  <c r="FE84" i="6"/>
  <c r="EL84" i="6"/>
  <c r="EF84" i="6"/>
  <c r="DH85" i="6"/>
  <c r="K13" i="4"/>
  <c r="T11" i="4"/>
  <c r="DU28" i="6"/>
  <c r="T34" i="5"/>
  <c r="DH29" i="6"/>
  <c r="FE28" i="6"/>
  <c r="AA28" i="6"/>
  <c r="CE28" i="6" s="1"/>
  <c r="EF28" i="6"/>
  <c r="EB28" i="6" s="1"/>
  <c r="B31" i="10"/>
  <c r="EL28" i="6"/>
  <c r="CT9" i="6"/>
  <c r="AP10" i="6" s="1"/>
  <c r="CU9" i="6"/>
  <c r="AQ10" i="6" s="1"/>
  <c r="FE119" i="6"/>
  <c r="FE120" i="6" s="1"/>
  <c r="FE121" i="6" s="1"/>
  <c r="FE122" i="6" s="1"/>
  <c r="FE123" i="6" s="1"/>
  <c r="FE124" i="6" s="1"/>
  <c r="FE125" i="6" s="1"/>
  <c r="FE126" i="6" s="1"/>
  <c r="FE127" i="6" s="1"/>
  <c r="FE128" i="6" s="1"/>
  <c r="FE129" i="6" s="1"/>
  <c r="W10" i="5"/>
  <c r="DX4" i="6"/>
  <c r="BV4" i="6" s="1"/>
  <c r="P10" i="4" s="1"/>
  <c r="F10" i="5" s="1"/>
  <c r="DW4" i="6"/>
  <c r="BU4" i="6" s="1"/>
  <c r="V8" i="6"/>
  <c r="BZ8" i="6" s="1"/>
  <c r="FD9" i="6"/>
  <c r="AY8" i="6"/>
  <c r="FE46" i="6"/>
  <c r="FE47" i="6" s="1"/>
  <c r="FE48" i="6" s="1"/>
  <c r="FE49" i="6" s="1"/>
  <c r="FE50" i="6" s="1"/>
  <c r="FE51" i="6" s="1"/>
  <c r="EH134" i="6"/>
  <c r="EK134" i="6" s="1"/>
  <c r="CS134" i="6"/>
  <c r="AO135" i="6" s="1"/>
  <c r="CD134" i="6"/>
  <c r="Z135" i="6" s="1"/>
  <c r="CC134" i="6"/>
  <c r="Y135" i="6" s="1"/>
  <c r="BM134" i="6"/>
  <c r="DV4" i="6"/>
  <c r="M11" i="4"/>
  <c r="BP5" i="6"/>
  <c r="FB94" i="6"/>
  <c r="FC94" i="6"/>
  <c r="AZ94" i="6" s="1"/>
  <c r="L100" i="4" s="1"/>
  <c r="EH6" i="6"/>
  <c r="EK6" i="6" s="1"/>
  <c r="EN6" i="6"/>
  <c r="Q6" i="6" s="1"/>
  <c r="CS6" i="6"/>
  <c r="AO7" i="6" s="1"/>
  <c r="CD6" i="6"/>
  <c r="Z7" i="6" s="1"/>
  <c r="CC6" i="6"/>
  <c r="Y7" i="6" s="1"/>
  <c r="BX6" i="6"/>
  <c r="U12" i="4" s="1"/>
  <c r="BM6" i="6"/>
  <c r="CM17" i="6"/>
  <c r="AI18" i="6" s="1"/>
  <c r="CG10" i="6"/>
  <c r="AC11" i="6" s="1"/>
  <c r="CY8" i="6"/>
  <c r="AU9" i="6" s="1"/>
  <c r="EI9" i="6" s="1"/>
  <c r="CX8" i="6"/>
  <c r="AT9" i="6" s="1"/>
  <c r="CV8" i="6"/>
  <c r="AR9" i="6" s="1"/>
  <c r="CW8" i="6"/>
  <c r="AS9" i="6" s="1"/>
  <c r="EJ9" i="6" s="1"/>
  <c r="BL9" i="6" s="1"/>
  <c r="CN8" i="6"/>
  <c r="AJ9" i="6" s="1"/>
  <c r="CK32" i="6"/>
  <c r="AG33" i="6" s="1"/>
  <c r="BM57" i="6"/>
  <c r="CM68" i="6"/>
  <c r="AI69" i="6" s="1"/>
  <c r="CM99" i="6"/>
  <c r="AI100" i="6" s="1"/>
  <c r="CY97" i="6"/>
  <c r="AU98" i="6" s="1"/>
  <c r="EN117" i="6"/>
  <c r="Q117" i="6" s="1"/>
  <c r="EO117" i="6" s="1"/>
  <c r="EM118" i="6" s="1"/>
  <c r="EH117" i="6"/>
  <c r="BG117" i="6"/>
  <c r="CD117" i="6"/>
  <c r="Z118" i="6" s="1"/>
  <c r="CC117" i="6"/>
  <c r="Y118" i="6" s="1"/>
  <c r="BM117" i="6"/>
  <c r="CB6" i="6"/>
  <c r="X7" i="6" s="1"/>
  <c r="BF6" i="6"/>
  <c r="BK6" i="6" s="1"/>
  <c r="BA6" i="6"/>
  <c r="CK101" i="6"/>
  <c r="AG102" i="6" s="1"/>
  <c r="CM9" i="6"/>
  <c r="AI10" i="6" s="1"/>
  <c r="EB41" i="6"/>
  <c r="EF42" i="6"/>
  <c r="EB42" i="6" s="1"/>
  <c r="DO4" i="6"/>
  <c r="DK5" i="6" s="1"/>
  <c r="DP4" i="6"/>
  <c r="DL5" i="6" s="1"/>
  <c r="DN4" i="6"/>
  <c r="DJ5" i="6" s="1"/>
  <c r="DQ4" i="6"/>
  <c r="DM5" i="6" s="1"/>
  <c r="EF137" i="6"/>
  <c r="EO6" i="6"/>
  <c r="EM7" i="6" s="1"/>
  <c r="EF7" i="6"/>
  <c r="EB7" i="6" s="1"/>
  <c r="FB11" i="6"/>
  <c r="FC11" i="6"/>
  <c r="AZ11" i="6" s="1"/>
  <c r="L17" i="4" s="1"/>
  <c r="N122" i="4"/>
  <c r="CY68" i="6"/>
  <c r="AU69" i="6" s="1"/>
  <c r="CN68" i="6"/>
  <c r="AJ69" i="6" s="1"/>
  <c r="CW68" i="6"/>
  <c r="AS69" i="6" s="1"/>
  <c r="EB94" i="6"/>
  <c r="CJ8" i="6"/>
  <c r="AF9" i="6" s="1"/>
  <c r="CK8" i="6"/>
  <c r="AG9" i="6" s="1"/>
  <c r="BB8" i="6"/>
  <c r="BG6" i="6"/>
  <c r="BY6" i="6"/>
  <c r="BB6" i="6"/>
  <c r="BN6" i="6" s="1"/>
  <c r="FE8" i="6"/>
  <c r="FE9" i="6" s="1"/>
  <c r="FE10" i="6" s="1"/>
  <c r="FE11" i="6" s="1"/>
  <c r="EB134" i="6"/>
  <c r="CN102" i="6"/>
  <c r="AJ103" i="6" s="1"/>
  <c r="EN39" i="6"/>
  <c r="Q39" i="6" s="1"/>
  <c r="EO39" i="6" s="1"/>
  <c r="EM40" i="6" s="1"/>
  <c r="EH39" i="6"/>
  <c r="EK39" i="6" s="1"/>
  <c r="BO39" i="6" s="1"/>
  <c r="CS39" i="6"/>
  <c r="AO40" i="6" s="1"/>
  <c r="BE40" i="6" s="1"/>
  <c r="BG39" i="6"/>
  <c r="CD39" i="6"/>
  <c r="Z40" i="6" s="1"/>
  <c r="CC39" i="6"/>
  <c r="Y40" i="6" s="1"/>
  <c r="BM39" i="6"/>
  <c r="EF43" i="6" l="1"/>
  <c r="EB43" i="6" s="1"/>
  <c r="W7" i="6"/>
  <c r="CA7" i="6" s="1"/>
  <c r="U7" i="6"/>
  <c r="CN103" i="6"/>
  <c r="AJ104" i="6" s="1"/>
  <c r="CM10" i="6"/>
  <c r="AI11" i="6" s="1"/>
  <c r="EH7" i="6"/>
  <c r="EK7" i="6" s="1"/>
  <c r="EN7" i="6"/>
  <c r="Q7" i="6" s="1"/>
  <c r="CS7" i="6"/>
  <c r="AO8" i="6" s="1"/>
  <c r="CD7" i="6"/>
  <c r="Z8" i="6" s="1"/>
  <c r="CC7" i="6"/>
  <c r="Y8" i="6" s="1"/>
  <c r="BM7" i="6"/>
  <c r="BN7" i="6" s="1"/>
  <c r="BX7" i="6"/>
  <c r="U13" i="4" s="1"/>
  <c r="N12" i="4"/>
  <c r="DI5" i="6"/>
  <c r="EH118" i="6"/>
  <c r="EN118" i="6"/>
  <c r="Q118" i="6" s="1"/>
  <c r="EO118" i="6" s="1"/>
  <c r="EM119" i="6" s="1"/>
  <c r="BG118" i="6"/>
  <c r="CD118" i="6"/>
  <c r="Z119" i="6" s="1"/>
  <c r="CC118" i="6"/>
  <c r="Y119" i="6" s="1"/>
  <c r="BM118" i="6"/>
  <c r="CT10" i="6"/>
  <c r="AP11" i="6" s="1"/>
  <c r="CU10" i="6"/>
  <c r="AQ11" i="6" s="1"/>
  <c r="T91" i="5"/>
  <c r="B88" i="10"/>
  <c r="FE85" i="6"/>
  <c r="EF85" i="6"/>
  <c r="EB85" i="6" s="1"/>
  <c r="DU85" i="6"/>
  <c r="EL85" i="6"/>
  <c r="FE17" i="6"/>
  <c r="FE18" i="6" s="1"/>
  <c r="FE19" i="6" s="1"/>
  <c r="EB137" i="6"/>
  <c r="EF138" i="6"/>
  <c r="EH135" i="6"/>
  <c r="EK135" i="6" s="1"/>
  <c r="CS135" i="6"/>
  <c r="AO136" i="6" s="1"/>
  <c r="CD135" i="6"/>
  <c r="Z136" i="6" s="1"/>
  <c r="CC135" i="6"/>
  <c r="Y136" i="6" s="1"/>
  <c r="BM135" i="6"/>
  <c r="T35" i="5"/>
  <c r="DU29" i="6"/>
  <c r="FE29" i="6"/>
  <c r="B32" i="10"/>
  <c r="AA29" i="6"/>
  <c r="CE29" i="6" s="1"/>
  <c r="EL29" i="6"/>
  <c r="EF29" i="6"/>
  <c r="EB29" i="6" s="1"/>
  <c r="DH30" i="6"/>
  <c r="CM100" i="6"/>
  <c r="AI101" i="6" s="1"/>
  <c r="EB84" i="6"/>
  <c r="CK102" i="6"/>
  <c r="AG103" i="6" s="1"/>
  <c r="CM69" i="6"/>
  <c r="AI70" i="6" s="1"/>
  <c r="CG11" i="6"/>
  <c r="AC12" i="6" s="1"/>
  <c r="EG7" i="6"/>
  <c r="ED8" i="6" s="1"/>
  <c r="EG8" i="6" s="1"/>
  <c r="ED9" i="6" s="1"/>
  <c r="EB136" i="6"/>
  <c r="T115" i="5"/>
  <c r="FE109" i="6"/>
  <c r="B112" i="10"/>
  <c r="DH110" i="6"/>
  <c r="EL109" i="6"/>
  <c r="DU109" i="6"/>
  <c r="EF109" i="6"/>
  <c r="EB109" i="6" s="1"/>
  <c r="EN40" i="6"/>
  <c r="Q40" i="6" s="1"/>
  <c r="EO40" i="6" s="1"/>
  <c r="EM41" i="6" s="1"/>
  <c r="EH40" i="6"/>
  <c r="BG40" i="6"/>
  <c r="CC40" i="6"/>
  <c r="Y41" i="6" s="1"/>
  <c r="CD40" i="6"/>
  <c r="Z41" i="6" s="1"/>
  <c r="CS40" i="6"/>
  <c r="AO41" i="6" s="1"/>
  <c r="BE41" i="6" s="1"/>
  <c r="BM40" i="6"/>
  <c r="N45" i="4"/>
  <c r="EK40" i="6"/>
  <c r="BO40" i="6" s="1"/>
  <c r="CJ9" i="6"/>
  <c r="AF10" i="6" s="1"/>
  <c r="CK9" i="6"/>
  <c r="AG10" i="6" s="1"/>
  <c r="BB9" i="6"/>
  <c r="N123" i="4"/>
  <c r="CK79" i="6"/>
  <c r="AG80" i="6" s="1"/>
  <c r="EF9" i="6"/>
  <c r="EB9" i="6" s="1"/>
  <c r="T65" i="5"/>
  <c r="FE59" i="6"/>
  <c r="DU59" i="6"/>
  <c r="EL59" i="6"/>
  <c r="AA59" i="6"/>
  <c r="CE59" i="6" s="1"/>
  <c r="EF59" i="6"/>
  <c r="EB59" i="6" s="1"/>
  <c r="B62" i="10"/>
  <c r="DH60" i="6"/>
  <c r="CK115" i="6"/>
  <c r="AG116" i="6" s="1"/>
  <c r="EF8" i="6"/>
  <c r="EB8" i="6" s="1"/>
  <c r="EF44" i="6"/>
  <c r="CM18" i="6"/>
  <c r="AI19" i="6" s="1"/>
  <c r="CH17" i="6"/>
  <c r="AD18" i="6" s="1"/>
  <c r="BG17" i="6"/>
  <c r="EH58" i="6"/>
  <c r="EK58" i="6" s="1"/>
  <c r="CD58" i="6"/>
  <c r="Z59" i="6" s="1"/>
  <c r="CS58" i="6"/>
  <c r="AO59" i="6" s="1"/>
  <c r="CC58" i="6"/>
  <c r="Y59" i="6" s="1"/>
  <c r="EC9" i="6"/>
  <c r="AV9" i="6" s="1"/>
  <c r="EC6" i="6"/>
  <c r="AV6" i="6" s="1"/>
  <c r="EC8" i="6"/>
  <c r="AV8" i="6" s="1"/>
  <c r="BI8" i="6" s="1"/>
  <c r="EC7" i="6"/>
  <c r="AV7" i="6" s="1"/>
  <c r="M12" i="4"/>
  <c r="BP6" i="6"/>
  <c r="CK33" i="6"/>
  <c r="AG34" i="6" s="1"/>
  <c r="FB95" i="6"/>
  <c r="FC95" i="6"/>
  <c r="AZ95" i="6" s="1"/>
  <c r="L101" i="4" s="1"/>
  <c r="T102" i="5"/>
  <c r="B99" i="10"/>
  <c r="FE96" i="6"/>
  <c r="EF96" i="6"/>
  <c r="DU96" i="6"/>
  <c r="DH97" i="6"/>
  <c r="EL96" i="6"/>
  <c r="EB16" i="6"/>
  <c r="EO7" i="6"/>
  <c r="EM8" i="6" s="1"/>
  <c r="CY98" i="6"/>
  <c r="AU99" i="6" s="1"/>
  <c r="K14" i="4"/>
  <c r="O10" i="4"/>
  <c r="E10" i="5" s="1"/>
  <c r="BW4" i="6"/>
  <c r="EU4" i="6" s="1"/>
  <c r="ET4" i="6" s="1"/>
  <c r="EP5" i="6" s="1"/>
  <c r="CN17" i="6"/>
  <c r="AJ18" i="6" s="1"/>
  <c r="CB7" i="6"/>
  <c r="X8" i="6" s="1"/>
  <c r="BF7" i="6"/>
  <c r="BK7" i="6" s="1"/>
  <c r="BA7" i="6"/>
  <c r="CW9" i="6"/>
  <c r="AS10" i="6" s="1"/>
  <c r="EJ10" i="6" s="1"/>
  <c r="BL10" i="6" s="1"/>
  <c r="CV9" i="6"/>
  <c r="AR10" i="6" s="1"/>
  <c r="CN9" i="6"/>
  <c r="AJ10" i="6" s="1"/>
  <c r="CY9" i="6"/>
  <c r="AU10" i="6" s="1"/>
  <c r="EI10" i="6" s="1"/>
  <c r="CX9" i="6"/>
  <c r="AT10" i="6" s="1"/>
  <c r="FD10" i="6"/>
  <c r="V9" i="6"/>
  <c r="BZ9" i="6" s="1"/>
  <c r="AY9" i="6"/>
  <c r="T74" i="5"/>
  <c r="DH69" i="6"/>
  <c r="DU68" i="6"/>
  <c r="EL68" i="6"/>
  <c r="B71" i="10"/>
  <c r="EF68" i="6"/>
  <c r="EB68" i="6" s="1"/>
  <c r="FE68" i="6"/>
  <c r="CF10" i="6"/>
  <c r="AB11" i="6" s="1"/>
  <c r="CN69" i="6"/>
  <c r="AJ70" i="6" s="1"/>
  <c r="CY69" i="6"/>
  <c r="AU70" i="6" s="1"/>
  <c r="CW69" i="6"/>
  <c r="AS70" i="6" s="1"/>
  <c r="FB12" i="6"/>
  <c r="FC12" i="6"/>
  <c r="AZ12" i="6" s="1"/>
  <c r="L18" i="4" s="1"/>
  <c r="EH59" i="6" l="1"/>
  <c r="EK59" i="6" s="1"/>
  <c r="CC59" i="6"/>
  <c r="CD59" i="6"/>
  <c r="CS59" i="6"/>
  <c r="AO60" i="6" s="1"/>
  <c r="EO8" i="6"/>
  <c r="EM9" i="6" s="1"/>
  <c r="FB13" i="6"/>
  <c r="FC13" i="6"/>
  <c r="AZ13" i="6" s="1"/>
  <c r="L19" i="4" s="1"/>
  <c r="FB96" i="6"/>
  <c r="FC96" i="6"/>
  <c r="AZ96" i="6" s="1"/>
  <c r="L102" i="4" s="1"/>
  <c r="EG9" i="6"/>
  <c r="ED10" i="6" s="1"/>
  <c r="EH136" i="6"/>
  <c r="EK136" i="6" s="1"/>
  <c r="CS136" i="6"/>
  <c r="AO137" i="6" s="1"/>
  <c r="CD136" i="6"/>
  <c r="Z137" i="6" s="1"/>
  <c r="CC136" i="6"/>
  <c r="Y137" i="6" s="1"/>
  <c r="BM136" i="6"/>
  <c r="EN8" i="6"/>
  <c r="Q8" i="6" s="1"/>
  <c r="EH8" i="6"/>
  <c r="EK8" i="6" s="1"/>
  <c r="CC8" i="6"/>
  <c r="Y9" i="6" s="1"/>
  <c r="CD8" i="6"/>
  <c r="Z9" i="6" s="1"/>
  <c r="CS8" i="6"/>
  <c r="AO9" i="6" s="1"/>
  <c r="BM8" i="6"/>
  <c r="BN8" i="6" s="1"/>
  <c r="BX8" i="6"/>
  <c r="U14" i="4" s="1"/>
  <c r="CN104" i="6"/>
  <c r="AJ105" i="6" s="1"/>
  <c r="EQ5" i="6"/>
  <c r="EB44" i="6"/>
  <c r="EF45" i="6"/>
  <c r="CN10" i="6"/>
  <c r="AJ11" i="6" s="1"/>
  <c r="CY10" i="6"/>
  <c r="AU11" i="6" s="1"/>
  <c r="EI11" i="6" s="1"/>
  <c r="CX10" i="6"/>
  <c r="AT11" i="6" s="1"/>
  <c r="CW10" i="6"/>
  <c r="AS11" i="6" s="1"/>
  <c r="EJ11" i="6" s="1"/>
  <c r="BL11" i="6" s="1"/>
  <c r="CV10" i="6"/>
  <c r="AR11" i="6" s="1"/>
  <c r="CK34" i="6"/>
  <c r="AG35" i="6" s="1"/>
  <c r="CG12" i="6"/>
  <c r="AC13" i="6" s="1"/>
  <c r="CM101" i="6"/>
  <c r="AI102" i="6" s="1"/>
  <c r="N124" i="4"/>
  <c r="EB96" i="6"/>
  <c r="CK80" i="6"/>
  <c r="AG81" i="6" s="1"/>
  <c r="FE86" i="6"/>
  <c r="FE87" i="6"/>
  <c r="FE88" i="6" s="1"/>
  <c r="FE89" i="6" s="1"/>
  <c r="FE90" i="6" s="1"/>
  <c r="FE91" i="6" s="1"/>
  <c r="T13" i="4"/>
  <c r="BY7" i="6"/>
  <c r="BI6" i="6"/>
  <c r="T12" i="4"/>
  <c r="CK116" i="6"/>
  <c r="AG117" i="6" s="1"/>
  <c r="BM59" i="6"/>
  <c r="CM70" i="6"/>
  <c r="AI71" i="6" s="1"/>
  <c r="EF10" i="6"/>
  <c r="M13" i="4"/>
  <c r="BP7" i="6"/>
  <c r="CN70" i="6"/>
  <c r="AJ71" i="6" s="1"/>
  <c r="CY70" i="6"/>
  <c r="AU71" i="6" s="1"/>
  <c r="CW70" i="6"/>
  <c r="AS71" i="6" s="1"/>
  <c r="BD5" i="6"/>
  <c r="BC5" i="6"/>
  <c r="DR5" i="6"/>
  <c r="CB8" i="6"/>
  <c r="X9" i="6" s="1"/>
  <c r="BF8" i="6"/>
  <c r="BK8" i="6" s="1"/>
  <c r="BA8" i="6"/>
  <c r="CF11" i="6"/>
  <c r="AB12" i="6" s="1"/>
  <c r="CY99" i="6"/>
  <c r="AU100" i="6" s="1"/>
  <c r="N23" i="4"/>
  <c r="EB138" i="6"/>
  <c r="EF139" i="6"/>
  <c r="CM11" i="6"/>
  <c r="AI12" i="6" s="1"/>
  <c r="CK103" i="6"/>
  <c r="AG104" i="6" s="1"/>
  <c r="T36" i="5"/>
  <c r="EL30" i="6"/>
  <c r="B33" i="10"/>
  <c r="FE30" i="6"/>
  <c r="FE31" i="6" s="1"/>
  <c r="FE32" i="6" s="1"/>
  <c r="FE33" i="6" s="1"/>
  <c r="FE34" i="6" s="1"/>
  <c r="DU30" i="6"/>
  <c r="EF30" i="6"/>
  <c r="EB30" i="6" s="1"/>
  <c r="AA30" i="6"/>
  <c r="CE30" i="6" s="1"/>
  <c r="AA31" i="6" s="1"/>
  <c r="CE31" i="6" s="1"/>
  <c r="AA32" i="6" s="1"/>
  <c r="CE32" i="6" s="1"/>
  <c r="AA33" i="6" s="1"/>
  <c r="CE33" i="6" s="1"/>
  <c r="AA34" i="6" s="1"/>
  <c r="CE34" i="6" s="1"/>
  <c r="K15" i="4"/>
  <c r="V10" i="6"/>
  <c r="BZ10" i="6" s="1"/>
  <c r="FD11" i="6"/>
  <c r="AY10" i="6"/>
  <c r="T103" i="5"/>
  <c r="EF97" i="6"/>
  <c r="EB97" i="6" s="1"/>
  <c r="DU97" i="6"/>
  <c r="B100" i="10"/>
  <c r="FE97" i="6"/>
  <c r="DH98" i="6"/>
  <c r="EL97" i="6"/>
  <c r="CH18" i="6"/>
  <c r="AD19" i="6" s="1"/>
  <c r="BG18" i="6"/>
  <c r="EH41" i="6"/>
  <c r="EK41" i="6" s="1"/>
  <c r="BO41" i="6" s="1"/>
  <c r="EN41" i="6"/>
  <c r="Q41" i="6" s="1"/>
  <c r="EO41" i="6" s="1"/>
  <c r="EM42" i="6" s="1"/>
  <c r="CD41" i="6"/>
  <c r="Z42" i="6" s="1"/>
  <c r="CC41" i="6"/>
  <c r="Y42" i="6" s="1"/>
  <c r="CS41" i="6"/>
  <c r="AO42" i="6" s="1"/>
  <c r="BG41" i="6"/>
  <c r="BM41" i="6"/>
  <c r="EF110" i="6"/>
  <c r="EB110" i="6" s="1"/>
  <c r="T116" i="5"/>
  <c r="B113" i="10"/>
  <c r="DU110" i="6"/>
  <c r="FE110" i="6"/>
  <c r="EL110" i="6"/>
  <c r="DH111" i="6"/>
  <c r="FE20" i="6"/>
  <c r="FE21" i="6" s="1"/>
  <c r="CU11" i="6"/>
  <c r="AQ12" i="6" s="1"/>
  <c r="CT11" i="6"/>
  <c r="AP12" i="6" s="1"/>
  <c r="N46" i="4"/>
  <c r="T66" i="5"/>
  <c r="FE60" i="6"/>
  <c r="EF60" i="6"/>
  <c r="EB60" i="6" s="1"/>
  <c r="DH61" i="6"/>
  <c r="B63" i="10"/>
  <c r="AA60" i="6"/>
  <c r="CE60" i="6" s="1"/>
  <c r="Z60" i="6"/>
  <c r="DU60" i="6"/>
  <c r="BM60" i="6" s="1"/>
  <c r="Y60" i="6"/>
  <c r="EL60" i="6"/>
  <c r="CK10" i="6"/>
  <c r="AG11" i="6" s="1"/>
  <c r="CJ10" i="6"/>
  <c r="AF11" i="6" s="1"/>
  <c r="BB10" i="6"/>
  <c r="EL69" i="6"/>
  <c r="T75" i="5"/>
  <c r="FE69" i="6"/>
  <c r="EF69" i="6"/>
  <c r="EB69" i="6" s="1"/>
  <c r="DU69" i="6"/>
  <c r="DH70" i="6"/>
  <c r="B72" i="10"/>
  <c r="CN18" i="6"/>
  <c r="AJ19" i="6" s="1"/>
  <c r="CM19" i="6"/>
  <c r="AI20" i="6" s="1"/>
  <c r="EH119" i="6"/>
  <c r="EK119" i="6" s="1"/>
  <c r="BO119" i="6" s="1"/>
  <c r="EN119" i="6"/>
  <c r="Q119" i="6" s="1"/>
  <c r="EO119" i="6" s="1"/>
  <c r="EM120" i="6" s="1"/>
  <c r="CC119" i="6"/>
  <c r="Y120" i="6" s="1"/>
  <c r="CD119" i="6"/>
  <c r="Z120" i="6" s="1"/>
  <c r="BM119" i="6"/>
  <c r="CN19" i="6" l="1"/>
  <c r="AJ20" i="6" s="1"/>
  <c r="CM71" i="6"/>
  <c r="AI72" i="6" s="1"/>
  <c r="EH137" i="6"/>
  <c r="EK137" i="6" s="1"/>
  <c r="CC137" i="6"/>
  <c r="Y138" i="6" s="1"/>
  <c r="CD137" i="6"/>
  <c r="Z138" i="6" s="1"/>
  <c r="BM137" i="6"/>
  <c r="CS137" i="6"/>
  <c r="AO138" i="6" s="1"/>
  <c r="EB139" i="6"/>
  <c r="EF140" i="6"/>
  <c r="CN105" i="6"/>
  <c r="AJ106" i="6" s="1"/>
  <c r="CY105" i="6"/>
  <c r="AU106" i="6" s="1"/>
  <c r="T117" i="5"/>
  <c r="B114" i="10"/>
  <c r="EL111" i="6"/>
  <c r="DH112" i="6"/>
  <c r="DU111" i="6"/>
  <c r="FE111" i="6"/>
  <c r="EF111" i="6"/>
  <c r="EB111" i="6" s="1"/>
  <c r="CH19" i="6"/>
  <c r="AD20" i="6" s="1"/>
  <c r="CH20" i="6" s="1"/>
  <c r="AD21" i="6" s="1"/>
  <c r="BG19" i="6"/>
  <c r="CX11" i="6"/>
  <c r="AT12" i="6" s="1"/>
  <c r="CN11" i="6"/>
  <c r="AJ12" i="6" s="1"/>
  <c r="CW11" i="6"/>
  <c r="AS12" i="6" s="1"/>
  <c r="EJ12" i="6" s="1"/>
  <c r="BL12" i="6" s="1"/>
  <c r="CV11" i="6"/>
  <c r="AR12" i="6" s="1"/>
  <c r="CY11" i="6"/>
  <c r="AU12" i="6" s="1"/>
  <c r="EI12" i="6" s="1"/>
  <c r="N24" i="4"/>
  <c r="T67" i="5"/>
  <c r="EF61" i="6"/>
  <c r="EB61" i="6" s="1"/>
  <c r="B64" i="10"/>
  <c r="DU61" i="6"/>
  <c r="FE61" i="6"/>
  <c r="FE62" i="6" s="1"/>
  <c r="EL61" i="6"/>
  <c r="AA61" i="6"/>
  <c r="CE61" i="6" s="1"/>
  <c r="AA62" i="6" s="1"/>
  <c r="CE62" i="6" s="1"/>
  <c r="AA63" i="6" s="1"/>
  <c r="CE63" i="6" s="1"/>
  <c r="AA64" i="6" s="1"/>
  <c r="CE64" i="6" s="1"/>
  <c r="AA65" i="6" s="1"/>
  <c r="CE65" i="6" s="1"/>
  <c r="AA66" i="6" s="1"/>
  <c r="CE66" i="6" s="1"/>
  <c r="AA67" i="6" s="1"/>
  <c r="CE67" i="6" s="1"/>
  <c r="AA68" i="6" s="1"/>
  <c r="CE68" i="6" s="1"/>
  <c r="AA69" i="6" s="1"/>
  <c r="CE69" i="6" s="1"/>
  <c r="CF12" i="6"/>
  <c r="AB13" i="6" s="1"/>
  <c r="CK35" i="6"/>
  <c r="AG36" i="6" s="1"/>
  <c r="EB45" i="6"/>
  <c r="EF46" i="6"/>
  <c r="M14" i="4"/>
  <c r="BP8" i="6"/>
  <c r="CW71" i="6"/>
  <c r="AS72" i="6" s="1"/>
  <c r="CY71" i="6"/>
  <c r="AU72" i="6" s="1"/>
  <c r="CN71" i="6"/>
  <c r="AJ72" i="6" s="1"/>
  <c r="CK117" i="6"/>
  <c r="AG118" i="6" s="1"/>
  <c r="EN120" i="6"/>
  <c r="Q120" i="6" s="1"/>
  <c r="EO120" i="6" s="1"/>
  <c r="EM121" i="6" s="1"/>
  <c r="EH120" i="6"/>
  <c r="CD120" i="6"/>
  <c r="Z121" i="6" s="1"/>
  <c r="CC120" i="6"/>
  <c r="Y121" i="6" s="1"/>
  <c r="BG120" i="6"/>
  <c r="BM120" i="6"/>
  <c r="CK81" i="6"/>
  <c r="AG82" i="6" s="1"/>
  <c r="EG10" i="6"/>
  <c r="ED11" i="6" s="1"/>
  <c r="N47" i="4"/>
  <c r="K16" i="4"/>
  <c r="CK104" i="6"/>
  <c r="AG105" i="6" s="1"/>
  <c r="CB9" i="6"/>
  <c r="X10" i="6" s="1"/>
  <c r="BF9" i="6"/>
  <c r="BK9" i="6" s="1"/>
  <c r="BA9" i="6"/>
  <c r="CK11" i="6"/>
  <c r="AG12" i="6" s="1"/>
  <c r="CJ11" i="6"/>
  <c r="AF12" i="6" s="1"/>
  <c r="BB11" i="6"/>
  <c r="EH42" i="6"/>
  <c r="EK42" i="6" s="1"/>
  <c r="BO42" i="6" s="1"/>
  <c r="EN42" i="6"/>
  <c r="Q42" i="6" s="1"/>
  <c r="EO42" i="6" s="1"/>
  <c r="EM43" i="6" s="1"/>
  <c r="CC42" i="6"/>
  <c r="Y43" i="6" s="1"/>
  <c r="CS42" i="6"/>
  <c r="AO43" i="6" s="1"/>
  <c r="BE43" i="6" s="1"/>
  <c r="CD42" i="6"/>
  <c r="Z43" i="6" s="1"/>
  <c r="BM42" i="6"/>
  <c r="T104" i="5"/>
  <c r="EF98" i="6"/>
  <c r="EB98" i="6" s="1"/>
  <c r="DU98" i="6"/>
  <c r="FE98" i="6"/>
  <c r="B101" i="10"/>
  <c r="EL98" i="6"/>
  <c r="DH99" i="6"/>
  <c r="V11" i="6"/>
  <c r="BZ11" i="6" s="1"/>
  <c r="FD12" i="6"/>
  <c r="AY11" i="6"/>
  <c r="CM102" i="6"/>
  <c r="AI103" i="6" s="1"/>
  <c r="EN9" i="6"/>
  <c r="Q9" i="6" s="1"/>
  <c r="EO9" i="6" s="1"/>
  <c r="EM10" i="6" s="1"/>
  <c r="EH9" i="6"/>
  <c r="EK9" i="6" s="1"/>
  <c r="CD9" i="6"/>
  <c r="Z10" i="6" s="1"/>
  <c r="CS9" i="6"/>
  <c r="AO10" i="6" s="1"/>
  <c r="CC9" i="6"/>
  <c r="Y10" i="6" s="1"/>
  <c r="BM9" i="6"/>
  <c r="BN9" i="6" s="1"/>
  <c r="BX9" i="6"/>
  <c r="U15" i="4" s="1"/>
  <c r="FB97" i="6"/>
  <c r="FC97" i="6"/>
  <c r="AZ97" i="6" s="1"/>
  <c r="L103" i="4" s="1"/>
  <c r="CM20" i="6"/>
  <c r="AI21" i="6" s="1"/>
  <c r="AY12" i="6"/>
  <c r="CT12" i="6"/>
  <c r="AP13" i="6" s="1"/>
  <c r="CU12" i="6"/>
  <c r="AQ13" i="6" s="1"/>
  <c r="DO5" i="6"/>
  <c r="DK6" i="6" s="1"/>
  <c r="DQ5" i="6"/>
  <c r="DM6" i="6" s="1"/>
  <c r="DN5" i="6"/>
  <c r="DJ6" i="6" s="1"/>
  <c r="DP5" i="6"/>
  <c r="DL6" i="6" s="1"/>
  <c r="ES5" i="6"/>
  <c r="ER5" i="6"/>
  <c r="EV5" i="6"/>
  <c r="EW5" i="6" s="1"/>
  <c r="U11" i="5"/>
  <c r="CY100" i="6"/>
  <c r="AU101" i="6" s="1"/>
  <c r="T76" i="5"/>
  <c r="B73" i="10"/>
  <c r="EF70" i="6"/>
  <c r="EB70" i="6" s="1"/>
  <c r="FE70" i="6"/>
  <c r="DU70" i="6"/>
  <c r="EL70" i="6"/>
  <c r="DH71" i="6"/>
  <c r="AA70" i="6"/>
  <c r="CE70" i="6" s="1"/>
  <c r="EH60" i="6"/>
  <c r="EK60" i="6" s="1"/>
  <c r="CS60" i="6"/>
  <c r="AO61" i="6" s="1"/>
  <c r="CC60" i="6"/>
  <c r="Y61" i="6" s="1"/>
  <c r="CD60" i="6"/>
  <c r="Z61" i="6" s="1"/>
  <c r="EB10" i="6"/>
  <c r="EF11" i="6"/>
  <c r="EB11" i="6" s="1"/>
  <c r="U8" i="6"/>
  <c r="W8" i="6"/>
  <c r="CA8" i="6" s="1"/>
  <c r="CG13" i="6"/>
  <c r="AC14" i="6" s="1"/>
  <c r="FC14" i="6"/>
  <c r="AZ14" i="6" s="1"/>
  <c r="L20" i="4" s="1"/>
  <c r="FB14" i="6"/>
  <c r="EH61" i="6" l="1"/>
  <c r="EK61" i="6" s="1"/>
  <c r="CC61" i="6"/>
  <c r="Y62" i="6" s="1"/>
  <c r="CS61" i="6"/>
  <c r="AO62" i="6" s="1"/>
  <c r="CD61" i="6"/>
  <c r="Z62" i="6" s="1"/>
  <c r="EC15" i="6"/>
  <c r="AV15" i="6" s="1"/>
  <c r="BI15" i="6" s="1"/>
  <c r="EC10" i="6"/>
  <c r="AV10" i="6" s="1"/>
  <c r="EC16" i="6"/>
  <c r="AV16" i="6" s="1"/>
  <c r="BI16" i="6" s="1"/>
  <c r="EC13" i="6"/>
  <c r="AV13" i="6" s="1"/>
  <c r="CM103" i="6"/>
  <c r="AI104" i="6" s="1"/>
  <c r="CK105" i="6"/>
  <c r="AG106" i="6" s="1"/>
  <c r="CY72" i="6"/>
  <c r="AU73" i="6" s="1"/>
  <c r="CN72" i="6"/>
  <c r="AJ73" i="6" s="1"/>
  <c r="CW72" i="6"/>
  <c r="AS73" i="6" s="1"/>
  <c r="BM61" i="6"/>
  <c r="CH21" i="6"/>
  <c r="AD22" i="6" s="1"/>
  <c r="BG21" i="6"/>
  <c r="CM72" i="6"/>
  <c r="AI73" i="6" s="1"/>
  <c r="K17" i="4"/>
  <c r="EN43" i="6"/>
  <c r="Q43" i="6" s="1"/>
  <c r="EO43" i="6" s="1"/>
  <c r="EM44" i="6" s="1"/>
  <c r="EH43" i="6"/>
  <c r="EK43" i="6" s="1"/>
  <c r="BO43" i="6" s="1"/>
  <c r="CC43" i="6"/>
  <c r="Y44" i="6" s="1"/>
  <c r="CS43" i="6"/>
  <c r="AO44" i="6" s="1"/>
  <c r="BE44" i="6" s="1"/>
  <c r="BG43" i="6"/>
  <c r="CD43" i="6"/>
  <c r="Z44" i="6" s="1"/>
  <c r="BM43" i="6"/>
  <c r="N126" i="4"/>
  <c r="EB140" i="6"/>
  <c r="EF141" i="6"/>
  <c r="CY101" i="6"/>
  <c r="AU102" i="6" s="1"/>
  <c r="CM21" i="6"/>
  <c r="AI22" i="6" s="1"/>
  <c r="EH121" i="6"/>
  <c r="EN121" i="6"/>
  <c r="Q121" i="6" s="1"/>
  <c r="EO121" i="6" s="1"/>
  <c r="EM122" i="6" s="1"/>
  <c r="CC121" i="6"/>
  <c r="Y122" i="6" s="1"/>
  <c r="CD121" i="6"/>
  <c r="Z122" i="6" s="1"/>
  <c r="BG121" i="6"/>
  <c r="BM121" i="6"/>
  <c r="CN20" i="6"/>
  <c r="AJ21" i="6" s="1"/>
  <c r="W11" i="5"/>
  <c r="DW5" i="6"/>
  <c r="BU5" i="6" s="1"/>
  <c r="DX5" i="6"/>
  <c r="BV5" i="6" s="1"/>
  <c r="P11" i="4" s="1"/>
  <c r="F11" i="5" s="1"/>
  <c r="FB98" i="6"/>
  <c r="FC98" i="6"/>
  <c r="AZ98" i="6" s="1"/>
  <c r="L104" i="4" s="1"/>
  <c r="CG14" i="6"/>
  <c r="AC15" i="6" s="1"/>
  <c r="DI6" i="6"/>
  <c r="EN10" i="6"/>
  <c r="Q10" i="6" s="1"/>
  <c r="EO10" i="6" s="1"/>
  <c r="EM11" i="6" s="1"/>
  <c r="EH10" i="6"/>
  <c r="EK10" i="6" s="1"/>
  <c r="CS10" i="6"/>
  <c r="AO11" i="6" s="1"/>
  <c r="CD10" i="6"/>
  <c r="Z11" i="6" s="1"/>
  <c r="CC10" i="6"/>
  <c r="Y11" i="6" s="1"/>
  <c r="BM10" i="6"/>
  <c r="BN10" i="6" s="1"/>
  <c r="BX10" i="6"/>
  <c r="U16" i="4" s="1"/>
  <c r="EB46" i="6"/>
  <c r="EF47" i="6"/>
  <c r="CW12" i="6"/>
  <c r="AS13" i="6" s="1"/>
  <c r="CY12" i="6"/>
  <c r="AU13" i="6" s="1"/>
  <c r="CX12" i="6"/>
  <c r="AT13" i="6" s="1"/>
  <c r="CV12" i="6"/>
  <c r="AR13" i="6" s="1"/>
  <c r="V11" i="5"/>
  <c r="DV5" i="6"/>
  <c r="FD13" i="6"/>
  <c r="DU99" i="6"/>
  <c r="T105" i="5"/>
  <c r="B102" i="10"/>
  <c r="EL99" i="6"/>
  <c r="EF99" i="6"/>
  <c r="EB99" i="6" s="1"/>
  <c r="FE99" i="6"/>
  <c r="FE100" i="6" s="1"/>
  <c r="FE101" i="6" s="1"/>
  <c r="FE102" i="6" s="1"/>
  <c r="FE103" i="6" s="1"/>
  <c r="FE104" i="6" s="1"/>
  <c r="CK12" i="6"/>
  <c r="AG13" i="6" s="1"/>
  <c r="CJ12" i="6"/>
  <c r="AF13" i="6" s="1"/>
  <c r="BB12" i="6"/>
  <c r="EG11" i="6"/>
  <c r="ED12" i="6" s="1"/>
  <c r="EG12" i="6" s="1"/>
  <c r="ED13" i="6" s="1"/>
  <c r="EG13" i="6" s="1"/>
  <c r="ED14" i="6" s="1"/>
  <c r="EG14" i="6" s="1"/>
  <c r="ED15" i="6" s="1"/>
  <c r="EG15" i="6" s="1"/>
  <c r="ED16" i="6" s="1"/>
  <c r="EG16" i="6" s="1"/>
  <c r="ED17" i="6" s="1"/>
  <c r="K18" i="4"/>
  <c r="DZ12" i="6"/>
  <c r="DY13" i="6" s="1"/>
  <c r="DZ13" i="6" s="1"/>
  <c r="DY14" i="6" s="1"/>
  <c r="DZ14" i="6" s="1"/>
  <c r="DY15" i="6" s="1"/>
  <c r="DZ15" i="6" s="1"/>
  <c r="DY16" i="6" s="1"/>
  <c r="DZ16" i="6" s="1"/>
  <c r="DY17" i="6" s="1"/>
  <c r="DZ17" i="6" s="1"/>
  <c r="DY18" i="6" s="1"/>
  <c r="DZ18" i="6" s="1"/>
  <c r="DY19" i="6" s="1"/>
  <c r="DZ19" i="6" s="1"/>
  <c r="DY20" i="6" s="1"/>
  <c r="DZ20" i="6" s="1"/>
  <c r="DY21" i="6" s="1"/>
  <c r="DZ21" i="6" s="1"/>
  <c r="DY22" i="6" s="1"/>
  <c r="DZ22" i="6" s="1"/>
  <c r="DY23" i="6" s="1"/>
  <c r="DZ23" i="6" s="1"/>
  <c r="DY24" i="6" s="1"/>
  <c r="DZ24" i="6" s="1"/>
  <c r="DY25" i="6" s="1"/>
  <c r="DZ25" i="6" s="1"/>
  <c r="DY26" i="6" s="1"/>
  <c r="DZ26" i="6" s="1"/>
  <c r="DY27" i="6" s="1"/>
  <c r="DZ27" i="6" s="1"/>
  <c r="DY28" i="6" s="1"/>
  <c r="DZ28" i="6" s="1"/>
  <c r="DY29" i="6" s="1"/>
  <c r="DZ29" i="6" s="1"/>
  <c r="DY30" i="6" s="1"/>
  <c r="DZ30" i="6" s="1"/>
  <c r="DY31" i="6" s="1"/>
  <c r="DZ31" i="6" s="1"/>
  <c r="DY32" i="6" s="1"/>
  <c r="DZ32" i="6" s="1"/>
  <c r="DY33" i="6" s="1"/>
  <c r="DZ33" i="6" s="1"/>
  <c r="DY34" i="6" s="1"/>
  <c r="DZ34" i="6" s="1"/>
  <c r="DY35" i="6" s="1"/>
  <c r="DZ35" i="6" s="1"/>
  <c r="DY36" i="6" s="1"/>
  <c r="DZ36" i="6" s="1"/>
  <c r="DY37" i="6" s="1"/>
  <c r="DZ37" i="6" s="1"/>
  <c r="DY38" i="6" s="1"/>
  <c r="DZ38" i="6" s="1"/>
  <c r="DY39" i="6" s="1"/>
  <c r="DZ39" i="6" s="1"/>
  <c r="DY40" i="6" s="1"/>
  <c r="DZ40" i="6" s="1"/>
  <c r="DY41" i="6" s="1"/>
  <c r="DZ41" i="6" s="1"/>
  <c r="DY42" i="6" s="1"/>
  <c r="DZ42" i="6" s="1"/>
  <c r="DY43" i="6" s="1"/>
  <c r="DZ43" i="6" s="1"/>
  <c r="DY44" i="6" s="1"/>
  <c r="DZ44" i="6" s="1"/>
  <c r="DY45" i="6" s="1"/>
  <c r="DZ45" i="6" s="1"/>
  <c r="DY46" i="6" s="1"/>
  <c r="DZ46" i="6" s="1"/>
  <c r="DY47" i="6" s="1"/>
  <c r="DZ47" i="6" s="1"/>
  <c r="DY48" i="6" s="1"/>
  <c r="DZ48" i="6" s="1"/>
  <c r="DY49" i="6" s="1"/>
  <c r="DZ49" i="6" s="1"/>
  <c r="DY50" i="6" s="1"/>
  <c r="DZ50" i="6" s="1"/>
  <c r="DY51" i="6" s="1"/>
  <c r="DZ51" i="6" s="1"/>
  <c r="DY52" i="6" s="1"/>
  <c r="DZ52" i="6" s="1"/>
  <c r="DY53" i="6" s="1"/>
  <c r="DZ53" i="6" s="1"/>
  <c r="DY54" i="6" s="1"/>
  <c r="DZ54" i="6" s="1"/>
  <c r="DY55" i="6" s="1"/>
  <c r="DZ55" i="6" s="1"/>
  <c r="DY56" i="6" s="1"/>
  <c r="DZ56" i="6" s="1"/>
  <c r="DY57" i="6" s="1"/>
  <c r="DZ57" i="6" s="1"/>
  <c r="DY58" i="6" s="1"/>
  <c r="DZ58" i="6" s="1"/>
  <c r="DY59" i="6" s="1"/>
  <c r="DZ59" i="6" s="1"/>
  <c r="DY60" i="6" s="1"/>
  <c r="DZ60" i="6" s="1"/>
  <c r="DY61" i="6" s="1"/>
  <c r="DZ61" i="6" s="1"/>
  <c r="DY62" i="6" s="1"/>
  <c r="DZ62" i="6" s="1"/>
  <c r="DY63" i="6" s="1"/>
  <c r="CF13" i="6"/>
  <c r="AB14" i="6" s="1"/>
  <c r="FB15" i="6"/>
  <c r="FC15" i="6"/>
  <c r="AZ15" i="6" s="1"/>
  <c r="L21" i="4" s="1"/>
  <c r="T77" i="5"/>
  <c r="DU71" i="6"/>
  <c r="B74" i="10"/>
  <c r="EL71" i="6"/>
  <c r="FE71" i="6"/>
  <c r="AA71" i="6"/>
  <c r="CE71" i="6" s="1"/>
  <c r="EF71" i="6"/>
  <c r="EB71" i="6" s="1"/>
  <c r="DH72" i="6"/>
  <c r="T14" i="4"/>
  <c r="BY8" i="6"/>
  <c r="EC14" i="6"/>
  <c r="AV14" i="6" s="1"/>
  <c r="BI14" i="6" s="1"/>
  <c r="EC11" i="6"/>
  <c r="AV11" i="6" s="1"/>
  <c r="EC12" i="6"/>
  <c r="AV12" i="6" s="1"/>
  <c r="CT13" i="6"/>
  <c r="AP14" i="6" s="1"/>
  <c r="CU13" i="6"/>
  <c r="AQ14" i="6" s="1"/>
  <c r="M15" i="4"/>
  <c r="BP9" i="6"/>
  <c r="CK118" i="6"/>
  <c r="AG119" i="6" s="1"/>
  <c r="DU112" i="6"/>
  <c r="T118" i="5"/>
  <c r="EL112" i="6"/>
  <c r="B115" i="10"/>
  <c r="FE112" i="6"/>
  <c r="EF112" i="6"/>
  <c r="EB112" i="6" s="1"/>
  <c r="EF113" i="6"/>
  <c r="EH138" i="6"/>
  <c r="EK138" i="6" s="1"/>
  <c r="CS138" i="6"/>
  <c r="AO139" i="6" s="1"/>
  <c r="CC138" i="6"/>
  <c r="Y139" i="6" s="1"/>
  <c r="CD138" i="6"/>
  <c r="Z139" i="6" s="1"/>
  <c r="BM138" i="6"/>
  <c r="CB10" i="6"/>
  <c r="X11" i="6" s="1"/>
  <c r="BF10" i="6"/>
  <c r="BK10" i="6" s="1"/>
  <c r="BA10" i="6"/>
  <c r="CK82" i="6"/>
  <c r="AG83" i="6" s="1"/>
  <c r="CK36" i="6"/>
  <c r="AG37" i="6" s="1"/>
  <c r="N25" i="4"/>
  <c r="CN106" i="6"/>
  <c r="AJ107" i="6" s="1"/>
  <c r="CW106" i="6"/>
  <c r="AS107" i="6" s="1"/>
  <c r="CY106" i="6"/>
  <c r="AU107" i="6" s="1"/>
  <c r="BG106" i="6"/>
  <c r="FD14" i="6" l="1"/>
  <c r="AY13" i="6"/>
  <c r="CN21" i="6"/>
  <c r="AJ22" i="6" s="1"/>
  <c r="CY102" i="6"/>
  <c r="AU103" i="6" s="1"/>
  <c r="EN44" i="6"/>
  <c r="Q44" i="6" s="1"/>
  <c r="EO44" i="6" s="1"/>
  <c r="EM45" i="6" s="1"/>
  <c r="EH44" i="6"/>
  <c r="CS44" i="6"/>
  <c r="AO45" i="6" s="1"/>
  <c r="BE45" i="6" s="1"/>
  <c r="CD44" i="6"/>
  <c r="Z45" i="6" s="1"/>
  <c r="CC44" i="6"/>
  <c r="Y45" i="6" s="1"/>
  <c r="BG44" i="6"/>
  <c r="BM44" i="6"/>
  <c r="CY107" i="6"/>
  <c r="AU108" i="6" s="1"/>
  <c r="CW107" i="6"/>
  <c r="AS108" i="6" s="1"/>
  <c r="CN107" i="6"/>
  <c r="AJ108" i="6" s="1"/>
  <c r="CB11" i="6"/>
  <c r="X12" i="6" s="1"/>
  <c r="BF11" i="6"/>
  <c r="BK11" i="6" s="1"/>
  <c r="BA11" i="6"/>
  <c r="EF114" i="6"/>
  <c r="EB114" i="6" s="1"/>
  <c r="EB113" i="6"/>
  <c r="EF115" i="6"/>
  <c r="EB115" i="6" s="1"/>
  <c r="CG15" i="6"/>
  <c r="AC16" i="6" s="1"/>
  <c r="CM22" i="6"/>
  <c r="AI23" i="6" s="1"/>
  <c r="EK44" i="6"/>
  <c r="BO44" i="6" s="1"/>
  <c r="CH22" i="6"/>
  <c r="AD23" i="6" s="1"/>
  <c r="CH23" i="6" s="1"/>
  <c r="AD24" i="6" s="1"/>
  <c r="CH24" i="6" s="1"/>
  <c r="AD25" i="6" s="1"/>
  <c r="FA22" i="6"/>
  <c r="FA23" i="6" s="1"/>
  <c r="FA24" i="6" s="1"/>
  <c r="FA25" i="6" s="1"/>
  <c r="FA26" i="6" s="1"/>
  <c r="FA27" i="6" s="1"/>
  <c r="FA28" i="6" s="1"/>
  <c r="FA29" i="6" s="1"/>
  <c r="FA30" i="6" s="1"/>
  <c r="FA31" i="6" s="1"/>
  <c r="FA32" i="6" s="1"/>
  <c r="FA33" i="6" s="1"/>
  <c r="FA34" i="6" s="1"/>
  <c r="CK119" i="6"/>
  <c r="AG120" i="6" s="1"/>
  <c r="CK37" i="6"/>
  <c r="AG38" i="6" s="1"/>
  <c r="U9" i="6"/>
  <c r="W9" i="6"/>
  <c r="CA9" i="6" s="1"/>
  <c r="EH11" i="6"/>
  <c r="EK11" i="6" s="1"/>
  <c r="EN11" i="6"/>
  <c r="Q11" i="6" s="1"/>
  <c r="EO11" i="6" s="1"/>
  <c r="EM12" i="6" s="1"/>
  <c r="CC11" i="6"/>
  <c r="Y12" i="6" s="1"/>
  <c r="CS11" i="6"/>
  <c r="AO12" i="6" s="1"/>
  <c r="CD11" i="6"/>
  <c r="Z12" i="6" s="1"/>
  <c r="BM11" i="6"/>
  <c r="BN11" i="6" s="1"/>
  <c r="BX11" i="6"/>
  <c r="U17" i="4" s="1"/>
  <c r="CF14" i="6"/>
  <c r="AB15" i="6" s="1"/>
  <c r="EH139" i="6"/>
  <c r="EK139" i="6" s="1"/>
  <c r="BM139" i="6"/>
  <c r="CD139" i="6"/>
  <c r="Z140" i="6" s="1"/>
  <c r="CC139" i="6"/>
  <c r="Y140" i="6" s="1"/>
  <c r="CS139" i="6"/>
  <c r="AO140" i="6" s="1"/>
  <c r="EB141" i="6"/>
  <c r="EF142" i="6"/>
  <c r="CT14" i="6"/>
  <c r="AP15" i="6" s="1"/>
  <c r="CU14" i="6"/>
  <c r="AQ15" i="6" s="1"/>
  <c r="CK13" i="6"/>
  <c r="AG14" i="6" s="1"/>
  <c r="CJ13" i="6"/>
  <c r="AF14" i="6" s="1"/>
  <c r="EF17" i="6"/>
  <c r="EG17" i="6" s="1"/>
  <c r="ED18" i="6" s="1"/>
  <c r="N127" i="4"/>
  <c r="CN73" i="6"/>
  <c r="AJ74" i="6" s="1"/>
  <c r="CY73" i="6"/>
  <c r="AU74" i="6" s="1"/>
  <c r="CW73" i="6"/>
  <c r="AS74" i="6" s="1"/>
  <c r="FC99" i="6"/>
  <c r="AZ99" i="6" s="1"/>
  <c r="L105" i="4" s="1"/>
  <c r="FB99" i="6"/>
  <c r="EH62" i="6"/>
  <c r="EK62" i="6" s="1"/>
  <c r="CS62" i="6"/>
  <c r="AO63" i="6" s="1"/>
  <c r="CD62" i="6"/>
  <c r="Z63" i="6" s="1"/>
  <c r="CC62" i="6"/>
  <c r="Y63" i="6" s="1"/>
  <c r="BM62" i="6"/>
  <c r="FB16" i="6"/>
  <c r="FC16" i="6"/>
  <c r="AZ16" i="6" s="1"/>
  <c r="L22" i="4" s="1"/>
  <c r="T78" i="5"/>
  <c r="B75" i="10"/>
  <c r="FE72" i="6"/>
  <c r="EL72" i="6"/>
  <c r="AA72" i="6"/>
  <c r="CE72" i="6" s="1"/>
  <c r="DU72" i="6"/>
  <c r="DH73" i="6"/>
  <c r="EF72" i="6"/>
  <c r="EB72" i="6" s="1"/>
  <c r="N112" i="4"/>
  <c r="CK83" i="6"/>
  <c r="AG84" i="6" s="1"/>
  <c r="M16" i="4"/>
  <c r="BP10" i="6"/>
  <c r="EH122" i="6"/>
  <c r="EN122" i="6"/>
  <c r="Q122" i="6" s="1"/>
  <c r="EO122" i="6" s="1"/>
  <c r="EM123" i="6" s="1"/>
  <c r="CC122" i="6"/>
  <c r="Y123" i="6" s="1"/>
  <c r="CD122" i="6"/>
  <c r="Z123" i="6" s="1"/>
  <c r="BG122" i="6"/>
  <c r="BM122" i="6"/>
  <c r="BW5" i="6"/>
  <c r="EU5" i="6" s="1"/>
  <c r="ET5" i="6" s="1"/>
  <c r="EP6" i="6" s="1"/>
  <c r="O11" i="4"/>
  <c r="E11" i="5" s="1"/>
  <c r="CM73" i="6"/>
  <c r="AI74" i="6" s="1"/>
  <c r="EI13" i="6"/>
  <c r="BB13" i="6" s="1"/>
  <c r="CX13" i="6"/>
  <c r="AT14" i="6" s="1"/>
  <c r="CY13" i="6"/>
  <c r="AU14" i="6" s="1"/>
  <c r="CK106" i="6"/>
  <c r="AG107" i="6" s="1"/>
  <c r="EJ13" i="6"/>
  <c r="BL13" i="6" s="1"/>
  <c r="CW13" i="6"/>
  <c r="AS14" i="6" s="1"/>
  <c r="CV13" i="6"/>
  <c r="AR14" i="6" s="1"/>
  <c r="N27" i="4"/>
  <c r="CM104" i="6"/>
  <c r="AI105" i="6" s="1"/>
  <c r="EB47" i="6"/>
  <c r="EF48" i="6"/>
  <c r="DR6" i="6"/>
  <c r="BD6" i="6"/>
  <c r="BC6" i="6"/>
  <c r="BO6" i="6" s="1"/>
  <c r="BQ6" i="6" s="1"/>
  <c r="N49" i="4"/>
  <c r="EB142" i="6" l="1"/>
  <c r="EF143" i="6"/>
  <c r="CK120" i="6"/>
  <c r="AG121" i="6" s="1"/>
  <c r="N50" i="4"/>
  <c r="EH45" i="6"/>
  <c r="EN45" i="6"/>
  <c r="Q45" i="6" s="1"/>
  <c r="EO45" i="6" s="1"/>
  <c r="EM46" i="6" s="1"/>
  <c r="CS45" i="6"/>
  <c r="AO46" i="6" s="1"/>
  <c r="BG45" i="6"/>
  <c r="CD45" i="6"/>
  <c r="Z46" i="6" s="1"/>
  <c r="CC45" i="6"/>
  <c r="Y46" i="6" s="1"/>
  <c r="BM45" i="6"/>
  <c r="CN22" i="6"/>
  <c r="AJ23" i="6" s="1"/>
  <c r="CY22" i="6"/>
  <c r="AU23" i="6" s="1"/>
  <c r="EK45" i="6"/>
  <c r="BO45" i="6" s="1"/>
  <c r="CM74" i="6"/>
  <c r="AI75" i="6" s="1"/>
  <c r="FB100" i="6"/>
  <c r="FC100" i="6"/>
  <c r="AZ100" i="6" s="1"/>
  <c r="L106" i="4" s="1"/>
  <c r="CM23" i="6"/>
  <c r="AI24" i="6" s="1"/>
  <c r="CB12" i="6"/>
  <c r="X13" i="6" s="1"/>
  <c r="BF12" i="6"/>
  <c r="BK12" i="6" s="1"/>
  <c r="BA12" i="6"/>
  <c r="FD15" i="6"/>
  <c r="AY14" i="6"/>
  <c r="EB48" i="6"/>
  <c r="EF49" i="6"/>
  <c r="CK84" i="6"/>
  <c r="AG85" i="6" s="1"/>
  <c r="CC123" i="6"/>
  <c r="Y124" i="6" s="1"/>
  <c r="EN123" i="6"/>
  <c r="Q123" i="6" s="1"/>
  <c r="EO123" i="6" s="1"/>
  <c r="EM124" i="6" s="1"/>
  <c r="EH123" i="6"/>
  <c r="EK123" i="6" s="1"/>
  <c r="BO123" i="6" s="1"/>
  <c r="CD123" i="6"/>
  <c r="Z124" i="6" s="1"/>
  <c r="BM123" i="6"/>
  <c r="K19" i="4"/>
  <c r="CW108" i="6"/>
  <c r="AS109" i="6" s="1"/>
  <c r="CN108" i="6"/>
  <c r="AJ109" i="6" s="1"/>
  <c r="CY108" i="6"/>
  <c r="AU109" i="6" s="1"/>
  <c r="T15" i="4"/>
  <c r="BY9" i="6"/>
  <c r="EJ14" i="6"/>
  <c r="BL14" i="6" s="1"/>
  <c r="CW14" i="6"/>
  <c r="AS15" i="6" s="1"/>
  <c r="CV14" i="6"/>
  <c r="AR15" i="6" s="1"/>
  <c r="CK14" i="6"/>
  <c r="AG15" i="6" s="1"/>
  <c r="CJ14" i="6"/>
  <c r="AF15" i="6" s="1"/>
  <c r="CF15" i="6"/>
  <c r="AB16" i="6" s="1"/>
  <c r="CY103" i="6"/>
  <c r="AU104" i="6" s="1"/>
  <c r="ET6" i="6"/>
  <c r="EP7" i="6" s="1"/>
  <c r="EQ6" i="6"/>
  <c r="T79" i="5"/>
  <c r="DU73" i="6"/>
  <c r="B76" i="10"/>
  <c r="EF73" i="6"/>
  <c r="EB73" i="6" s="1"/>
  <c r="FE73" i="6"/>
  <c r="FE74" i="6" s="1"/>
  <c r="FE75" i="6" s="1"/>
  <c r="FE76" i="6" s="1"/>
  <c r="FE77" i="6" s="1"/>
  <c r="FE78" i="6" s="1"/>
  <c r="EL73" i="6"/>
  <c r="AA73" i="6"/>
  <c r="CE73" i="6" s="1"/>
  <c r="AA74" i="6" s="1"/>
  <c r="CE74" i="6" s="1"/>
  <c r="AA75" i="6" s="1"/>
  <c r="CE75" i="6" s="1"/>
  <c r="AA76" i="6" s="1"/>
  <c r="CE76" i="6" s="1"/>
  <c r="AA77" i="6" s="1"/>
  <c r="CE77" i="6" s="1"/>
  <c r="AA78" i="6" s="1"/>
  <c r="CE78" i="6" s="1"/>
  <c r="AA79" i="6" s="1"/>
  <c r="CE79" i="6" s="1"/>
  <c r="AA80" i="6" s="1"/>
  <c r="CE80" i="6" s="1"/>
  <c r="AA81" i="6" s="1"/>
  <c r="CE81" i="6" s="1"/>
  <c r="AA82" i="6" s="1"/>
  <c r="CE82" i="6" s="1"/>
  <c r="AA83" i="6" s="1"/>
  <c r="CE83" i="6" s="1"/>
  <c r="AA84" i="6" s="1"/>
  <c r="CE84" i="6" s="1"/>
  <c r="AA85" i="6" s="1"/>
  <c r="CE85" i="6" s="1"/>
  <c r="AA86" i="6" s="1"/>
  <c r="CE86" i="6" s="1"/>
  <c r="AA87" i="6" s="1"/>
  <c r="CE87" i="6" s="1"/>
  <c r="AA88" i="6" s="1"/>
  <c r="CE88" i="6" s="1"/>
  <c r="AA89" i="6" s="1"/>
  <c r="CE89" i="6" s="1"/>
  <c r="AA90" i="6" s="1"/>
  <c r="CE90" i="6" s="1"/>
  <c r="AA91" i="6" s="1"/>
  <c r="CE91" i="6" s="1"/>
  <c r="AA92" i="6" s="1"/>
  <c r="CE92" i="6" s="1"/>
  <c r="AA93" i="6" s="1"/>
  <c r="CE93" i="6" s="1"/>
  <c r="AA94" i="6" s="1"/>
  <c r="CE94" i="6" s="1"/>
  <c r="AA95" i="6" s="1"/>
  <c r="CE95" i="6" s="1"/>
  <c r="AA96" i="6" s="1"/>
  <c r="CE96" i="6" s="1"/>
  <c r="AA97" i="6" s="1"/>
  <c r="CE97" i="6" s="1"/>
  <c r="AA98" i="6" s="1"/>
  <c r="CE98" i="6" s="1"/>
  <c r="AA99" i="6" s="1"/>
  <c r="CE99" i="6" s="1"/>
  <c r="AA100" i="6" s="1"/>
  <c r="CE100" i="6" s="1"/>
  <c r="AA101" i="6" s="1"/>
  <c r="CE101" i="6" s="1"/>
  <c r="AA102" i="6" s="1"/>
  <c r="CE102" i="6" s="1"/>
  <c r="AA103" i="6" s="1"/>
  <c r="CE103" i="6" s="1"/>
  <c r="AA104" i="6" s="1"/>
  <c r="CE104" i="6" s="1"/>
  <c r="AA105" i="6" s="1"/>
  <c r="CE105" i="6" s="1"/>
  <c r="AA106" i="6" s="1"/>
  <c r="CE106" i="6" s="1"/>
  <c r="AA107" i="6" s="1"/>
  <c r="CE107" i="6" s="1"/>
  <c r="AA108" i="6" s="1"/>
  <c r="CE108" i="6" s="1"/>
  <c r="AA109" i="6" s="1"/>
  <c r="CE109" i="6" s="1"/>
  <c r="AA110" i="6" s="1"/>
  <c r="CE110" i="6" s="1"/>
  <c r="AA111" i="6" s="1"/>
  <c r="CE111" i="6" s="1"/>
  <c r="AA112" i="6" s="1"/>
  <c r="CE112" i="6" s="1"/>
  <c r="BR6" i="6"/>
  <c r="FB17" i="6"/>
  <c r="FC17" i="6"/>
  <c r="AZ17" i="6" s="1"/>
  <c r="L23" i="4" s="1"/>
  <c r="CW74" i="6"/>
  <c r="AS75" i="6" s="1"/>
  <c r="CY74" i="6"/>
  <c r="AU75" i="6" s="1"/>
  <c r="CN74" i="6"/>
  <c r="AJ75" i="6" s="1"/>
  <c r="CT15" i="6"/>
  <c r="AP16" i="6" s="1"/>
  <c r="CU15" i="6"/>
  <c r="AQ16" i="6" s="1"/>
  <c r="CG16" i="6"/>
  <c r="AC17" i="6" s="1"/>
  <c r="CM105" i="6"/>
  <c r="AI106" i="6" s="1"/>
  <c r="EI14" i="6"/>
  <c r="BB14" i="6" s="1"/>
  <c r="CY14" i="6"/>
  <c r="AU15" i="6" s="1"/>
  <c r="CX14" i="6"/>
  <c r="AT15" i="6" s="1"/>
  <c r="EB17" i="6"/>
  <c r="EF18" i="6"/>
  <c r="EG18" i="6" s="1"/>
  <c r="ED19" i="6" s="1"/>
  <c r="EH12" i="6"/>
  <c r="EK12" i="6" s="1"/>
  <c r="EN12" i="6"/>
  <c r="Q12" i="6" s="1"/>
  <c r="EO12" i="6" s="1"/>
  <c r="EM13" i="6" s="1"/>
  <c r="CS12" i="6"/>
  <c r="AO13" i="6" s="1"/>
  <c r="CD12" i="6"/>
  <c r="Z13" i="6" s="1"/>
  <c r="CC12" i="6"/>
  <c r="Y13" i="6" s="1"/>
  <c r="BM12" i="6"/>
  <c r="BN12" i="6" s="1"/>
  <c r="BX12" i="6"/>
  <c r="U18" i="4" s="1"/>
  <c r="M17" i="4"/>
  <c r="BP11" i="6"/>
  <c r="N128" i="4"/>
  <c r="CK38" i="6"/>
  <c r="AG39" i="6" s="1"/>
  <c r="EF116" i="6"/>
  <c r="EH140" i="6"/>
  <c r="EK140" i="6" s="1"/>
  <c r="CC140" i="6"/>
  <c r="Y141" i="6" s="1"/>
  <c r="CD140" i="6"/>
  <c r="Z141" i="6" s="1"/>
  <c r="CS140" i="6"/>
  <c r="AO141" i="6" s="1"/>
  <c r="BM140" i="6"/>
  <c r="CH25" i="6"/>
  <c r="AD26" i="6" s="1"/>
  <c r="CH26" i="6" s="1"/>
  <c r="AD27" i="6" s="1"/>
  <c r="CH27" i="6" s="1"/>
  <c r="AD28" i="6" s="1"/>
  <c r="CH28" i="6" s="1"/>
  <c r="AD29" i="6" s="1"/>
  <c r="CH29" i="6" s="1"/>
  <c r="AD30" i="6" s="1"/>
  <c r="CH30" i="6" s="1"/>
  <c r="AD31" i="6" s="1"/>
  <c r="CJ25" i="6"/>
  <c r="AF26" i="6" s="1"/>
  <c r="BG25" i="6"/>
  <c r="CI25" i="6"/>
  <c r="AE26" i="6" s="1"/>
  <c r="CI26" i="6" s="1"/>
  <c r="AE27" i="6" s="1"/>
  <c r="CI27" i="6" s="1"/>
  <c r="AE28" i="6" s="1"/>
  <c r="CI28" i="6" s="1"/>
  <c r="AE29" i="6" s="1"/>
  <c r="CI29" i="6" s="1"/>
  <c r="AE30" i="6" s="1"/>
  <c r="CI30" i="6" s="1"/>
  <c r="AE31" i="6" s="1"/>
  <c r="CI31" i="6" s="1"/>
  <c r="AE32" i="6" s="1"/>
  <c r="CI32" i="6" s="1"/>
  <c r="AE33" i="6" s="1"/>
  <c r="CI33" i="6" s="1"/>
  <c r="AE34" i="6" s="1"/>
  <c r="CI34" i="6" s="1"/>
  <c r="DQ6" i="6"/>
  <c r="DP6" i="6"/>
  <c r="DN6" i="6"/>
  <c r="DO6" i="6"/>
  <c r="EH63" i="6"/>
  <c r="EK63" i="6" s="1"/>
  <c r="CS63" i="6"/>
  <c r="AO64" i="6" s="1"/>
  <c r="CD63" i="6"/>
  <c r="Z64" i="6" s="1"/>
  <c r="CC63" i="6"/>
  <c r="Y64" i="6" s="1"/>
  <c r="BM63" i="6"/>
  <c r="EO124" i="6" l="1"/>
  <c r="EM125" i="6" s="1"/>
  <c r="EB49" i="6"/>
  <c r="EF50" i="6"/>
  <c r="CY104" i="6"/>
  <c r="AU105" i="6" s="1"/>
  <c r="EJ15" i="6"/>
  <c r="BL15" i="6" s="1"/>
  <c r="CW15" i="6"/>
  <c r="AS16" i="6" s="1"/>
  <c r="CV15" i="6"/>
  <c r="AR16" i="6" s="1"/>
  <c r="FC101" i="6"/>
  <c r="AZ101" i="6" s="1"/>
  <c r="L107" i="4" s="1"/>
  <c r="FB101" i="6"/>
  <c r="K20" i="4"/>
  <c r="CM75" i="6"/>
  <c r="AI76" i="6" s="1"/>
  <c r="EN46" i="6"/>
  <c r="Q46" i="6" s="1"/>
  <c r="EO46" i="6" s="1"/>
  <c r="EM47" i="6" s="1"/>
  <c r="EH46" i="6"/>
  <c r="EK46" i="6" s="1"/>
  <c r="BO46" i="6" s="1"/>
  <c r="CS46" i="6"/>
  <c r="AO47" i="6" s="1"/>
  <c r="BE47" i="6" s="1"/>
  <c r="CD46" i="6"/>
  <c r="Z47" i="6" s="1"/>
  <c r="CC46" i="6"/>
  <c r="Y47" i="6" s="1"/>
  <c r="BM46" i="6"/>
  <c r="CJ26" i="6"/>
  <c r="AF27" i="6" s="1"/>
  <c r="CT16" i="6"/>
  <c r="AP17" i="6" s="1"/>
  <c r="CU16" i="6"/>
  <c r="AQ17" i="6" s="1"/>
  <c r="FD16" i="6"/>
  <c r="AY15" i="6"/>
  <c r="CK121" i="6"/>
  <c r="AG122" i="6" s="1"/>
  <c r="EH141" i="6"/>
  <c r="EK141" i="6" s="1"/>
  <c r="CS141" i="6"/>
  <c r="AO142" i="6" s="1"/>
  <c r="CD141" i="6"/>
  <c r="Z142" i="6" s="1"/>
  <c r="CC141" i="6"/>
  <c r="Y142" i="6" s="1"/>
  <c r="BM141" i="6"/>
  <c r="CM106" i="6"/>
  <c r="AI107" i="6" s="1"/>
  <c r="EN13" i="6"/>
  <c r="Q13" i="6" s="1"/>
  <c r="EO13" i="6" s="1"/>
  <c r="EM14" i="6" s="1"/>
  <c r="EH13" i="6"/>
  <c r="EK13" i="6" s="1"/>
  <c r="CS13" i="6"/>
  <c r="AO14" i="6" s="1"/>
  <c r="CD13" i="6"/>
  <c r="Z14" i="6" s="1"/>
  <c r="CC13" i="6"/>
  <c r="Y14" i="6" s="1"/>
  <c r="BM13" i="6"/>
  <c r="BN13" i="6" s="1"/>
  <c r="BX13" i="6"/>
  <c r="U19" i="4" s="1"/>
  <c r="EB116" i="6"/>
  <c r="EF117" i="6"/>
  <c r="W10" i="6"/>
  <c r="U10" i="6"/>
  <c r="N51" i="4"/>
  <c r="EB143" i="6"/>
  <c r="EF144" i="6"/>
  <c r="ET7" i="6"/>
  <c r="EP8" i="6" s="1"/>
  <c r="EQ7" i="6"/>
  <c r="FC18" i="6"/>
  <c r="AZ18" i="6" s="1"/>
  <c r="L24" i="4" s="1"/>
  <c r="FB18" i="6"/>
  <c r="N31" i="4"/>
  <c r="CK39" i="6"/>
  <c r="AG40" i="6" s="1"/>
  <c r="CG17" i="6"/>
  <c r="AC18" i="6" s="1"/>
  <c r="CF16" i="6"/>
  <c r="AB17" i="6" s="1"/>
  <c r="M18" i="4"/>
  <c r="BP12" i="6"/>
  <c r="EH64" i="6"/>
  <c r="EK64" i="6" s="1"/>
  <c r="CS64" i="6"/>
  <c r="AO65" i="6" s="1"/>
  <c r="CC64" i="6"/>
  <c r="Y65" i="6" s="1"/>
  <c r="CD64" i="6"/>
  <c r="Z65" i="6" s="1"/>
  <c r="BM64" i="6"/>
  <c r="EB18" i="6"/>
  <c r="EF19" i="6"/>
  <c r="EN124" i="6"/>
  <c r="Q124" i="6" s="1"/>
  <c r="EH124" i="6"/>
  <c r="CC124" i="6"/>
  <c r="Y125" i="6" s="1"/>
  <c r="BG124" i="6"/>
  <c r="CD124" i="6"/>
  <c r="Z125" i="6" s="1"/>
  <c r="BM124" i="6"/>
  <c r="CB13" i="6"/>
  <c r="X14" i="6" s="1"/>
  <c r="BF13" i="6"/>
  <c r="BK13" i="6" s="1"/>
  <c r="BA13" i="6"/>
  <c r="CK15" i="6"/>
  <c r="AG16" i="6" s="1"/>
  <c r="CJ15" i="6"/>
  <c r="AF16" i="6" s="1"/>
  <c r="BB15" i="6"/>
  <c r="CY109" i="6"/>
  <c r="AU110" i="6" s="1"/>
  <c r="CN109" i="6"/>
  <c r="AJ110" i="6" s="1"/>
  <c r="CW109" i="6"/>
  <c r="AS110" i="6" s="1"/>
  <c r="CK85" i="6"/>
  <c r="AG86" i="6" s="1"/>
  <c r="CM24" i="6"/>
  <c r="AI25" i="6" s="1"/>
  <c r="CH31" i="6"/>
  <c r="AD32" i="6" s="1"/>
  <c r="BG31" i="6"/>
  <c r="EC17" i="6"/>
  <c r="AV17" i="6" s="1"/>
  <c r="CN75" i="6"/>
  <c r="AJ76" i="6" s="1"/>
  <c r="CY75" i="6"/>
  <c r="AU76" i="6" s="1"/>
  <c r="CW75" i="6"/>
  <c r="AS76" i="6" s="1"/>
  <c r="EI15" i="6"/>
  <c r="CY15" i="6"/>
  <c r="AU16" i="6" s="1"/>
  <c r="CX15" i="6"/>
  <c r="AT16" i="6" s="1"/>
  <c r="ES6" i="6"/>
  <c r="DX6" i="6" s="1"/>
  <c r="ER6" i="6"/>
  <c r="EV6" i="6"/>
  <c r="EW6" i="6" s="1"/>
  <c r="U12" i="5"/>
  <c r="CN23" i="6"/>
  <c r="AJ24" i="6" s="1"/>
  <c r="CY23" i="6"/>
  <c r="AU24" i="6" s="1"/>
  <c r="P12" i="5" l="1"/>
  <c r="R12" i="5" s="1"/>
  <c r="BV6" i="6"/>
  <c r="EH142" i="6"/>
  <c r="EK142" i="6" s="1"/>
  <c r="CD142" i="6"/>
  <c r="Z143" i="6" s="1"/>
  <c r="CC142" i="6"/>
  <c r="Y143" i="6" s="1"/>
  <c r="CS142" i="6"/>
  <c r="AO143" i="6" s="1"/>
  <c r="BM142" i="6"/>
  <c r="CY110" i="6"/>
  <c r="AU111" i="6" s="1"/>
  <c r="CN110" i="6"/>
  <c r="AJ111" i="6" s="1"/>
  <c r="CW110" i="6"/>
  <c r="AS111" i="6" s="1"/>
  <c r="CM76" i="6"/>
  <c r="AI77" i="6" s="1"/>
  <c r="N130" i="4"/>
  <c r="CK40" i="6"/>
  <c r="AG41" i="6" s="1"/>
  <c r="CT17" i="6"/>
  <c r="AP18" i="6" s="1"/>
  <c r="CU17" i="6"/>
  <c r="AQ18" i="6" s="1"/>
  <c r="EB50" i="6"/>
  <c r="EF51" i="6"/>
  <c r="EB51" i="6" s="1"/>
  <c r="EN125" i="6"/>
  <c r="Q125" i="6" s="1"/>
  <c r="EH125" i="6"/>
  <c r="EK125" i="6" s="1"/>
  <c r="BO125" i="6" s="1"/>
  <c r="CD125" i="6"/>
  <c r="Z126" i="6" s="1"/>
  <c r="CC125" i="6"/>
  <c r="Y126" i="6" s="1"/>
  <c r="BM125" i="6"/>
  <c r="EN14" i="6"/>
  <c r="Q14" i="6" s="1"/>
  <c r="EO14" i="6" s="1"/>
  <c r="EM15" i="6" s="1"/>
  <c r="EH14" i="6"/>
  <c r="EK14" i="6" s="1"/>
  <c r="CC14" i="6"/>
  <c r="Y15" i="6" s="1"/>
  <c r="CS14" i="6"/>
  <c r="AO15" i="6" s="1"/>
  <c r="CD14" i="6"/>
  <c r="Z15" i="6" s="1"/>
  <c r="BM14" i="6"/>
  <c r="BN14" i="6" s="1"/>
  <c r="BX14" i="6"/>
  <c r="U20" i="4" s="1"/>
  <c r="EH65" i="6"/>
  <c r="EK65" i="6" s="1"/>
  <c r="CC65" i="6"/>
  <c r="Y66" i="6" s="1"/>
  <c r="CS65" i="6"/>
  <c r="AO66" i="6" s="1"/>
  <c r="CD65" i="6"/>
  <c r="Z66" i="6" s="1"/>
  <c r="BM65" i="6"/>
  <c r="CK122" i="6"/>
  <c r="AG123" i="6" s="1"/>
  <c r="EO125" i="6"/>
  <c r="EM126" i="6" s="1"/>
  <c r="W12" i="5"/>
  <c r="DW6" i="6"/>
  <c r="BU6" i="6" s="1"/>
  <c r="CH32" i="6"/>
  <c r="AD33" i="6" s="1"/>
  <c r="BG32" i="6"/>
  <c r="CK16" i="6"/>
  <c r="AG17" i="6" s="1"/>
  <c r="CJ16" i="6"/>
  <c r="AF17" i="6" s="1"/>
  <c r="BB16" i="6"/>
  <c r="CF17" i="6"/>
  <c r="AB18" i="6" s="1"/>
  <c r="FC19" i="6"/>
  <c r="AZ19" i="6" s="1"/>
  <c r="L25" i="4" s="1"/>
  <c r="FB19" i="6"/>
  <c r="T16" i="4"/>
  <c r="BY10" i="6"/>
  <c r="EN47" i="6"/>
  <c r="Q47" i="6" s="1"/>
  <c r="EO47" i="6" s="1"/>
  <c r="EM48" i="6" s="1"/>
  <c r="EH47" i="6"/>
  <c r="CD47" i="6"/>
  <c r="Z48" i="6" s="1"/>
  <c r="CC47" i="6"/>
  <c r="Y48" i="6" s="1"/>
  <c r="BG47" i="6"/>
  <c r="CS47" i="6"/>
  <c r="AO48" i="6" s="1"/>
  <c r="BE48" i="6" s="1"/>
  <c r="BM47" i="6"/>
  <c r="N37" i="4"/>
  <c r="CJ27" i="6"/>
  <c r="AF28" i="6" s="1"/>
  <c r="FB102" i="6"/>
  <c r="FC102" i="6"/>
  <c r="AZ102" i="6" s="1"/>
  <c r="L108" i="4" s="1"/>
  <c r="CM25" i="6"/>
  <c r="AI26" i="6" s="1"/>
  <c r="M19" i="4"/>
  <c r="BP13" i="6"/>
  <c r="EB19" i="6"/>
  <c r="EF20" i="6"/>
  <c r="CA10" i="6"/>
  <c r="K21" i="4"/>
  <c r="EI16" i="6"/>
  <c r="CY16" i="6"/>
  <c r="AU17" i="6" s="1"/>
  <c r="CX16" i="6"/>
  <c r="AT17" i="6" s="1"/>
  <c r="FD17" i="6"/>
  <c r="AY16" i="6"/>
  <c r="EK47" i="6"/>
  <c r="BO47" i="6" s="1"/>
  <c r="EJ16" i="6"/>
  <c r="BL16" i="6" s="1"/>
  <c r="CW16" i="6"/>
  <c r="AS17" i="6" s="1"/>
  <c r="CV16" i="6"/>
  <c r="AR17" i="6" s="1"/>
  <c r="CN76" i="6"/>
  <c r="AJ77" i="6" s="1"/>
  <c r="CY76" i="6"/>
  <c r="AU77" i="6" s="1"/>
  <c r="CW76" i="6"/>
  <c r="AS77" i="6" s="1"/>
  <c r="V12" i="5"/>
  <c r="DV6" i="6"/>
  <c r="EV7" i="6"/>
  <c r="EW7" i="6" s="1"/>
  <c r="ER7" i="6"/>
  <c r="V13" i="5" s="1"/>
  <c r="ES7" i="6"/>
  <c r="W13" i="5" s="1"/>
  <c r="U13" i="5"/>
  <c r="CN24" i="6"/>
  <c r="AJ25" i="6" s="1"/>
  <c r="CY24" i="6"/>
  <c r="AU25" i="6" s="1"/>
  <c r="CB14" i="6"/>
  <c r="X15" i="6" s="1"/>
  <c r="BF14" i="6"/>
  <c r="BK14" i="6" s="1"/>
  <c r="BA14" i="6"/>
  <c r="EQ8" i="6"/>
  <c r="ET8" i="6"/>
  <c r="EP9" i="6" s="1"/>
  <c r="CM107" i="6"/>
  <c r="AI108" i="6" s="1"/>
  <c r="EC18" i="6"/>
  <c r="AV18" i="6" s="1"/>
  <c r="CK86" i="6"/>
  <c r="AG87" i="6" s="1"/>
  <c r="CG18" i="6"/>
  <c r="AC19" i="6" s="1"/>
  <c r="EB144" i="6"/>
  <c r="EF145" i="6"/>
  <c r="EB117" i="6"/>
  <c r="EF118" i="6"/>
  <c r="EG19" i="6"/>
  <c r="ED20" i="6" s="1"/>
  <c r="EV8" i="6" l="1"/>
  <c r="EW8" i="6" s="1"/>
  <c r="ES8" i="6"/>
  <c r="W14" i="5" s="1"/>
  <c r="ER8" i="6"/>
  <c r="V14" i="5" s="1"/>
  <c r="U14" i="5"/>
  <c r="DM7" i="6"/>
  <c r="DK7" i="6"/>
  <c r="DJ7" i="6"/>
  <c r="DL7" i="6"/>
  <c r="W11" i="6"/>
  <c r="CA11" i="6" s="1"/>
  <c r="U11" i="6"/>
  <c r="O12" i="4"/>
  <c r="E12" i="5" s="1"/>
  <c r="BW6" i="6"/>
  <c r="K22" i="4"/>
  <c r="EC19" i="6"/>
  <c r="AV19" i="6" s="1"/>
  <c r="FB20" i="6"/>
  <c r="FC20" i="6"/>
  <c r="AZ20" i="6" s="1"/>
  <c r="L26" i="4" s="1"/>
  <c r="CB15" i="6"/>
  <c r="X16" i="6" s="1"/>
  <c r="BF15" i="6"/>
  <c r="BK15" i="6" s="1"/>
  <c r="BA15" i="6"/>
  <c r="EH143" i="6"/>
  <c r="EK143" i="6" s="1"/>
  <c r="CS143" i="6"/>
  <c r="AO144" i="6" s="1"/>
  <c r="CD143" i="6"/>
  <c r="Z144" i="6" s="1"/>
  <c r="CC143" i="6"/>
  <c r="Y144" i="6" s="1"/>
  <c r="BM143" i="6"/>
  <c r="EB20" i="6"/>
  <c r="EF21" i="6"/>
  <c r="EB21" i="6" s="1"/>
  <c r="EC21" i="6" s="1"/>
  <c r="AV21" i="6" s="1"/>
  <c r="CG19" i="6"/>
  <c r="AC20" i="6" s="1"/>
  <c r="CK87" i="6"/>
  <c r="AG88" i="6" s="1"/>
  <c r="FD18" i="6"/>
  <c r="AY17" i="6"/>
  <c r="CF18" i="6"/>
  <c r="AB19" i="6" s="1"/>
  <c r="CK123" i="6"/>
  <c r="AG124" i="6" s="1"/>
  <c r="CM77" i="6"/>
  <c r="AI78" i="6" s="1"/>
  <c r="CY25" i="6"/>
  <c r="AU26" i="6" s="1"/>
  <c r="CN25" i="6"/>
  <c r="AJ26" i="6" s="1"/>
  <c r="CM26" i="6"/>
  <c r="AI27" i="6" s="1"/>
  <c r="EK48" i="6"/>
  <c r="BO48" i="6" s="1"/>
  <c r="N53" i="4"/>
  <c r="EN15" i="6"/>
  <c r="Q15" i="6" s="1"/>
  <c r="EO15" i="6" s="1"/>
  <c r="EM16" i="6" s="1"/>
  <c r="EH15" i="6"/>
  <c r="EK15" i="6" s="1"/>
  <c r="CC15" i="6"/>
  <c r="Y16" i="6" s="1"/>
  <c r="CS15" i="6"/>
  <c r="AO16" i="6" s="1"/>
  <c r="CD15" i="6"/>
  <c r="Z16" i="6" s="1"/>
  <c r="BM15" i="6"/>
  <c r="BN15" i="6" s="1"/>
  <c r="BX15" i="6"/>
  <c r="U21" i="4" s="1"/>
  <c r="CT18" i="6"/>
  <c r="AP19" i="6" s="1"/>
  <c r="CU18" i="6"/>
  <c r="AQ19" i="6" s="1"/>
  <c r="CN111" i="6"/>
  <c r="AJ112" i="6" s="1"/>
  <c r="CW111" i="6"/>
  <c r="AS112" i="6" s="1"/>
  <c r="CY111" i="6"/>
  <c r="AU112" i="6" s="1"/>
  <c r="Q12" i="5"/>
  <c r="S12" i="5" s="1"/>
  <c r="P12" i="4"/>
  <c r="EU6" i="6"/>
  <c r="CY77" i="6"/>
  <c r="AU78" i="6" s="1"/>
  <c r="CN77" i="6"/>
  <c r="AJ78" i="6" s="1"/>
  <c r="CW77" i="6"/>
  <c r="AS78" i="6" s="1"/>
  <c r="FB103" i="6"/>
  <c r="FC103" i="6"/>
  <c r="AZ103" i="6" s="1"/>
  <c r="L109" i="4" s="1"/>
  <c r="EH48" i="6"/>
  <c r="EN48" i="6"/>
  <c r="Q48" i="6" s="1"/>
  <c r="EO48" i="6" s="1"/>
  <c r="EM49" i="6" s="1"/>
  <c r="BG48" i="6"/>
  <c r="CS48" i="6"/>
  <c r="AO49" i="6" s="1"/>
  <c r="CD48" i="6"/>
  <c r="Z49" i="6" s="1"/>
  <c r="CC48" i="6"/>
  <c r="Y49" i="6" s="1"/>
  <c r="BM48" i="6"/>
  <c r="CJ17" i="6"/>
  <c r="AF18" i="6" s="1"/>
  <c r="CK17" i="6"/>
  <c r="AG18" i="6" s="1"/>
  <c r="N38" i="4"/>
  <c r="EB118" i="6"/>
  <c r="EF119" i="6"/>
  <c r="CM108" i="6"/>
  <c r="AI109" i="6" s="1"/>
  <c r="EJ17" i="6"/>
  <c r="BL17" i="6" s="1"/>
  <c r="CW17" i="6"/>
  <c r="AS18" i="6" s="1"/>
  <c r="CV17" i="6"/>
  <c r="AR18" i="6" s="1"/>
  <c r="CJ28" i="6"/>
  <c r="AF29" i="6" s="1"/>
  <c r="CK41" i="6"/>
  <c r="AG42" i="6" s="1"/>
  <c r="M20" i="4"/>
  <c r="BP14" i="6"/>
  <c r="EG20" i="6"/>
  <c r="ED21" i="6" s="1"/>
  <c r="EG21" i="6" s="1"/>
  <c r="ED22" i="6" s="1"/>
  <c r="EI17" i="6"/>
  <c r="BB17" i="6" s="1"/>
  <c r="CY17" i="6"/>
  <c r="AU18" i="6" s="1"/>
  <c r="CX17" i="6"/>
  <c r="AT18" i="6" s="1"/>
  <c r="EB145" i="6"/>
  <c r="EF146" i="6"/>
  <c r="ET9" i="6"/>
  <c r="EP10" i="6" s="1"/>
  <c r="EQ9" i="6"/>
  <c r="CH33" i="6"/>
  <c r="AD34" i="6" s="1"/>
  <c r="BG33" i="6"/>
  <c r="EH66" i="6"/>
  <c r="EK66" i="6" s="1"/>
  <c r="CC66" i="6"/>
  <c r="Y67" i="6" s="1"/>
  <c r="CS66" i="6"/>
  <c r="AO67" i="6" s="1"/>
  <c r="CD66" i="6"/>
  <c r="Z67" i="6" s="1"/>
  <c r="BM66" i="6"/>
  <c r="EH126" i="6"/>
  <c r="EN126" i="6"/>
  <c r="Q126" i="6" s="1"/>
  <c r="EO126" i="6" s="1"/>
  <c r="EM127" i="6" s="1"/>
  <c r="BG126" i="6"/>
  <c r="CC126" i="6"/>
  <c r="Y127" i="6" s="1"/>
  <c r="CD126" i="6"/>
  <c r="Z127" i="6" s="1"/>
  <c r="BM126" i="6"/>
  <c r="EJ18" i="6" l="1"/>
  <c r="BL18" i="6" s="1"/>
  <c r="CV18" i="6"/>
  <c r="AR19" i="6" s="1"/>
  <c r="CW18" i="6"/>
  <c r="AS19" i="6" s="1"/>
  <c r="CM78" i="6"/>
  <c r="AI79" i="6" s="1"/>
  <c r="CW112" i="6"/>
  <c r="AS113" i="6" s="1"/>
  <c r="CY112" i="6"/>
  <c r="AU113" i="6" s="1"/>
  <c r="CN112" i="6"/>
  <c r="AJ113" i="6" s="1"/>
  <c r="T17" i="4"/>
  <c r="BY11" i="6"/>
  <c r="EH144" i="6"/>
  <c r="EK144" i="6" s="1"/>
  <c r="CS144" i="6"/>
  <c r="AO145" i="6" s="1"/>
  <c r="CD144" i="6"/>
  <c r="Z145" i="6" s="1"/>
  <c r="CC144" i="6"/>
  <c r="Y145" i="6" s="1"/>
  <c r="BM144" i="6"/>
  <c r="EH49" i="6"/>
  <c r="EK49" i="6" s="1"/>
  <c r="BO49" i="6" s="1"/>
  <c r="EN49" i="6"/>
  <c r="Q49" i="6" s="1"/>
  <c r="EO49" i="6" s="1"/>
  <c r="EM50" i="6" s="1"/>
  <c r="CD49" i="6"/>
  <c r="Z50" i="6" s="1"/>
  <c r="CS49" i="6"/>
  <c r="AO50" i="6" s="1"/>
  <c r="CC49" i="6"/>
  <c r="Y50" i="6" s="1"/>
  <c r="BM49" i="6"/>
  <c r="EH67" i="6"/>
  <c r="EK67" i="6" s="1"/>
  <c r="CS67" i="6"/>
  <c r="AO68" i="6" s="1"/>
  <c r="CC67" i="6"/>
  <c r="Y68" i="6" s="1"/>
  <c r="CD67" i="6"/>
  <c r="Z68" i="6" s="1"/>
  <c r="BM67" i="6"/>
  <c r="DI7" i="6"/>
  <c r="EB119" i="6"/>
  <c r="EF120" i="6"/>
  <c r="Q12" i="4"/>
  <c r="S12" i="4" s="1"/>
  <c r="F12" i="5"/>
  <c r="I12" i="5" s="1"/>
  <c r="CM27" i="6"/>
  <c r="AI28" i="6" s="1"/>
  <c r="CF19" i="6"/>
  <c r="AB20" i="6" s="1"/>
  <c r="M21" i="4"/>
  <c r="BP15" i="6"/>
  <c r="CU19" i="6"/>
  <c r="AQ20" i="6" s="1"/>
  <c r="CT19" i="6"/>
  <c r="AP20" i="6" s="1"/>
  <c r="EI18" i="6"/>
  <c r="CX18" i="6"/>
  <c r="AT19" i="6" s="1"/>
  <c r="CY18" i="6"/>
  <c r="AU19" i="6" s="1"/>
  <c r="CN78" i="6"/>
  <c r="AJ79" i="6" s="1"/>
  <c r="CY78" i="6"/>
  <c r="AU79" i="6" s="1"/>
  <c r="CW78" i="6"/>
  <c r="AS79" i="6" s="1"/>
  <c r="N54" i="4"/>
  <c r="CN26" i="6"/>
  <c r="AJ27" i="6" s="1"/>
  <c r="CY26" i="6"/>
  <c r="AU27" i="6" s="1"/>
  <c r="CW26" i="6"/>
  <c r="AS27" i="6" s="1"/>
  <c r="BG26" i="6"/>
  <c r="CK18" i="6"/>
  <c r="AG19" i="6" s="1"/>
  <c r="CJ18" i="6"/>
  <c r="AF19" i="6" s="1"/>
  <c r="BB18" i="6"/>
  <c r="FB21" i="6"/>
  <c r="FC21" i="6"/>
  <c r="AZ21" i="6" s="1"/>
  <c r="L27" i="4" s="1"/>
  <c r="CM109" i="6"/>
  <c r="AI110" i="6" s="1"/>
  <c r="CK124" i="6"/>
  <c r="AG125" i="6" s="1"/>
  <c r="N39" i="4"/>
  <c r="CG20" i="6"/>
  <c r="AC21" i="6" s="1"/>
  <c r="CH34" i="6"/>
  <c r="AD35" i="6" s="1"/>
  <c r="BG34" i="6"/>
  <c r="CB16" i="6"/>
  <c r="X17" i="6" s="1"/>
  <c r="BF16" i="6"/>
  <c r="BK16" i="6" s="1"/>
  <c r="BA16" i="6"/>
  <c r="EN127" i="6"/>
  <c r="Q127" i="6" s="1"/>
  <c r="EO127" i="6" s="1"/>
  <c r="EM128" i="6" s="1"/>
  <c r="EH127" i="6"/>
  <c r="EK127" i="6" s="1"/>
  <c r="BO127" i="6" s="1"/>
  <c r="CC127" i="6"/>
  <c r="Y128" i="6" s="1"/>
  <c r="CD127" i="6"/>
  <c r="Z128" i="6" s="1"/>
  <c r="BM127" i="6"/>
  <c r="EH16" i="6"/>
  <c r="EK16" i="6" s="1"/>
  <c r="EN16" i="6"/>
  <c r="Q16" i="6" s="1"/>
  <c r="EO16" i="6" s="1"/>
  <c r="EM17" i="6" s="1"/>
  <c r="CD16" i="6"/>
  <c r="Z17" i="6" s="1"/>
  <c r="CC16" i="6"/>
  <c r="Y17" i="6" s="1"/>
  <c r="CS16" i="6"/>
  <c r="AO17" i="6" s="1"/>
  <c r="BM16" i="6"/>
  <c r="BN16" i="6" s="1"/>
  <c r="BX16" i="6"/>
  <c r="U22" i="4" s="1"/>
  <c r="N132" i="4"/>
  <c r="CK42" i="6"/>
  <c r="AG43" i="6" s="1"/>
  <c r="K23" i="4"/>
  <c r="ES9" i="6"/>
  <c r="W15" i="5" s="1"/>
  <c r="ER9" i="6"/>
  <c r="V15" i="5" s="1"/>
  <c r="EV9" i="6"/>
  <c r="EW9" i="6" s="1"/>
  <c r="U15" i="5"/>
  <c r="FD19" i="6"/>
  <c r="AY18" i="6"/>
  <c r="EG22" i="6"/>
  <c r="ED23" i="6" s="1"/>
  <c r="EG23" i="6" s="1"/>
  <c r="ED24" i="6" s="1"/>
  <c r="EG24" i="6" s="1"/>
  <c r="ED25" i="6" s="1"/>
  <c r="EG25" i="6" s="1"/>
  <c r="ED26" i="6" s="1"/>
  <c r="EE22" i="6"/>
  <c r="CK88" i="6"/>
  <c r="AG89" i="6" s="1"/>
  <c r="ET10" i="6"/>
  <c r="EP11" i="6" s="1"/>
  <c r="EQ10" i="6"/>
  <c r="EB146" i="6"/>
  <c r="EF147" i="6"/>
  <c r="CJ29" i="6"/>
  <c r="AF30" i="6" s="1"/>
  <c r="FC104" i="6"/>
  <c r="AZ104" i="6" s="1"/>
  <c r="L110" i="4" s="1"/>
  <c r="FB104" i="6"/>
  <c r="EC20" i="6"/>
  <c r="AV20" i="6" s="1"/>
  <c r="BI20" i="6" s="1"/>
  <c r="CJ30" i="6" l="1"/>
  <c r="AF31" i="6" s="1"/>
  <c r="CH35" i="6"/>
  <c r="AD36" i="6" s="1"/>
  <c r="CH36" i="6" s="1"/>
  <c r="AD37" i="6" s="1"/>
  <c r="CH37" i="6" s="1"/>
  <c r="AD38" i="6" s="1"/>
  <c r="CH38" i="6" s="1"/>
  <c r="AD39" i="6" s="1"/>
  <c r="CH39" i="6" s="1"/>
  <c r="AD40" i="6" s="1"/>
  <c r="CH40" i="6" s="1"/>
  <c r="AD41" i="6" s="1"/>
  <c r="CH41" i="6" s="1"/>
  <c r="AD42" i="6" s="1"/>
  <c r="CH42" i="6" s="1"/>
  <c r="AD43" i="6" s="1"/>
  <c r="CH43" i="6" s="1"/>
  <c r="AD44" i="6" s="1"/>
  <c r="CH44" i="6" s="1"/>
  <c r="AD45" i="6" s="1"/>
  <c r="CH45" i="6" s="1"/>
  <c r="AD46" i="6" s="1"/>
  <c r="CH46" i="6" s="1"/>
  <c r="AD47" i="6" s="1"/>
  <c r="CH47" i="6" s="1"/>
  <c r="AD48" i="6" s="1"/>
  <c r="CH48" i="6" s="1"/>
  <c r="AD49" i="6" s="1"/>
  <c r="CH49" i="6" s="1"/>
  <c r="AD50" i="6" s="1"/>
  <c r="CH50" i="6" s="1"/>
  <c r="AD51" i="6" s="1"/>
  <c r="CH51" i="6" s="1"/>
  <c r="AD52" i="6" s="1"/>
  <c r="FA35" i="6"/>
  <c r="FA36" i="6" s="1"/>
  <c r="FA37" i="6" s="1"/>
  <c r="FA38" i="6" s="1"/>
  <c r="FA39" i="6" s="1"/>
  <c r="FA40" i="6" s="1"/>
  <c r="FA41" i="6" s="1"/>
  <c r="FA42" i="6" s="1"/>
  <c r="FA43" i="6" s="1"/>
  <c r="FA44" i="6" s="1"/>
  <c r="FA45" i="6" s="1"/>
  <c r="FA46" i="6" s="1"/>
  <c r="FA47" i="6" s="1"/>
  <c r="FA48" i="6" s="1"/>
  <c r="FA49" i="6" s="1"/>
  <c r="FA50" i="6" s="1"/>
  <c r="FA51" i="6" s="1"/>
  <c r="EN128" i="6"/>
  <c r="Q128" i="6" s="1"/>
  <c r="EO128" i="6" s="1"/>
  <c r="EM129" i="6" s="1"/>
  <c r="EH128" i="6"/>
  <c r="EK128" i="6" s="1"/>
  <c r="BO128" i="6" s="1"/>
  <c r="CD128" i="6"/>
  <c r="Z129" i="6" s="1"/>
  <c r="CC128" i="6"/>
  <c r="Y129" i="6" s="1"/>
  <c r="BM128" i="6"/>
  <c r="CK19" i="6"/>
  <c r="AG20" i="6" s="1"/>
  <c r="CJ19" i="6"/>
  <c r="AF20" i="6" s="1"/>
  <c r="ES10" i="6"/>
  <c r="W16" i="5" s="1"/>
  <c r="EV10" i="6"/>
  <c r="EW10" i="6" s="1"/>
  <c r="ER10" i="6"/>
  <c r="V16" i="5" s="1"/>
  <c r="U16" i="5"/>
  <c r="ET11" i="6"/>
  <c r="EP12" i="6" s="1"/>
  <c r="EQ11" i="6"/>
  <c r="EH145" i="6"/>
  <c r="EK145" i="6" s="1"/>
  <c r="CS145" i="6"/>
  <c r="AO146" i="6" s="1"/>
  <c r="CC145" i="6"/>
  <c r="Y146" i="6" s="1"/>
  <c r="CD145" i="6"/>
  <c r="Z146" i="6" s="1"/>
  <c r="BM145" i="6"/>
  <c r="CM28" i="6"/>
  <c r="AI29" i="6" s="1"/>
  <c r="M22" i="4"/>
  <c r="BP16" i="6"/>
  <c r="N32" i="4"/>
  <c r="CN79" i="6"/>
  <c r="AJ80" i="6" s="1"/>
  <c r="CY79" i="6"/>
  <c r="AU80" i="6" s="1"/>
  <c r="CW79" i="6"/>
  <c r="AS80" i="6" s="1"/>
  <c r="J12" i="5"/>
  <c r="K12" i="5" s="1"/>
  <c r="CK125" i="6"/>
  <c r="AG126" i="6" s="1"/>
  <c r="EI19" i="6"/>
  <c r="BB19" i="6" s="1"/>
  <c r="CY19" i="6"/>
  <c r="AU20" i="6" s="1"/>
  <c r="CX19" i="6"/>
  <c r="AT20" i="6" s="1"/>
  <c r="CM79" i="6"/>
  <c r="AI80" i="6" s="1"/>
  <c r="EB120" i="6"/>
  <c r="EF121" i="6"/>
  <c r="EJ19" i="6"/>
  <c r="BL19" i="6" s="1"/>
  <c r="CV19" i="6"/>
  <c r="AR20" i="6" s="1"/>
  <c r="CW19" i="6"/>
  <c r="AS20" i="6" s="1"/>
  <c r="CB17" i="6"/>
  <c r="X18" i="6" s="1"/>
  <c r="BF17" i="6"/>
  <c r="BK17" i="6" s="1"/>
  <c r="BA17" i="6"/>
  <c r="EB22" i="6"/>
  <c r="CK89" i="6"/>
  <c r="AG90" i="6" s="1"/>
  <c r="EH17" i="6"/>
  <c r="EK17" i="6" s="1"/>
  <c r="EN17" i="6"/>
  <c r="Q17" i="6" s="1"/>
  <c r="EO17" i="6" s="1"/>
  <c r="EM18" i="6" s="1"/>
  <c r="CC17" i="6"/>
  <c r="Y18" i="6" s="1"/>
  <c r="CD17" i="6"/>
  <c r="Z18" i="6" s="1"/>
  <c r="CS17" i="6"/>
  <c r="AO18" i="6" s="1"/>
  <c r="BM17" i="6"/>
  <c r="BN17" i="6" s="1"/>
  <c r="BX17" i="6"/>
  <c r="U23" i="4" s="1"/>
  <c r="FB105" i="6"/>
  <c r="FC105" i="6"/>
  <c r="AZ105" i="6" s="1"/>
  <c r="L111" i="4" s="1"/>
  <c r="EE26" i="6"/>
  <c r="N40" i="4"/>
  <c r="CM110" i="6"/>
  <c r="AI111" i="6" s="1"/>
  <c r="CY27" i="6"/>
  <c r="AU28" i="6" s="1"/>
  <c r="CN27" i="6"/>
  <c r="AJ28" i="6" s="1"/>
  <c r="BG27" i="6"/>
  <c r="CW27" i="6"/>
  <c r="AS28" i="6" s="1"/>
  <c r="DR7" i="6"/>
  <c r="BC7" i="6"/>
  <c r="BD7" i="6"/>
  <c r="BO7" i="6"/>
  <c r="BQ7" i="6" s="1"/>
  <c r="DV7" i="6"/>
  <c r="EN50" i="6"/>
  <c r="Q50" i="6" s="1"/>
  <c r="EO50" i="6" s="1"/>
  <c r="EM51" i="6" s="1"/>
  <c r="EH50" i="6"/>
  <c r="EK50" i="6" s="1"/>
  <c r="BO50" i="6" s="1"/>
  <c r="CS50" i="6"/>
  <c r="AO51" i="6" s="1"/>
  <c r="BE51" i="6" s="1"/>
  <c r="CC50" i="6"/>
  <c r="Y51" i="6" s="1"/>
  <c r="CD50" i="6"/>
  <c r="Z51" i="6" s="1"/>
  <c r="BM50" i="6"/>
  <c r="K24" i="4"/>
  <c r="CT20" i="6"/>
  <c r="AP21" i="6" s="1"/>
  <c r="CU20" i="6"/>
  <c r="AQ21" i="6" s="1"/>
  <c r="W12" i="6"/>
  <c r="CA12" i="6" s="1"/>
  <c r="V12" i="6"/>
  <c r="BZ12" i="6" s="1"/>
  <c r="V13" i="6" s="1"/>
  <c r="BZ13" i="6" s="1"/>
  <c r="V14" i="6" s="1"/>
  <c r="BZ14" i="6" s="1"/>
  <c r="V15" i="6" s="1"/>
  <c r="BZ15" i="6" s="1"/>
  <c r="V16" i="6" s="1"/>
  <c r="BZ16" i="6" s="1"/>
  <c r="V17" i="6" s="1"/>
  <c r="BZ17" i="6" s="1"/>
  <c r="V18" i="6" s="1"/>
  <c r="BZ18" i="6" s="1"/>
  <c r="V19" i="6" s="1"/>
  <c r="BZ19" i="6" s="1"/>
  <c r="U12" i="6"/>
  <c r="FD20" i="6"/>
  <c r="AY19" i="6"/>
  <c r="FC22" i="6"/>
  <c r="AZ22" i="6" s="1"/>
  <c r="L28" i="4" s="1"/>
  <c r="FB22" i="6"/>
  <c r="CK43" i="6"/>
  <c r="AG44" i="6" s="1"/>
  <c r="CN113" i="6"/>
  <c r="AJ114" i="6" s="1"/>
  <c r="CW113" i="6"/>
  <c r="AS114" i="6" s="1"/>
  <c r="CY113" i="6"/>
  <c r="AU114" i="6" s="1"/>
  <c r="EB147" i="6"/>
  <c r="EF148" i="6"/>
  <c r="CG21" i="6"/>
  <c r="AC22" i="6" s="1"/>
  <c r="CF20" i="6"/>
  <c r="AB21" i="6" s="1"/>
  <c r="EH68" i="6"/>
  <c r="EK68" i="6" s="1"/>
  <c r="CD68" i="6"/>
  <c r="Z69" i="6" s="1"/>
  <c r="CS68" i="6"/>
  <c r="AO69" i="6" s="1"/>
  <c r="CC68" i="6"/>
  <c r="Y69" i="6" s="1"/>
  <c r="BM68" i="6"/>
  <c r="DW7" i="6" l="1"/>
  <c r="BR7" i="6"/>
  <c r="DX7" i="6" s="1"/>
  <c r="BV7" i="6" s="1"/>
  <c r="P13" i="4" s="1"/>
  <c r="F13" i="5" s="1"/>
  <c r="EJ20" i="6"/>
  <c r="BL20" i="6" s="1"/>
  <c r="CV20" i="6"/>
  <c r="AR21" i="6" s="1"/>
  <c r="CW20" i="6"/>
  <c r="AS21" i="6" s="1"/>
  <c r="CK126" i="6"/>
  <c r="AG127" i="6" s="1"/>
  <c r="EV11" i="6"/>
  <c r="EW11" i="6" s="1"/>
  <c r="ER11" i="6"/>
  <c r="V17" i="5" s="1"/>
  <c r="ES11" i="6"/>
  <c r="W17" i="5" s="1"/>
  <c r="U17" i="5"/>
  <c r="EH129" i="6"/>
  <c r="EN129" i="6"/>
  <c r="Q129" i="6" s="1"/>
  <c r="EO129" i="6" s="1"/>
  <c r="EM130" i="6" s="1"/>
  <c r="BG129" i="6"/>
  <c r="BM129" i="6"/>
  <c r="CG22" i="6"/>
  <c r="AC23" i="6" s="1"/>
  <c r="FB23" i="6"/>
  <c r="FC23" i="6"/>
  <c r="AZ23" i="6" s="1"/>
  <c r="L29" i="4" s="1"/>
  <c r="EQ12" i="6"/>
  <c r="EB121" i="6"/>
  <c r="EF122" i="6"/>
  <c r="EB26" i="6"/>
  <c r="EC26" i="6" s="1"/>
  <c r="AV26" i="6" s="1"/>
  <c r="K25" i="4"/>
  <c r="EG26" i="6"/>
  <c r="ED27" i="6" s="1"/>
  <c r="CK90" i="6"/>
  <c r="AG91" i="6" s="1"/>
  <c r="L12" i="5"/>
  <c r="M12" i="5" s="1"/>
  <c r="CK44" i="6"/>
  <c r="AG45" i="6" s="1"/>
  <c r="CM29" i="6"/>
  <c r="AI30" i="6" s="1"/>
  <c r="CH52" i="6"/>
  <c r="AD53" i="6" s="1"/>
  <c r="CH53" i="6" s="1"/>
  <c r="AD54" i="6" s="1"/>
  <c r="CH54" i="6" s="1"/>
  <c r="AD55" i="6" s="1"/>
  <c r="CH55" i="6" s="1"/>
  <c r="AD56" i="6" s="1"/>
  <c r="CH56" i="6" s="1"/>
  <c r="AD57" i="6" s="1"/>
  <c r="FA52" i="6"/>
  <c r="FA53" i="6" s="1"/>
  <c r="FA54" i="6" s="1"/>
  <c r="FA55" i="6" s="1"/>
  <c r="FA56" i="6" s="1"/>
  <c r="FA57" i="6" s="1"/>
  <c r="FA58" i="6" s="1"/>
  <c r="FA59" i="6" s="1"/>
  <c r="FA60" i="6" s="1"/>
  <c r="FA61" i="6" s="1"/>
  <c r="FA62" i="6" s="1"/>
  <c r="EH69" i="6"/>
  <c r="EK69" i="6" s="1"/>
  <c r="CD69" i="6"/>
  <c r="Z70" i="6" s="1"/>
  <c r="CC69" i="6"/>
  <c r="Y70" i="6" s="1"/>
  <c r="CS69" i="6"/>
  <c r="AO70" i="6" s="1"/>
  <c r="BM69" i="6"/>
  <c r="EN51" i="6"/>
  <c r="Q51" i="6" s="1"/>
  <c r="EO51" i="6" s="1"/>
  <c r="EM52" i="6" s="1"/>
  <c r="EH51" i="6"/>
  <c r="BG51" i="6"/>
  <c r="BM51" i="6"/>
  <c r="CT21" i="6"/>
  <c r="AP22" i="6" s="1"/>
  <c r="CU21" i="6"/>
  <c r="AQ22" i="6" s="1"/>
  <c r="DQ7" i="6"/>
  <c r="DM8" i="6" s="1"/>
  <c r="DP7" i="6"/>
  <c r="DL8" i="6" s="1"/>
  <c r="DO7" i="6"/>
  <c r="DK8" i="6" s="1"/>
  <c r="DN7" i="6"/>
  <c r="DJ8" i="6" s="1"/>
  <c r="FD21" i="6"/>
  <c r="V20" i="6"/>
  <c r="BZ20" i="6" s="1"/>
  <c r="AY20" i="6"/>
  <c r="EK51" i="6"/>
  <c r="BO51" i="6" s="1"/>
  <c r="CN28" i="6"/>
  <c r="AJ29" i="6" s="1"/>
  <c r="CY28" i="6"/>
  <c r="AU29" i="6" s="1"/>
  <c r="CW28" i="6"/>
  <c r="AS29" i="6" s="1"/>
  <c r="EC24" i="6"/>
  <c r="AV24" i="6" s="1"/>
  <c r="EC22" i="6"/>
  <c r="AV22" i="6" s="1"/>
  <c r="CX22" i="6" s="1"/>
  <c r="AT23" i="6" s="1"/>
  <c r="CX23" i="6" s="1"/>
  <c r="AT24" i="6" s="1"/>
  <c r="CX24" i="6" s="1"/>
  <c r="AT25" i="6" s="1"/>
  <c r="CX25" i="6" s="1"/>
  <c r="AT26" i="6" s="1"/>
  <c r="CX26" i="6" s="1"/>
  <c r="AT27" i="6" s="1"/>
  <c r="CX27" i="6" s="1"/>
  <c r="AT28" i="6" s="1"/>
  <c r="CX28" i="6" s="1"/>
  <c r="AT29" i="6" s="1"/>
  <c r="EC25" i="6"/>
  <c r="AV25" i="6" s="1"/>
  <c r="EC23" i="6"/>
  <c r="AV23" i="6" s="1"/>
  <c r="EI20" i="6"/>
  <c r="CY20" i="6"/>
  <c r="AU21" i="6" s="1"/>
  <c r="CX20" i="6"/>
  <c r="AT21" i="6" s="1"/>
  <c r="EH146" i="6"/>
  <c r="EK146" i="6" s="1"/>
  <c r="CS146" i="6"/>
  <c r="AO147" i="6" s="1"/>
  <c r="CD146" i="6"/>
  <c r="Z147" i="6" s="1"/>
  <c r="CC146" i="6"/>
  <c r="Y147" i="6" s="1"/>
  <c r="BM146" i="6"/>
  <c r="CJ31" i="6"/>
  <c r="AF32" i="6" s="1"/>
  <c r="FB106" i="6"/>
  <c r="FC106" i="6"/>
  <c r="AZ106" i="6" s="1"/>
  <c r="L112" i="4" s="1"/>
  <c r="CM80" i="6"/>
  <c r="AI81" i="6" s="1"/>
  <c r="CN114" i="6"/>
  <c r="AJ115" i="6" s="1"/>
  <c r="CW114" i="6"/>
  <c r="AS115" i="6" s="1"/>
  <c r="CY114" i="6"/>
  <c r="AU115" i="6" s="1"/>
  <c r="BP17" i="6"/>
  <c r="M23" i="4"/>
  <c r="N33" i="4"/>
  <c r="T18" i="4"/>
  <c r="BY12" i="6"/>
  <c r="CN80" i="6"/>
  <c r="AJ81" i="6" s="1"/>
  <c r="CW80" i="6"/>
  <c r="AS81" i="6" s="1"/>
  <c r="CY80" i="6"/>
  <c r="AU81" i="6" s="1"/>
  <c r="CJ20" i="6"/>
  <c r="AF21" i="6" s="1"/>
  <c r="CK20" i="6"/>
  <c r="AG21" i="6" s="1"/>
  <c r="BB20" i="6"/>
  <c r="EB148" i="6"/>
  <c r="EF149" i="6"/>
  <c r="CF21" i="6"/>
  <c r="AB22" i="6" s="1"/>
  <c r="CM111" i="6"/>
  <c r="AI112" i="6" s="1"/>
  <c r="EN18" i="6"/>
  <c r="Q18" i="6" s="1"/>
  <c r="EO18" i="6" s="1"/>
  <c r="EM19" i="6" s="1"/>
  <c r="EH18" i="6"/>
  <c r="EK18" i="6" s="1"/>
  <c r="CD18" i="6"/>
  <c r="Z19" i="6" s="1"/>
  <c r="CC18" i="6"/>
  <c r="Y19" i="6" s="1"/>
  <c r="CS18" i="6"/>
  <c r="AO19" i="6" s="1"/>
  <c r="BM18" i="6"/>
  <c r="BN18" i="6" s="1"/>
  <c r="BX18" i="6"/>
  <c r="U24" i="4" s="1"/>
  <c r="CB18" i="6"/>
  <c r="X19" i="6" s="1"/>
  <c r="BF18" i="6"/>
  <c r="BK18" i="6" s="1"/>
  <c r="BA18" i="6"/>
  <c r="EN130" i="6" l="1"/>
  <c r="Q130" i="6" s="1"/>
  <c r="EO130" i="6" s="1"/>
  <c r="EM131" i="6" s="1"/>
  <c r="EN52" i="6"/>
  <c r="Q52" i="6" s="1"/>
  <c r="EO52" i="6" s="1"/>
  <c r="EM53" i="6" s="1"/>
  <c r="FC107" i="6"/>
  <c r="AZ107" i="6" s="1"/>
  <c r="L113" i="4" s="1"/>
  <c r="FB107" i="6"/>
  <c r="CM112" i="6"/>
  <c r="AI113" i="6" s="1"/>
  <c r="CF22" i="6"/>
  <c r="AB23" i="6" s="1"/>
  <c r="U13" i="6"/>
  <c r="W13" i="6"/>
  <c r="CA13" i="6" s="1"/>
  <c r="CK91" i="6"/>
  <c r="AG92" i="6" s="1"/>
  <c r="CW115" i="6"/>
  <c r="AS116" i="6" s="1"/>
  <c r="CY115" i="6"/>
  <c r="AU116" i="6" s="1"/>
  <c r="CN115" i="6"/>
  <c r="AJ116" i="6" s="1"/>
  <c r="CH57" i="6"/>
  <c r="AD58" i="6" s="1"/>
  <c r="CH58" i="6" s="1"/>
  <c r="AD59" i="6" s="1"/>
  <c r="CG23" i="6"/>
  <c r="AC24" i="6" s="1"/>
  <c r="CK127" i="6"/>
  <c r="AG128" i="6" s="1"/>
  <c r="EJ21" i="6"/>
  <c r="BL21" i="6" s="1"/>
  <c r="CV21" i="6"/>
  <c r="AR22" i="6" s="1"/>
  <c r="CW21" i="6"/>
  <c r="AS22" i="6" s="1"/>
  <c r="CJ21" i="6"/>
  <c r="AF22" i="6" s="1"/>
  <c r="CK21" i="6"/>
  <c r="AG22" i="6" s="1"/>
  <c r="BB21" i="6"/>
  <c r="CM81" i="6"/>
  <c r="AI82" i="6" s="1"/>
  <c r="EI21" i="6"/>
  <c r="CX21" i="6"/>
  <c r="AT22" i="6" s="1"/>
  <c r="CY21" i="6"/>
  <c r="AU22" i="6" s="1"/>
  <c r="EI22" i="6" s="1"/>
  <c r="BI23" i="6"/>
  <c r="EI23" i="6"/>
  <c r="N57" i="4"/>
  <c r="EN19" i="6"/>
  <c r="Q19" i="6" s="1"/>
  <c r="EO19" i="6" s="1"/>
  <c r="EM20" i="6" s="1"/>
  <c r="EH19" i="6"/>
  <c r="EK19" i="6" s="1"/>
  <c r="CC19" i="6"/>
  <c r="Y20" i="6" s="1"/>
  <c r="CD19" i="6"/>
  <c r="Z20" i="6" s="1"/>
  <c r="CS19" i="6"/>
  <c r="AO20" i="6" s="1"/>
  <c r="BM19" i="6"/>
  <c r="BN19" i="6" s="1"/>
  <c r="BX19" i="6"/>
  <c r="U25" i="4" s="1"/>
  <c r="BI25" i="6"/>
  <c r="EI25" i="6"/>
  <c r="K26" i="4"/>
  <c r="CM30" i="6"/>
  <c r="AI31" i="6" s="1"/>
  <c r="N135" i="4"/>
  <c r="CB19" i="6"/>
  <c r="X20" i="6" s="1"/>
  <c r="BF19" i="6"/>
  <c r="BK19" i="6" s="1"/>
  <c r="BA19" i="6"/>
  <c r="CW29" i="6"/>
  <c r="AS30" i="6" s="1"/>
  <c r="CY29" i="6"/>
  <c r="AU30" i="6" s="1"/>
  <c r="CX29" i="6"/>
  <c r="AT30" i="6" s="1"/>
  <c r="CN29" i="6"/>
  <c r="AJ30" i="6" s="1"/>
  <c r="BI24" i="6"/>
  <c r="EI24" i="6"/>
  <c r="CK45" i="6"/>
  <c r="AG46" i="6" s="1"/>
  <c r="BI26" i="6"/>
  <c r="EI26" i="6"/>
  <c r="BB26" i="6" s="1"/>
  <c r="CV26" i="6"/>
  <c r="AR27" i="6" s="1"/>
  <c r="BU7" i="6"/>
  <c r="P13" i="5"/>
  <c r="R13" i="5" s="1"/>
  <c r="FC24" i="6"/>
  <c r="AZ24" i="6" s="1"/>
  <c r="L30" i="4" s="1"/>
  <c r="FB24" i="6"/>
  <c r="V21" i="6"/>
  <c r="BZ21" i="6" s="1"/>
  <c r="FD22" i="6"/>
  <c r="AY21" i="6"/>
  <c r="EB122" i="6"/>
  <c r="EF123" i="6"/>
  <c r="EE27" i="6"/>
  <c r="CJ32" i="6"/>
  <c r="AF33" i="6" s="1"/>
  <c r="EH70" i="6"/>
  <c r="EK70" i="6" s="1"/>
  <c r="CS70" i="6"/>
  <c r="AO71" i="6" s="1"/>
  <c r="CD70" i="6"/>
  <c r="Z71" i="6" s="1"/>
  <c r="CC70" i="6"/>
  <c r="Y71" i="6" s="1"/>
  <c r="BM70" i="6"/>
  <c r="EB149" i="6"/>
  <c r="EF150" i="6"/>
  <c r="AY22" i="6"/>
  <c r="CT22" i="6"/>
  <c r="AP23" i="6" s="1"/>
  <c r="CU22" i="6"/>
  <c r="AQ23" i="6" s="1"/>
  <c r="CN81" i="6"/>
  <c r="AJ82" i="6" s="1"/>
  <c r="CW81" i="6"/>
  <c r="AS82" i="6" s="1"/>
  <c r="CY81" i="6"/>
  <c r="AU82" i="6" s="1"/>
  <c r="DI8" i="6"/>
  <c r="EV12" i="6"/>
  <c r="EW12" i="6" s="1"/>
  <c r="ES12" i="6"/>
  <c r="ER12" i="6"/>
  <c r="V18" i="5" s="1"/>
  <c r="U18" i="5"/>
  <c r="EH147" i="6"/>
  <c r="EK147" i="6" s="1"/>
  <c r="CD147" i="6"/>
  <c r="Z148" i="6" s="1"/>
  <c r="BM147" i="6"/>
  <c r="CS147" i="6"/>
  <c r="AO148" i="6" s="1"/>
  <c r="CC147" i="6"/>
  <c r="Y148" i="6" s="1"/>
  <c r="M24" i="4"/>
  <c r="BP18" i="6"/>
  <c r="EN53" i="6" l="1"/>
  <c r="Q53" i="6" s="1"/>
  <c r="EO53" i="6" s="1"/>
  <c r="EM54" i="6" s="1"/>
  <c r="EN131" i="6"/>
  <c r="Q131" i="6" s="1"/>
  <c r="EO131" i="6" s="1"/>
  <c r="EM132" i="6" s="1"/>
  <c r="K28" i="4"/>
  <c r="FC25" i="6"/>
  <c r="AZ25" i="6" s="1"/>
  <c r="L31" i="4" s="1"/>
  <c r="FB25" i="6"/>
  <c r="CX30" i="6"/>
  <c r="AT31" i="6" s="1"/>
  <c r="CN30" i="6"/>
  <c r="AJ31" i="6" s="1"/>
  <c r="CY30" i="6"/>
  <c r="AU31" i="6" s="1"/>
  <c r="CW30" i="6"/>
  <c r="AS31" i="6" s="1"/>
  <c r="CM31" i="6"/>
  <c r="AI32" i="6" s="1"/>
  <c r="CH59" i="6"/>
  <c r="AD60" i="6" s="1"/>
  <c r="CH60" i="6" s="1"/>
  <c r="AD61" i="6" s="1"/>
  <c r="CH61" i="6" s="1"/>
  <c r="AD62" i="6" s="1"/>
  <c r="CH62" i="6" s="1"/>
  <c r="AD63" i="6" s="1"/>
  <c r="W18" i="5"/>
  <c r="DX12" i="6"/>
  <c r="BV12" i="6" s="1"/>
  <c r="P18" i="4" s="1"/>
  <c r="F18" i="5" s="1"/>
  <c r="DW12" i="6"/>
  <c r="BU12" i="6" s="1"/>
  <c r="CF23" i="6"/>
  <c r="AB24" i="6" s="1"/>
  <c r="BC8" i="6"/>
  <c r="BO8" i="6" s="1"/>
  <c r="BQ8" i="6" s="1"/>
  <c r="DR8" i="6"/>
  <c r="BD8" i="6"/>
  <c r="DV8" i="6"/>
  <c r="BS8" i="6" s="1"/>
  <c r="BT8" i="6" s="1"/>
  <c r="EB27" i="6"/>
  <c r="Q13" i="5"/>
  <c r="S13" i="5" s="1"/>
  <c r="O13" i="4"/>
  <c r="BW7" i="6"/>
  <c r="EU7" i="6"/>
  <c r="EJ22" i="6"/>
  <c r="BL22" i="6" s="1"/>
  <c r="CW22" i="6"/>
  <c r="AS23" i="6" s="1"/>
  <c r="CV22" i="6"/>
  <c r="AR23" i="6" s="1"/>
  <c r="EB150" i="6"/>
  <c r="EF151" i="6"/>
  <c r="EH148" i="6"/>
  <c r="EK148" i="6" s="1"/>
  <c r="CD148" i="6"/>
  <c r="Z149" i="6" s="1"/>
  <c r="CS148" i="6"/>
  <c r="AO149" i="6" s="1"/>
  <c r="CC148" i="6"/>
  <c r="Y149" i="6" s="1"/>
  <c r="BM148" i="6"/>
  <c r="EH71" i="6"/>
  <c r="EK71" i="6" s="1"/>
  <c r="CD71" i="6"/>
  <c r="Z72" i="6" s="1"/>
  <c r="CC71" i="6"/>
  <c r="Y72" i="6" s="1"/>
  <c r="CS71" i="6"/>
  <c r="AO72" i="6" s="1"/>
  <c r="BM71" i="6"/>
  <c r="EG27" i="6"/>
  <c r="ED28" i="6" s="1"/>
  <c r="EG28" i="6" s="1"/>
  <c r="ED29" i="6" s="1"/>
  <c r="EG29" i="6" s="1"/>
  <c r="ED30" i="6" s="1"/>
  <c r="EG30" i="6" s="1"/>
  <c r="ED31" i="6" s="1"/>
  <c r="CM113" i="6"/>
  <c r="AI114" i="6" s="1"/>
  <c r="CN116" i="6"/>
  <c r="AJ117" i="6" s="1"/>
  <c r="CW116" i="6"/>
  <c r="AS117" i="6" s="1"/>
  <c r="CY116" i="6"/>
  <c r="AU117" i="6" s="1"/>
  <c r="M25" i="4"/>
  <c r="BP19" i="6"/>
  <c r="FC108" i="6"/>
  <c r="AZ108" i="6" s="1"/>
  <c r="L114" i="4" s="1"/>
  <c r="FB108" i="6"/>
  <c r="CJ33" i="6"/>
  <c r="AF34" i="6" s="1"/>
  <c r="CJ22" i="6"/>
  <c r="AF23" i="6" s="1"/>
  <c r="CK22" i="6"/>
  <c r="AG23" i="6" s="1"/>
  <c r="BB22" i="6"/>
  <c r="CB20" i="6"/>
  <c r="X21" i="6" s="1"/>
  <c r="BF20" i="6"/>
  <c r="BK20" i="6" s="1"/>
  <c r="BA20" i="6"/>
  <c r="EB123" i="6"/>
  <c r="EF124" i="6"/>
  <c r="K27" i="4"/>
  <c r="CK128" i="6"/>
  <c r="AG129" i="6" s="1"/>
  <c r="CK92" i="6"/>
  <c r="AG93" i="6" s="1"/>
  <c r="CN82" i="6"/>
  <c r="AJ83" i="6" s="1"/>
  <c r="CY82" i="6"/>
  <c r="AU83" i="6" s="1"/>
  <c r="CW82" i="6"/>
  <c r="AS83" i="6" s="1"/>
  <c r="FD23" i="6"/>
  <c r="CK46" i="6"/>
  <c r="AG47" i="6" s="1"/>
  <c r="CT23" i="6"/>
  <c r="AP24" i="6" s="1"/>
  <c r="CU23" i="6"/>
  <c r="AQ24" i="6" s="1"/>
  <c r="CG24" i="6"/>
  <c r="AC25" i="6" s="1"/>
  <c r="EH20" i="6"/>
  <c r="EK20" i="6" s="1"/>
  <c r="EN20" i="6"/>
  <c r="Q20" i="6" s="1"/>
  <c r="EO20" i="6" s="1"/>
  <c r="EM21" i="6" s="1"/>
  <c r="CC20" i="6"/>
  <c r="Y21" i="6" s="1"/>
  <c r="CS20" i="6"/>
  <c r="AO21" i="6" s="1"/>
  <c r="CD20" i="6"/>
  <c r="Z21" i="6" s="1"/>
  <c r="BM20" i="6"/>
  <c r="BN20" i="6" s="1"/>
  <c r="BX20" i="6"/>
  <c r="U26" i="4" s="1"/>
  <c r="CM82" i="6"/>
  <c r="AI83" i="6" s="1"/>
  <c r="T19" i="4"/>
  <c r="BY13" i="6"/>
  <c r="EN132" i="6" l="1"/>
  <c r="Q132" i="6" s="1"/>
  <c r="EO132" i="6" s="1"/>
  <c r="EM133" i="6" s="1"/>
  <c r="EN54" i="6"/>
  <c r="Q54" i="6" s="1"/>
  <c r="EO54" i="6" s="1"/>
  <c r="EM55" i="6" s="1"/>
  <c r="CN83" i="6"/>
  <c r="AJ84" i="6" s="1"/>
  <c r="CY83" i="6"/>
  <c r="AU84" i="6" s="1"/>
  <c r="CW83" i="6"/>
  <c r="AS84" i="6" s="1"/>
  <c r="CN117" i="6"/>
  <c r="AJ118" i="6" s="1"/>
  <c r="CW117" i="6"/>
  <c r="AS118" i="6" s="1"/>
  <c r="CY117" i="6"/>
  <c r="AU118" i="6" s="1"/>
  <c r="CF24" i="6"/>
  <c r="AB25" i="6" s="1"/>
  <c r="EH149" i="6"/>
  <c r="EK149" i="6" s="1"/>
  <c r="CC149" i="6"/>
  <c r="Y150" i="6" s="1"/>
  <c r="BM149" i="6"/>
  <c r="CD149" i="6"/>
  <c r="Z150" i="6" s="1"/>
  <c r="CS149" i="6"/>
  <c r="AO150" i="6" s="1"/>
  <c r="CN31" i="6"/>
  <c r="AJ32" i="6" s="1"/>
  <c r="CY31" i="6"/>
  <c r="AU32" i="6" s="1"/>
  <c r="CW31" i="6"/>
  <c r="AS32" i="6" s="1"/>
  <c r="CX31" i="6"/>
  <c r="AT32" i="6" s="1"/>
  <c r="CJ34" i="6"/>
  <c r="AF35" i="6" s="1"/>
  <c r="CM114" i="6"/>
  <c r="AI115" i="6" s="1"/>
  <c r="Q13" i="4"/>
  <c r="S13" i="4" s="1"/>
  <c r="E13" i="5"/>
  <c r="I13" i="5" s="1"/>
  <c r="O18" i="4"/>
  <c r="E18" i="5" s="1"/>
  <c r="BW12" i="6"/>
  <c r="EU12" i="6" s="1"/>
  <c r="ET12" i="6" s="1"/>
  <c r="EP13" i="6" s="1"/>
  <c r="W14" i="6"/>
  <c r="CA14" i="6" s="1"/>
  <c r="U14" i="6"/>
  <c r="EF31" i="6"/>
  <c r="FC109" i="6"/>
  <c r="AZ109" i="6" s="1"/>
  <c r="L115" i="4" s="1"/>
  <c r="FB109" i="6"/>
  <c r="EB151" i="6"/>
  <c r="EF152" i="6"/>
  <c r="EC28" i="6"/>
  <c r="AV28" i="6" s="1"/>
  <c r="EC27" i="6"/>
  <c r="AV27" i="6" s="1"/>
  <c r="EC30" i="6"/>
  <c r="AV30" i="6" s="1"/>
  <c r="EC29" i="6"/>
  <c r="AV29" i="6" s="1"/>
  <c r="CH63" i="6"/>
  <c r="AD64" i="6" s="1"/>
  <c r="CH64" i="6" s="1"/>
  <c r="AD65" i="6" s="1"/>
  <c r="CH65" i="6" s="1"/>
  <c r="AD66" i="6" s="1"/>
  <c r="CH66" i="6" s="1"/>
  <c r="AD67" i="6" s="1"/>
  <c r="CH67" i="6" s="1"/>
  <c r="AD68" i="6" s="1"/>
  <c r="CH68" i="6" s="1"/>
  <c r="AD69" i="6" s="1"/>
  <c r="FA63" i="6"/>
  <c r="FA64" i="6" s="1"/>
  <c r="FA65" i="6" s="1"/>
  <c r="FA66" i="6" s="1"/>
  <c r="FA67" i="6" s="1"/>
  <c r="FA68" i="6" s="1"/>
  <c r="FA69" i="6" s="1"/>
  <c r="FA70" i="6" s="1"/>
  <c r="FA71" i="6" s="1"/>
  <c r="FA72" i="6" s="1"/>
  <c r="FA73" i="6" s="1"/>
  <c r="FA74" i="6" s="1"/>
  <c r="FA75" i="6" s="1"/>
  <c r="FA76" i="6" s="1"/>
  <c r="FA77" i="6" s="1"/>
  <c r="FA78" i="6" s="1"/>
  <c r="CG25" i="6"/>
  <c r="AC26" i="6" s="1"/>
  <c r="CM83" i="6"/>
  <c r="AI84" i="6" s="1"/>
  <c r="CB21" i="6"/>
  <c r="X22" i="6" s="1"/>
  <c r="BF21" i="6"/>
  <c r="BK21" i="6" s="1"/>
  <c r="BA21" i="6"/>
  <c r="CK93" i="6"/>
  <c r="AG94" i="6" s="1"/>
  <c r="EH72" i="6"/>
  <c r="EK72" i="6" s="1"/>
  <c r="CS72" i="6"/>
  <c r="AO73" i="6" s="1"/>
  <c r="CC72" i="6"/>
  <c r="Y73" i="6" s="1"/>
  <c r="CD72" i="6"/>
  <c r="Z73" i="6" s="1"/>
  <c r="BM72" i="6"/>
  <c r="FC26" i="6"/>
  <c r="AZ26" i="6" s="1"/>
  <c r="L32" i="4" s="1"/>
  <c r="FB26" i="6"/>
  <c r="CU24" i="6"/>
  <c r="AQ25" i="6" s="1"/>
  <c r="CT24" i="6"/>
  <c r="AP25" i="6" s="1"/>
  <c r="EJ23" i="6"/>
  <c r="BL23" i="6" s="1"/>
  <c r="CW23" i="6"/>
  <c r="AS24" i="6" s="1"/>
  <c r="CV23" i="6"/>
  <c r="AR24" i="6" s="1"/>
  <c r="DP8" i="6"/>
  <c r="DL9" i="6" s="1"/>
  <c r="DQ8" i="6"/>
  <c r="DM9" i="6" s="1"/>
  <c r="DN8" i="6"/>
  <c r="DJ9" i="6" s="1"/>
  <c r="DO8" i="6"/>
  <c r="DK9" i="6" s="1"/>
  <c r="CM32" i="6"/>
  <c r="AI33" i="6" s="1"/>
  <c r="DW8" i="6"/>
  <c r="BU8" i="6" s="1"/>
  <c r="BR8" i="6"/>
  <c r="DX8" i="6" s="1"/>
  <c r="EB124" i="6"/>
  <c r="EF125" i="6"/>
  <c r="M26" i="4"/>
  <c r="BP20" i="6"/>
  <c r="CK47" i="6"/>
  <c r="AG48" i="6" s="1"/>
  <c r="FD24" i="6"/>
  <c r="AY23" i="6"/>
  <c r="CR23" i="6"/>
  <c r="AN24" i="6" s="1"/>
  <c r="CR24" i="6" s="1"/>
  <c r="AN25" i="6" s="1"/>
  <c r="CR25" i="6" s="1"/>
  <c r="AN26" i="6" s="1"/>
  <c r="CR26" i="6" s="1"/>
  <c r="AN27" i="6" s="1"/>
  <c r="CR27" i="6" s="1"/>
  <c r="AN28" i="6" s="1"/>
  <c r="CR28" i="6" s="1"/>
  <c r="AN29" i="6" s="1"/>
  <c r="CR29" i="6" s="1"/>
  <c r="AN30" i="6" s="1"/>
  <c r="CR30" i="6" s="1"/>
  <c r="AN31" i="6" s="1"/>
  <c r="CR31" i="6" s="1"/>
  <c r="AN32" i="6" s="1"/>
  <c r="CR32" i="6" s="1"/>
  <c r="AN33" i="6" s="1"/>
  <c r="CR33" i="6" s="1"/>
  <c r="AN34" i="6" s="1"/>
  <c r="CR34" i="6" s="1"/>
  <c r="AN35" i="6" s="1"/>
  <c r="CR35" i="6" s="1"/>
  <c r="AN36" i="6" s="1"/>
  <c r="CR36" i="6" s="1"/>
  <c r="AN37" i="6" s="1"/>
  <c r="CR37" i="6" s="1"/>
  <c r="AN38" i="6" s="1"/>
  <c r="CR38" i="6" s="1"/>
  <c r="AN39" i="6" s="1"/>
  <c r="CR39" i="6" s="1"/>
  <c r="AN40" i="6" s="1"/>
  <c r="CR40" i="6" s="1"/>
  <c r="AN41" i="6" s="1"/>
  <c r="CR41" i="6" s="1"/>
  <c r="AN42" i="6" s="1"/>
  <c r="CR42" i="6" s="1"/>
  <c r="AN43" i="6" s="1"/>
  <c r="CR43" i="6" s="1"/>
  <c r="AN44" i="6" s="1"/>
  <c r="CR44" i="6" s="1"/>
  <c r="AN45" i="6" s="1"/>
  <c r="CR45" i="6" s="1"/>
  <c r="AN46" i="6" s="1"/>
  <c r="CR46" i="6" s="1"/>
  <c r="AN47" i="6" s="1"/>
  <c r="CR47" i="6" s="1"/>
  <c r="AN48" i="6" s="1"/>
  <c r="CR48" i="6" s="1"/>
  <c r="AN49" i="6" s="1"/>
  <c r="CR49" i="6" s="1"/>
  <c r="AN50" i="6" s="1"/>
  <c r="CR50" i="6" s="1"/>
  <c r="AN51" i="6" s="1"/>
  <c r="CR51" i="6" s="1"/>
  <c r="AN52" i="6" s="1"/>
  <c r="CR52" i="6" s="1"/>
  <c r="AN53" i="6" s="1"/>
  <c r="CR53" i="6" s="1"/>
  <c r="AN54" i="6" s="1"/>
  <c r="CR54" i="6" s="1"/>
  <c r="AN55" i="6" s="1"/>
  <c r="CR55" i="6" s="1"/>
  <c r="AN56" i="6" s="1"/>
  <c r="CR56" i="6" s="1"/>
  <c r="AN57" i="6" s="1"/>
  <c r="CR57" i="6" s="1"/>
  <c r="AN58" i="6" s="1"/>
  <c r="CR58" i="6" s="1"/>
  <c r="AN59" i="6" s="1"/>
  <c r="CR59" i="6" s="1"/>
  <c r="AN60" i="6" s="1"/>
  <c r="CR60" i="6" s="1"/>
  <c r="AN61" i="6" s="1"/>
  <c r="CR61" i="6" s="1"/>
  <c r="AN62" i="6" s="1"/>
  <c r="CR62" i="6" s="1"/>
  <c r="AN63" i="6" s="1"/>
  <c r="CR63" i="6" s="1"/>
  <c r="AN64" i="6" s="1"/>
  <c r="CR64" i="6" s="1"/>
  <c r="AN65" i="6" s="1"/>
  <c r="CR65" i="6" s="1"/>
  <c r="AN66" i="6" s="1"/>
  <c r="CR66" i="6" s="1"/>
  <c r="AN67" i="6" s="1"/>
  <c r="CR67" i="6" s="1"/>
  <c r="AN68" i="6" s="1"/>
  <c r="CR68" i="6" s="1"/>
  <c r="AN69" i="6" s="1"/>
  <c r="CR69" i="6" s="1"/>
  <c r="AN70" i="6" s="1"/>
  <c r="CK23" i="6"/>
  <c r="AG24" i="6" s="1"/>
  <c r="CJ23" i="6"/>
  <c r="AF24" i="6" s="1"/>
  <c r="BB23" i="6"/>
  <c r="EH21" i="6"/>
  <c r="EK21" i="6" s="1"/>
  <c r="EN21" i="6"/>
  <c r="Q21" i="6" s="1"/>
  <c r="EO21" i="6" s="1"/>
  <c r="EM22" i="6" s="1"/>
  <c r="CC21" i="6"/>
  <c r="Y22" i="6" s="1"/>
  <c r="CD21" i="6"/>
  <c r="Z22" i="6" s="1"/>
  <c r="CS21" i="6"/>
  <c r="AO22" i="6" s="1"/>
  <c r="BM21" i="6"/>
  <c r="BN21" i="6" s="1"/>
  <c r="BX21" i="6"/>
  <c r="U27" i="4" s="1"/>
  <c r="CK129" i="6"/>
  <c r="AG130" i="6" s="1"/>
  <c r="EN55" i="6" l="1"/>
  <c r="Q55" i="6" s="1"/>
  <c r="EO55" i="6" s="1"/>
  <c r="EM56" i="6" s="1"/>
  <c r="EN133" i="6"/>
  <c r="Q133" i="6" s="1"/>
  <c r="EO133" i="6" s="1"/>
  <c r="EM134" i="6" s="1"/>
  <c r="BI28" i="6"/>
  <c r="EI28" i="6"/>
  <c r="BB28" i="6" s="1"/>
  <c r="EJ28" i="6"/>
  <c r="BL28" i="6" s="1"/>
  <c r="CK48" i="6"/>
  <c r="AG49" i="6" s="1"/>
  <c r="BI27" i="6"/>
  <c r="EJ27" i="6"/>
  <c r="BL27" i="6" s="1"/>
  <c r="EI27" i="6"/>
  <c r="BB27" i="6" s="1"/>
  <c r="CV27" i="6"/>
  <c r="AR28" i="6" s="1"/>
  <c r="CV28" i="6" s="1"/>
  <c r="AR29" i="6" s="1"/>
  <c r="CV29" i="6" s="1"/>
  <c r="AR30" i="6" s="1"/>
  <c r="CV30" i="6" s="1"/>
  <c r="AR31" i="6" s="1"/>
  <c r="CV31" i="6" s="1"/>
  <c r="AR32" i="6" s="1"/>
  <c r="J13" i="5"/>
  <c r="K13" i="5" s="1"/>
  <c r="CM84" i="6"/>
  <c r="AI85" i="6" s="1"/>
  <c r="EB152" i="6"/>
  <c r="EF153" i="6"/>
  <c r="DI9" i="6"/>
  <c r="CJ35" i="6"/>
  <c r="AF36" i="6" s="1"/>
  <c r="CW84" i="6"/>
  <c r="AS85" i="6" s="1"/>
  <c r="CN84" i="6"/>
  <c r="AJ85" i="6" s="1"/>
  <c r="CY84" i="6"/>
  <c r="AU85" i="6" s="1"/>
  <c r="CM115" i="6"/>
  <c r="AI116" i="6" s="1"/>
  <c r="EH150" i="6"/>
  <c r="EK150" i="6" s="1"/>
  <c r="CD150" i="6"/>
  <c r="Z151" i="6" s="1"/>
  <c r="CC150" i="6"/>
  <c r="Y151" i="6" s="1"/>
  <c r="BM150" i="6"/>
  <c r="CS150" i="6"/>
  <c r="AO151" i="6" s="1"/>
  <c r="CJ24" i="6"/>
  <c r="AF25" i="6" s="1"/>
  <c r="CK24" i="6"/>
  <c r="AG25" i="6" s="1"/>
  <c r="BB25" i="6" s="1"/>
  <c r="BB24" i="6"/>
  <c r="CG26" i="6"/>
  <c r="AC27" i="6" s="1"/>
  <c r="K29" i="4"/>
  <c r="CH69" i="6"/>
  <c r="AD70" i="6" s="1"/>
  <c r="CH70" i="6" s="1"/>
  <c r="AD71" i="6" s="1"/>
  <c r="CH71" i="6" s="1"/>
  <c r="AD72" i="6" s="1"/>
  <c r="CH72" i="6" s="1"/>
  <c r="AD73" i="6" s="1"/>
  <c r="CH73" i="6" s="1"/>
  <c r="AD74" i="6" s="1"/>
  <c r="CJ69" i="6"/>
  <c r="AF70" i="6" s="1"/>
  <c r="CI69" i="6"/>
  <c r="AE70" i="6" s="1"/>
  <c r="CI70" i="6" s="1"/>
  <c r="AE71" i="6" s="1"/>
  <c r="CI71" i="6" s="1"/>
  <c r="AE72" i="6" s="1"/>
  <c r="CI72" i="6" s="1"/>
  <c r="AE73" i="6" s="1"/>
  <c r="CI73" i="6" s="1"/>
  <c r="AE74" i="6" s="1"/>
  <c r="CI74" i="6" s="1"/>
  <c r="AE75" i="6" s="1"/>
  <c r="CI75" i="6" s="1"/>
  <c r="AE76" i="6" s="1"/>
  <c r="CI76" i="6" s="1"/>
  <c r="AE77" i="6" s="1"/>
  <c r="CI77" i="6" s="1"/>
  <c r="AE78" i="6" s="1"/>
  <c r="CI78" i="6" s="1"/>
  <c r="BG69" i="6"/>
  <c r="EB31" i="6"/>
  <c r="EF32" i="6"/>
  <c r="FB110" i="6"/>
  <c r="FC110" i="6"/>
  <c r="AZ110" i="6" s="1"/>
  <c r="L116" i="4" s="1"/>
  <c r="FD25" i="6"/>
  <c r="AY24" i="6"/>
  <c r="BV8" i="6"/>
  <c r="BW8" i="6" s="1"/>
  <c r="P14" i="5"/>
  <c r="R14" i="5" s="1"/>
  <c r="EG31" i="6"/>
  <c r="ED32" i="6" s="1"/>
  <c r="CF25" i="6"/>
  <c r="AB26" i="6" s="1"/>
  <c r="EB125" i="6"/>
  <c r="EF126" i="6"/>
  <c r="EJ24" i="6"/>
  <c r="BL24" i="6" s="1"/>
  <c r="CV24" i="6"/>
  <c r="AR25" i="6" s="1"/>
  <c r="CW24" i="6"/>
  <c r="AS25" i="6" s="1"/>
  <c r="CK130" i="6"/>
  <c r="AG131" i="6" s="1"/>
  <c r="O14" i="4"/>
  <c r="E14" i="5" s="1"/>
  <c r="CU25" i="6"/>
  <c r="AQ26" i="6" s="1"/>
  <c r="CT25" i="6"/>
  <c r="AP26" i="6" s="1"/>
  <c r="T20" i="4"/>
  <c r="BY14" i="6"/>
  <c r="EH73" i="6"/>
  <c r="EK73" i="6" s="1"/>
  <c r="CC73" i="6"/>
  <c r="Y74" i="6" s="1"/>
  <c r="CS73" i="6"/>
  <c r="AO74" i="6" s="1"/>
  <c r="CD73" i="6"/>
  <c r="Z74" i="6" s="1"/>
  <c r="BM73" i="6"/>
  <c r="FC27" i="6"/>
  <c r="AZ27" i="6" s="1"/>
  <c r="L33" i="4" s="1"/>
  <c r="FB27" i="6"/>
  <c r="CM33" i="6"/>
  <c r="AI34" i="6" s="1"/>
  <c r="BI29" i="6"/>
  <c r="EJ29" i="6"/>
  <c r="BL29" i="6" s="1"/>
  <c r="EI29" i="6"/>
  <c r="EQ13" i="6"/>
  <c r="BP21" i="6"/>
  <c r="M27" i="4"/>
  <c r="EN22" i="6"/>
  <c r="Q22" i="6" s="1"/>
  <c r="EO22" i="6" s="1"/>
  <c r="EM23" i="6" s="1"/>
  <c r="EH22" i="6"/>
  <c r="EK22" i="6" s="1"/>
  <c r="CD22" i="6"/>
  <c r="Z23" i="6" s="1"/>
  <c r="CC22" i="6"/>
  <c r="Y23" i="6" s="1"/>
  <c r="CS22" i="6"/>
  <c r="AO23" i="6" s="1"/>
  <c r="BM22" i="6"/>
  <c r="BN22" i="6" s="1"/>
  <c r="BX22" i="6"/>
  <c r="U28" i="4" s="1"/>
  <c r="CB22" i="6"/>
  <c r="X23" i="6" s="1"/>
  <c r="BF22" i="6"/>
  <c r="BK22" i="6" s="1"/>
  <c r="BA22" i="6"/>
  <c r="BI30" i="6"/>
  <c r="EI30" i="6"/>
  <c r="BB30" i="6" s="1"/>
  <c r="EJ30" i="6"/>
  <c r="BL30" i="6" s="1"/>
  <c r="CW32" i="6"/>
  <c r="AS33" i="6" s="1"/>
  <c r="CY32" i="6"/>
  <c r="AU33" i="6" s="1"/>
  <c r="CV32" i="6"/>
  <c r="AR33" i="6" s="1"/>
  <c r="CN32" i="6"/>
  <c r="AJ33" i="6" s="1"/>
  <c r="CX32" i="6"/>
  <c r="AT33" i="6" s="1"/>
  <c r="CY118" i="6"/>
  <c r="AU119" i="6" s="1"/>
  <c r="CW118" i="6"/>
  <c r="AS119" i="6" s="1"/>
  <c r="CN118" i="6"/>
  <c r="AJ119" i="6" s="1"/>
  <c r="EN134" i="6" l="1"/>
  <c r="Q134" i="6" s="1"/>
  <c r="EO134" i="6" s="1"/>
  <c r="EM135" i="6" s="1"/>
  <c r="EN56" i="6"/>
  <c r="Q56" i="6" s="1"/>
  <c r="EO56" i="6" s="1"/>
  <c r="EM57" i="6" s="1"/>
  <c r="FB111" i="6"/>
  <c r="FC111" i="6"/>
  <c r="AZ111" i="6" s="1"/>
  <c r="L117" i="4" s="1"/>
  <c r="CM34" i="6"/>
  <c r="AI35" i="6" s="1"/>
  <c r="EB153" i="6"/>
  <c r="EF154" i="6"/>
  <c r="CM85" i="6"/>
  <c r="AI86" i="6" s="1"/>
  <c r="CN119" i="6"/>
  <c r="AJ120" i="6" s="1"/>
  <c r="CW119" i="6"/>
  <c r="AS120" i="6" s="1"/>
  <c r="CY119" i="6"/>
  <c r="AU120" i="6" s="1"/>
  <c r="FB28" i="6"/>
  <c r="FC28" i="6"/>
  <c r="AZ28" i="6" s="1"/>
  <c r="L34" i="4" s="1"/>
  <c r="CN85" i="6"/>
  <c r="AJ86" i="6" s="1"/>
  <c r="CW85" i="6"/>
  <c r="AS86" i="6" s="1"/>
  <c r="CY85" i="6"/>
  <c r="AU86" i="6" s="1"/>
  <c r="EB126" i="6"/>
  <c r="EF127" i="6"/>
  <c r="CK49" i="6"/>
  <c r="AG50" i="6" s="1"/>
  <c r="EB32" i="6"/>
  <c r="EC32" i="6" s="1"/>
  <c r="AV32" i="6" s="1"/>
  <c r="EF33" i="6"/>
  <c r="CB23" i="6"/>
  <c r="X24" i="6" s="1"/>
  <c r="BF23" i="6"/>
  <c r="BK23" i="6" s="1"/>
  <c r="BA23" i="6"/>
  <c r="CT26" i="6"/>
  <c r="AP27" i="6" s="1"/>
  <c r="CU26" i="6"/>
  <c r="AQ27" i="6" s="1"/>
  <c r="EG32" i="6"/>
  <c r="ED33" i="6" s="1"/>
  <c r="EC31" i="6"/>
  <c r="AV31" i="6" s="1"/>
  <c r="L13" i="5"/>
  <c r="M13" i="5" s="1"/>
  <c r="U15" i="6"/>
  <c r="W15" i="6"/>
  <c r="CA15" i="6" s="1"/>
  <c r="CG27" i="6"/>
  <c r="AC28" i="6" s="1"/>
  <c r="CF26" i="6"/>
  <c r="AB27" i="6" s="1"/>
  <c r="ES13" i="6"/>
  <c r="ER13" i="6"/>
  <c r="V19" i="5" s="1"/>
  <c r="EV13" i="6"/>
  <c r="EW13" i="6" s="1"/>
  <c r="U19" i="5"/>
  <c r="N75" i="4"/>
  <c r="CM116" i="6"/>
  <c r="AI117" i="6" s="1"/>
  <c r="CX33" i="6"/>
  <c r="AT34" i="6" s="1"/>
  <c r="CY33" i="6"/>
  <c r="AU34" i="6" s="1"/>
  <c r="CW33" i="6"/>
  <c r="AS34" i="6" s="1"/>
  <c r="CV33" i="6"/>
  <c r="AR34" i="6" s="1"/>
  <c r="CN33" i="6"/>
  <c r="AJ34" i="6" s="1"/>
  <c r="K30" i="4"/>
  <c r="EH151" i="6"/>
  <c r="EK151" i="6" s="1"/>
  <c r="BM151" i="6"/>
  <c r="CD151" i="6"/>
  <c r="Z152" i="6" s="1"/>
  <c r="CC151" i="6"/>
  <c r="Y152" i="6" s="1"/>
  <c r="CS151" i="6"/>
  <c r="AO152" i="6" s="1"/>
  <c r="CJ36" i="6"/>
  <c r="AF37" i="6" s="1"/>
  <c r="EH74" i="6"/>
  <c r="EK74" i="6" s="1"/>
  <c r="CD74" i="6"/>
  <c r="Z75" i="6" s="1"/>
  <c r="CC74" i="6"/>
  <c r="Y75" i="6" s="1"/>
  <c r="CS74" i="6"/>
  <c r="AO75" i="6" s="1"/>
  <c r="BM74" i="6"/>
  <c r="CK131" i="6"/>
  <c r="AG132" i="6" s="1"/>
  <c r="CJ70" i="6"/>
  <c r="AF71" i="6" s="1"/>
  <c r="BD9" i="6"/>
  <c r="BC9" i="6"/>
  <c r="DR9" i="6"/>
  <c r="BO9" i="6"/>
  <c r="BQ9" i="6" s="1"/>
  <c r="DV9" i="6"/>
  <c r="FD26" i="6"/>
  <c r="AY25" i="6"/>
  <c r="M28" i="4"/>
  <c r="BP22" i="6"/>
  <c r="P14" i="4"/>
  <c r="Q14" i="5"/>
  <c r="S14" i="5" s="1"/>
  <c r="EU8" i="6"/>
  <c r="EN23" i="6"/>
  <c r="Q23" i="6" s="1"/>
  <c r="EO23" i="6" s="1"/>
  <c r="EM24" i="6" s="1"/>
  <c r="EH23" i="6"/>
  <c r="EK23" i="6" s="1"/>
  <c r="CS23" i="6"/>
  <c r="AO24" i="6" s="1"/>
  <c r="CC23" i="6"/>
  <c r="Y24" i="6" s="1"/>
  <c r="CD23" i="6"/>
  <c r="Z24" i="6" s="1"/>
  <c r="BM23" i="6"/>
  <c r="BN23" i="6" s="1"/>
  <c r="BX23" i="6"/>
  <c r="U29" i="4" s="1"/>
  <c r="EJ25" i="6"/>
  <c r="BL25" i="6" s="1"/>
  <c r="CW25" i="6"/>
  <c r="AS26" i="6" s="1"/>
  <c r="EJ26" i="6" s="1"/>
  <c r="BL26" i="6" s="1"/>
  <c r="CV25" i="6"/>
  <c r="AR26" i="6" s="1"/>
  <c r="CH74" i="6"/>
  <c r="AD75" i="6" s="1"/>
  <c r="BG74" i="6"/>
  <c r="EN57" i="6" l="1"/>
  <c r="Q57" i="6" s="1"/>
  <c r="EO57" i="6" s="1"/>
  <c r="EM58" i="6" s="1"/>
  <c r="EN135" i="6"/>
  <c r="Q135" i="6" s="1"/>
  <c r="EO135" i="6" s="1"/>
  <c r="EM136" i="6" s="1"/>
  <c r="EI32" i="6"/>
  <c r="BB32" i="6" s="1"/>
  <c r="EJ32" i="6"/>
  <c r="BL32" i="6" s="1"/>
  <c r="CW86" i="6"/>
  <c r="AS87" i="6" s="1"/>
  <c r="CN86" i="6"/>
  <c r="AJ87" i="6" s="1"/>
  <c r="CY86" i="6"/>
  <c r="AU87" i="6" s="1"/>
  <c r="EB154" i="6"/>
  <c r="EF155" i="6"/>
  <c r="EI31" i="6"/>
  <c r="BB31" i="6" s="1"/>
  <c r="EJ31" i="6"/>
  <c r="BL31" i="6" s="1"/>
  <c r="FC29" i="6"/>
  <c r="AZ29" i="6" s="1"/>
  <c r="L35" i="4" s="1"/>
  <c r="FB29" i="6"/>
  <c r="CM35" i="6"/>
  <c r="AI36" i="6" s="1"/>
  <c r="EH24" i="6"/>
  <c r="EK24" i="6" s="1"/>
  <c r="EN24" i="6"/>
  <c r="Q24" i="6" s="1"/>
  <c r="EO24" i="6" s="1"/>
  <c r="EM25" i="6" s="1"/>
  <c r="CD24" i="6"/>
  <c r="Z25" i="6" s="1"/>
  <c r="CC24" i="6"/>
  <c r="Y25" i="6" s="1"/>
  <c r="CS24" i="6"/>
  <c r="AO25" i="6" s="1"/>
  <c r="BM24" i="6"/>
  <c r="BN24" i="6" s="1"/>
  <c r="BX24" i="6"/>
  <c r="U30" i="4" s="1"/>
  <c r="CK132" i="6"/>
  <c r="AG133" i="6" s="1"/>
  <c r="EG33" i="6"/>
  <c r="ED34" i="6" s="1"/>
  <c r="CK50" i="6"/>
  <c r="AG51" i="6" s="1"/>
  <c r="CJ37" i="6"/>
  <c r="AF38" i="6" s="1"/>
  <c r="K31" i="4"/>
  <c r="CF27" i="6"/>
  <c r="AB28" i="6" s="1"/>
  <c r="EB127" i="6"/>
  <c r="EF128" i="6"/>
  <c r="CT27" i="6"/>
  <c r="AP28" i="6" s="1"/>
  <c r="CU27" i="6"/>
  <c r="AQ28" i="6" s="1"/>
  <c r="FC112" i="6"/>
  <c r="AZ112" i="6" s="1"/>
  <c r="L118" i="4" s="1"/>
  <c r="FB112" i="6"/>
  <c r="CJ71" i="6"/>
  <c r="AF72" i="6" s="1"/>
  <c r="EH152" i="6"/>
  <c r="EK152" i="6" s="1"/>
  <c r="CS152" i="6"/>
  <c r="AO153" i="6" s="1"/>
  <c r="BM152" i="6"/>
  <c r="CC152" i="6"/>
  <c r="Y153" i="6" s="1"/>
  <c r="CD152" i="6"/>
  <c r="Z153" i="6" s="1"/>
  <c r="W19" i="5"/>
  <c r="DW13" i="6"/>
  <c r="BU13" i="6" s="1"/>
  <c r="DX13" i="6"/>
  <c r="BV13" i="6" s="1"/>
  <c r="P19" i="4" s="1"/>
  <c r="F19" i="5" s="1"/>
  <c r="FD27" i="6"/>
  <c r="AY27" i="6" s="1"/>
  <c r="N80" i="4"/>
  <c r="EH75" i="6"/>
  <c r="EK75" i="6" s="1"/>
  <c r="CD75" i="6"/>
  <c r="Z76" i="6" s="1"/>
  <c r="CS75" i="6"/>
  <c r="AO76" i="6" s="1"/>
  <c r="CC75" i="6"/>
  <c r="Y76" i="6" s="1"/>
  <c r="BM75" i="6"/>
  <c r="CM117" i="6"/>
  <c r="AI118" i="6" s="1"/>
  <c r="AY26" i="6"/>
  <c r="CG28" i="6"/>
  <c r="AC29" i="6" s="1"/>
  <c r="M29" i="4"/>
  <c r="BP23" i="6"/>
  <c r="CN120" i="6"/>
  <c r="AJ121" i="6" s="1"/>
  <c r="CY120" i="6"/>
  <c r="AU121" i="6" s="1"/>
  <c r="CW120" i="6"/>
  <c r="AS121" i="6" s="1"/>
  <c r="CH75" i="6"/>
  <c r="AD76" i="6" s="1"/>
  <c r="BG75" i="6"/>
  <c r="DW9" i="6"/>
  <c r="BU9" i="6" s="1"/>
  <c r="BR9" i="6"/>
  <c r="DX9" i="6" s="1"/>
  <c r="DN9" i="6"/>
  <c r="DJ10" i="6" s="1"/>
  <c r="DQ9" i="6"/>
  <c r="DM10" i="6" s="1"/>
  <c r="DO9" i="6"/>
  <c r="DK10" i="6" s="1"/>
  <c r="DP9" i="6"/>
  <c r="DL10" i="6" s="1"/>
  <c r="T21" i="4"/>
  <c r="BY15" i="6"/>
  <c r="CB24" i="6"/>
  <c r="X25" i="6" s="1"/>
  <c r="BF24" i="6"/>
  <c r="BK24" i="6" s="1"/>
  <c r="BA24" i="6"/>
  <c r="CM86" i="6"/>
  <c r="AI87" i="6" s="1"/>
  <c r="Q14" i="4"/>
  <c r="S14" i="4" s="1"/>
  <c r="F14" i="5"/>
  <c r="I14" i="5" s="1"/>
  <c r="CN34" i="6"/>
  <c r="AJ35" i="6" s="1"/>
  <c r="CY34" i="6"/>
  <c r="AU35" i="6" s="1"/>
  <c r="CV34" i="6"/>
  <c r="AR35" i="6" s="1"/>
  <c r="CX34" i="6"/>
  <c r="AT35" i="6" s="1"/>
  <c r="CW34" i="6"/>
  <c r="AS35" i="6" s="1"/>
  <c r="EB33" i="6"/>
  <c r="EF34" i="6"/>
  <c r="EB34" i="6" s="1"/>
  <c r="K33" i="4" l="1"/>
  <c r="EN136" i="6"/>
  <c r="Q136" i="6" s="1"/>
  <c r="EO136" i="6" s="1"/>
  <c r="EM137" i="6" s="1"/>
  <c r="EN58" i="6"/>
  <c r="Q58" i="6" s="1"/>
  <c r="EO58" i="6" s="1"/>
  <c r="EM59" i="6" s="1"/>
  <c r="EH25" i="6"/>
  <c r="EK25" i="6" s="1"/>
  <c r="EN25" i="6"/>
  <c r="Q25" i="6" s="1"/>
  <c r="EO25" i="6" s="1"/>
  <c r="EM26" i="6" s="1"/>
  <c r="CS25" i="6"/>
  <c r="AO26" i="6" s="1"/>
  <c r="CD25" i="6"/>
  <c r="Z26" i="6" s="1"/>
  <c r="CC25" i="6"/>
  <c r="Y26" i="6" s="1"/>
  <c r="BM25" i="6"/>
  <c r="BN25" i="6" s="1"/>
  <c r="BX25" i="6"/>
  <c r="U31" i="4" s="1"/>
  <c r="CW35" i="6"/>
  <c r="AS36" i="6" s="1"/>
  <c r="CV35" i="6"/>
  <c r="AR36" i="6" s="1"/>
  <c r="CN35" i="6"/>
  <c r="AJ36" i="6" s="1"/>
  <c r="CY35" i="6"/>
  <c r="AU36" i="6" s="1"/>
  <c r="CX35" i="6"/>
  <c r="AT36" i="6" s="1"/>
  <c r="EH76" i="6"/>
  <c r="EK76" i="6" s="1"/>
  <c r="CS76" i="6"/>
  <c r="AO77" i="6" s="1"/>
  <c r="CD76" i="6"/>
  <c r="Z77" i="6" s="1"/>
  <c r="CC76" i="6"/>
  <c r="Y77" i="6" s="1"/>
  <c r="BM76" i="6"/>
  <c r="FB113" i="6"/>
  <c r="FC113" i="6"/>
  <c r="AZ113" i="6" s="1"/>
  <c r="L119" i="4" s="1"/>
  <c r="P15" i="5"/>
  <c r="R15" i="5" s="1"/>
  <c r="BV9" i="6"/>
  <c r="BW9" i="6" s="1"/>
  <c r="CW87" i="6"/>
  <c r="AS88" i="6" s="1"/>
  <c r="CN87" i="6"/>
  <c r="AJ88" i="6" s="1"/>
  <c r="CY87" i="6"/>
  <c r="AU88" i="6" s="1"/>
  <c r="O15" i="4"/>
  <c r="E15" i="5" s="1"/>
  <c r="CU28" i="6"/>
  <c r="AQ29" i="6" s="1"/>
  <c r="CT28" i="6"/>
  <c r="AP29" i="6" s="1"/>
  <c r="DI10" i="6"/>
  <c r="BW13" i="6"/>
  <c r="EU13" i="6" s="1"/>
  <c r="ET13" i="6" s="1"/>
  <c r="EP14" i="6" s="1"/>
  <c r="O19" i="4"/>
  <c r="E19" i="5" s="1"/>
  <c r="CJ38" i="6"/>
  <c r="AF39" i="6" s="1"/>
  <c r="CM87" i="6"/>
  <c r="AI88" i="6" s="1"/>
  <c r="EH153" i="6"/>
  <c r="EK153" i="6" s="1"/>
  <c r="CS153" i="6"/>
  <c r="AO154" i="6" s="1"/>
  <c r="CD153" i="6"/>
  <c r="Z154" i="6" s="1"/>
  <c r="CC153" i="6"/>
  <c r="Y154" i="6" s="1"/>
  <c r="BM153" i="6"/>
  <c r="CK51" i="6"/>
  <c r="AG52" i="6" s="1"/>
  <c r="CM36" i="6"/>
  <c r="AI37" i="6" s="1"/>
  <c r="J14" i="5"/>
  <c r="K14" i="5" s="1"/>
  <c r="M30" i="4"/>
  <c r="BP24" i="6"/>
  <c r="N81" i="4"/>
  <c r="CG29" i="6"/>
  <c r="AC30" i="6" s="1"/>
  <c r="EG34" i="6"/>
  <c r="ED35" i="6" s="1"/>
  <c r="EG35" i="6" s="1"/>
  <c r="ED36" i="6" s="1"/>
  <c r="EG36" i="6" s="1"/>
  <c r="ED37" i="6" s="1"/>
  <c r="EG37" i="6" s="1"/>
  <c r="ED38" i="6" s="1"/>
  <c r="EG38" i="6" s="1"/>
  <c r="ED39" i="6" s="1"/>
  <c r="EG39" i="6" s="1"/>
  <c r="ED40" i="6" s="1"/>
  <c r="EG40" i="6" s="1"/>
  <c r="ED41" i="6" s="1"/>
  <c r="EG41" i="6" s="1"/>
  <c r="ED42" i="6" s="1"/>
  <c r="EG42" i="6" s="1"/>
  <c r="ED43" i="6" s="1"/>
  <c r="EG43" i="6" s="1"/>
  <c r="ED44" i="6" s="1"/>
  <c r="EG44" i="6" s="1"/>
  <c r="ED45" i="6" s="1"/>
  <c r="EG45" i="6" s="1"/>
  <c r="ED46" i="6" s="1"/>
  <c r="EG46" i="6" s="1"/>
  <c r="ED47" i="6" s="1"/>
  <c r="EG47" i="6" s="1"/>
  <c r="ED48" i="6" s="1"/>
  <c r="EG48" i="6" s="1"/>
  <c r="ED49" i="6" s="1"/>
  <c r="EG49" i="6" s="1"/>
  <c r="ED50" i="6" s="1"/>
  <c r="EG50" i="6" s="1"/>
  <c r="ED51" i="6" s="1"/>
  <c r="EG51" i="6" s="1"/>
  <c r="ED52" i="6" s="1"/>
  <c r="FC30" i="6"/>
  <c r="AZ30" i="6" s="1"/>
  <c r="L36" i="4" s="1"/>
  <c r="FB30" i="6"/>
  <c r="EC34" i="6"/>
  <c r="AV34" i="6" s="1"/>
  <c r="EC41" i="6"/>
  <c r="AV41" i="6" s="1"/>
  <c r="BI41" i="6" s="1"/>
  <c r="EC43" i="6"/>
  <c r="AV43" i="6" s="1"/>
  <c r="BI43" i="6" s="1"/>
  <c r="EC39" i="6"/>
  <c r="AV39" i="6" s="1"/>
  <c r="BI39" i="6" s="1"/>
  <c r="EC38" i="6"/>
  <c r="AV38" i="6" s="1"/>
  <c r="BI38" i="6" s="1"/>
  <c r="EC40" i="6"/>
  <c r="AV40" i="6" s="1"/>
  <c r="BI40" i="6" s="1"/>
  <c r="EC36" i="6"/>
  <c r="AV36" i="6" s="1"/>
  <c r="BI36" i="6" s="1"/>
  <c r="EC37" i="6"/>
  <c r="AV37" i="6" s="1"/>
  <c r="BI37" i="6" s="1"/>
  <c r="EC44" i="6"/>
  <c r="AV44" i="6" s="1"/>
  <c r="BI44" i="6" s="1"/>
  <c r="EC35" i="6"/>
  <c r="AV35" i="6" s="1"/>
  <c r="EI35" i="6" s="1"/>
  <c r="BB35" i="6" s="1"/>
  <c r="BN35" i="6" s="1"/>
  <c r="EC42" i="6"/>
  <c r="AV42" i="6" s="1"/>
  <c r="BI42" i="6" s="1"/>
  <c r="EC45" i="6"/>
  <c r="AV45" i="6" s="1"/>
  <c r="BI45" i="6" s="1"/>
  <c r="EC46" i="6"/>
  <c r="AV46" i="6" s="1"/>
  <c r="BI46" i="6" s="1"/>
  <c r="EC49" i="6"/>
  <c r="AV49" i="6" s="1"/>
  <c r="BI49" i="6" s="1"/>
  <c r="EC48" i="6"/>
  <c r="AV48" i="6" s="1"/>
  <c r="BI48" i="6" s="1"/>
  <c r="EC47" i="6"/>
  <c r="AV47" i="6" s="1"/>
  <c r="BI47" i="6" s="1"/>
  <c r="EC51" i="6"/>
  <c r="AV51" i="6" s="1"/>
  <c r="BI51" i="6" s="1"/>
  <c r="EC50" i="6"/>
  <c r="AV50" i="6" s="1"/>
  <c r="BI50" i="6" s="1"/>
  <c r="EC33" i="6"/>
  <c r="AV33" i="6" s="1"/>
  <c r="CB25" i="6"/>
  <c r="X26" i="6" s="1"/>
  <c r="BF25" i="6"/>
  <c r="BK25" i="6" s="1"/>
  <c r="BA25" i="6"/>
  <c r="K32" i="4"/>
  <c r="CK133" i="6"/>
  <c r="AG134" i="6" s="1"/>
  <c r="CY121" i="6"/>
  <c r="AU122" i="6" s="1"/>
  <c r="CW121" i="6"/>
  <c r="AS122" i="6" s="1"/>
  <c r="CN121" i="6"/>
  <c r="AJ122" i="6" s="1"/>
  <c r="CH76" i="6"/>
  <c r="AD77" i="6" s="1"/>
  <c r="CH77" i="6" s="1"/>
  <c r="AD78" i="6" s="1"/>
  <c r="BG76" i="6"/>
  <c r="FD28" i="6"/>
  <c r="CM118" i="6"/>
  <c r="AI119" i="6" s="1"/>
  <c r="CF28" i="6"/>
  <c r="AB29" i="6" s="1"/>
  <c r="EB155" i="6"/>
  <c r="EF156" i="6"/>
  <c r="EB128" i="6"/>
  <c r="EF129" i="6"/>
  <c r="EB129" i="6" s="1"/>
  <c r="EJ35" i="6"/>
  <c r="BL35" i="6" s="1"/>
  <c r="W16" i="6"/>
  <c r="U16" i="6"/>
  <c r="CJ72" i="6"/>
  <c r="AF73" i="6" s="1"/>
  <c r="EN59" i="6" l="1"/>
  <c r="Q59" i="6" s="1"/>
  <c r="EO59" i="6" s="1"/>
  <c r="EM60" i="6" s="1"/>
  <c r="EO137" i="6"/>
  <c r="EM138" i="6" s="1"/>
  <c r="EN137" i="6"/>
  <c r="Q137" i="6" s="1"/>
  <c r="EB156" i="6"/>
  <c r="EF157" i="6"/>
  <c r="EI33" i="6"/>
  <c r="BB33" i="6" s="1"/>
  <c r="EJ33" i="6"/>
  <c r="BL33" i="6" s="1"/>
  <c r="ET14" i="6"/>
  <c r="EP15" i="6" s="1"/>
  <c r="EQ14" i="6"/>
  <c r="CW88" i="6"/>
  <c r="AS89" i="6" s="1"/>
  <c r="CN88" i="6"/>
  <c r="AJ89" i="6" s="1"/>
  <c r="CY88" i="6"/>
  <c r="AU89" i="6" s="1"/>
  <c r="CK134" i="6"/>
  <c r="AG135" i="6" s="1"/>
  <c r="EI36" i="6"/>
  <c r="BB36" i="6" s="1"/>
  <c r="BN36" i="6" s="1"/>
  <c r="EH154" i="6"/>
  <c r="EK154" i="6" s="1"/>
  <c r="CD154" i="6"/>
  <c r="Z155" i="6" s="1"/>
  <c r="CS154" i="6"/>
  <c r="AO155" i="6" s="1"/>
  <c r="CC154" i="6"/>
  <c r="Y155" i="6" s="1"/>
  <c r="BM154" i="6"/>
  <c r="DR10" i="6"/>
  <c r="BC10" i="6"/>
  <c r="BD10" i="6"/>
  <c r="BO10" i="6"/>
  <c r="BQ10" i="6" s="1"/>
  <c r="DV10" i="6"/>
  <c r="P15" i="4"/>
  <c r="Q15" i="5"/>
  <c r="S15" i="5" s="1"/>
  <c r="EU9" i="6"/>
  <c r="CY36" i="6"/>
  <c r="AU37" i="6" s="1"/>
  <c r="EI37" i="6" s="1"/>
  <c r="BB37" i="6" s="1"/>
  <c r="BN37" i="6" s="1"/>
  <c r="CX36" i="6"/>
  <c r="AT37" i="6" s="1"/>
  <c r="CV36" i="6"/>
  <c r="AR37" i="6" s="1"/>
  <c r="CN36" i="6"/>
  <c r="AJ37" i="6" s="1"/>
  <c r="CW36" i="6"/>
  <c r="AS37" i="6" s="1"/>
  <c r="EJ37" i="6" s="1"/>
  <c r="BL37" i="6" s="1"/>
  <c r="T22" i="4"/>
  <c r="BY16" i="6"/>
  <c r="CA16" i="6"/>
  <c r="N82" i="4"/>
  <c r="M31" i="4"/>
  <c r="BP25" i="6"/>
  <c r="EJ36" i="6"/>
  <c r="BL36" i="6" s="1"/>
  <c r="EI34" i="6"/>
  <c r="BB34" i="6" s="1"/>
  <c r="EJ34" i="6"/>
  <c r="BL34" i="6" s="1"/>
  <c r="FB114" i="6"/>
  <c r="FC114" i="6"/>
  <c r="AZ114" i="6" s="1"/>
  <c r="L120" i="4" s="1"/>
  <c r="CF29" i="6"/>
  <c r="AB30" i="6" s="1"/>
  <c r="CB26" i="6"/>
  <c r="X27" i="6" s="1"/>
  <c r="BF26" i="6"/>
  <c r="BK26" i="6" s="1"/>
  <c r="BA26" i="6"/>
  <c r="L14" i="5"/>
  <c r="M14" i="5" s="1"/>
  <c r="CU29" i="6"/>
  <c r="AQ30" i="6" s="1"/>
  <c r="CT29" i="6"/>
  <c r="AP30" i="6" s="1"/>
  <c r="FD29" i="6"/>
  <c r="AY28" i="6"/>
  <c r="CG30" i="6"/>
  <c r="AC31" i="6" s="1"/>
  <c r="CK52" i="6"/>
  <c r="AG53" i="6" s="1"/>
  <c r="CH78" i="6"/>
  <c r="AD79" i="6" s="1"/>
  <c r="BG78" i="6"/>
  <c r="EH77" i="6"/>
  <c r="EK77" i="6" s="1"/>
  <c r="CC77" i="6"/>
  <c r="Y78" i="6" s="1"/>
  <c r="CD77" i="6"/>
  <c r="Z78" i="6" s="1"/>
  <c r="CS77" i="6"/>
  <c r="AO78" i="6" s="1"/>
  <c r="BM77" i="6"/>
  <c r="EN26" i="6"/>
  <c r="Q26" i="6" s="1"/>
  <c r="EO26" i="6" s="1"/>
  <c r="EM27" i="6" s="1"/>
  <c r="EH26" i="6"/>
  <c r="EK26" i="6" s="1"/>
  <c r="CD26" i="6"/>
  <c r="Z27" i="6" s="1"/>
  <c r="CC26" i="6"/>
  <c r="Y27" i="6" s="1"/>
  <c r="CS26" i="6"/>
  <c r="AO27" i="6" s="1"/>
  <c r="BM26" i="6"/>
  <c r="BN26" i="6" s="1"/>
  <c r="BX26" i="6"/>
  <c r="U32" i="4" s="1"/>
  <c r="CJ73" i="6"/>
  <c r="AF74" i="6" s="1"/>
  <c r="CM119" i="6"/>
  <c r="AI120" i="6" s="1"/>
  <c r="CN122" i="6"/>
  <c r="AJ123" i="6" s="1"/>
  <c r="CY122" i="6"/>
  <c r="AU123" i="6" s="1"/>
  <c r="CW122" i="6"/>
  <c r="AS123" i="6" s="1"/>
  <c r="CM37" i="6"/>
  <c r="AI38" i="6" s="1"/>
  <c r="CM88" i="6"/>
  <c r="AI89" i="6" s="1"/>
  <c r="FB31" i="6"/>
  <c r="FC31" i="6"/>
  <c r="AZ31" i="6" s="1"/>
  <c r="L37" i="4" s="1"/>
  <c r="EE52" i="6"/>
  <c r="CJ39" i="6"/>
  <c r="AF40" i="6" s="1"/>
  <c r="EN60" i="6" l="1"/>
  <c r="Q60" i="6" s="1"/>
  <c r="EO60" i="6" s="1"/>
  <c r="EM61" i="6" s="1"/>
  <c r="CM120" i="6"/>
  <c r="AI121" i="6" s="1"/>
  <c r="M32" i="4"/>
  <c r="BP26" i="6"/>
  <c r="EB157" i="6"/>
  <c r="EF158" i="6"/>
  <c r="EB52" i="6"/>
  <c r="FB115" i="6"/>
  <c r="FC115" i="6"/>
  <c r="AZ115" i="6" s="1"/>
  <c r="L121" i="4" s="1"/>
  <c r="DO10" i="6"/>
  <c r="DK11" i="6" s="1"/>
  <c r="DQ10" i="6"/>
  <c r="DM11" i="6" s="1"/>
  <c r="DN10" i="6"/>
  <c r="DJ11" i="6" s="1"/>
  <c r="DP10" i="6"/>
  <c r="DL11" i="6" s="1"/>
  <c r="CW89" i="6"/>
  <c r="AS90" i="6" s="1"/>
  <c r="CY89" i="6"/>
  <c r="AU90" i="6" s="1"/>
  <c r="CN89" i="6"/>
  <c r="AJ90" i="6" s="1"/>
  <c r="CJ74" i="6"/>
  <c r="AF75" i="6" s="1"/>
  <c r="CM89" i="6"/>
  <c r="AI90" i="6" s="1"/>
  <c r="CM38" i="6"/>
  <c r="AI39" i="6" s="1"/>
  <c r="CW37" i="6"/>
  <c r="AS38" i="6" s="1"/>
  <c r="EJ38" i="6" s="1"/>
  <c r="BL38" i="6" s="1"/>
  <c r="CV37" i="6"/>
  <c r="AR38" i="6" s="1"/>
  <c r="CX37" i="6"/>
  <c r="AT38" i="6" s="1"/>
  <c r="CN37" i="6"/>
  <c r="AJ38" i="6" s="1"/>
  <c r="CY37" i="6"/>
  <c r="AU38" i="6" s="1"/>
  <c r="EI38" i="6" s="1"/>
  <c r="BB38" i="6" s="1"/>
  <c r="BN38" i="6" s="1"/>
  <c r="CK53" i="6"/>
  <c r="AG54" i="6" s="1"/>
  <c r="CS155" i="6"/>
  <c r="AO156" i="6" s="1"/>
  <c r="CD155" i="6"/>
  <c r="Z156" i="6" s="1"/>
  <c r="CC155" i="6"/>
  <c r="Y156" i="6" s="1"/>
  <c r="EH155" i="6"/>
  <c r="EK155" i="6" s="1"/>
  <c r="BM155" i="6"/>
  <c r="EO138" i="6"/>
  <c r="EM139" i="6" s="1"/>
  <c r="EN138" i="6"/>
  <c r="Q138" i="6" s="1"/>
  <c r="CG31" i="6"/>
  <c r="AC32" i="6" s="1"/>
  <c r="EH78" i="6"/>
  <c r="EK78" i="6" s="1"/>
  <c r="CC78" i="6"/>
  <c r="Y79" i="6" s="1"/>
  <c r="CS78" i="6"/>
  <c r="AO79" i="6" s="1"/>
  <c r="CD78" i="6"/>
  <c r="Z79" i="6" s="1"/>
  <c r="BM78" i="6"/>
  <c r="N84" i="4"/>
  <c r="AY29" i="6"/>
  <c r="FD30" i="6"/>
  <c r="EN27" i="6"/>
  <c r="Q27" i="6" s="1"/>
  <c r="EO27" i="6" s="1"/>
  <c r="EM28" i="6" s="1"/>
  <c r="EH27" i="6"/>
  <c r="EK27" i="6" s="1"/>
  <c r="CD27" i="6"/>
  <c r="Z28" i="6" s="1"/>
  <c r="CC27" i="6"/>
  <c r="Y28" i="6" s="1"/>
  <c r="CS27" i="6"/>
  <c r="AO28" i="6" s="1"/>
  <c r="BM27" i="6"/>
  <c r="BN27" i="6" s="1"/>
  <c r="BX27" i="6"/>
  <c r="U33" i="4" s="1"/>
  <c r="CH79" i="6"/>
  <c r="AD80" i="6" s="1"/>
  <c r="CH80" i="6" s="1"/>
  <c r="AD81" i="6" s="1"/>
  <c r="CH81" i="6" s="1"/>
  <c r="AD82" i="6" s="1"/>
  <c r="CH82" i="6" s="1"/>
  <c r="AD83" i="6" s="1"/>
  <c r="CH83" i="6" s="1"/>
  <c r="AD84" i="6" s="1"/>
  <c r="CH84" i="6" s="1"/>
  <c r="AD85" i="6" s="1"/>
  <c r="CH85" i="6" s="1"/>
  <c r="AD86" i="6" s="1"/>
  <c r="CH86" i="6" s="1"/>
  <c r="AD87" i="6" s="1"/>
  <c r="FA79" i="6"/>
  <c r="FA80" i="6" s="1"/>
  <c r="FA81" i="6" s="1"/>
  <c r="FA82" i="6" s="1"/>
  <c r="FA83" i="6" s="1"/>
  <c r="FA84" i="6" s="1"/>
  <c r="FA85" i="6" s="1"/>
  <c r="FA86" i="6" s="1"/>
  <c r="FA87" i="6" s="1"/>
  <c r="FA88" i="6" s="1"/>
  <c r="FA89" i="6" s="1"/>
  <c r="FA90" i="6" s="1"/>
  <c r="FA91" i="6" s="1"/>
  <c r="CN123" i="6"/>
  <c r="AJ124" i="6" s="1"/>
  <c r="CW123" i="6"/>
  <c r="AS124" i="6" s="1"/>
  <c r="CY123" i="6"/>
  <c r="AU124" i="6" s="1"/>
  <c r="F15" i="5"/>
  <c r="I15" i="5" s="1"/>
  <c r="Q15" i="4"/>
  <c r="S15" i="4" s="1"/>
  <c r="CB27" i="6"/>
  <c r="X28" i="6" s="1"/>
  <c r="BF27" i="6"/>
  <c r="BK27" i="6" s="1"/>
  <c r="BA27" i="6"/>
  <c r="K34" i="4"/>
  <c r="W17" i="6"/>
  <c r="U17" i="6"/>
  <c r="CK135" i="6"/>
  <c r="AG136" i="6" s="1"/>
  <c r="CU30" i="6"/>
  <c r="AQ31" i="6" s="1"/>
  <c r="CT30" i="6"/>
  <c r="AP31" i="6" s="1"/>
  <c r="EV14" i="6"/>
  <c r="EW14" i="6" s="1"/>
  <c r="ES14" i="6"/>
  <c r="W20" i="5" s="1"/>
  <c r="ER14" i="6"/>
  <c r="V20" i="5" s="1"/>
  <c r="U20" i="5"/>
  <c r="EG52" i="6"/>
  <c r="ED53" i="6" s="1"/>
  <c r="EG53" i="6" s="1"/>
  <c r="ED54" i="6" s="1"/>
  <c r="DW10" i="6"/>
  <c r="BR10" i="6"/>
  <c r="DX10" i="6" s="1"/>
  <c r="BV10" i="6" s="1"/>
  <c r="P16" i="4" s="1"/>
  <c r="F16" i="5" s="1"/>
  <c r="FC32" i="6"/>
  <c r="AZ32" i="6" s="1"/>
  <c r="L38" i="4" s="1"/>
  <c r="FB32" i="6"/>
  <c r="CF30" i="6"/>
  <c r="AB31" i="6" s="1"/>
  <c r="CJ40" i="6"/>
  <c r="AF41" i="6" s="1"/>
  <c r="EQ15" i="6"/>
  <c r="ET15" i="6"/>
  <c r="EP16" i="6" s="1"/>
  <c r="EN61" i="6" l="1"/>
  <c r="Q61" i="6" s="1"/>
  <c r="EO61" i="6" s="1"/>
  <c r="EM62" i="6" s="1"/>
  <c r="CV38" i="6"/>
  <c r="AR39" i="6" s="1"/>
  <c r="CN38" i="6"/>
  <c r="AJ39" i="6" s="1"/>
  <c r="CX38" i="6"/>
  <c r="AT39" i="6" s="1"/>
  <c r="CW38" i="6"/>
  <c r="AS39" i="6" s="1"/>
  <c r="EJ39" i="6" s="1"/>
  <c r="BL39" i="6" s="1"/>
  <c r="CY38" i="6"/>
  <c r="AU39" i="6" s="1"/>
  <c r="EI39" i="6" s="1"/>
  <c r="BB39" i="6" s="1"/>
  <c r="BN39" i="6" s="1"/>
  <c r="CW90" i="6"/>
  <c r="AS91" i="6" s="1"/>
  <c r="CY90" i="6"/>
  <c r="AU91" i="6" s="1"/>
  <c r="CN90" i="6"/>
  <c r="AJ91" i="6" s="1"/>
  <c r="EC53" i="6"/>
  <c r="AV53" i="6" s="1"/>
  <c r="BI53" i="6" s="1"/>
  <c r="EC52" i="6"/>
  <c r="AV52" i="6" s="1"/>
  <c r="EH156" i="6"/>
  <c r="EK156" i="6" s="1"/>
  <c r="CC156" i="6"/>
  <c r="Y157" i="6" s="1"/>
  <c r="CD156" i="6"/>
  <c r="Z157" i="6" s="1"/>
  <c r="CS156" i="6"/>
  <c r="AO157" i="6" s="1"/>
  <c r="BM156" i="6"/>
  <c r="CB28" i="6"/>
  <c r="X29" i="6" s="1"/>
  <c r="BF28" i="6"/>
  <c r="BK28" i="6" s="1"/>
  <c r="BG28" i="6"/>
  <c r="BA28" i="6"/>
  <c r="CU31" i="6"/>
  <c r="AQ32" i="6" s="1"/>
  <c r="CT31" i="6"/>
  <c r="AP32" i="6" s="1"/>
  <c r="CM39" i="6"/>
  <c r="AI40" i="6" s="1"/>
  <c r="EB158" i="6"/>
  <c r="EF159" i="6"/>
  <c r="CF31" i="6"/>
  <c r="AB32" i="6" s="1"/>
  <c r="DI11" i="6"/>
  <c r="K35" i="4"/>
  <c r="CM90" i="6"/>
  <c r="AI91" i="6" s="1"/>
  <c r="CM121" i="6"/>
  <c r="AI122" i="6" s="1"/>
  <c r="CJ41" i="6"/>
  <c r="AF42" i="6" s="1"/>
  <c r="CK136" i="6"/>
  <c r="AG137" i="6" s="1"/>
  <c r="T23" i="4"/>
  <c r="BY17" i="6"/>
  <c r="BU10" i="6"/>
  <c r="P16" i="5"/>
  <c r="R16" i="5" s="1"/>
  <c r="CA17" i="6"/>
  <c r="CY124" i="6"/>
  <c r="AU125" i="6" s="1"/>
  <c r="CW124" i="6"/>
  <c r="AS125" i="6" s="1"/>
  <c r="CN124" i="6"/>
  <c r="AJ125" i="6" s="1"/>
  <c r="FB116" i="6"/>
  <c r="FC116" i="6"/>
  <c r="AZ116" i="6" s="1"/>
  <c r="L122" i="4" s="1"/>
  <c r="J15" i="5"/>
  <c r="K15" i="5" s="1"/>
  <c r="FB33" i="6"/>
  <c r="FC33" i="6"/>
  <c r="AZ33" i="6" s="1"/>
  <c r="L39" i="4" s="1"/>
  <c r="EE54" i="6"/>
  <c r="CG32" i="6"/>
  <c r="AC33" i="6" s="1"/>
  <c r="CJ75" i="6"/>
  <c r="AF76" i="6" s="1"/>
  <c r="FD31" i="6"/>
  <c r="AY30" i="6"/>
  <c r="ET16" i="6"/>
  <c r="EP17" i="6" s="1"/>
  <c r="EQ16" i="6"/>
  <c r="CH87" i="6"/>
  <c r="AD88" i="6" s="1"/>
  <c r="BG87" i="6"/>
  <c r="CK54" i="6"/>
  <c r="AG55" i="6" s="1"/>
  <c r="EN28" i="6"/>
  <c r="Q28" i="6" s="1"/>
  <c r="EO28" i="6" s="1"/>
  <c r="EM29" i="6" s="1"/>
  <c r="EH28" i="6"/>
  <c r="EK28" i="6" s="1"/>
  <c r="CC28" i="6"/>
  <c r="Y29" i="6" s="1"/>
  <c r="CS28" i="6"/>
  <c r="AO29" i="6" s="1"/>
  <c r="CD28" i="6"/>
  <c r="Z29" i="6" s="1"/>
  <c r="BM28" i="6"/>
  <c r="BN28" i="6" s="1"/>
  <c r="BX28" i="6"/>
  <c r="U34" i="4" s="1"/>
  <c r="EH79" i="6"/>
  <c r="EK79" i="6" s="1"/>
  <c r="CD79" i="6"/>
  <c r="Z80" i="6" s="1"/>
  <c r="CS79" i="6"/>
  <c r="AO80" i="6" s="1"/>
  <c r="CC79" i="6"/>
  <c r="Y80" i="6" s="1"/>
  <c r="BM79" i="6"/>
  <c r="ER15" i="6"/>
  <c r="V21" i="5" s="1"/>
  <c r="EV15" i="6"/>
  <c r="EW15" i="6" s="1"/>
  <c r="ES15" i="6"/>
  <c r="W21" i="5" s="1"/>
  <c r="U21" i="5"/>
  <c r="M33" i="4"/>
  <c r="BP27" i="6"/>
  <c r="EO139" i="6"/>
  <c r="EM140" i="6" s="1"/>
  <c r="EN139" i="6"/>
  <c r="Q139" i="6" s="1"/>
  <c r="EN62" i="6" l="1"/>
  <c r="Q62" i="6" s="1"/>
  <c r="EO62" i="6" s="1"/>
  <c r="EM63" i="6" s="1"/>
  <c r="CG33" i="6"/>
  <c r="AC34" i="6" s="1"/>
  <c r="EB54" i="6"/>
  <c r="EN140" i="6"/>
  <c r="Q140" i="6" s="1"/>
  <c r="EO140" i="6" s="1"/>
  <c r="EM141" i="6" s="1"/>
  <c r="N93" i="4"/>
  <c r="CJ76" i="6"/>
  <c r="AF77" i="6" s="1"/>
  <c r="CJ42" i="6"/>
  <c r="AF43" i="6" s="1"/>
  <c r="CM91" i="6"/>
  <c r="AI92" i="6" s="1"/>
  <c r="CM40" i="6"/>
  <c r="AI41" i="6" s="1"/>
  <c r="EH157" i="6"/>
  <c r="EK157" i="6" s="1"/>
  <c r="BM157" i="6"/>
  <c r="CS157" i="6"/>
  <c r="AO158" i="6" s="1"/>
  <c r="CD157" i="6"/>
  <c r="Z158" i="6" s="1"/>
  <c r="CC157" i="6"/>
  <c r="Y158" i="6" s="1"/>
  <c r="ET17" i="6"/>
  <c r="EP18" i="6" s="1"/>
  <c r="EQ17" i="6"/>
  <c r="EG54" i="6"/>
  <c r="ED55" i="6" s="1"/>
  <c r="EG55" i="6" s="1"/>
  <c r="ED56" i="6" s="1"/>
  <c r="EG56" i="6" s="1"/>
  <c r="ED57" i="6" s="1"/>
  <c r="EG57" i="6" s="1"/>
  <c r="ED58" i="6" s="1"/>
  <c r="EG58" i="6" s="1"/>
  <c r="ED59" i="6" s="1"/>
  <c r="EG59" i="6" s="1"/>
  <c r="ED60" i="6" s="1"/>
  <c r="EG60" i="6" s="1"/>
  <c r="ED61" i="6" s="1"/>
  <c r="EG61" i="6" s="1"/>
  <c r="ED62" i="6" s="1"/>
  <c r="K36" i="4"/>
  <c r="FD32" i="6"/>
  <c r="AY31" i="6"/>
  <c r="FC34" i="6"/>
  <c r="AZ34" i="6" s="1"/>
  <c r="L40" i="4" s="1"/>
  <c r="FB34" i="6"/>
  <c r="O16" i="4"/>
  <c r="EU10" i="6"/>
  <c r="Q16" i="5"/>
  <c r="S16" i="5" s="1"/>
  <c r="BW10" i="6"/>
  <c r="CN39" i="6"/>
  <c r="AJ40" i="6" s="1"/>
  <c r="CV39" i="6"/>
  <c r="AR40" i="6" s="1"/>
  <c r="CY39" i="6"/>
  <c r="AU40" i="6" s="1"/>
  <c r="EI40" i="6" s="1"/>
  <c r="BB40" i="6" s="1"/>
  <c r="BN40" i="6" s="1"/>
  <c r="CW39" i="6"/>
  <c r="AS40" i="6" s="1"/>
  <c r="EJ40" i="6" s="1"/>
  <c r="BL40" i="6" s="1"/>
  <c r="CX39" i="6"/>
  <c r="AT40" i="6" s="1"/>
  <c r="EB159" i="6"/>
  <c r="EF160" i="6"/>
  <c r="EH29" i="6"/>
  <c r="EK29" i="6" s="1"/>
  <c r="CS29" i="6"/>
  <c r="AO30" i="6" s="1"/>
  <c r="EN29" i="6"/>
  <c r="Q29" i="6" s="1"/>
  <c r="EO29" i="6" s="1"/>
  <c r="EM30" i="6" s="1"/>
  <c r="CC29" i="6"/>
  <c r="Y30" i="6" s="1"/>
  <c r="CD29" i="6"/>
  <c r="Z30" i="6" s="1"/>
  <c r="BM29" i="6"/>
  <c r="BX29" i="6"/>
  <c r="U35" i="4" s="1"/>
  <c r="L15" i="5"/>
  <c r="M15" i="5" s="1"/>
  <c r="U18" i="6"/>
  <c r="W18" i="6"/>
  <c r="CA18" i="6" s="1"/>
  <c r="CU32" i="6"/>
  <c r="AQ33" i="6" s="1"/>
  <c r="CT32" i="6"/>
  <c r="AP33" i="6" s="1"/>
  <c r="EV16" i="6"/>
  <c r="EW16" i="6" s="1"/>
  <c r="ES16" i="6"/>
  <c r="W22" i="5" s="1"/>
  <c r="ER16" i="6"/>
  <c r="V22" i="5" s="1"/>
  <c r="U22" i="5"/>
  <c r="DR11" i="6"/>
  <c r="BD11" i="6"/>
  <c r="BO11" i="6"/>
  <c r="BQ11" i="6" s="1"/>
  <c r="BC11" i="6"/>
  <c r="DV11" i="6"/>
  <c r="CK137" i="6"/>
  <c r="AG138" i="6" s="1"/>
  <c r="N34" i="4"/>
  <c r="CK55" i="6"/>
  <c r="AG56" i="6" s="1"/>
  <c r="FC117" i="6"/>
  <c r="AZ117" i="6" s="1"/>
  <c r="L123" i="4" s="1"/>
  <c r="FB117" i="6"/>
  <c r="CY91" i="6"/>
  <c r="AU92" i="6" s="1"/>
  <c r="CW91" i="6"/>
  <c r="AS92" i="6" s="1"/>
  <c r="CN91" i="6"/>
  <c r="AJ92" i="6" s="1"/>
  <c r="CM122" i="6"/>
  <c r="AI123" i="6" s="1"/>
  <c r="CH88" i="6"/>
  <c r="AD89" i="6" s="1"/>
  <c r="BG88" i="6"/>
  <c r="EH80" i="6"/>
  <c r="EK80" i="6" s="1"/>
  <c r="CD80" i="6"/>
  <c r="Z81" i="6" s="1"/>
  <c r="CC80" i="6"/>
  <c r="Y81" i="6" s="1"/>
  <c r="CS80" i="6"/>
  <c r="AO81" i="6" s="1"/>
  <c r="BM80" i="6"/>
  <c r="M34" i="4"/>
  <c r="BP28" i="6"/>
  <c r="CN125" i="6"/>
  <c r="AJ126" i="6" s="1"/>
  <c r="CW125" i="6"/>
  <c r="AS126" i="6" s="1"/>
  <c r="CY125" i="6"/>
  <c r="AU126" i="6" s="1"/>
  <c r="CF32" i="6"/>
  <c r="AB33" i="6" s="1"/>
  <c r="CB29" i="6"/>
  <c r="X30" i="6" s="1"/>
  <c r="BF29" i="6"/>
  <c r="BK29" i="6" s="1"/>
  <c r="BA29" i="6"/>
  <c r="EN141" i="6" l="1"/>
  <c r="Q141" i="6" s="1"/>
  <c r="EO141" i="6" s="1"/>
  <c r="EM142" i="6" s="1"/>
  <c r="EN63" i="6"/>
  <c r="Q63" i="6" s="1"/>
  <c r="EO63" i="6" s="1"/>
  <c r="EM64" i="6" s="1"/>
  <c r="CK138" i="6"/>
  <c r="AG139" i="6" s="1"/>
  <c r="DO11" i="6"/>
  <c r="DK12" i="6" s="1"/>
  <c r="DQ11" i="6"/>
  <c r="DM12" i="6" s="1"/>
  <c r="DN11" i="6"/>
  <c r="DJ12" i="6" s="1"/>
  <c r="DP11" i="6"/>
  <c r="DL12" i="6" s="1"/>
  <c r="N94" i="4"/>
  <c r="CW40" i="6"/>
  <c r="AS41" i="6" s="1"/>
  <c r="EJ41" i="6" s="1"/>
  <c r="BL41" i="6" s="1"/>
  <c r="CV40" i="6"/>
  <c r="AR41" i="6" s="1"/>
  <c r="CY40" i="6"/>
  <c r="AU41" i="6" s="1"/>
  <c r="EI41" i="6" s="1"/>
  <c r="BB41" i="6" s="1"/>
  <c r="BN41" i="6" s="1"/>
  <c r="CN40" i="6"/>
  <c r="AJ41" i="6" s="1"/>
  <c r="CX40" i="6"/>
  <c r="AT41" i="6" s="1"/>
  <c r="CH89" i="6"/>
  <c r="AD90" i="6" s="1"/>
  <c r="CH90" i="6" s="1"/>
  <c r="AD91" i="6" s="1"/>
  <c r="BG89" i="6"/>
  <c r="EN30" i="6"/>
  <c r="Q30" i="6" s="1"/>
  <c r="EO30" i="6" s="1"/>
  <c r="EM31" i="6" s="1"/>
  <c r="EH30" i="6"/>
  <c r="EK30" i="6" s="1"/>
  <c r="CS30" i="6"/>
  <c r="AO31" i="6" s="1"/>
  <c r="CD30" i="6"/>
  <c r="Z31" i="6" s="1"/>
  <c r="CC30" i="6"/>
  <c r="Y31" i="6" s="1"/>
  <c r="BM30" i="6"/>
  <c r="BN30" i="6" s="1"/>
  <c r="BX30" i="6"/>
  <c r="U36" i="4" s="1"/>
  <c r="CM41" i="6"/>
  <c r="AI42" i="6" s="1"/>
  <c r="CK56" i="6"/>
  <c r="AG57" i="6" s="1"/>
  <c r="EF62" i="6"/>
  <c r="EB62" i="6" s="1"/>
  <c r="CY92" i="6"/>
  <c r="AU93" i="6" s="1"/>
  <c r="CW92" i="6"/>
  <c r="AS93" i="6" s="1"/>
  <c r="Q16" i="4"/>
  <c r="S16" i="4" s="1"/>
  <c r="E16" i="5"/>
  <c r="I16" i="5" s="1"/>
  <c r="ES17" i="6"/>
  <c r="W23" i="5" s="1"/>
  <c r="EV17" i="6"/>
  <c r="EW17" i="6" s="1"/>
  <c r="ER17" i="6"/>
  <c r="V23" i="5" s="1"/>
  <c r="U23" i="5"/>
  <c r="CW126" i="6"/>
  <c r="AS127" i="6" s="1"/>
  <c r="CY126" i="6"/>
  <c r="AU127" i="6" s="1"/>
  <c r="CN126" i="6"/>
  <c r="AJ127" i="6" s="1"/>
  <c r="CM123" i="6"/>
  <c r="AI124" i="6" s="1"/>
  <c r="M35" i="4"/>
  <c r="BP29" i="6"/>
  <c r="FB35" i="6"/>
  <c r="FC35" i="6"/>
  <c r="AZ35" i="6" s="1"/>
  <c r="L41" i="4" s="1"/>
  <c r="EQ18" i="6"/>
  <c r="ET18" i="6"/>
  <c r="EP19" i="6" s="1"/>
  <c r="EC55" i="6"/>
  <c r="AV55" i="6" s="1"/>
  <c r="BI55" i="6" s="1"/>
  <c r="EC56" i="6"/>
  <c r="AV56" i="6" s="1"/>
  <c r="BI56" i="6" s="1"/>
  <c r="EC58" i="6"/>
  <c r="AV58" i="6" s="1"/>
  <c r="BI58" i="6" s="1"/>
  <c r="EC54" i="6"/>
  <c r="AV54" i="6" s="1"/>
  <c r="BI54" i="6" s="1"/>
  <c r="EC57" i="6"/>
  <c r="AV57" i="6" s="1"/>
  <c r="BI57" i="6" s="1"/>
  <c r="EC60" i="6"/>
  <c r="AV60" i="6" s="1"/>
  <c r="BI60" i="6" s="1"/>
  <c r="EC59" i="6"/>
  <c r="AV59" i="6" s="1"/>
  <c r="BI59" i="6" s="1"/>
  <c r="EC61" i="6"/>
  <c r="AV61" i="6" s="1"/>
  <c r="EB160" i="6"/>
  <c r="EF161" i="6"/>
  <c r="CJ43" i="6"/>
  <c r="AF44" i="6" s="1"/>
  <c r="K37" i="4"/>
  <c r="CS158" i="6"/>
  <c r="AO159" i="6" s="1"/>
  <c r="EH158" i="6"/>
  <c r="EK158" i="6" s="1"/>
  <c r="CC158" i="6"/>
  <c r="Y159" i="6" s="1"/>
  <c r="CD158" i="6"/>
  <c r="Z159" i="6" s="1"/>
  <c r="BM158" i="6"/>
  <c r="CG34" i="6"/>
  <c r="AC35" i="6" s="1"/>
  <c r="CU33" i="6"/>
  <c r="AQ34" i="6" s="1"/>
  <c r="CT33" i="6"/>
  <c r="AP34" i="6" s="1"/>
  <c r="T24" i="4"/>
  <c r="BY18" i="6"/>
  <c r="FD33" i="6"/>
  <c r="AY32" i="6"/>
  <c r="CB30" i="6"/>
  <c r="X31" i="6" s="1"/>
  <c r="BF30" i="6"/>
  <c r="BK30" i="6" s="1"/>
  <c r="BA30" i="6"/>
  <c r="CF33" i="6"/>
  <c r="AB34" i="6" s="1"/>
  <c r="FC118" i="6"/>
  <c r="AZ118" i="6" s="1"/>
  <c r="L124" i="4" s="1"/>
  <c r="FB118" i="6"/>
  <c r="DW11" i="6"/>
  <c r="BU11" i="6" s="1"/>
  <c r="BR11" i="6"/>
  <c r="DX11" i="6" s="1"/>
  <c r="CJ77" i="6"/>
  <c r="AF78" i="6" s="1"/>
  <c r="EH81" i="6"/>
  <c r="EK81" i="6" s="1"/>
  <c r="CS81" i="6"/>
  <c r="AO82" i="6" s="1"/>
  <c r="CD81" i="6"/>
  <c r="Z82" i="6" s="1"/>
  <c r="CC81" i="6"/>
  <c r="Y82" i="6" s="1"/>
  <c r="BM81" i="6"/>
  <c r="EN64" i="6" l="1"/>
  <c r="Q64" i="6" s="1"/>
  <c r="EO64" i="6" s="1"/>
  <c r="EM65" i="6" s="1"/>
  <c r="EN142" i="6"/>
  <c r="Q142" i="6" s="1"/>
  <c r="EO142" i="6" s="1"/>
  <c r="EM143" i="6" s="1"/>
  <c r="CU34" i="6"/>
  <c r="AQ35" i="6" s="1"/>
  <c r="CT34" i="6"/>
  <c r="AP35" i="6" s="1"/>
  <c r="ES18" i="6"/>
  <c r="W24" i="5" s="1"/>
  <c r="ER18" i="6"/>
  <c r="V24" i="5" s="1"/>
  <c r="EV18" i="6"/>
  <c r="EW18" i="6" s="1"/>
  <c r="U24" i="5"/>
  <c r="EG62" i="6"/>
  <c r="ED63" i="6" s="1"/>
  <c r="EG63" i="6" s="1"/>
  <c r="ED64" i="6" s="1"/>
  <c r="DI12" i="6"/>
  <c r="CG35" i="6"/>
  <c r="AC36" i="6" s="1"/>
  <c r="CH91" i="6"/>
  <c r="AD92" i="6" s="1"/>
  <c r="BG91" i="6"/>
  <c r="CJ78" i="6"/>
  <c r="AF79" i="6" s="1"/>
  <c r="BV11" i="6"/>
  <c r="P17" i="5"/>
  <c r="R17" i="5" s="1"/>
  <c r="FD34" i="6"/>
  <c r="AY33" i="6"/>
  <c r="J16" i="5"/>
  <c r="K16" i="5" s="1"/>
  <c r="CM42" i="6"/>
  <c r="AI43" i="6" s="1"/>
  <c r="CY41" i="6"/>
  <c r="AU42" i="6" s="1"/>
  <c r="EI42" i="6" s="1"/>
  <c r="BB42" i="6" s="1"/>
  <c r="BN42" i="6" s="1"/>
  <c r="CW41" i="6"/>
  <c r="AS42" i="6" s="1"/>
  <c r="EJ42" i="6" s="1"/>
  <c r="BL42" i="6" s="1"/>
  <c r="CN41" i="6"/>
  <c r="AJ42" i="6" s="1"/>
  <c r="CV41" i="6"/>
  <c r="AR42" i="6" s="1"/>
  <c r="CX41" i="6"/>
  <c r="AT42" i="6" s="1"/>
  <c r="N95" i="4"/>
  <c r="CK139" i="6"/>
  <c r="AG140" i="6" s="1"/>
  <c r="CB31" i="6"/>
  <c r="X32" i="6" s="1"/>
  <c r="BF31" i="6"/>
  <c r="BK31" i="6" s="1"/>
  <c r="BA31" i="6"/>
  <c r="CW93" i="6"/>
  <c r="AS94" i="6" s="1"/>
  <c r="EN31" i="6"/>
  <c r="Q31" i="6" s="1"/>
  <c r="EO31" i="6" s="1"/>
  <c r="EM32" i="6" s="1"/>
  <c r="EH31" i="6"/>
  <c r="EK31" i="6" s="1"/>
  <c r="CS31" i="6"/>
  <c r="AO32" i="6" s="1"/>
  <c r="CC31" i="6"/>
  <c r="Y32" i="6" s="1"/>
  <c r="CD31" i="6"/>
  <c r="Z32" i="6" s="1"/>
  <c r="BM31" i="6"/>
  <c r="BN31" i="6" s="1"/>
  <c r="BX31" i="6"/>
  <c r="U37" i="4" s="1"/>
  <c r="BG61" i="6"/>
  <c r="BI61" i="6"/>
  <c r="CY127" i="6"/>
  <c r="AU128" i="6" s="1"/>
  <c r="CW127" i="6"/>
  <c r="AS128" i="6" s="1"/>
  <c r="CN127" i="6"/>
  <c r="AJ128" i="6" s="1"/>
  <c r="CK57" i="6"/>
  <c r="AG58" i="6" s="1"/>
  <c r="O17" i="4"/>
  <c r="E17" i="5" s="1"/>
  <c r="BW11" i="6"/>
  <c r="EH159" i="6"/>
  <c r="EK159" i="6" s="1"/>
  <c r="BM159" i="6"/>
  <c r="CC159" i="6"/>
  <c r="Y160" i="6" s="1"/>
  <c r="CD159" i="6"/>
  <c r="Z160" i="6" s="1"/>
  <c r="CS159" i="6"/>
  <c r="AO160" i="6" s="1"/>
  <c r="CM124" i="6"/>
  <c r="AI125" i="6" s="1"/>
  <c r="FB119" i="6"/>
  <c r="FC119" i="6"/>
  <c r="AZ119" i="6" s="1"/>
  <c r="L125" i="4" s="1"/>
  <c r="EH82" i="6"/>
  <c r="EK82" i="6" s="1"/>
  <c r="CC82" i="6"/>
  <c r="Y83" i="6" s="1"/>
  <c r="CS82" i="6"/>
  <c r="AO83" i="6" s="1"/>
  <c r="CD82" i="6"/>
  <c r="Z83" i="6" s="1"/>
  <c r="BM82" i="6"/>
  <c r="CF34" i="6"/>
  <c r="AB35" i="6" s="1"/>
  <c r="EB161" i="6"/>
  <c r="EF162" i="6"/>
  <c r="K38" i="4"/>
  <c r="FC36" i="6"/>
  <c r="AZ36" i="6" s="1"/>
  <c r="L42" i="4" s="1"/>
  <c r="FB36" i="6"/>
  <c r="DJ17" i="6"/>
  <c r="DM17" i="6"/>
  <c r="DL17" i="6"/>
  <c r="DK17" i="6"/>
  <c r="U19" i="6"/>
  <c r="W19" i="6"/>
  <c r="M36" i="4"/>
  <c r="BP30" i="6"/>
  <c r="CJ44" i="6"/>
  <c r="AF45" i="6" s="1"/>
  <c r="ET19" i="6"/>
  <c r="EP20" i="6" s="1"/>
  <c r="EQ19" i="6"/>
  <c r="EC62" i="6"/>
  <c r="AV62" i="6" s="1"/>
  <c r="EC63" i="6"/>
  <c r="AV63" i="6" s="1"/>
  <c r="EN143" i="6" l="1"/>
  <c r="Q143" i="6" s="1"/>
  <c r="EO143" i="6" s="1"/>
  <c r="EM144" i="6" s="1"/>
  <c r="EN65" i="6"/>
  <c r="Q65" i="6" s="1"/>
  <c r="EO65" i="6" s="1"/>
  <c r="EM66" i="6" s="1"/>
  <c r="ET20" i="6"/>
  <c r="EP21" i="6" s="1"/>
  <c r="EQ20" i="6"/>
  <c r="P17" i="4"/>
  <c r="Q17" i="5"/>
  <c r="S17" i="5" s="1"/>
  <c r="EU11" i="6"/>
  <c r="CJ45" i="6"/>
  <c r="AF46" i="6" s="1"/>
  <c r="CJ79" i="6"/>
  <c r="AF80" i="6" s="1"/>
  <c r="EB162" i="6"/>
  <c r="EF163" i="6"/>
  <c r="CB32" i="6"/>
  <c r="X33" i="6" s="1"/>
  <c r="BF32" i="6"/>
  <c r="BK32" i="6" s="1"/>
  <c r="BA32" i="6"/>
  <c r="N97" i="4"/>
  <c r="CM125" i="6"/>
  <c r="AI126" i="6" s="1"/>
  <c r="CK58" i="6"/>
  <c r="AG59" i="6" s="1"/>
  <c r="CA19" i="6"/>
  <c r="EH32" i="6"/>
  <c r="EK32" i="6" s="1"/>
  <c r="EN32" i="6"/>
  <c r="Q32" i="6" s="1"/>
  <c r="EO32" i="6" s="1"/>
  <c r="EM33" i="6" s="1"/>
  <c r="CS32" i="6"/>
  <c r="AO33" i="6" s="1"/>
  <c r="CD32" i="6"/>
  <c r="Z33" i="6" s="1"/>
  <c r="CC32" i="6"/>
  <c r="Y33" i="6" s="1"/>
  <c r="BM32" i="6"/>
  <c r="BN32" i="6" s="1"/>
  <c r="BX32" i="6"/>
  <c r="U38" i="4" s="1"/>
  <c r="CK140" i="6"/>
  <c r="AG141" i="6" s="1"/>
  <c r="L16" i="5"/>
  <c r="M16" i="5" s="1"/>
  <c r="CH92" i="6"/>
  <c r="AD93" i="6" s="1"/>
  <c r="CH93" i="6" s="1"/>
  <c r="AD94" i="6" s="1"/>
  <c r="FA92" i="6"/>
  <c r="FA93" i="6" s="1"/>
  <c r="FA94" i="6" s="1"/>
  <c r="FA95" i="6" s="1"/>
  <c r="FA96" i="6" s="1"/>
  <c r="FA97" i="6" s="1"/>
  <c r="FA98" i="6" s="1"/>
  <c r="FA99" i="6" s="1"/>
  <c r="FA100" i="6" s="1"/>
  <c r="FA101" i="6" s="1"/>
  <c r="FA102" i="6" s="1"/>
  <c r="FA103" i="6" s="1"/>
  <c r="FA104" i="6" s="1"/>
  <c r="CU35" i="6"/>
  <c r="AQ36" i="6" s="1"/>
  <c r="CT35" i="6"/>
  <c r="AP36" i="6" s="1"/>
  <c r="N67" i="4"/>
  <c r="T25" i="4"/>
  <c r="BY19" i="6"/>
  <c r="BX35" i="6"/>
  <c r="U41" i="4" s="1"/>
  <c r="CF35" i="6"/>
  <c r="AB36" i="6" s="1"/>
  <c r="K39" i="4"/>
  <c r="CG36" i="6"/>
  <c r="AC37" i="6" s="1"/>
  <c r="EH160" i="6"/>
  <c r="EK160" i="6" s="1"/>
  <c r="BM160" i="6"/>
  <c r="CD160" i="6"/>
  <c r="Z161" i="6" s="1"/>
  <c r="CC160" i="6"/>
  <c r="Y161" i="6" s="1"/>
  <c r="CS160" i="6"/>
  <c r="AO161" i="6" s="1"/>
  <c r="CY128" i="6"/>
  <c r="AU129" i="6" s="1"/>
  <c r="CN128" i="6"/>
  <c r="AJ129" i="6" s="1"/>
  <c r="CW128" i="6"/>
  <c r="AS129" i="6" s="1"/>
  <c r="FD35" i="6"/>
  <c r="AY34" i="6"/>
  <c r="CM43" i="6"/>
  <c r="AI44" i="6" s="1"/>
  <c r="DI17" i="6"/>
  <c r="BD12" i="6"/>
  <c r="BO12" i="6" s="1"/>
  <c r="DR12" i="6"/>
  <c r="BC12" i="6"/>
  <c r="DV12" i="6"/>
  <c r="CW94" i="6"/>
  <c r="AS95" i="6" s="1"/>
  <c r="M37" i="4"/>
  <c r="BP31" i="6"/>
  <c r="FB120" i="6"/>
  <c r="FC120" i="6"/>
  <c r="AZ120" i="6" s="1"/>
  <c r="L126" i="4" s="1"/>
  <c r="EV19" i="6"/>
  <c r="EW19" i="6" s="1"/>
  <c r="ES19" i="6"/>
  <c r="W25" i="5" s="1"/>
  <c r="ER19" i="6"/>
  <c r="V25" i="5" s="1"/>
  <c r="U25" i="5"/>
  <c r="FB37" i="6"/>
  <c r="FC37" i="6"/>
  <c r="AZ37" i="6" s="1"/>
  <c r="L43" i="4" s="1"/>
  <c r="EH83" i="6"/>
  <c r="EK83" i="6" s="1"/>
  <c r="CD83" i="6"/>
  <c r="Z84" i="6" s="1"/>
  <c r="CS83" i="6"/>
  <c r="AO84" i="6" s="1"/>
  <c r="CC83" i="6"/>
  <c r="Y84" i="6" s="1"/>
  <c r="BM83" i="6"/>
  <c r="CX42" i="6"/>
  <c r="AT43" i="6" s="1"/>
  <c r="CW42" i="6"/>
  <c r="AS43" i="6" s="1"/>
  <c r="EJ43" i="6" s="1"/>
  <c r="BL43" i="6" s="1"/>
  <c r="CV42" i="6"/>
  <c r="AR43" i="6" s="1"/>
  <c r="CN42" i="6"/>
  <c r="AJ43" i="6" s="1"/>
  <c r="CY42" i="6"/>
  <c r="AU43" i="6" s="1"/>
  <c r="EI43" i="6" s="1"/>
  <c r="BB43" i="6" s="1"/>
  <c r="BN43" i="6" s="1"/>
  <c r="EG64" i="6"/>
  <c r="ED65" i="6" s="1"/>
  <c r="EE64" i="6"/>
  <c r="EN66" i="6" l="1"/>
  <c r="Q66" i="6" s="1"/>
  <c r="EO66" i="6" s="1"/>
  <c r="EM67" i="6" s="1"/>
  <c r="EN144" i="6"/>
  <c r="Q144" i="6" s="1"/>
  <c r="EO144" i="6" s="1"/>
  <c r="EM145" i="6" s="1"/>
  <c r="K40" i="4"/>
  <c r="W20" i="6"/>
  <c r="CA20" i="6" s="1"/>
  <c r="U20" i="6"/>
  <c r="CM126" i="6"/>
  <c r="AI127" i="6" s="1"/>
  <c r="EH33" i="6"/>
  <c r="EK33" i="6" s="1"/>
  <c r="EN33" i="6"/>
  <c r="Q33" i="6" s="1"/>
  <c r="EO33" i="6" s="1"/>
  <c r="EM34" i="6" s="1"/>
  <c r="CD33" i="6"/>
  <c r="Z34" i="6" s="1"/>
  <c r="CC33" i="6"/>
  <c r="Y34" i="6" s="1"/>
  <c r="CS33" i="6"/>
  <c r="AO34" i="6" s="1"/>
  <c r="BM33" i="6"/>
  <c r="BN33" i="6" s="1"/>
  <c r="BX33" i="6"/>
  <c r="U39" i="4" s="1"/>
  <c r="EE65" i="6"/>
  <c r="EG65" i="6" s="1"/>
  <c r="ED66" i="6" s="1"/>
  <c r="CJ46" i="6"/>
  <c r="AF47" i="6" s="1"/>
  <c r="FC38" i="6"/>
  <c r="AZ38" i="6" s="1"/>
  <c r="L44" i="4" s="1"/>
  <c r="FB38" i="6"/>
  <c r="M38" i="4"/>
  <c r="BP32" i="6"/>
  <c r="F17" i="5"/>
  <c r="I17" i="5" s="1"/>
  <c r="Q17" i="4"/>
  <c r="S17" i="4" s="1"/>
  <c r="CW95" i="6"/>
  <c r="AS96" i="6" s="1"/>
  <c r="EV20" i="6"/>
  <c r="EW20" i="6" s="1"/>
  <c r="ES20" i="6"/>
  <c r="W26" i="5" s="1"/>
  <c r="ER20" i="6"/>
  <c r="V26" i="5" s="1"/>
  <c r="U26" i="5"/>
  <c r="DP12" i="6"/>
  <c r="DL13" i="6" s="1"/>
  <c r="DO12" i="6"/>
  <c r="DK13" i="6" s="1"/>
  <c r="DQ12" i="6"/>
  <c r="DM13" i="6" s="1"/>
  <c r="DN12" i="6"/>
  <c r="DJ13" i="6" s="1"/>
  <c r="CG37" i="6"/>
  <c r="AC38" i="6" s="1"/>
  <c r="CU36" i="6"/>
  <c r="AQ37" i="6" s="1"/>
  <c r="CT36" i="6"/>
  <c r="AP37" i="6" s="1"/>
  <c r="CB33" i="6"/>
  <c r="X34" i="6" s="1"/>
  <c r="BF33" i="6"/>
  <c r="BK33" i="6" s="1"/>
  <c r="BA33" i="6"/>
  <c r="ET21" i="6"/>
  <c r="EP22" i="6" s="1"/>
  <c r="EQ21" i="6"/>
  <c r="CW129" i="6"/>
  <c r="AS130" i="6" s="1"/>
  <c r="EJ130" i="6" s="1"/>
  <c r="BL130" i="6" s="1"/>
  <c r="CY129" i="6"/>
  <c r="AU130" i="6" s="1"/>
  <c r="EI130" i="6" s="1"/>
  <c r="CN129" i="6"/>
  <c r="AJ130" i="6" s="1"/>
  <c r="EB163" i="6"/>
  <c r="EF164" i="6"/>
  <c r="CX43" i="6"/>
  <c r="AT44" i="6" s="1"/>
  <c r="CY43" i="6"/>
  <c r="AU44" i="6" s="1"/>
  <c r="EI44" i="6" s="1"/>
  <c r="BB44" i="6" s="1"/>
  <c r="BN44" i="6" s="1"/>
  <c r="CV43" i="6"/>
  <c r="AR44" i="6" s="1"/>
  <c r="CW43" i="6"/>
  <c r="AS44" i="6" s="1"/>
  <c r="EJ44" i="6" s="1"/>
  <c r="BL44" i="6" s="1"/>
  <c r="CN43" i="6"/>
  <c r="AJ44" i="6" s="1"/>
  <c r="CH94" i="6"/>
  <c r="AD95" i="6" s="1"/>
  <c r="CJ94" i="6"/>
  <c r="AF95" i="6" s="1"/>
  <c r="CI94" i="6"/>
  <c r="AE95" i="6" s="1"/>
  <c r="CI95" i="6" s="1"/>
  <c r="AE96" i="6" s="1"/>
  <c r="CI96" i="6" s="1"/>
  <c r="AE97" i="6" s="1"/>
  <c r="CI97" i="6" s="1"/>
  <c r="AE98" i="6" s="1"/>
  <c r="CI98" i="6" s="1"/>
  <c r="AE99" i="6" s="1"/>
  <c r="CI99" i="6" s="1"/>
  <c r="AE100" i="6" s="1"/>
  <c r="CI100" i="6" s="1"/>
  <c r="AE101" i="6" s="1"/>
  <c r="CI101" i="6" s="1"/>
  <c r="AE102" i="6" s="1"/>
  <c r="CI102" i="6" s="1"/>
  <c r="AE103" i="6" s="1"/>
  <c r="CI103" i="6" s="1"/>
  <c r="AE104" i="6" s="1"/>
  <c r="CI104" i="6" s="1"/>
  <c r="BG94" i="6"/>
  <c r="FD36" i="6"/>
  <c r="EH84" i="6"/>
  <c r="EK84" i="6" s="1"/>
  <c r="CD84" i="6"/>
  <c r="Z85" i="6" s="1"/>
  <c r="CS84" i="6"/>
  <c r="AO85" i="6" s="1"/>
  <c r="CC84" i="6"/>
  <c r="Y85" i="6" s="1"/>
  <c r="BM84" i="6"/>
  <c r="BD17" i="6"/>
  <c r="BC17" i="6"/>
  <c r="DR17" i="6"/>
  <c r="BO17" i="6"/>
  <c r="BQ17" i="6" s="1"/>
  <c r="DV17" i="6"/>
  <c r="FC121" i="6"/>
  <c r="AZ121" i="6" s="1"/>
  <c r="L127" i="4" s="1"/>
  <c r="FB121" i="6"/>
  <c r="CM44" i="6"/>
  <c r="AI45" i="6" s="1"/>
  <c r="BX36" i="6"/>
  <c r="U42" i="4" s="1"/>
  <c r="CF36" i="6"/>
  <c r="AB37" i="6" s="1"/>
  <c r="CK59" i="6"/>
  <c r="AG60" i="6" s="1"/>
  <c r="CJ80" i="6"/>
  <c r="AF81" i="6" s="1"/>
  <c r="EB64" i="6"/>
  <c r="EH161" i="6"/>
  <c r="EK161" i="6" s="1"/>
  <c r="BM161" i="6"/>
  <c r="CD161" i="6"/>
  <c r="Z162" i="6" s="1"/>
  <c r="CC161" i="6"/>
  <c r="Y162" i="6" s="1"/>
  <c r="CS161" i="6"/>
  <c r="AO162" i="6" s="1"/>
  <c r="CK141" i="6"/>
  <c r="AG142" i="6" s="1"/>
  <c r="EE66" i="6" l="1"/>
  <c r="EN145" i="6"/>
  <c r="Q145" i="6" s="1"/>
  <c r="EO145" i="6" s="1"/>
  <c r="EM146" i="6" s="1"/>
  <c r="EO67" i="6"/>
  <c r="EM68" i="6" s="1"/>
  <c r="EN67" i="6"/>
  <c r="Q67" i="6" s="1"/>
  <c r="CW130" i="6"/>
  <c r="AS131" i="6" s="1"/>
  <c r="EJ131" i="6" s="1"/>
  <c r="BL131" i="6" s="1"/>
  <c r="CY130" i="6"/>
  <c r="AU131" i="6" s="1"/>
  <c r="EI131" i="6" s="1"/>
  <c r="CN130" i="6"/>
  <c r="AJ131" i="6" s="1"/>
  <c r="CK60" i="6"/>
  <c r="AG61" i="6" s="1"/>
  <c r="EH85" i="6"/>
  <c r="EK85" i="6" s="1"/>
  <c r="CC85" i="6"/>
  <c r="Y86" i="6" s="1"/>
  <c r="CD85" i="6"/>
  <c r="Z86" i="6" s="1"/>
  <c r="CS85" i="6"/>
  <c r="AO86" i="6" s="1"/>
  <c r="BM85" i="6"/>
  <c r="CM45" i="6"/>
  <c r="AI46" i="6" s="1"/>
  <c r="EQ22" i="6"/>
  <c r="FB122" i="6"/>
  <c r="FC122" i="6"/>
  <c r="AZ122" i="6" s="1"/>
  <c r="L128" i="4" s="1"/>
  <c r="BP33" i="6"/>
  <c r="M39" i="4"/>
  <c r="FB39" i="6"/>
  <c r="FC39" i="6"/>
  <c r="AZ39" i="6" s="1"/>
  <c r="L45" i="4" s="1"/>
  <c r="CM127" i="6"/>
  <c r="AI128" i="6" s="1"/>
  <c r="CB34" i="6"/>
  <c r="X35" i="6" s="1"/>
  <c r="BF34" i="6"/>
  <c r="BK34" i="6" s="1"/>
  <c r="BA34" i="6"/>
  <c r="CJ47" i="6"/>
  <c r="AF48" i="6" s="1"/>
  <c r="EC64" i="6"/>
  <c r="AV64" i="6" s="1"/>
  <c r="CX64" i="6" s="1"/>
  <c r="AT65" i="6" s="1"/>
  <c r="CX65" i="6" s="1"/>
  <c r="AT66" i="6" s="1"/>
  <c r="CX66" i="6" s="1"/>
  <c r="AT67" i="6" s="1"/>
  <c r="CX67" i="6" s="1"/>
  <c r="AT68" i="6" s="1"/>
  <c r="CX68" i="6" s="1"/>
  <c r="AT69" i="6" s="1"/>
  <c r="CX69" i="6" s="1"/>
  <c r="AT70" i="6" s="1"/>
  <c r="CX70" i="6" s="1"/>
  <c r="AT71" i="6" s="1"/>
  <c r="CX71" i="6" s="1"/>
  <c r="AT72" i="6" s="1"/>
  <c r="CX72" i="6" s="1"/>
  <c r="AT73" i="6" s="1"/>
  <c r="CX73" i="6" s="1"/>
  <c r="AT74" i="6" s="1"/>
  <c r="CX74" i="6" s="1"/>
  <c r="AT75" i="6" s="1"/>
  <c r="CX75" i="6" s="1"/>
  <c r="AT76" i="6" s="1"/>
  <c r="CX76" i="6" s="1"/>
  <c r="AT77" i="6" s="1"/>
  <c r="CX77" i="6" s="1"/>
  <c r="AT78" i="6" s="1"/>
  <c r="CX78" i="6" s="1"/>
  <c r="AT79" i="6" s="1"/>
  <c r="CK142" i="6"/>
  <c r="AG143" i="6" s="1"/>
  <c r="CG38" i="6"/>
  <c r="AC39" i="6" s="1"/>
  <c r="CW96" i="6"/>
  <c r="AS97" i="6" s="1"/>
  <c r="EB164" i="6"/>
  <c r="EF165" i="6"/>
  <c r="N100" i="4"/>
  <c r="BX37" i="6"/>
  <c r="U43" i="4" s="1"/>
  <c r="CF37" i="6"/>
  <c r="AB38" i="6" s="1"/>
  <c r="CJ95" i="6"/>
  <c r="AF96" i="6" s="1"/>
  <c r="FD37" i="6"/>
  <c r="AY36" i="6"/>
  <c r="CJ81" i="6"/>
  <c r="AF82" i="6" s="1"/>
  <c r="CU37" i="6"/>
  <c r="AQ38" i="6" s="1"/>
  <c r="CT37" i="6"/>
  <c r="AP38" i="6" s="1"/>
  <c r="DI13" i="6"/>
  <c r="J17" i="5"/>
  <c r="K17" i="5" s="1"/>
  <c r="EN34" i="6"/>
  <c r="Q34" i="6" s="1"/>
  <c r="EO34" i="6" s="1"/>
  <c r="EH34" i="6"/>
  <c r="EK34" i="6" s="1"/>
  <c r="CS34" i="6"/>
  <c r="AO35" i="6" s="1"/>
  <c r="CD34" i="6"/>
  <c r="CC34" i="6"/>
  <c r="BM34" i="6"/>
  <c r="BN34" i="6" s="1"/>
  <c r="BX34" i="6"/>
  <c r="U40" i="4" s="1"/>
  <c r="DW17" i="6"/>
  <c r="BU17" i="6" s="1"/>
  <c r="BR17" i="6"/>
  <c r="DX17" i="6" s="1"/>
  <c r="T26" i="4"/>
  <c r="BY20" i="6"/>
  <c r="DQ17" i="6"/>
  <c r="DM18" i="6" s="1"/>
  <c r="DN17" i="6"/>
  <c r="DJ18" i="6" s="1"/>
  <c r="DO17" i="6"/>
  <c r="DK18" i="6" s="1"/>
  <c r="DP17" i="6"/>
  <c r="DL18" i="6" s="1"/>
  <c r="CX44" i="6"/>
  <c r="AT45" i="6" s="1"/>
  <c r="CN44" i="6"/>
  <c r="AJ45" i="6" s="1"/>
  <c r="CW44" i="6"/>
  <c r="AS45" i="6" s="1"/>
  <c r="EJ45" i="6" s="1"/>
  <c r="BL45" i="6" s="1"/>
  <c r="CV44" i="6"/>
  <c r="AR45" i="6" s="1"/>
  <c r="CY44" i="6"/>
  <c r="AU45" i="6" s="1"/>
  <c r="EI45" i="6" s="1"/>
  <c r="BB45" i="6" s="1"/>
  <c r="BN45" i="6" s="1"/>
  <c r="ES21" i="6"/>
  <c r="W27" i="5" s="1"/>
  <c r="EV21" i="6"/>
  <c r="EW21" i="6" s="1"/>
  <c r="ER21" i="6"/>
  <c r="V27" i="5" s="1"/>
  <c r="U27" i="5"/>
  <c r="EB65" i="6"/>
  <c r="EC65" i="6" s="1"/>
  <c r="AV65" i="6" s="1"/>
  <c r="EH162" i="6"/>
  <c r="EK162" i="6" s="1"/>
  <c r="CD162" i="6"/>
  <c r="Z163" i="6" s="1"/>
  <c r="CC162" i="6"/>
  <c r="Y163" i="6" s="1"/>
  <c r="BM162" i="6"/>
  <c r="CS162" i="6"/>
  <c r="AO163" i="6" s="1"/>
  <c r="CH95" i="6"/>
  <c r="AD96" i="6" s="1"/>
  <c r="CH96" i="6" s="1"/>
  <c r="AD97" i="6" s="1"/>
  <c r="CH97" i="6" s="1"/>
  <c r="AD98" i="6" s="1"/>
  <c r="CH98" i="6" s="1"/>
  <c r="AD99" i="6" s="1"/>
  <c r="L17" i="5" l="1"/>
  <c r="M17" i="5" s="1"/>
  <c r="EN146" i="6"/>
  <c r="Q146" i="6" s="1"/>
  <c r="EO146" i="6" s="1"/>
  <c r="EM147" i="6" s="1"/>
  <c r="ES22" i="6"/>
  <c r="ER22" i="6"/>
  <c r="V28" i="5" s="1"/>
  <c r="EV22" i="6"/>
  <c r="EW22" i="6" s="1"/>
  <c r="U28" i="5"/>
  <c r="CH99" i="6"/>
  <c r="AD100" i="6" s="1"/>
  <c r="BD13" i="6"/>
  <c r="BC13" i="6"/>
  <c r="DR13" i="6"/>
  <c r="DV13" i="6"/>
  <c r="CM128" i="6"/>
  <c r="AI129" i="6" s="1"/>
  <c r="CN131" i="6"/>
  <c r="AJ132" i="6" s="1"/>
  <c r="CW131" i="6"/>
  <c r="AS132" i="6" s="1"/>
  <c r="EJ132" i="6" s="1"/>
  <c r="BL132" i="6" s="1"/>
  <c r="CY131" i="6"/>
  <c r="AU132" i="6" s="1"/>
  <c r="EI132" i="6" s="1"/>
  <c r="BV17" i="6"/>
  <c r="BW17" i="6" s="1"/>
  <c r="P23" i="5"/>
  <c r="R23" i="5" s="1"/>
  <c r="CJ96" i="6"/>
  <c r="AF97" i="6" s="1"/>
  <c r="CG39" i="6"/>
  <c r="AC40" i="6" s="1"/>
  <c r="DI18" i="6"/>
  <c r="CB35" i="6"/>
  <c r="X36" i="6" s="1"/>
  <c r="BF35" i="6"/>
  <c r="BK35" i="6" s="1"/>
  <c r="BD35" i="6"/>
  <c r="BA35" i="6"/>
  <c r="CM46" i="6"/>
  <c r="AI47" i="6" s="1"/>
  <c r="U21" i="6"/>
  <c r="W21" i="6"/>
  <c r="CA21" i="6" s="1"/>
  <c r="FD38" i="6"/>
  <c r="AY37" i="6"/>
  <c r="EH163" i="6"/>
  <c r="EK163" i="6" s="1"/>
  <c r="CD163" i="6"/>
  <c r="Z164" i="6" s="1"/>
  <c r="CC163" i="6"/>
  <c r="Y164" i="6" s="1"/>
  <c r="CS163" i="6"/>
  <c r="AO164" i="6" s="1"/>
  <c r="BM163" i="6"/>
  <c r="O23" i="4"/>
  <c r="E23" i="5" s="1"/>
  <c r="CF38" i="6"/>
  <c r="AB39" i="6" s="1"/>
  <c r="BX38" i="6"/>
  <c r="U44" i="4" s="1"/>
  <c r="CK143" i="6"/>
  <c r="AG144" i="6" s="1"/>
  <c r="EH86" i="6"/>
  <c r="EK86" i="6" s="1"/>
  <c r="CC86" i="6"/>
  <c r="Y87" i="6" s="1"/>
  <c r="CD86" i="6"/>
  <c r="Z87" i="6" s="1"/>
  <c r="CS86" i="6"/>
  <c r="AO87" i="6" s="1"/>
  <c r="BM86" i="6"/>
  <c r="CW97" i="6"/>
  <c r="AS98" i="6" s="1"/>
  <c r="CU38" i="6"/>
  <c r="AQ39" i="6" s="1"/>
  <c r="CT38" i="6"/>
  <c r="AP39" i="6" s="1"/>
  <c r="FC40" i="6"/>
  <c r="AZ40" i="6" s="1"/>
  <c r="L46" i="4" s="1"/>
  <c r="FB40" i="6"/>
  <c r="EO68" i="6"/>
  <c r="EM69" i="6" s="1"/>
  <c r="EN68" i="6"/>
  <c r="Q68" i="6" s="1"/>
  <c r="CN45" i="6"/>
  <c r="AJ46" i="6" s="1"/>
  <c r="CY45" i="6"/>
  <c r="AU46" i="6" s="1"/>
  <c r="EI46" i="6" s="1"/>
  <c r="BB46" i="6" s="1"/>
  <c r="BN46" i="6" s="1"/>
  <c r="CX45" i="6"/>
  <c r="AT46" i="6" s="1"/>
  <c r="CW45" i="6"/>
  <c r="AS46" i="6" s="1"/>
  <c r="EJ46" i="6" s="1"/>
  <c r="BL46" i="6" s="1"/>
  <c r="CV45" i="6"/>
  <c r="AR46" i="6" s="1"/>
  <c r="CJ82" i="6"/>
  <c r="AF83" i="6" s="1"/>
  <c r="CJ48" i="6"/>
  <c r="AF49" i="6" s="1"/>
  <c r="K42" i="4"/>
  <c r="EB165" i="6"/>
  <c r="EF166" i="6"/>
  <c r="FB123" i="6"/>
  <c r="FC123" i="6"/>
  <c r="AZ123" i="6" s="1"/>
  <c r="L129" i="4" s="1"/>
  <c r="EB66" i="6"/>
  <c r="BI65" i="6"/>
  <c r="EI65" i="6"/>
  <c r="CV65" i="6"/>
  <c r="AR66" i="6" s="1"/>
  <c r="M40" i="4"/>
  <c r="BP34" i="6"/>
  <c r="CK61" i="6"/>
  <c r="AG62" i="6" s="1"/>
  <c r="EG66" i="6"/>
  <c r="ED67" i="6" s="1"/>
  <c r="EG67" i="6" s="1"/>
  <c r="ED68" i="6" s="1"/>
  <c r="EG68" i="6" s="1"/>
  <c r="ED69" i="6" s="1"/>
  <c r="EG69" i="6" s="1"/>
  <c r="ED70" i="6" s="1"/>
  <c r="EG70" i="6" s="1"/>
  <c r="ED71" i="6" s="1"/>
  <c r="EG71" i="6" s="1"/>
  <c r="ED72" i="6" s="1"/>
  <c r="EG72" i="6" s="1"/>
  <c r="ED73" i="6" s="1"/>
  <c r="EG73" i="6" s="1"/>
  <c r="ED74" i="6" s="1"/>
  <c r="EN147" i="6" l="1"/>
  <c r="Q147" i="6" s="1"/>
  <c r="EO147" i="6" s="1"/>
  <c r="EM148" i="6" s="1"/>
  <c r="FC124" i="6"/>
  <c r="AZ124" i="6" s="1"/>
  <c r="L130" i="4" s="1"/>
  <c r="FB124" i="6"/>
  <c r="CF39" i="6"/>
  <c r="AB40" i="6" s="1"/>
  <c r="BX39" i="6"/>
  <c r="U45" i="4" s="1"/>
  <c r="EN69" i="6"/>
  <c r="Q69" i="6" s="1"/>
  <c r="EO69" i="6" s="1"/>
  <c r="EM70" i="6" s="1"/>
  <c r="FC41" i="6"/>
  <c r="AZ41" i="6" s="1"/>
  <c r="L47" i="4" s="1"/>
  <c r="FB41" i="6"/>
  <c r="T27" i="4"/>
  <c r="BY21" i="6"/>
  <c r="EH87" i="6"/>
  <c r="EK87" i="6" s="1"/>
  <c r="CS87" i="6"/>
  <c r="AO88" i="6" s="1"/>
  <c r="CD87" i="6"/>
  <c r="Z88" i="6" s="1"/>
  <c r="CC87" i="6"/>
  <c r="Y88" i="6" s="1"/>
  <c r="BM87" i="6"/>
  <c r="CJ97" i="6"/>
  <c r="AF98" i="6" s="1"/>
  <c r="DN13" i="6"/>
  <c r="DJ14" i="6" s="1"/>
  <c r="DQ13" i="6"/>
  <c r="DM14" i="6" s="1"/>
  <c r="DO13" i="6"/>
  <c r="DK14" i="6" s="1"/>
  <c r="DP13" i="6"/>
  <c r="DL14" i="6" s="1"/>
  <c r="EF74" i="6"/>
  <c r="CJ49" i="6"/>
  <c r="AF50" i="6" s="1"/>
  <c r="EH164" i="6"/>
  <c r="EK164" i="6" s="1"/>
  <c r="BM164" i="6"/>
  <c r="CS164" i="6"/>
  <c r="AO165" i="6" s="1"/>
  <c r="CD164" i="6"/>
  <c r="Z165" i="6" s="1"/>
  <c r="CC164" i="6"/>
  <c r="Y165" i="6" s="1"/>
  <c r="CM47" i="6"/>
  <c r="AI48" i="6" s="1"/>
  <c r="CT39" i="6"/>
  <c r="AP40" i="6" s="1"/>
  <c r="CU39" i="6"/>
  <c r="AQ40" i="6" s="1"/>
  <c r="M41" i="4"/>
  <c r="BP35" i="6"/>
  <c r="P23" i="4"/>
  <c r="EU17" i="6"/>
  <c r="Q23" i="5"/>
  <c r="S23" i="5" s="1"/>
  <c r="CK62" i="6"/>
  <c r="AG63" i="6" s="1"/>
  <c r="CW98" i="6"/>
  <c r="AS99" i="6" s="1"/>
  <c r="CH100" i="6"/>
  <c r="AD101" i="6" s="1"/>
  <c r="BG100" i="6"/>
  <c r="EC69" i="6"/>
  <c r="AV69" i="6" s="1"/>
  <c r="EC67" i="6"/>
  <c r="AV67" i="6" s="1"/>
  <c r="EC70" i="6"/>
  <c r="AV70" i="6" s="1"/>
  <c r="EC66" i="6"/>
  <c r="AV66" i="6" s="1"/>
  <c r="EC72" i="6"/>
  <c r="AV72" i="6" s="1"/>
  <c r="EC68" i="6"/>
  <c r="AV68" i="6" s="1"/>
  <c r="EC71" i="6"/>
  <c r="AV71" i="6" s="1"/>
  <c r="EC73" i="6"/>
  <c r="AV73" i="6" s="1"/>
  <c r="CK144" i="6"/>
  <c r="AG145" i="6" s="1"/>
  <c r="K43" i="4"/>
  <c r="CB36" i="6"/>
  <c r="X37" i="6" s="1"/>
  <c r="BF36" i="6"/>
  <c r="BK36" i="6" s="1"/>
  <c r="BQ36" i="6" s="1"/>
  <c r="BA36" i="6"/>
  <c r="CJ83" i="6"/>
  <c r="AF84" i="6" s="1"/>
  <c r="EB166" i="6"/>
  <c r="EF167" i="6"/>
  <c r="BD18" i="6"/>
  <c r="BO18" i="6"/>
  <c r="BQ18" i="6" s="1"/>
  <c r="BC18" i="6"/>
  <c r="DR18" i="6"/>
  <c r="DV18" i="6"/>
  <c r="AY38" i="6"/>
  <c r="FD39" i="6"/>
  <c r="CW132" i="6"/>
  <c r="AS133" i="6" s="1"/>
  <c r="EJ133" i="6" s="1"/>
  <c r="BL133" i="6" s="1"/>
  <c r="CN132" i="6"/>
  <c r="AJ133" i="6" s="1"/>
  <c r="CY132" i="6"/>
  <c r="AU133" i="6" s="1"/>
  <c r="EI133" i="6" s="1"/>
  <c r="CW46" i="6"/>
  <c r="AS47" i="6" s="1"/>
  <c r="EJ47" i="6" s="1"/>
  <c r="BL47" i="6" s="1"/>
  <c r="CV46" i="6"/>
  <c r="AR47" i="6" s="1"/>
  <c r="CY46" i="6"/>
  <c r="AU47" i="6" s="1"/>
  <c r="EI47" i="6" s="1"/>
  <c r="BB47" i="6" s="1"/>
  <c r="BN47" i="6" s="1"/>
  <c r="CX46" i="6"/>
  <c r="AT47" i="6" s="1"/>
  <c r="CN46" i="6"/>
  <c r="AJ47" i="6" s="1"/>
  <c r="W28" i="5"/>
  <c r="DX22" i="6"/>
  <c r="BV22" i="6" s="1"/>
  <c r="P28" i="4" s="1"/>
  <c r="F28" i="5" s="1"/>
  <c r="DW22" i="6"/>
  <c r="BU22" i="6" s="1"/>
  <c r="CG40" i="6"/>
  <c r="AC41" i="6" s="1"/>
  <c r="CM129" i="6"/>
  <c r="AI130" i="6" s="1"/>
  <c r="CM130" i="6" s="1"/>
  <c r="AI131" i="6" s="1"/>
  <c r="CM131" i="6" s="1"/>
  <c r="AI132" i="6" s="1"/>
  <c r="CM132" i="6" s="1"/>
  <c r="AI133" i="6" s="1"/>
  <c r="CM133" i="6" s="1"/>
  <c r="AI134" i="6" s="1"/>
  <c r="CM134" i="6" s="1"/>
  <c r="AI135" i="6" s="1"/>
  <c r="CM135" i="6" s="1"/>
  <c r="AI136" i="6" s="1"/>
  <c r="CM136" i="6" s="1"/>
  <c r="AI137" i="6" s="1"/>
  <c r="CM137" i="6" s="1"/>
  <c r="AI138" i="6" s="1"/>
  <c r="CM138" i="6" s="1"/>
  <c r="AI139" i="6" s="1"/>
  <c r="CM139" i="6" s="1"/>
  <c r="AI140" i="6" s="1"/>
  <c r="CM140" i="6" s="1"/>
  <c r="AI141" i="6" s="1"/>
  <c r="CM141" i="6" s="1"/>
  <c r="AI142" i="6" s="1"/>
  <c r="CM142" i="6" s="1"/>
  <c r="AI143" i="6" s="1"/>
  <c r="CM143" i="6" s="1"/>
  <c r="AI144" i="6" s="1"/>
  <c r="CM144" i="6" s="1"/>
  <c r="AI145" i="6" s="1"/>
  <c r="CM145" i="6" s="1"/>
  <c r="AI146" i="6" s="1"/>
  <c r="CM146" i="6" s="1"/>
  <c r="AI147" i="6" s="1"/>
  <c r="CM147" i="6" s="1"/>
  <c r="AI148" i="6" s="1"/>
  <c r="CM148" i="6" s="1"/>
  <c r="AI149" i="6" s="1"/>
  <c r="CM149" i="6" s="1"/>
  <c r="AI150" i="6" s="1"/>
  <c r="CM150" i="6" s="1"/>
  <c r="AI151" i="6" s="1"/>
  <c r="CM151" i="6" s="1"/>
  <c r="AI152" i="6" s="1"/>
  <c r="CM152" i="6" s="1"/>
  <c r="AI153" i="6" s="1"/>
  <c r="CM153" i="6" s="1"/>
  <c r="AI154" i="6" s="1"/>
  <c r="CM154" i="6" s="1"/>
  <c r="AI155" i="6" s="1"/>
  <c r="CM155" i="6" s="1"/>
  <c r="AI156" i="6" s="1"/>
  <c r="CM156" i="6" s="1"/>
  <c r="AI157" i="6" s="1"/>
  <c r="CM157" i="6" s="1"/>
  <c r="AI158" i="6" s="1"/>
  <c r="CM158" i="6" s="1"/>
  <c r="AI159" i="6" s="1"/>
  <c r="CM159" i="6" s="1"/>
  <c r="AI160" i="6" s="1"/>
  <c r="CM160" i="6" s="1"/>
  <c r="AI161" i="6" s="1"/>
  <c r="CM161" i="6" s="1"/>
  <c r="AI162" i="6" s="1"/>
  <c r="CM162" i="6" s="1"/>
  <c r="AI163" i="6" s="1"/>
  <c r="CM163" i="6" s="1"/>
  <c r="AI164" i="6" s="1"/>
  <c r="CM164" i="6" s="1"/>
  <c r="AI165" i="6" s="1"/>
  <c r="CM165" i="6" s="1"/>
  <c r="AI166" i="6" s="1"/>
  <c r="CM166" i="6" s="1"/>
  <c r="AI167" i="6" s="1"/>
  <c r="CM167" i="6" s="1"/>
  <c r="AI168" i="6" s="1"/>
  <c r="CM168" i="6" s="1"/>
  <c r="AI169" i="6" s="1"/>
  <c r="CM169" i="6" s="1"/>
  <c r="AI170" i="6" s="1"/>
  <c r="CM170" i="6" s="1"/>
  <c r="AI171" i="6" s="1"/>
  <c r="CM171" i="6" s="1"/>
  <c r="AI172" i="6" s="1"/>
  <c r="CM172" i="6" s="1"/>
  <c r="AI173" i="6" s="1"/>
  <c r="CM173" i="6" s="1"/>
  <c r="AI174" i="6" s="1"/>
  <c r="CM174" i="6" s="1"/>
  <c r="AI175" i="6" s="1"/>
  <c r="CM175" i="6" s="1"/>
  <c r="AI176" i="6" s="1"/>
  <c r="CM176" i="6" s="1"/>
  <c r="AI177" i="6" s="1"/>
  <c r="CM177" i="6" s="1"/>
  <c r="AI178" i="6" s="1"/>
  <c r="CM178" i="6" s="1"/>
  <c r="AI179" i="6" s="1"/>
  <c r="CM179" i="6" s="1"/>
  <c r="AI180" i="6" s="1"/>
  <c r="CM180" i="6" s="1"/>
  <c r="AI181" i="6" s="1"/>
  <c r="CM181" i="6" s="1"/>
  <c r="AI182" i="6" s="1"/>
  <c r="CM182" i="6" s="1"/>
  <c r="AI183" i="6" s="1"/>
  <c r="CM183" i="6" s="1"/>
  <c r="AI184" i="6" s="1"/>
  <c r="CM184" i="6" s="1"/>
  <c r="AI185" i="6" s="1"/>
  <c r="CM185" i="6" s="1"/>
  <c r="AI186" i="6" s="1"/>
  <c r="CM186" i="6" s="1"/>
  <c r="AI187" i="6" s="1"/>
  <c r="CM187" i="6" s="1"/>
  <c r="AI188" i="6" s="1"/>
  <c r="CM188" i="6" s="1"/>
  <c r="AI189" i="6" s="1"/>
  <c r="CM189" i="6" s="1"/>
  <c r="AI190" i="6" s="1"/>
  <c r="CM190" i="6" s="1"/>
  <c r="AI191" i="6" s="1"/>
  <c r="CM191" i="6" s="1"/>
  <c r="AI192" i="6" s="1"/>
  <c r="CM192" i="6" s="1"/>
  <c r="AI193" i="6" s="1"/>
  <c r="CM193" i="6" s="1"/>
  <c r="AI194" i="6" s="1"/>
  <c r="CM194" i="6" s="1"/>
  <c r="AI195" i="6" s="1"/>
  <c r="CM195" i="6" s="1"/>
  <c r="AI196" i="6" s="1"/>
  <c r="CM196" i="6" s="1"/>
  <c r="AI197" i="6" s="1"/>
  <c r="CM197" i="6" s="1"/>
  <c r="AI198" i="6" s="1"/>
  <c r="CM198" i="6" s="1"/>
  <c r="AI199" i="6" s="1"/>
  <c r="CM199" i="6" s="1"/>
  <c r="AI200" i="6" s="1"/>
  <c r="CM200" i="6" s="1"/>
  <c r="AI201" i="6" s="1"/>
  <c r="CM201" i="6" s="1"/>
  <c r="AI202" i="6" s="1"/>
  <c r="CM202" i="6" s="1"/>
  <c r="AI203" i="6" s="1"/>
  <c r="CM203" i="6" s="1"/>
  <c r="AI204" i="6" s="1"/>
  <c r="CM204" i="6" s="1"/>
  <c r="AI205" i="6" s="1"/>
  <c r="CM205" i="6" s="1"/>
  <c r="AI206" i="6" s="1"/>
  <c r="CM206" i="6" s="1"/>
  <c r="AI207" i="6" s="1"/>
  <c r="CM207" i="6" s="1"/>
  <c r="AI208" i="6" s="1"/>
  <c r="CM208" i="6" s="1"/>
  <c r="AI209" i="6" s="1"/>
  <c r="CM209" i="6" s="1"/>
  <c r="AI210" i="6" s="1"/>
  <c r="CM210" i="6" s="1"/>
  <c r="AI211" i="6" s="1"/>
  <c r="CM211" i="6" s="1"/>
  <c r="AI212" i="6" s="1"/>
  <c r="CM212" i="6" s="1"/>
  <c r="AI213" i="6" s="1"/>
  <c r="CM213" i="6" s="1"/>
  <c r="AI214" i="6" s="1"/>
  <c r="CM214" i="6" s="1"/>
  <c r="AI215" i="6" s="1"/>
  <c r="CM215" i="6" s="1"/>
  <c r="AI216" i="6" s="1"/>
  <c r="CM216" i="6" s="1"/>
  <c r="AI217" i="6" s="1"/>
  <c r="CM217" i="6" s="1"/>
  <c r="AI218" i="6" s="1"/>
  <c r="CM218" i="6" s="1"/>
  <c r="AI219" i="6" s="1"/>
  <c r="CM219" i="6" s="1"/>
  <c r="AI220" i="6" s="1"/>
  <c r="CM220" i="6" s="1"/>
  <c r="AI221" i="6" s="1"/>
  <c r="CM221" i="6" s="1"/>
  <c r="AI222" i="6" s="1"/>
  <c r="CM222" i="6" s="1"/>
  <c r="AI223" i="6" s="1"/>
  <c r="CM223" i="6" s="1"/>
  <c r="AI224" i="6" s="1"/>
  <c r="CM224" i="6" s="1"/>
  <c r="AI225" i="6" s="1"/>
  <c r="CM225" i="6" s="1"/>
  <c r="AI226" i="6" s="1"/>
  <c r="CM226" i="6" s="1"/>
  <c r="AI227" i="6" s="1"/>
  <c r="CM227" i="6" s="1"/>
  <c r="AI228" i="6" s="1"/>
  <c r="CM228" i="6" s="1"/>
  <c r="AI229" i="6" s="1"/>
  <c r="CM229" i="6" s="1"/>
  <c r="AI230" i="6" s="1"/>
  <c r="CM230" i="6" s="1"/>
  <c r="AI231" i="6" s="1"/>
  <c r="CM231" i="6" s="1"/>
  <c r="AI232" i="6" s="1"/>
  <c r="CM232" i="6" s="1"/>
  <c r="AI233" i="6" s="1"/>
  <c r="CM233" i="6" s="1"/>
  <c r="AI234" i="6" s="1"/>
  <c r="CM234" i="6" s="1"/>
  <c r="AI235" i="6" s="1"/>
  <c r="CM235" i="6" s="1"/>
  <c r="AI236" i="6" s="1"/>
  <c r="CM236" i="6" s="1"/>
  <c r="AI237" i="6" s="1"/>
  <c r="CM237" i="6" s="1"/>
  <c r="AI238" i="6" s="1"/>
  <c r="CM238" i="6" s="1"/>
  <c r="AI239" i="6" s="1"/>
  <c r="CM239" i="6" s="1"/>
  <c r="AI240" i="6" s="1"/>
  <c r="CM240" i="6" s="1"/>
  <c r="AI241" i="6" s="1"/>
  <c r="CM241" i="6" s="1"/>
  <c r="AI242" i="6" s="1"/>
  <c r="CM242" i="6" s="1"/>
  <c r="EN70" i="6" l="1"/>
  <c r="Q70" i="6" s="1"/>
  <c r="EO70" i="6" s="1"/>
  <c r="EM71" i="6" s="1"/>
  <c r="EN148" i="6"/>
  <c r="Q148" i="6" s="1"/>
  <c r="EO148" i="6" s="1"/>
  <c r="EM149" i="6" s="1"/>
  <c r="K44" i="4"/>
  <c r="CJ84" i="6"/>
  <c r="AF85" i="6" s="1"/>
  <c r="BI73" i="6"/>
  <c r="EJ73" i="6"/>
  <c r="BL73" i="6" s="1"/>
  <c r="EI73" i="6"/>
  <c r="BB73" i="6" s="1"/>
  <c r="BN73" i="6" s="1"/>
  <c r="V22" i="6"/>
  <c r="BZ22" i="6" s="1"/>
  <c r="V23" i="6" s="1"/>
  <c r="BZ23" i="6" s="1"/>
  <c r="V24" i="6" s="1"/>
  <c r="BZ24" i="6" s="1"/>
  <c r="V25" i="6" s="1"/>
  <c r="BZ25" i="6" s="1"/>
  <c r="V26" i="6" s="1"/>
  <c r="BZ26" i="6" s="1"/>
  <c r="V27" i="6" s="1"/>
  <c r="BZ27" i="6" s="1"/>
  <c r="V28" i="6" s="1"/>
  <c r="BZ28" i="6" s="1"/>
  <c r="V29" i="6" s="1"/>
  <c r="BZ29" i="6" s="1"/>
  <c r="V30" i="6" s="1"/>
  <c r="BZ30" i="6" s="1"/>
  <c r="V31" i="6" s="1"/>
  <c r="BZ31" i="6" s="1"/>
  <c r="V32" i="6" s="1"/>
  <c r="BZ32" i="6" s="1"/>
  <c r="V33" i="6" s="1"/>
  <c r="BZ33" i="6" s="1"/>
  <c r="V34" i="6" s="1"/>
  <c r="BZ34" i="6" s="1"/>
  <c r="V35" i="6" s="1"/>
  <c r="BZ35" i="6" s="1"/>
  <c r="V36" i="6" s="1"/>
  <c r="BZ36" i="6" s="1"/>
  <c r="V37" i="6" s="1"/>
  <c r="BZ37" i="6" s="1"/>
  <c r="V38" i="6" s="1"/>
  <c r="BZ38" i="6" s="1"/>
  <c r="U22" i="6"/>
  <c r="W22" i="6"/>
  <c r="CA22" i="6" s="1"/>
  <c r="FB42" i="6"/>
  <c r="FC42" i="6"/>
  <c r="AZ42" i="6" s="1"/>
  <c r="L48" i="4" s="1"/>
  <c r="BI72" i="6"/>
  <c r="EI72" i="6"/>
  <c r="EJ72" i="6"/>
  <c r="BL72" i="6" s="1"/>
  <c r="BI71" i="6"/>
  <c r="EJ71" i="6"/>
  <c r="BL71" i="6" s="1"/>
  <c r="EI71" i="6"/>
  <c r="BB71" i="6" s="1"/>
  <c r="BN71" i="6" s="1"/>
  <c r="BI66" i="6"/>
  <c r="EJ66" i="6"/>
  <c r="BL66" i="6" s="1"/>
  <c r="EI66" i="6"/>
  <c r="CV66" i="6"/>
  <c r="AR67" i="6" s="1"/>
  <c r="CV67" i="6" s="1"/>
  <c r="AR68" i="6" s="1"/>
  <c r="CV68" i="6" s="1"/>
  <c r="AR69" i="6" s="1"/>
  <c r="CV69" i="6" s="1"/>
  <c r="AR70" i="6" s="1"/>
  <c r="CV70" i="6" s="1"/>
  <c r="AR71" i="6" s="1"/>
  <c r="CV71" i="6" s="1"/>
  <c r="AR72" i="6" s="1"/>
  <c r="CV72" i="6" s="1"/>
  <c r="AR73" i="6" s="1"/>
  <c r="CV73" i="6" s="1"/>
  <c r="AR74" i="6" s="1"/>
  <c r="CV74" i="6" s="1"/>
  <c r="AR75" i="6" s="1"/>
  <c r="CV75" i="6" s="1"/>
  <c r="AR76" i="6" s="1"/>
  <c r="CV76" i="6" s="1"/>
  <c r="AR77" i="6" s="1"/>
  <c r="CV77" i="6" s="1"/>
  <c r="AR78" i="6" s="1"/>
  <c r="CV78" i="6" s="1"/>
  <c r="AR79" i="6" s="1"/>
  <c r="CV79" i="6" s="1"/>
  <c r="AR80" i="6" s="1"/>
  <c r="CV80" i="6" s="1"/>
  <c r="AR81" i="6" s="1"/>
  <c r="CV81" i="6" s="1"/>
  <c r="AR82" i="6" s="1"/>
  <c r="CV82" i="6" s="1"/>
  <c r="AR83" i="6" s="1"/>
  <c r="CV83" i="6" s="1"/>
  <c r="AR84" i="6" s="1"/>
  <c r="CV84" i="6" s="1"/>
  <c r="AR85" i="6" s="1"/>
  <c r="CV85" i="6" s="1"/>
  <c r="AR86" i="6" s="1"/>
  <c r="CV86" i="6" s="1"/>
  <c r="AR87" i="6" s="1"/>
  <c r="CV87" i="6" s="1"/>
  <c r="AR88" i="6" s="1"/>
  <c r="CV88" i="6" s="1"/>
  <c r="AR89" i="6" s="1"/>
  <c r="CV89" i="6" s="1"/>
  <c r="AR90" i="6" s="1"/>
  <c r="CV90" i="6" s="1"/>
  <c r="AR91" i="6" s="1"/>
  <c r="CV91" i="6" s="1"/>
  <c r="AR92" i="6" s="1"/>
  <c r="CV92" i="6" s="1"/>
  <c r="AR93" i="6" s="1"/>
  <c r="CV93" i="6" s="1"/>
  <c r="AR94" i="6" s="1"/>
  <c r="CV94" i="6" s="1"/>
  <c r="AR95" i="6" s="1"/>
  <c r="CV95" i="6" s="1"/>
  <c r="AR96" i="6" s="1"/>
  <c r="CV96" i="6" s="1"/>
  <c r="AR97" i="6" s="1"/>
  <c r="CV97" i="6" s="1"/>
  <c r="AR98" i="6" s="1"/>
  <c r="CV98" i="6" s="1"/>
  <c r="AR99" i="6" s="1"/>
  <c r="CV99" i="6" s="1"/>
  <c r="AR100" i="6" s="1"/>
  <c r="CK63" i="6"/>
  <c r="AG64" i="6" s="1"/>
  <c r="CN47" i="6"/>
  <c r="AJ48" i="6" s="1"/>
  <c r="CV47" i="6"/>
  <c r="AR48" i="6" s="1"/>
  <c r="CY47" i="6"/>
  <c r="AU48" i="6" s="1"/>
  <c r="EI48" i="6" s="1"/>
  <c r="BB48" i="6" s="1"/>
  <c r="BN48" i="6" s="1"/>
  <c r="CX47" i="6"/>
  <c r="AT48" i="6" s="1"/>
  <c r="CW47" i="6"/>
  <c r="AS48" i="6" s="1"/>
  <c r="EJ48" i="6" s="1"/>
  <c r="BL48" i="6" s="1"/>
  <c r="DQ18" i="6"/>
  <c r="DM19" i="6" s="1"/>
  <c r="DN18" i="6"/>
  <c r="DJ19" i="6" s="1"/>
  <c r="DP18" i="6"/>
  <c r="DL19" i="6" s="1"/>
  <c r="DO18" i="6"/>
  <c r="DK19" i="6" s="1"/>
  <c r="BI70" i="6"/>
  <c r="EI70" i="6"/>
  <c r="BB70" i="6" s="1"/>
  <c r="BN70" i="6" s="1"/>
  <c r="EJ70" i="6"/>
  <c r="BL70" i="6" s="1"/>
  <c r="CJ98" i="6"/>
  <c r="AF99" i="6" s="1"/>
  <c r="DI14" i="6"/>
  <c r="BR36" i="6"/>
  <c r="EH165" i="6"/>
  <c r="EK165" i="6" s="1"/>
  <c r="CC165" i="6"/>
  <c r="Y166" i="6" s="1"/>
  <c r="CD165" i="6"/>
  <c r="Z166" i="6" s="1"/>
  <c r="BM165" i="6"/>
  <c r="CS165" i="6"/>
  <c r="AO166" i="6" s="1"/>
  <c r="BI67" i="6"/>
  <c r="EJ67" i="6"/>
  <c r="BL67" i="6" s="1"/>
  <c r="EI67" i="6"/>
  <c r="M42" i="4"/>
  <c r="BP36" i="6"/>
  <c r="CM48" i="6"/>
  <c r="AI49" i="6" s="1"/>
  <c r="CK145" i="6"/>
  <c r="AG146" i="6" s="1"/>
  <c r="BI69" i="6"/>
  <c r="EJ69" i="6"/>
  <c r="BL69" i="6" s="1"/>
  <c r="EI69" i="6"/>
  <c r="F23" i="5"/>
  <c r="I23" i="5" s="1"/>
  <c r="Q23" i="4"/>
  <c r="S23" i="4" s="1"/>
  <c r="EH88" i="6"/>
  <c r="EK88" i="6" s="1"/>
  <c r="CC88" i="6"/>
  <c r="Y89" i="6" s="1"/>
  <c r="CS88" i="6"/>
  <c r="AO89" i="6" s="1"/>
  <c r="CD88" i="6"/>
  <c r="Z89" i="6" s="1"/>
  <c r="BM88" i="6"/>
  <c r="BX40" i="6"/>
  <c r="U46" i="4" s="1"/>
  <c r="CF40" i="6"/>
  <c r="AB41" i="6" s="1"/>
  <c r="BI68" i="6"/>
  <c r="EJ68" i="6"/>
  <c r="BL68" i="6" s="1"/>
  <c r="EI68" i="6"/>
  <c r="DW18" i="6"/>
  <c r="BR18" i="6"/>
  <c r="DX18" i="6" s="1"/>
  <c r="BV18" i="6" s="1"/>
  <c r="P24" i="4" s="1"/>
  <c r="F24" i="5" s="1"/>
  <c r="CG41" i="6"/>
  <c r="AC42" i="6" s="1"/>
  <c r="CJ50" i="6"/>
  <c r="AF51" i="6" s="1"/>
  <c r="FB125" i="6"/>
  <c r="FC125" i="6"/>
  <c r="AZ125" i="6" s="1"/>
  <c r="L131" i="4" s="1"/>
  <c r="CB37" i="6"/>
  <c r="X38" i="6" s="1"/>
  <c r="BF37" i="6"/>
  <c r="BK37" i="6" s="1"/>
  <c r="BQ37" i="6" s="1"/>
  <c r="BA37" i="6"/>
  <c r="EB167" i="6"/>
  <c r="EF168" i="6"/>
  <c r="N106" i="4"/>
  <c r="EB74" i="6"/>
  <c r="EF75" i="6"/>
  <c r="BW22" i="6"/>
  <c r="EU22" i="6" s="1"/>
  <c r="ET22" i="6" s="1"/>
  <c r="EP23" i="6" s="1"/>
  <c r="O28" i="4"/>
  <c r="E28" i="5" s="1"/>
  <c r="CY133" i="6"/>
  <c r="AU134" i="6" s="1"/>
  <c r="EI134" i="6" s="1"/>
  <c r="CW133" i="6"/>
  <c r="AS134" i="6" s="1"/>
  <c r="EJ134" i="6" s="1"/>
  <c r="BL134" i="6" s="1"/>
  <c r="CN133" i="6"/>
  <c r="AJ134" i="6" s="1"/>
  <c r="CH101" i="6"/>
  <c r="AD102" i="6" s="1"/>
  <c r="CH102" i="6" s="1"/>
  <c r="AD103" i="6" s="1"/>
  <c r="BG101" i="6"/>
  <c r="CT40" i="6"/>
  <c r="AP41" i="6" s="1"/>
  <c r="CU40" i="6"/>
  <c r="AQ41" i="6" s="1"/>
  <c r="V39" i="6"/>
  <c r="BZ39" i="6" s="1"/>
  <c r="FD40" i="6"/>
  <c r="AY39" i="6"/>
  <c r="CW99" i="6"/>
  <c r="AS100" i="6" s="1"/>
  <c r="EG74" i="6"/>
  <c r="ED75" i="6" s="1"/>
  <c r="EN149" i="6" l="1"/>
  <c r="Q149" i="6" s="1"/>
  <c r="EO149" i="6" s="1"/>
  <c r="EM150" i="6" s="1"/>
  <c r="EN71" i="6"/>
  <c r="Q71" i="6" s="1"/>
  <c r="EO71" i="6" s="1"/>
  <c r="EM72" i="6" s="1"/>
  <c r="EG75" i="6"/>
  <c r="ED76" i="6" s="1"/>
  <c r="BC14" i="6"/>
  <c r="BO14" i="6" s="1"/>
  <c r="BQ14" i="6" s="1"/>
  <c r="BD14" i="6"/>
  <c r="DR14" i="6"/>
  <c r="DV14" i="6"/>
  <c r="BS14" i="6" s="1"/>
  <c r="BT14" i="6" s="1"/>
  <c r="CH103" i="6"/>
  <c r="AD104" i="6" s="1"/>
  <c r="BG103" i="6"/>
  <c r="CW134" i="6"/>
  <c r="AS135" i="6" s="1"/>
  <c r="EJ135" i="6" s="1"/>
  <c r="BL135" i="6" s="1"/>
  <c r="CN134" i="6"/>
  <c r="AJ135" i="6" s="1"/>
  <c r="CY134" i="6"/>
  <c r="AU135" i="6" s="1"/>
  <c r="EI135" i="6" s="1"/>
  <c r="J23" i="5"/>
  <c r="K23" i="5" s="1"/>
  <c r="CJ99" i="6"/>
  <c r="AF100" i="6" s="1"/>
  <c r="CN48" i="6"/>
  <c r="AJ49" i="6" s="1"/>
  <c r="CY48" i="6"/>
  <c r="AU49" i="6" s="1"/>
  <c r="EI49" i="6" s="1"/>
  <c r="BB49" i="6" s="1"/>
  <c r="BN49" i="6" s="1"/>
  <c r="CW48" i="6"/>
  <c r="AS49" i="6" s="1"/>
  <c r="EJ49" i="6" s="1"/>
  <c r="BL49" i="6" s="1"/>
  <c r="CV48" i="6"/>
  <c r="AR49" i="6" s="1"/>
  <c r="CX48" i="6"/>
  <c r="AT49" i="6" s="1"/>
  <c r="K45" i="4"/>
  <c r="BP37" i="6"/>
  <c r="M43" i="4"/>
  <c r="CV100" i="6"/>
  <c r="AR101" i="6" s="1"/>
  <c r="CW100" i="6"/>
  <c r="AS101" i="6" s="1"/>
  <c r="BU18" i="6"/>
  <c r="P24" i="5"/>
  <c r="R24" i="5" s="1"/>
  <c r="FD41" i="6"/>
  <c r="V40" i="6"/>
  <c r="BZ40" i="6" s="1"/>
  <c r="AY40" i="6"/>
  <c r="BR37" i="6"/>
  <c r="CJ85" i="6"/>
  <c r="AF86" i="6" s="1"/>
  <c r="EB168" i="6"/>
  <c r="EF169" i="6"/>
  <c r="CB38" i="6"/>
  <c r="X39" i="6" s="1"/>
  <c r="BF38" i="6"/>
  <c r="BK38" i="6" s="1"/>
  <c r="BQ38" i="6" s="1"/>
  <c r="BA38" i="6"/>
  <c r="CF41" i="6"/>
  <c r="AB42" i="6" s="1"/>
  <c r="BX41" i="6"/>
  <c r="U47" i="4" s="1"/>
  <c r="CK64" i="6"/>
  <c r="AG65" i="6" s="1"/>
  <c r="EH166" i="6"/>
  <c r="EK166" i="6" s="1"/>
  <c r="CD166" i="6"/>
  <c r="Z167" i="6" s="1"/>
  <c r="CC166" i="6"/>
  <c r="Y167" i="6" s="1"/>
  <c r="CS166" i="6"/>
  <c r="AO167" i="6" s="1"/>
  <c r="BM166" i="6"/>
  <c r="FC43" i="6"/>
  <c r="AZ43" i="6" s="1"/>
  <c r="L49" i="4" s="1"/>
  <c r="FB43" i="6"/>
  <c r="EQ23" i="6"/>
  <c r="FC126" i="6"/>
  <c r="AZ126" i="6" s="1"/>
  <c r="L132" i="4" s="1"/>
  <c r="FB126" i="6"/>
  <c r="CK146" i="6"/>
  <c r="AG147" i="6" s="1"/>
  <c r="EB75" i="6"/>
  <c r="EC75" i="6" s="1"/>
  <c r="AV75" i="6" s="1"/>
  <c r="EF76" i="6"/>
  <c r="CJ51" i="6"/>
  <c r="AF52" i="6" s="1"/>
  <c r="DI19" i="6"/>
  <c r="T28" i="4"/>
  <c r="BY22" i="6"/>
  <c r="CT41" i="6"/>
  <c r="AP42" i="6" s="1"/>
  <c r="CU41" i="6"/>
  <c r="AQ42" i="6" s="1"/>
  <c r="CM49" i="6"/>
  <c r="AI50" i="6" s="1"/>
  <c r="EC74" i="6"/>
  <c r="AV74" i="6" s="1"/>
  <c r="N107" i="4"/>
  <c r="CG42" i="6"/>
  <c r="AC43" i="6" s="1"/>
  <c r="EH89" i="6"/>
  <c r="EK89" i="6" s="1"/>
  <c r="CS89" i="6"/>
  <c r="AO90" i="6" s="1"/>
  <c r="CD89" i="6"/>
  <c r="Z90" i="6" s="1"/>
  <c r="CC89" i="6"/>
  <c r="Y90" i="6" s="1"/>
  <c r="BM89" i="6"/>
  <c r="L23" i="5" l="1"/>
  <c r="M23" i="5" s="1"/>
  <c r="EN72" i="6"/>
  <c r="Q72" i="6" s="1"/>
  <c r="EO72" i="6" s="1"/>
  <c r="EM73" i="6" s="1"/>
  <c r="EN150" i="6"/>
  <c r="Q150" i="6" s="1"/>
  <c r="EO150" i="6" s="1"/>
  <c r="EM151" i="6" s="1"/>
  <c r="EB169" i="6"/>
  <c r="EF170" i="6"/>
  <c r="BW18" i="6"/>
  <c r="Q24" i="5"/>
  <c r="S24" i="5" s="1"/>
  <c r="O24" i="4"/>
  <c r="EU18" i="6"/>
  <c r="CB39" i="6"/>
  <c r="X40" i="6" s="1"/>
  <c r="BF39" i="6"/>
  <c r="BK39" i="6" s="1"/>
  <c r="BQ39" i="6" s="1"/>
  <c r="BA39" i="6"/>
  <c r="EH167" i="6"/>
  <c r="EK167" i="6" s="1"/>
  <c r="BM167" i="6"/>
  <c r="CD167" i="6"/>
  <c r="Z168" i="6" s="1"/>
  <c r="CS167" i="6"/>
  <c r="AO168" i="6" s="1"/>
  <c r="CC167" i="6"/>
  <c r="Y168" i="6" s="1"/>
  <c r="CT42" i="6"/>
  <c r="AP43" i="6" s="1"/>
  <c r="CU42" i="6"/>
  <c r="AQ43" i="6" s="1"/>
  <c r="CW101" i="6"/>
  <c r="AS102" i="6" s="1"/>
  <c r="CV101" i="6"/>
  <c r="AR102" i="6" s="1"/>
  <c r="CN49" i="6"/>
  <c r="AJ50" i="6" s="1"/>
  <c r="CY49" i="6"/>
  <c r="AU50" i="6" s="1"/>
  <c r="EI50" i="6" s="1"/>
  <c r="BB50" i="6" s="1"/>
  <c r="BN50" i="6" s="1"/>
  <c r="CV49" i="6"/>
  <c r="AR50" i="6" s="1"/>
  <c r="CX49" i="6"/>
  <c r="AT50" i="6" s="1"/>
  <c r="CW49" i="6"/>
  <c r="AS50" i="6" s="1"/>
  <c r="EJ50" i="6" s="1"/>
  <c r="BL50" i="6" s="1"/>
  <c r="CH104" i="6"/>
  <c r="AD105" i="6" s="1"/>
  <c r="BG104" i="6"/>
  <c r="CM50" i="6"/>
  <c r="AI51" i="6" s="1"/>
  <c r="CG43" i="6"/>
  <c r="AC44" i="6" s="1"/>
  <c r="W23" i="6"/>
  <c r="U23" i="6"/>
  <c r="FC127" i="6"/>
  <c r="AZ127" i="6" s="1"/>
  <c r="L133" i="4" s="1"/>
  <c r="FB127" i="6"/>
  <c r="CJ86" i="6"/>
  <c r="AF87" i="6" s="1"/>
  <c r="DQ14" i="6"/>
  <c r="DM15" i="6" s="1"/>
  <c r="DO14" i="6"/>
  <c r="DK15" i="6" s="1"/>
  <c r="DP14" i="6"/>
  <c r="DL15" i="6" s="1"/>
  <c r="DN14" i="6"/>
  <c r="DJ15" i="6" s="1"/>
  <c r="EI74" i="6"/>
  <c r="BB74" i="6" s="1"/>
  <c r="BN74" i="6" s="1"/>
  <c r="EJ74" i="6"/>
  <c r="BL74" i="6" s="1"/>
  <c r="CK147" i="6"/>
  <c r="AG148" i="6" s="1"/>
  <c r="EH90" i="6"/>
  <c r="EK90" i="6" s="1"/>
  <c r="CC90" i="6"/>
  <c r="Y91" i="6" s="1"/>
  <c r="CD90" i="6"/>
  <c r="Z91" i="6" s="1"/>
  <c r="CS90" i="6"/>
  <c r="AO91" i="6" s="1"/>
  <c r="BM90" i="6"/>
  <c r="EV23" i="6"/>
  <c r="EW23" i="6" s="1"/>
  <c r="ES23" i="6"/>
  <c r="ER23" i="6"/>
  <c r="V29" i="5" s="1"/>
  <c r="U29" i="5"/>
  <c r="DW14" i="6"/>
  <c r="BU14" i="6" s="1"/>
  <c r="BR14" i="6"/>
  <c r="DX14" i="6" s="1"/>
  <c r="N109" i="4"/>
  <c r="CJ100" i="6"/>
  <c r="AF101" i="6" s="1"/>
  <c r="BC19" i="6"/>
  <c r="DR19" i="6"/>
  <c r="BD19" i="6"/>
  <c r="BO19" i="6"/>
  <c r="BQ19" i="6" s="1"/>
  <c r="DV19" i="6"/>
  <c r="CK65" i="6"/>
  <c r="AG66" i="6" s="1"/>
  <c r="K46" i="4"/>
  <c r="EG76" i="6"/>
  <c r="ED77" i="6" s="1"/>
  <c r="CJ52" i="6"/>
  <c r="AF53" i="6" s="1"/>
  <c r="FB44" i="6"/>
  <c r="FC44" i="6"/>
  <c r="AZ44" i="6" s="1"/>
  <c r="L50" i="4" s="1"/>
  <c r="BX42" i="6"/>
  <c r="U48" i="4" s="1"/>
  <c r="CF42" i="6"/>
  <c r="AB43" i="6" s="1"/>
  <c r="EB76" i="6"/>
  <c r="EC76" i="6" s="1"/>
  <c r="AV76" i="6" s="1"/>
  <c r="EF77" i="6"/>
  <c r="BP38" i="6"/>
  <c r="M44" i="4"/>
  <c r="CN135" i="6"/>
  <c r="AJ136" i="6" s="1"/>
  <c r="CW135" i="6"/>
  <c r="AS136" i="6" s="1"/>
  <c r="EJ136" i="6" s="1"/>
  <c r="BL136" i="6" s="1"/>
  <c r="CY135" i="6"/>
  <c r="AU136" i="6" s="1"/>
  <c r="EI136" i="6" s="1"/>
  <c r="EI75" i="6"/>
  <c r="BB75" i="6" s="1"/>
  <c r="BN75" i="6" s="1"/>
  <c r="EJ75" i="6"/>
  <c r="BL75" i="6" s="1"/>
  <c r="BR38" i="6"/>
  <c r="V41" i="6"/>
  <c r="BZ41" i="6" s="1"/>
  <c r="AY41" i="6"/>
  <c r="FD42" i="6"/>
  <c r="EN151" i="6" l="1"/>
  <c r="Q151" i="6" s="1"/>
  <c r="EO151" i="6" s="1"/>
  <c r="EM152" i="6" s="1"/>
  <c r="EN73" i="6"/>
  <c r="Q73" i="6" s="1"/>
  <c r="EO73" i="6" s="1"/>
  <c r="EM74" i="6" s="1"/>
  <c r="DW19" i="6"/>
  <c r="BU19" i="6" s="1"/>
  <c r="BR19" i="6"/>
  <c r="DX19" i="6" s="1"/>
  <c r="W29" i="5"/>
  <c r="DW23" i="6"/>
  <c r="BU23" i="6" s="1"/>
  <c r="DX23" i="6"/>
  <c r="BV23" i="6" s="1"/>
  <c r="P29" i="4" s="1"/>
  <c r="F29" i="5" s="1"/>
  <c r="CG44" i="6"/>
  <c r="AC45" i="6" s="1"/>
  <c r="CV102" i="6"/>
  <c r="AR103" i="6" s="1"/>
  <c r="CW102" i="6"/>
  <c r="AS103" i="6" s="1"/>
  <c r="CB40" i="6"/>
  <c r="X41" i="6" s="1"/>
  <c r="BF40" i="6"/>
  <c r="BK40" i="6" s="1"/>
  <c r="BQ40" i="6" s="1"/>
  <c r="BA40" i="6"/>
  <c r="FC45" i="6"/>
  <c r="AZ45" i="6" s="1"/>
  <c r="L51" i="4" s="1"/>
  <c r="FB45" i="6"/>
  <c r="DN19" i="6"/>
  <c r="DJ20" i="6" s="1"/>
  <c r="DO19" i="6"/>
  <c r="DK20" i="6" s="1"/>
  <c r="DQ19" i="6"/>
  <c r="DM20" i="6" s="1"/>
  <c r="DP19" i="6"/>
  <c r="DL20" i="6" s="1"/>
  <c r="CM51" i="6"/>
  <c r="AI52" i="6" s="1"/>
  <c r="N110" i="4"/>
  <c r="EH168" i="6"/>
  <c r="EK168" i="6" s="1"/>
  <c r="CS168" i="6"/>
  <c r="AO169" i="6" s="1"/>
  <c r="CD168" i="6"/>
  <c r="Z169" i="6" s="1"/>
  <c r="CC168" i="6"/>
  <c r="Y169" i="6" s="1"/>
  <c r="BM168" i="6"/>
  <c r="Q24" i="4"/>
  <c r="S24" i="4" s="1"/>
  <c r="E24" i="5"/>
  <c r="I24" i="5" s="1"/>
  <c r="K47" i="4"/>
  <c r="EB170" i="6"/>
  <c r="EF171" i="6"/>
  <c r="CJ53" i="6"/>
  <c r="AF54" i="6" s="1"/>
  <c r="CU43" i="6"/>
  <c r="AQ44" i="6" s="1"/>
  <c r="CT43" i="6"/>
  <c r="AP44" i="6" s="1"/>
  <c r="V42" i="6"/>
  <c r="BZ42" i="6" s="1"/>
  <c r="FD43" i="6"/>
  <c r="AY42" i="6"/>
  <c r="EH91" i="6"/>
  <c r="EK91" i="6" s="1"/>
  <c r="CS91" i="6"/>
  <c r="AO92" i="6" s="1"/>
  <c r="CD91" i="6"/>
  <c r="Z92" i="6" s="1"/>
  <c r="CC91" i="6"/>
  <c r="Y92" i="6" s="1"/>
  <c r="BM91" i="6"/>
  <c r="CH105" i="6"/>
  <c r="AD106" i="6" s="1"/>
  <c r="CH106" i="6" s="1"/>
  <c r="AD107" i="6" s="1"/>
  <c r="FA105" i="6"/>
  <c r="FA106" i="6" s="1"/>
  <c r="FA107" i="6" s="1"/>
  <c r="FA108" i="6" s="1"/>
  <c r="FA109" i="6" s="1"/>
  <c r="FA110" i="6" s="1"/>
  <c r="FA111" i="6" s="1"/>
  <c r="FA112" i="6" s="1"/>
  <c r="CJ87" i="6"/>
  <c r="AF88" i="6" s="1"/>
  <c r="DI15" i="6"/>
  <c r="CJ101" i="6"/>
  <c r="AF102" i="6" s="1"/>
  <c r="CW136" i="6"/>
  <c r="AS137" i="6" s="1"/>
  <c r="EJ137" i="6" s="1"/>
  <c r="BL137" i="6" s="1"/>
  <c r="CY136" i="6"/>
  <c r="AU137" i="6" s="1"/>
  <c r="EI137" i="6" s="1"/>
  <c r="CN136" i="6"/>
  <c r="AJ137" i="6" s="1"/>
  <c r="FC128" i="6"/>
  <c r="AZ128" i="6" s="1"/>
  <c r="L134" i="4" s="1"/>
  <c r="FB128" i="6"/>
  <c r="EB77" i="6"/>
  <c r="EC77" i="6" s="1"/>
  <c r="AV77" i="6" s="1"/>
  <c r="EF78" i="6"/>
  <c r="EB78" i="6" s="1"/>
  <c r="EC78" i="6" s="1"/>
  <c r="AV78" i="6" s="1"/>
  <c r="BV14" i="6"/>
  <c r="P20" i="5"/>
  <c r="R20" i="5" s="1"/>
  <c r="EI76" i="6"/>
  <c r="BB76" i="6" s="1"/>
  <c r="BN76" i="6" s="1"/>
  <c r="EJ76" i="6"/>
  <c r="BL76" i="6" s="1"/>
  <c r="CK66" i="6"/>
  <c r="AG67" i="6" s="1"/>
  <c r="T29" i="4"/>
  <c r="BY23" i="6"/>
  <c r="EG77" i="6"/>
  <c r="ED78" i="6" s="1"/>
  <c r="O20" i="4"/>
  <c r="E20" i="5" s="1"/>
  <c r="CF43" i="6"/>
  <c r="AB44" i="6" s="1"/>
  <c r="BX43" i="6"/>
  <c r="U49" i="4" s="1"/>
  <c r="CK148" i="6"/>
  <c r="AG149" i="6" s="1"/>
  <c r="CA23" i="6"/>
  <c r="CW50" i="6"/>
  <c r="AS51" i="6" s="1"/>
  <c r="EJ51" i="6" s="1"/>
  <c r="BL51" i="6" s="1"/>
  <c r="CV50" i="6"/>
  <c r="AR51" i="6" s="1"/>
  <c r="CX50" i="6"/>
  <c r="AT51" i="6" s="1"/>
  <c r="CN50" i="6"/>
  <c r="AJ51" i="6" s="1"/>
  <c r="CY50" i="6"/>
  <c r="AU51" i="6" s="1"/>
  <c r="EI51" i="6" s="1"/>
  <c r="BB51" i="6" s="1"/>
  <c r="BN51" i="6" s="1"/>
  <c r="M45" i="4"/>
  <c r="BP39" i="6"/>
  <c r="BR39" i="6" s="1"/>
  <c r="EN74" i="6" l="1"/>
  <c r="Q74" i="6" s="1"/>
  <c r="EO74" i="6" s="1"/>
  <c r="EM75" i="6" s="1"/>
  <c r="EN152" i="6"/>
  <c r="Q152" i="6" s="1"/>
  <c r="EO152" i="6" s="1"/>
  <c r="EM153" i="6" s="1"/>
  <c r="DI20" i="6"/>
  <c r="CG45" i="6"/>
  <c r="AC46" i="6" s="1"/>
  <c r="EB171" i="6"/>
  <c r="EF172" i="6"/>
  <c r="FC46" i="6"/>
  <c r="AZ46" i="6" s="1"/>
  <c r="L52" i="4" s="1"/>
  <c r="FB46" i="6"/>
  <c r="CT44" i="6"/>
  <c r="AP45" i="6" s="1"/>
  <c r="CU44" i="6"/>
  <c r="AQ45" i="6" s="1"/>
  <c r="EH92" i="6"/>
  <c r="EK92" i="6" s="1"/>
  <c r="CS92" i="6"/>
  <c r="AO93" i="6" s="1"/>
  <c r="CC92" i="6"/>
  <c r="Y93" i="6" s="1"/>
  <c r="CD92" i="6"/>
  <c r="Z93" i="6" s="1"/>
  <c r="BM92" i="6"/>
  <c r="CK67" i="6"/>
  <c r="AG68" i="6" s="1"/>
  <c r="CJ54" i="6"/>
  <c r="AF55" i="6" s="1"/>
  <c r="CK149" i="6"/>
  <c r="AG150" i="6" s="1"/>
  <c r="O29" i="4"/>
  <c r="E29" i="5" s="1"/>
  <c r="BW23" i="6"/>
  <c r="EU23" i="6" s="1"/>
  <c r="ET23" i="6" s="1"/>
  <c r="EP24" i="6" s="1"/>
  <c r="BX44" i="6"/>
  <c r="U50" i="4" s="1"/>
  <c r="CF44" i="6"/>
  <c r="AB45" i="6" s="1"/>
  <c r="CJ102" i="6"/>
  <c r="AF103" i="6" s="1"/>
  <c r="CN137" i="6"/>
  <c r="AJ138" i="6" s="1"/>
  <c r="CW137" i="6"/>
  <c r="AS138" i="6" s="1"/>
  <c r="EJ138" i="6" s="1"/>
  <c r="BL138" i="6" s="1"/>
  <c r="CY137" i="6"/>
  <c r="AU138" i="6" s="1"/>
  <c r="EI138" i="6" s="1"/>
  <c r="P20" i="4"/>
  <c r="EU14" i="6"/>
  <c r="Q20" i="5"/>
  <c r="S20" i="5" s="1"/>
  <c r="DR15" i="6"/>
  <c r="BD15" i="6"/>
  <c r="BC15" i="6"/>
  <c r="BO15" i="6" s="1"/>
  <c r="BQ15" i="6" s="1"/>
  <c r="DV15" i="6"/>
  <c r="BS15" i="6" s="1"/>
  <c r="BT15" i="6" s="1"/>
  <c r="K48" i="4"/>
  <c r="P25" i="5"/>
  <c r="R25" i="5" s="1"/>
  <c r="BV19" i="6"/>
  <c r="BW19" i="6" s="1"/>
  <c r="EI78" i="6"/>
  <c r="BB78" i="6" s="1"/>
  <c r="BN78" i="6" s="1"/>
  <c r="EJ78" i="6"/>
  <c r="BL78" i="6" s="1"/>
  <c r="V43" i="6"/>
  <c r="BZ43" i="6" s="1"/>
  <c r="FD44" i="6"/>
  <c r="AY43" i="6"/>
  <c r="J24" i="5"/>
  <c r="K24" i="5" s="1"/>
  <c r="M46" i="4"/>
  <c r="BP40" i="6"/>
  <c r="BR40" i="6" s="1"/>
  <c r="O25" i="4"/>
  <c r="E25" i="5" s="1"/>
  <c r="BI77" i="6"/>
  <c r="EJ77" i="6"/>
  <c r="BL77" i="6" s="1"/>
  <c r="EI77" i="6"/>
  <c r="BB77" i="6" s="1"/>
  <c r="BN77" i="6" s="1"/>
  <c r="CX51" i="6"/>
  <c r="AT52" i="6" s="1"/>
  <c r="CY51" i="6"/>
  <c r="AU52" i="6" s="1"/>
  <c r="EI52" i="6" s="1"/>
  <c r="BB52" i="6" s="1"/>
  <c r="BN52" i="6" s="1"/>
  <c r="CV51" i="6"/>
  <c r="AR52" i="6" s="1"/>
  <c r="CW51" i="6"/>
  <c r="AS52" i="6" s="1"/>
  <c r="EJ52" i="6" s="1"/>
  <c r="BL52" i="6" s="1"/>
  <c r="CN51" i="6"/>
  <c r="AJ52" i="6" s="1"/>
  <c r="EG78" i="6"/>
  <c r="ED79" i="6" s="1"/>
  <c r="FB129" i="6"/>
  <c r="FC129" i="6"/>
  <c r="AZ129" i="6" s="1"/>
  <c r="L135" i="4" s="1"/>
  <c r="CJ88" i="6"/>
  <c r="AF89" i="6" s="1"/>
  <c r="CM52" i="6"/>
  <c r="AI53" i="6" s="1"/>
  <c r="CB41" i="6"/>
  <c r="X42" i="6" s="1"/>
  <c r="BF41" i="6"/>
  <c r="BK41" i="6" s="1"/>
  <c r="BQ41" i="6" s="1"/>
  <c r="BA41" i="6"/>
  <c r="BW14" i="6"/>
  <c r="U24" i="6"/>
  <c r="W24" i="6"/>
  <c r="CA24" i="6" s="1"/>
  <c r="EH169" i="6"/>
  <c r="EK169" i="6" s="1"/>
  <c r="BM169" i="6"/>
  <c r="CS169" i="6"/>
  <c r="AO170" i="6" s="1"/>
  <c r="CC169" i="6"/>
  <c r="Y170" i="6" s="1"/>
  <c r="CD169" i="6"/>
  <c r="Z170" i="6" s="1"/>
  <c r="CW103" i="6"/>
  <c r="AS104" i="6" s="1"/>
  <c r="CV103" i="6"/>
  <c r="AR104" i="6" s="1"/>
  <c r="CH107" i="6"/>
  <c r="AD108" i="6" s="1"/>
  <c r="CH108" i="6" s="1"/>
  <c r="AD109" i="6" s="1"/>
  <c r="CJ107" i="6"/>
  <c r="AF108" i="6" s="1"/>
  <c r="CI107" i="6"/>
  <c r="AE108" i="6" s="1"/>
  <c r="CI108" i="6" s="1"/>
  <c r="AE109" i="6" s="1"/>
  <c r="CI109" i="6" s="1"/>
  <c r="AE110" i="6" s="1"/>
  <c r="CI110" i="6" s="1"/>
  <c r="AE111" i="6" s="1"/>
  <c r="CI111" i="6" s="1"/>
  <c r="AE112" i="6" s="1"/>
  <c r="CI112" i="6" s="1"/>
  <c r="BG107" i="6"/>
  <c r="L24" i="5" l="1"/>
  <c r="M24" i="5" s="1"/>
  <c r="EN153" i="6"/>
  <c r="Q153" i="6" s="1"/>
  <c r="EO153" i="6" s="1"/>
  <c r="EM154" i="6" s="1"/>
  <c r="EN75" i="6"/>
  <c r="Q75" i="6" s="1"/>
  <c r="EO75" i="6" s="1"/>
  <c r="EM76" i="6" s="1"/>
  <c r="CK68" i="6"/>
  <c r="AG69" i="6" s="1"/>
  <c r="CW104" i="6"/>
  <c r="AS105" i="6" s="1"/>
  <c r="CV104" i="6"/>
  <c r="AR105" i="6" s="1"/>
  <c r="CM53" i="6"/>
  <c r="AI54" i="6" s="1"/>
  <c r="BX45" i="6"/>
  <c r="U51" i="4" s="1"/>
  <c r="CF45" i="6"/>
  <c r="AB46" i="6" s="1"/>
  <c r="DW15" i="6"/>
  <c r="BR15" i="6"/>
  <c r="DX15" i="6" s="1"/>
  <c r="BV15" i="6" s="1"/>
  <c r="P21" i="4" s="1"/>
  <c r="F21" i="5" s="1"/>
  <c r="EH93" i="6"/>
  <c r="EK93" i="6" s="1"/>
  <c r="CS93" i="6"/>
  <c r="AO94" i="6" s="1"/>
  <c r="CD93" i="6"/>
  <c r="Z94" i="6" s="1"/>
  <c r="CC93" i="6"/>
  <c r="Y94" i="6" s="1"/>
  <c r="BM93" i="6"/>
  <c r="V44" i="6"/>
  <c r="BZ44" i="6" s="1"/>
  <c r="FD45" i="6"/>
  <c r="AY44" i="6"/>
  <c r="ET24" i="6"/>
  <c r="EP25" i="6" s="1"/>
  <c r="EQ24" i="6"/>
  <c r="DN15" i="6"/>
  <c r="DJ16" i="6" s="1"/>
  <c r="DP15" i="6"/>
  <c r="DL16" i="6" s="1"/>
  <c r="DO15" i="6"/>
  <c r="DK16" i="6" s="1"/>
  <c r="DQ15" i="6"/>
  <c r="DM16" i="6" s="1"/>
  <c r="CG46" i="6"/>
  <c r="AC47" i="6" s="1"/>
  <c r="CJ89" i="6"/>
  <c r="AF90" i="6" s="1"/>
  <c r="BD20" i="6"/>
  <c r="BC20" i="6"/>
  <c r="BO20" i="6" s="1"/>
  <c r="BQ20" i="6" s="1"/>
  <c r="DR20" i="6"/>
  <c r="DV20" i="6"/>
  <c r="BS20" i="6" s="1"/>
  <c r="BT20" i="6" s="1"/>
  <c r="K49" i="4"/>
  <c r="EH170" i="6"/>
  <c r="EK170" i="6" s="1"/>
  <c r="CD170" i="6"/>
  <c r="Z171" i="6" s="1"/>
  <c r="CC170" i="6"/>
  <c r="Y171" i="6" s="1"/>
  <c r="CS170" i="6"/>
  <c r="AO171" i="6" s="1"/>
  <c r="BM170" i="6"/>
  <c r="N113" i="4"/>
  <c r="F20" i="5"/>
  <c r="I20" i="5" s="1"/>
  <c r="Q20" i="4"/>
  <c r="S20" i="4" s="1"/>
  <c r="FC130" i="6"/>
  <c r="FB130" i="6"/>
  <c r="CK150" i="6"/>
  <c r="AG151" i="6" s="1"/>
  <c r="CU45" i="6"/>
  <c r="AQ46" i="6" s="1"/>
  <c r="CT45" i="6"/>
  <c r="AP46" i="6" s="1"/>
  <c r="EE79" i="6"/>
  <c r="P25" i="4"/>
  <c r="Q25" i="5"/>
  <c r="S25" i="5" s="1"/>
  <c r="EU19" i="6"/>
  <c r="CB42" i="6"/>
  <c r="X43" i="6" s="1"/>
  <c r="BF42" i="6"/>
  <c r="BK42" i="6" s="1"/>
  <c r="BQ42" i="6" s="1"/>
  <c r="BA42" i="6"/>
  <c r="CJ103" i="6"/>
  <c r="AF104" i="6" s="1"/>
  <c r="CJ108" i="6"/>
  <c r="AF109" i="6" s="1"/>
  <c r="T30" i="4"/>
  <c r="BY24" i="6"/>
  <c r="CN52" i="6"/>
  <c r="AJ53" i="6" s="1"/>
  <c r="CY52" i="6"/>
  <c r="AU53" i="6" s="1"/>
  <c r="EI53" i="6" s="1"/>
  <c r="BB53" i="6" s="1"/>
  <c r="BN53" i="6" s="1"/>
  <c r="CW52" i="6"/>
  <c r="AS53" i="6" s="1"/>
  <c r="EJ53" i="6" s="1"/>
  <c r="BL53" i="6" s="1"/>
  <c r="CV52" i="6"/>
  <c r="AR53" i="6" s="1"/>
  <c r="CX52" i="6"/>
  <c r="AT53" i="6" s="1"/>
  <c r="CJ55" i="6"/>
  <c r="AF56" i="6" s="1"/>
  <c r="FB47" i="6"/>
  <c r="FC47" i="6"/>
  <c r="AZ47" i="6" s="1"/>
  <c r="L53" i="4" s="1"/>
  <c r="CH109" i="6"/>
  <c r="AD110" i="6" s="1"/>
  <c r="CH110" i="6" s="1"/>
  <c r="AD111" i="6" s="1"/>
  <c r="CH111" i="6" s="1"/>
  <c r="AD112" i="6" s="1"/>
  <c r="CH112" i="6" s="1"/>
  <c r="AD113" i="6" s="1"/>
  <c r="BP41" i="6"/>
  <c r="BR41" i="6" s="1"/>
  <c r="M47" i="4"/>
  <c r="CN138" i="6"/>
  <c r="AJ139" i="6" s="1"/>
  <c r="CY138" i="6"/>
  <c r="AU139" i="6" s="1"/>
  <c r="EI139" i="6" s="1"/>
  <c r="CW138" i="6"/>
  <c r="AS139" i="6" s="1"/>
  <c r="EJ139" i="6" s="1"/>
  <c r="BL139" i="6" s="1"/>
  <c r="EB172" i="6"/>
  <c r="EF173" i="6"/>
  <c r="EN76" i="6" l="1"/>
  <c r="Q76" i="6" s="1"/>
  <c r="EO76" i="6" s="1"/>
  <c r="EM77" i="6" s="1"/>
  <c r="EN154" i="6"/>
  <c r="Q154" i="6" s="1"/>
  <c r="EO154" i="6" s="1"/>
  <c r="EM155" i="6" s="1"/>
  <c r="CK151" i="6"/>
  <c r="AG152" i="6" s="1"/>
  <c r="M48" i="4"/>
  <c r="BP42" i="6"/>
  <c r="EH94" i="6"/>
  <c r="EK94" i="6" s="1"/>
  <c r="CS94" i="6"/>
  <c r="AO95" i="6" s="1"/>
  <c r="CC94" i="6"/>
  <c r="Y95" i="6" s="1"/>
  <c r="CD94" i="6"/>
  <c r="Z95" i="6" s="1"/>
  <c r="BM94" i="6"/>
  <c r="EJ105" i="6"/>
  <c r="BL105" i="6" s="1"/>
  <c r="CW105" i="6"/>
  <c r="AS106" i="6" s="1"/>
  <c r="EJ106" i="6" s="1"/>
  <c r="BL106" i="6" s="1"/>
  <c r="CV105" i="6"/>
  <c r="AR106" i="6" s="1"/>
  <c r="DI16" i="6"/>
  <c r="CB43" i="6"/>
  <c r="X44" i="6" s="1"/>
  <c r="BF43" i="6"/>
  <c r="BK43" i="6" s="1"/>
  <c r="BQ43" i="6" s="1"/>
  <c r="BA43" i="6"/>
  <c r="J20" i="5"/>
  <c r="K20" i="5" s="1"/>
  <c r="FB131" i="6"/>
  <c r="FC131" i="6"/>
  <c r="BR42" i="6"/>
  <c r="DO20" i="6"/>
  <c r="DK21" i="6" s="1"/>
  <c r="DQ20" i="6"/>
  <c r="DM21" i="6" s="1"/>
  <c r="DP20" i="6"/>
  <c r="DL21" i="6" s="1"/>
  <c r="DN20" i="6"/>
  <c r="DJ21" i="6" s="1"/>
  <c r="CN53" i="6"/>
  <c r="AJ54" i="6" s="1"/>
  <c r="CW53" i="6"/>
  <c r="AS54" i="6" s="1"/>
  <c r="EJ54" i="6" s="1"/>
  <c r="BL54" i="6" s="1"/>
  <c r="CY53" i="6"/>
  <c r="AU54" i="6" s="1"/>
  <c r="EI54" i="6" s="1"/>
  <c r="BB54" i="6" s="1"/>
  <c r="BN54" i="6" s="1"/>
  <c r="CX53" i="6"/>
  <c r="AT54" i="6" s="1"/>
  <c r="CV53" i="6"/>
  <c r="AR54" i="6" s="1"/>
  <c r="F25" i="5"/>
  <c r="I25" i="5" s="1"/>
  <c r="Q25" i="4"/>
  <c r="S25" i="4" s="1"/>
  <c r="DW20" i="6"/>
  <c r="BU20" i="6" s="1"/>
  <c r="BR20" i="6"/>
  <c r="DX20" i="6" s="1"/>
  <c r="EV24" i="6"/>
  <c r="EW24" i="6" s="1"/>
  <c r="ES24" i="6"/>
  <c r="W30" i="5" s="1"/>
  <c r="ER24" i="6"/>
  <c r="V30" i="5" s="1"/>
  <c r="U30" i="5"/>
  <c r="CN139" i="6"/>
  <c r="AJ140" i="6" s="1"/>
  <c r="CY139" i="6"/>
  <c r="AU140" i="6" s="1"/>
  <c r="EI140" i="6" s="1"/>
  <c r="CW139" i="6"/>
  <c r="AS140" i="6" s="1"/>
  <c r="EJ140" i="6" s="1"/>
  <c r="BL140" i="6" s="1"/>
  <c r="U25" i="6"/>
  <c r="W25" i="6"/>
  <c r="CA25" i="6" s="1"/>
  <c r="EB79" i="6"/>
  <c r="ET25" i="6"/>
  <c r="EP26" i="6" s="1"/>
  <c r="EQ25" i="6"/>
  <c r="EG79" i="6"/>
  <c r="ED80" i="6" s="1"/>
  <c r="EG80" i="6" s="1"/>
  <c r="ED81" i="6" s="1"/>
  <c r="EG81" i="6" s="1"/>
  <c r="ED82" i="6" s="1"/>
  <c r="EG82" i="6" s="1"/>
  <c r="ED83" i="6" s="1"/>
  <c r="EG83" i="6" s="1"/>
  <c r="ED84" i="6" s="1"/>
  <c r="EG84" i="6" s="1"/>
  <c r="ED85" i="6" s="1"/>
  <c r="EG85" i="6" s="1"/>
  <c r="ED86" i="6" s="1"/>
  <c r="K50" i="4"/>
  <c r="BU15" i="6"/>
  <c r="P21" i="5"/>
  <c r="R21" i="5" s="1"/>
  <c r="CJ104" i="6"/>
  <c r="AF105" i="6" s="1"/>
  <c r="CJ56" i="6"/>
  <c r="AF57" i="6" s="1"/>
  <c r="CH113" i="6"/>
  <c r="AD114" i="6" s="1"/>
  <c r="CH114" i="6" s="1"/>
  <c r="AD115" i="6" s="1"/>
  <c r="CH115" i="6" s="1"/>
  <c r="AD116" i="6" s="1"/>
  <c r="CH116" i="6" s="1"/>
  <c r="AD117" i="6" s="1"/>
  <c r="CH117" i="6" s="1"/>
  <c r="AD118" i="6" s="1"/>
  <c r="CH118" i="6" s="1"/>
  <c r="AD119" i="6" s="1"/>
  <c r="CH119" i="6" s="1"/>
  <c r="AD120" i="6" s="1"/>
  <c r="CH120" i="6" s="1"/>
  <c r="AD121" i="6" s="1"/>
  <c r="CH121" i="6" s="1"/>
  <c r="AD122" i="6" s="1"/>
  <c r="CH122" i="6" s="1"/>
  <c r="AD123" i="6" s="1"/>
  <c r="CH123" i="6" s="1"/>
  <c r="AD124" i="6" s="1"/>
  <c r="CH124" i="6" s="1"/>
  <c r="AD125" i="6" s="1"/>
  <c r="CH125" i="6" s="1"/>
  <c r="AD126" i="6" s="1"/>
  <c r="CH126" i="6" s="1"/>
  <c r="AD127" i="6" s="1"/>
  <c r="CH127" i="6" s="1"/>
  <c r="AD128" i="6" s="1"/>
  <c r="CH128" i="6" s="1"/>
  <c r="AD129" i="6" s="1"/>
  <c r="CH129" i="6" s="1"/>
  <c r="AD130" i="6" s="1"/>
  <c r="CH130" i="6" s="1"/>
  <c r="AD131" i="6" s="1"/>
  <c r="CH131" i="6" s="1"/>
  <c r="AD132" i="6" s="1"/>
  <c r="CH132" i="6" s="1"/>
  <c r="AD133" i="6" s="1"/>
  <c r="CH133" i="6" s="1"/>
  <c r="AD134" i="6" s="1"/>
  <c r="CH134" i="6" s="1"/>
  <c r="AD135" i="6" s="1"/>
  <c r="CH135" i="6" s="1"/>
  <c r="AD136" i="6" s="1"/>
  <c r="CH136" i="6" s="1"/>
  <c r="AD137" i="6" s="1"/>
  <c r="CH137" i="6" s="1"/>
  <c r="AD138" i="6" s="1"/>
  <c r="CH138" i="6" s="1"/>
  <c r="AD139" i="6" s="1"/>
  <c r="CH139" i="6" s="1"/>
  <c r="AD140" i="6" s="1"/>
  <c r="CH140" i="6" s="1"/>
  <c r="AD141" i="6" s="1"/>
  <c r="CH141" i="6" s="1"/>
  <c r="AD142" i="6" s="1"/>
  <c r="CH142" i="6" s="1"/>
  <c r="AD143" i="6" s="1"/>
  <c r="CH143" i="6" s="1"/>
  <c r="AD144" i="6" s="1"/>
  <c r="CH144" i="6" s="1"/>
  <c r="AD145" i="6" s="1"/>
  <c r="CH145" i="6" s="1"/>
  <c r="AD146" i="6" s="1"/>
  <c r="CH146" i="6" s="1"/>
  <c r="AD147" i="6" s="1"/>
  <c r="CH147" i="6" s="1"/>
  <c r="AD148" i="6" s="1"/>
  <c r="CH148" i="6" s="1"/>
  <c r="AD149" i="6" s="1"/>
  <c r="CH149" i="6" s="1"/>
  <c r="AD150" i="6" s="1"/>
  <c r="CH150" i="6" s="1"/>
  <c r="AD151" i="6" s="1"/>
  <c r="CH151" i="6" s="1"/>
  <c r="AD152" i="6" s="1"/>
  <c r="CH152" i="6" s="1"/>
  <c r="AD153" i="6" s="1"/>
  <c r="CH153" i="6" s="1"/>
  <c r="AD154" i="6" s="1"/>
  <c r="CH154" i="6" s="1"/>
  <c r="AD155" i="6" s="1"/>
  <c r="CH155" i="6" s="1"/>
  <c r="AD156" i="6" s="1"/>
  <c r="CH156" i="6" s="1"/>
  <c r="AD157" i="6" s="1"/>
  <c r="CH157" i="6" s="1"/>
  <c r="AD158" i="6" s="1"/>
  <c r="CH158" i="6" s="1"/>
  <c r="AD159" i="6" s="1"/>
  <c r="CH159" i="6" s="1"/>
  <c r="AD160" i="6" s="1"/>
  <c r="CH160" i="6" s="1"/>
  <c r="AD161" i="6" s="1"/>
  <c r="CH161" i="6" s="1"/>
  <c r="AD162" i="6" s="1"/>
  <c r="CH162" i="6" s="1"/>
  <c r="AD163" i="6" s="1"/>
  <c r="CH163" i="6" s="1"/>
  <c r="AD164" i="6" s="1"/>
  <c r="CH164" i="6" s="1"/>
  <c r="AD165" i="6" s="1"/>
  <c r="CH165" i="6" s="1"/>
  <c r="AD166" i="6" s="1"/>
  <c r="CH166" i="6" s="1"/>
  <c r="AD167" i="6" s="1"/>
  <c r="CH167" i="6" s="1"/>
  <c r="AD168" i="6" s="1"/>
  <c r="CH168" i="6" s="1"/>
  <c r="AD169" i="6" s="1"/>
  <c r="CH169" i="6" s="1"/>
  <c r="AD170" i="6" s="1"/>
  <c r="CH170" i="6" s="1"/>
  <c r="AD171" i="6" s="1"/>
  <c r="CH171" i="6" s="1"/>
  <c r="AD172" i="6" s="1"/>
  <c r="CH172" i="6" s="1"/>
  <c r="AD173" i="6" s="1"/>
  <c r="CH173" i="6" s="1"/>
  <c r="AD174" i="6" s="1"/>
  <c r="CH174" i="6" s="1"/>
  <c r="AD175" i="6" s="1"/>
  <c r="CH175" i="6" s="1"/>
  <c r="AD176" i="6" s="1"/>
  <c r="CH176" i="6" s="1"/>
  <c r="AD177" i="6" s="1"/>
  <c r="CH177" i="6" s="1"/>
  <c r="AD178" i="6" s="1"/>
  <c r="CH178" i="6" s="1"/>
  <c r="AD179" i="6" s="1"/>
  <c r="CH179" i="6" s="1"/>
  <c r="AD180" i="6" s="1"/>
  <c r="CH180" i="6" s="1"/>
  <c r="AD181" i="6" s="1"/>
  <c r="CH181" i="6" s="1"/>
  <c r="AD182" i="6" s="1"/>
  <c r="CH182" i="6" s="1"/>
  <c r="AD183" i="6" s="1"/>
  <c r="CH183" i="6" s="1"/>
  <c r="AD184" i="6" s="1"/>
  <c r="CH184" i="6" s="1"/>
  <c r="AD185" i="6" s="1"/>
  <c r="CH185" i="6" s="1"/>
  <c r="AD186" i="6" s="1"/>
  <c r="CH186" i="6" s="1"/>
  <c r="AD187" i="6" s="1"/>
  <c r="CH187" i="6" s="1"/>
  <c r="AD188" i="6" s="1"/>
  <c r="CH188" i="6" s="1"/>
  <c r="AD189" i="6" s="1"/>
  <c r="CH189" i="6" s="1"/>
  <c r="AD190" i="6" s="1"/>
  <c r="CH190" i="6" s="1"/>
  <c r="AD191" i="6" s="1"/>
  <c r="CH191" i="6" s="1"/>
  <c r="AD192" i="6" s="1"/>
  <c r="CH192" i="6" s="1"/>
  <c r="AD193" i="6" s="1"/>
  <c r="CH193" i="6" s="1"/>
  <c r="AD194" i="6" s="1"/>
  <c r="CH194" i="6" s="1"/>
  <c r="AD195" i="6" s="1"/>
  <c r="CH195" i="6" s="1"/>
  <c r="AD196" i="6" s="1"/>
  <c r="CH196" i="6" s="1"/>
  <c r="AD197" i="6" s="1"/>
  <c r="CH197" i="6" s="1"/>
  <c r="AD198" i="6" s="1"/>
  <c r="CH198" i="6" s="1"/>
  <c r="AD199" i="6" s="1"/>
  <c r="CH199" i="6" s="1"/>
  <c r="AD200" i="6" s="1"/>
  <c r="CH200" i="6" s="1"/>
  <c r="AD201" i="6" s="1"/>
  <c r="CH201" i="6" s="1"/>
  <c r="AD202" i="6" s="1"/>
  <c r="CH202" i="6" s="1"/>
  <c r="AD203" i="6" s="1"/>
  <c r="CH203" i="6" s="1"/>
  <c r="AD204" i="6" s="1"/>
  <c r="CH204" i="6" s="1"/>
  <c r="AD205" i="6" s="1"/>
  <c r="CH205" i="6" s="1"/>
  <c r="AD206" i="6" s="1"/>
  <c r="CH206" i="6" s="1"/>
  <c r="AD207" i="6" s="1"/>
  <c r="CH207" i="6" s="1"/>
  <c r="AD208" i="6" s="1"/>
  <c r="CH208" i="6" s="1"/>
  <c r="AD209" i="6" s="1"/>
  <c r="CH209" i="6" s="1"/>
  <c r="AD210" i="6" s="1"/>
  <c r="CH210" i="6" s="1"/>
  <c r="AD211" i="6" s="1"/>
  <c r="CH211" i="6" s="1"/>
  <c r="AD212" i="6" s="1"/>
  <c r="CH212" i="6" s="1"/>
  <c r="AD213" i="6" s="1"/>
  <c r="CH213" i="6" s="1"/>
  <c r="AD214" i="6" s="1"/>
  <c r="CH214" i="6" s="1"/>
  <c r="AD215" i="6" s="1"/>
  <c r="CH215" i="6" s="1"/>
  <c r="AD216" i="6" s="1"/>
  <c r="CH216" i="6" s="1"/>
  <c r="AD217" i="6" s="1"/>
  <c r="CH217" i="6" s="1"/>
  <c r="AD218" i="6" s="1"/>
  <c r="CH218" i="6" s="1"/>
  <c r="AD219" i="6" s="1"/>
  <c r="CH219" i="6" s="1"/>
  <c r="AD220" i="6" s="1"/>
  <c r="CH220" i="6" s="1"/>
  <c r="AD221" i="6" s="1"/>
  <c r="CH221" i="6" s="1"/>
  <c r="AD222" i="6" s="1"/>
  <c r="CH222" i="6" s="1"/>
  <c r="AD223" i="6" s="1"/>
  <c r="CH223" i="6" s="1"/>
  <c r="AD224" i="6" s="1"/>
  <c r="CH224" i="6" s="1"/>
  <c r="AD225" i="6" s="1"/>
  <c r="CH225" i="6" s="1"/>
  <c r="AD226" i="6" s="1"/>
  <c r="CH226" i="6" s="1"/>
  <c r="AD227" i="6" s="1"/>
  <c r="CH227" i="6" s="1"/>
  <c r="AD228" i="6" s="1"/>
  <c r="CH228" i="6" s="1"/>
  <c r="AD229" i="6" s="1"/>
  <c r="CH229" i="6" s="1"/>
  <c r="AD230" i="6" s="1"/>
  <c r="CH230" i="6" s="1"/>
  <c r="AD231" i="6" s="1"/>
  <c r="CH231" i="6" s="1"/>
  <c r="AD232" i="6" s="1"/>
  <c r="CH232" i="6" s="1"/>
  <c r="AD233" i="6" s="1"/>
  <c r="CH233" i="6" s="1"/>
  <c r="AD234" i="6" s="1"/>
  <c r="CH234" i="6" s="1"/>
  <c r="AD235" i="6" s="1"/>
  <c r="CH235" i="6" s="1"/>
  <c r="AD236" i="6" s="1"/>
  <c r="CH236" i="6" s="1"/>
  <c r="AD237" i="6" s="1"/>
  <c r="CH237" i="6" s="1"/>
  <c r="AD238" i="6" s="1"/>
  <c r="CH238" i="6" s="1"/>
  <c r="AD239" i="6" s="1"/>
  <c r="CH239" i="6" s="1"/>
  <c r="AD240" i="6" s="1"/>
  <c r="CH240" i="6" s="1"/>
  <c r="AD241" i="6" s="1"/>
  <c r="CH241" i="6" s="1"/>
  <c r="AD242" i="6" s="1"/>
  <c r="CH242" i="6" s="1"/>
  <c r="FA113" i="6"/>
  <c r="FA114" i="6" s="1"/>
  <c r="FA115" i="6" s="1"/>
  <c r="FA116" i="6" s="1"/>
  <c r="FA117" i="6" s="1"/>
  <c r="FA118" i="6" s="1"/>
  <c r="FA119" i="6" s="1"/>
  <c r="FA120" i="6" s="1"/>
  <c r="FA121" i="6" s="1"/>
  <c r="FA122" i="6" s="1"/>
  <c r="FA123" i="6" s="1"/>
  <c r="FA124" i="6" s="1"/>
  <c r="FA125" i="6" s="1"/>
  <c r="FA126" i="6" s="1"/>
  <c r="FA127" i="6" s="1"/>
  <c r="FA128" i="6" s="1"/>
  <c r="FA129" i="6" s="1"/>
  <c r="CJ90" i="6"/>
  <c r="AF91" i="6" s="1"/>
  <c r="V45" i="6"/>
  <c r="BZ45" i="6" s="1"/>
  <c r="AY45" i="6"/>
  <c r="FD46" i="6"/>
  <c r="BX46" i="6"/>
  <c r="U52" i="4" s="1"/>
  <c r="CF46" i="6"/>
  <c r="AB47" i="6" s="1"/>
  <c r="CJ109" i="6"/>
  <c r="AF110" i="6" s="1"/>
  <c r="CU46" i="6"/>
  <c r="AQ47" i="6" s="1"/>
  <c r="CT46" i="6"/>
  <c r="AP47" i="6" s="1"/>
  <c r="EH171" i="6"/>
  <c r="EK171" i="6" s="1"/>
  <c r="BM171" i="6"/>
  <c r="CS171" i="6"/>
  <c r="AO172" i="6" s="1"/>
  <c r="CC171" i="6"/>
  <c r="Y172" i="6" s="1"/>
  <c r="CD171" i="6"/>
  <c r="Z172" i="6" s="1"/>
  <c r="EB173" i="6"/>
  <c r="EF174" i="6"/>
  <c r="FC48" i="6"/>
  <c r="AZ48" i="6" s="1"/>
  <c r="L54" i="4" s="1"/>
  <c r="FB48" i="6"/>
  <c r="CG47" i="6"/>
  <c r="AC48" i="6" s="1"/>
  <c r="CM54" i="6"/>
  <c r="AI55" i="6" s="1"/>
  <c r="L20" i="5" l="1"/>
  <c r="M20" i="5" s="1"/>
  <c r="EN155" i="6"/>
  <c r="Q155" i="6" s="1"/>
  <c r="EO155" i="6" s="1"/>
  <c r="EM156" i="6" s="1"/>
  <c r="EN77" i="6"/>
  <c r="Q77" i="6" s="1"/>
  <c r="EO77" i="6" s="1"/>
  <c r="EM78" i="6" s="1"/>
  <c r="CY54" i="6"/>
  <c r="AU55" i="6" s="1"/>
  <c r="EI55" i="6" s="1"/>
  <c r="BB55" i="6" s="1"/>
  <c r="BN55" i="6" s="1"/>
  <c r="CN54" i="6"/>
  <c r="AJ55" i="6" s="1"/>
  <c r="CX54" i="6"/>
  <c r="AT55" i="6" s="1"/>
  <c r="CW54" i="6"/>
  <c r="AS55" i="6" s="1"/>
  <c r="EJ55" i="6" s="1"/>
  <c r="BL55" i="6" s="1"/>
  <c r="CV54" i="6"/>
  <c r="AR55" i="6" s="1"/>
  <c r="BG54" i="6"/>
  <c r="CB44" i="6"/>
  <c r="X45" i="6" s="1"/>
  <c r="BF44" i="6"/>
  <c r="BK44" i="6" s="1"/>
  <c r="BQ44" i="6" s="1"/>
  <c r="BA44" i="6"/>
  <c r="CJ57" i="6"/>
  <c r="AF58" i="6" s="1"/>
  <c r="EC84" i="6"/>
  <c r="AV84" i="6" s="1"/>
  <c r="EC79" i="6"/>
  <c r="AV79" i="6" s="1"/>
  <c r="EC85" i="6"/>
  <c r="AV85" i="6" s="1"/>
  <c r="EC80" i="6"/>
  <c r="AV80" i="6" s="1"/>
  <c r="EC82" i="6"/>
  <c r="AV82" i="6" s="1"/>
  <c r="EC81" i="6"/>
  <c r="AV81" i="6" s="1"/>
  <c r="EC83" i="6"/>
  <c r="AV83" i="6" s="1"/>
  <c r="DR16" i="6"/>
  <c r="BD16" i="6"/>
  <c r="BC16" i="6"/>
  <c r="BO16" i="6" s="1"/>
  <c r="BQ16" i="6" s="1"/>
  <c r="DV16" i="6"/>
  <c r="BS16" i="6" s="1"/>
  <c r="BT16" i="6" s="1"/>
  <c r="EB174" i="6"/>
  <c r="EF175" i="6"/>
  <c r="CF47" i="6"/>
  <c r="AB48" i="6" s="1"/>
  <c r="BX47" i="6"/>
  <c r="U53" i="4" s="1"/>
  <c r="CJ105" i="6"/>
  <c r="AF106" i="6" s="1"/>
  <c r="O26" i="4"/>
  <c r="E26" i="5" s="1"/>
  <c r="FD47" i="6"/>
  <c r="V46" i="6"/>
  <c r="BZ46" i="6" s="1"/>
  <c r="AY46" i="6"/>
  <c r="P26" i="5"/>
  <c r="R26" i="5" s="1"/>
  <c r="BV20" i="6"/>
  <c r="O21" i="4"/>
  <c r="Q21" i="5"/>
  <c r="S21" i="5" s="1"/>
  <c r="EU15" i="6"/>
  <c r="BW15" i="6"/>
  <c r="CK152" i="6"/>
  <c r="AG153" i="6" s="1"/>
  <c r="K51" i="4"/>
  <c r="J25" i="5"/>
  <c r="K25" i="5" s="1"/>
  <c r="DI21" i="6"/>
  <c r="BY25" i="6"/>
  <c r="T31" i="4"/>
  <c r="EH172" i="6"/>
  <c r="EK172" i="6" s="1"/>
  <c r="CS172" i="6"/>
  <c r="AO173" i="6" s="1"/>
  <c r="CC172" i="6"/>
  <c r="Y173" i="6" s="1"/>
  <c r="CD172" i="6"/>
  <c r="Z173" i="6" s="1"/>
  <c r="BM172" i="6"/>
  <c r="CM55" i="6"/>
  <c r="AI56" i="6" s="1"/>
  <c r="FC132" i="6"/>
  <c r="FB132" i="6"/>
  <c r="EF86" i="6"/>
  <c r="CN140" i="6"/>
  <c r="AJ141" i="6" s="1"/>
  <c r="CW140" i="6"/>
  <c r="AS141" i="6" s="1"/>
  <c r="EJ141" i="6" s="1"/>
  <c r="BL141" i="6" s="1"/>
  <c r="CY140" i="6"/>
  <c r="AU141" i="6" s="1"/>
  <c r="EI141" i="6" s="1"/>
  <c r="EH95" i="6"/>
  <c r="EK95" i="6" s="1"/>
  <c r="CS95" i="6"/>
  <c r="AO96" i="6" s="1"/>
  <c r="CD95" i="6"/>
  <c r="Z96" i="6" s="1"/>
  <c r="CC95" i="6"/>
  <c r="Y96" i="6" s="1"/>
  <c r="BM95" i="6"/>
  <c r="FB49" i="6"/>
  <c r="FC49" i="6"/>
  <c r="AZ49" i="6" s="1"/>
  <c r="L55" i="4" s="1"/>
  <c r="CJ110" i="6"/>
  <c r="AF111" i="6" s="1"/>
  <c r="CJ91" i="6"/>
  <c r="AF92" i="6" s="1"/>
  <c r="ES25" i="6"/>
  <c r="W31" i="5" s="1"/>
  <c r="ER25" i="6"/>
  <c r="V31" i="5" s="1"/>
  <c r="EV25" i="6"/>
  <c r="EW25" i="6" s="1"/>
  <c r="U31" i="5"/>
  <c r="CG48" i="6"/>
  <c r="AC49" i="6" s="1"/>
  <c r="CT47" i="6"/>
  <c r="AP48" i="6" s="1"/>
  <c r="CU47" i="6"/>
  <c r="AQ48" i="6" s="1"/>
  <c r="EQ26" i="6"/>
  <c r="ET26" i="6"/>
  <c r="EP27" i="6" s="1"/>
  <c r="BP43" i="6"/>
  <c r="BR43" i="6" s="1"/>
  <c r="M49" i="4"/>
  <c r="EN78" i="6" l="1"/>
  <c r="Q78" i="6" s="1"/>
  <c r="EO78" i="6" s="1"/>
  <c r="EM79" i="6" s="1"/>
  <c r="EN156" i="6"/>
  <c r="Q156" i="6" s="1"/>
  <c r="EO156" i="6" s="1"/>
  <c r="EM157" i="6" s="1"/>
  <c r="P26" i="4"/>
  <c r="Q26" i="5"/>
  <c r="S26" i="5" s="1"/>
  <c r="EU20" i="6"/>
  <c r="CG49" i="6"/>
  <c r="AC50" i="6" s="1"/>
  <c r="EH96" i="6"/>
  <c r="EK96" i="6" s="1"/>
  <c r="CS96" i="6"/>
  <c r="AO97" i="6" s="1"/>
  <c r="CC96" i="6"/>
  <c r="Y97" i="6" s="1"/>
  <c r="CD96" i="6"/>
  <c r="Z97" i="6" s="1"/>
  <c r="BM96" i="6"/>
  <c r="FC133" i="6"/>
  <c r="FB133" i="6"/>
  <c r="BD21" i="6"/>
  <c r="DR21" i="6"/>
  <c r="BO21" i="6"/>
  <c r="BQ21" i="6" s="1"/>
  <c r="BC21" i="6"/>
  <c r="DV21" i="6"/>
  <c r="E21" i="5"/>
  <c r="I21" i="5" s="1"/>
  <c r="Q21" i="4"/>
  <c r="S21" i="4" s="1"/>
  <c r="CJ106" i="6"/>
  <c r="AF107" i="6" s="1"/>
  <c r="BI81" i="6"/>
  <c r="EJ81" i="6"/>
  <c r="BL81" i="6" s="1"/>
  <c r="EI81" i="6"/>
  <c r="BB81" i="6" s="1"/>
  <c r="BN81" i="6" s="1"/>
  <c r="CF48" i="6"/>
  <c r="AB49" i="6" s="1"/>
  <c r="BX48" i="6"/>
  <c r="U54" i="4" s="1"/>
  <c r="BI80" i="6"/>
  <c r="EI80" i="6"/>
  <c r="BB80" i="6" s="1"/>
  <c r="BN80" i="6" s="1"/>
  <c r="EJ80" i="6"/>
  <c r="BL80" i="6" s="1"/>
  <c r="N60" i="4"/>
  <c r="BI85" i="6"/>
  <c r="EJ85" i="6"/>
  <c r="BL85" i="6" s="1"/>
  <c r="EI85" i="6"/>
  <c r="EJ79" i="6"/>
  <c r="BL79" i="6" s="1"/>
  <c r="CX79" i="6"/>
  <c r="AT80" i="6" s="1"/>
  <c r="CX80" i="6" s="1"/>
  <c r="AT81" i="6" s="1"/>
  <c r="CX81" i="6" s="1"/>
  <c r="AT82" i="6" s="1"/>
  <c r="CX82" i="6" s="1"/>
  <c r="AT83" i="6" s="1"/>
  <c r="CX83" i="6" s="1"/>
  <c r="AT84" i="6" s="1"/>
  <c r="CX84" i="6" s="1"/>
  <c r="AT85" i="6" s="1"/>
  <c r="CX85" i="6" s="1"/>
  <c r="AT86" i="6" s="1"/>
  <c r="CX86" i="6" s="1"/>
  <c r="AT87" i="6" s="1"/>
  <c r="CX87" i="6" s="1"/>
  <c r="AT88" i="6" s="1"/>
  <c r="CX88" i="6" s="1"/>
  <c r="AT89" i="6" s="1"/>
  <c r="CX89" i="6" s="1"/>
  <c r="AT90" i="6" s="1"/>
  <c r="CX90" i="6" s="1"/>
  <c r="AT91" i="6" s="1"/>
  <c r="CX91" i="6" s="1"/>
  <c r="AT92" i="6" s="1"/>
  <c r="CX92" i="6" s="1"/>
  <c r="AT93" i="6" s="1"/>
  <c r="EI79" i="6"/>
  <c r="BB79" i="6" s="1"/>
  <c r="BN79" i="6" s="1"/>
  <c r="BI84" i="6"/>
  <c r="EI84" i="6"/>
  <c r="BB84" i="6" s="1"/>
  <c r="BN84" i="6" s="1"/>
  <c r="EJ84" i="6"/>
  <c r="BL84" i="6" s="1"/>
  <c r="CJ92" i="6"/>
  <c r="AF93" i="6" s="1"/>
  <c r="EH173" i="6"/>
  <c r="EK173" i="6" s="1"/>
  <c r="BM173" i="6"/>
  <c r="CC173" i="6"/>
  <c r="Y174" i="6" s="1"/>
  <c r="CD173" i="6"/>
  <c r="Z174" i="6" s="1"/>
  <c r="CS173" i="6"/>
  <c r="AO174" i="6" s="1"/>
  <c r="CN55" i="6"/>
  <c r="AJ56" i="6" s="1"/>
  <c r="CY55" i="6"/>
  <c r="AU56" i="6" s="1"/>
  <c r="EI56" i="6" s="1"/>
  <c r="BB56" i="6" s="1"/>
  <c r="BN56" i="6" s="1"/>
  <c r="CV55" i="6"/>
  <c r="AR56" i="6" s="1"/>
  <c r="CX55" i="6"/>
  <c r="AT56" i="6" s="1"/>
  <c r="CW55" i="6"/>
  <c r="AS56" i="6" s="1"/>
  <c r="EJ56" i="6" s="1"/>
  <c r="BL56" i="6" s="1"/>
  <c r="BI82" i="6"/>
  <c r="EI82" i="6"/>
  <c r="BB82" i="6" s="1"/>
  <c r="BN82" i="6" s="1"/>
  <c r="EJ82" i="6"/>
  <c r="BL82" i="6" s="1"/>
  <c r="K52" i="4"/>
  <c r="ET27" i="6"/>
  <c r="EP28" i="6" s="1"/>
  <c r="EQ27" i="6"/>
  <c r="CK153" i="6"/>
  <c r="AG154" i="6" s="1"/>
  <c r="V47" i="6"/>
  <c r="BZ47" i="6" s="1"/>
  <c r="FD48" i="6"/>
  <c r="AY47" i="6"/>
  <c r="DW16" i="6"/>
  <c r="BU16" i="6" s="1"/>
  <c r="BR16" i="6"/>
  <c r="DX16" i="6" s="1"/>
  <c r="CM56" i="6"/>
  <c r="AI57" i="6" s="1"/>
  <c r="L25" i="5"/>
  <c r="M25" i="5" s="1"/>
  <c r="ER26" i="6"/>
  <c r="V32" i="5" s="1"/>
  <c r="EV26" i="6"/>
  <c r="EW26" i="6" s="1"/>
  <c r="ES26" i="6"/>
  <c r="W32" i="5" s="1"/>
  <c r="U32" i="5"/>
  <c r="CJ111" i="6"/>
  <c r="AF112" i="6" s="1"/>
  <c r="CJ58" i="6"/>
  <c r="AF59" i="6" s="1"/>
  <c r="EB175" i="6"/>
  <c r="EF176" i="6"/>
  <c r="CT48" i="6"/>
  <c r="AP49" i="6" s="1"/>
  <c r="CU48" i="6"/>
  <c r="AQ49" i="6" s="1"/>
  <c r="CW141" i="6"/>
  <c r="AS142" i="6" s="1"/>
  <c r="EJ142" i="6" s="1"/>
  <c r="BL142" i="6" s="1"/>
  <c r="CN141" i="6"/>
  <c r="AJ142" i="6" s="1"/>
  <c r="CY141" i="6"/>
  <c r="AU142" i="6" s="1"/>
  <c r="EI142" i="6" s="1"/>
  <c r="DN16" i="6"/>
  <c r="DO16" i="6"/>
  <c r="DQ16" i="6"/>
  <c r="DP16" i="6"/>
  <c r="M50" i="4"/>
  <c r="BP44" i="6"/>
  <c r="BR44" i="6" s="1"/>
  <c r="EB86" i="6"/>
  <c r="EF87" i="6"/>
  <c r="EB87" i="6" s="1"/>
  <c r="EC87" i="6" s="1"/>
  <c r="AV87" i="6" s="1"/>
  <c r="BW20" i="6"/>
  <c r="FC50" i="6"/>
  <c r="AZ50" i="6" s="1"/>
  <c r="L56" i="4" s="1"/>
  <c r="FB50" i="6"/>
  <c r="EG86" i="6"/>
  <c r="ED87" i="6" s="1"/>
  <c r="U26" i="6"/>
  <c r="W26" i="6"/>
  <c r="CA26" i="6" s="1"/>
  <c r="BI83" i="6"/>
  <c r="EI83" i="6"/>
  <c r="BB83" i="6" s="1"/>
  <c r="BN83" i="6" s="1"/>
  <c r="EJ83" i="6"/>
  <c r="BL83" i="6" s="1"/>
  <c r="CB45" i="6"/>
  <c r="X46" i="6" s="1"/>
  <c r="BF45" i="6"/>
  <c r="BK45" i="6" s="1"/>
  <c r="BQ45" i="6" s="1"/>
  <c r="BA45" i="6"/>
  <c r="EN157" i="6" l="1"/>
  <c r="Q157" i="6" s="1"/>
  <c r="EO157" i="6" s="1"/>
  <c r="EM158" i="6" s="1"/>
  <c r="EN79" i="6"/>
  <c r="Q79" i="6" s="1"/>
  <c r="EO79" i="6" s="1"/>
  <c r="EM80" i="6" s="1"/>
  <c r="EG87" i="6"/>
  <c r="ED88" i="6" s="1"/>
  <c r="FB51" i="6"/>
  <c r="FC51" i="6"/>
  <c r="AZ51" i="6" s="1"/>
  <c r="L57" i="4" s="1"/>
  <c r="J21" i="5"/>
  <c r="K21" i="5" s="1"/>
  <c r="V48" i="6"/>
  <c r="BZ48" i="6" s="1"/>
  <c r="FD49" i="6"/>
  <c r="AY48" i="6"/>
  <c r="CY142" i="6"/>
  <c r="AU143" i="6" s="1"/>
  <c r="EI143" i="6" s="1"/>
  <c r="CW142" i="6"/>
  <c r="AS143" i="6" s="1"/>
  <c r="EJ143" i="6" s="1"/>
  <c r="BL143" i="6" s="1"/>
  <c r="CN142" i="6"/>
  <c r="AJ143" i="6" s="1"/>
  <c r="DW21" i="6"/>
  <c r="BR21" i="6"/>
  <c r="DX21" i="6" s="1"/>
  <c r="BV21" i="6" s="1"/>
  <c r="P27" i="4" s="1"/>
  <c r="F27" i="5" s="1"/>
  <c r="CG50" i="6"/>
  <c r="AC51" i="6" s="1"/>
  <c r="EF88" i="6"/>
  <c r="CK154" i="6"/>
  <c r="AG155" i="6" s="1"/>
  <c r="CN56" i="6"/>
  <c r="AJ57" i="6" s="1"/>
  <c r="CY56" i="6"/>
  <c r="AU57" i="6" s="1"/>
  <c r="EI57" i="6" s="1"/>
  <c r="BB57" i="6" s="1"/>
  <c r="BN57" i="6" s="1"/>
  <c r="CX56" i="6"/>
  <c r="AT57" i="6" s="1"/>
  <c r="CW56" i="6"/>
  <c r="AS57" i="6" s="1"/>
  <c r="EJ57" i="6" s="1"/>
  <c r="BL57" i="6" s="1"/>
  <c r="CV56" i="6"/>
  <c r="AR57" i="6" s="1"/>
  <c r="DP21" i="6"/>
  <c r="DL22" i="6" s="1"/>
  <c r="DO21" i="6"/>
  <c r="DK22" i="6" s="1"/>
  <c r="DN21" i="6"/>
  <c r="DJ22" i="6" s="1"/>
  <c r="DQ21" i="6"/>
  <c r="DM22" i="6" s="1"/>
  <c r="BP45" i="6"/>
  <c r="BR45" i="6" s="1"/>
  <c r="M51" i="4"/>
  <c r="CF49" i="6"/>
  <c r="AB50" i="6" s="1"/>
  <c r="BX49" i="6"/>
  <c r="U55" i="4" s="1"/>
  <c r="CB46" i="6"/>
  <c r="X47" i="6" s="1"/>
  <c r="BF46" i="6"/>
  <c r="BK46" i="6" s="1"/>
  <c r="BQ46" i="6" s="1"/>
  <c r="BA46" i="6"/>
  <c r="CT49" i="6"/>
  <c r="AP50" i="6" s="1"/>
  <c r="CU49" i="6"/>
  <c r="AQ50" i="6" s="1"/>
  <c r="FC134" i="6"/>
  <c r="FB134" i="6"/>
  <c r="Q26" i="4"/>
  <c r="S26" i="4" s="1"/>
  <c r="F26" i="5"/>
  <c r="I26" i="5" s="1"/>
  <c r="EB176" i="6"/>
  <c r="EF177" i="6"/>
  <c r="CM57" i="6"/>
  <c r="AI58" i="6" s="1"/>
  <c r="EH174" i="6"/>
  <c r="EK174" i="6" s="1"/>
  <c r="CS174" i="6"/>
  <c r="AO175" i="6" s="1"/>
  <c r="BM174" i="6"/>
  <c r="CD174" i="6"/>
  <c r="Z175" i="6" s="1"/>
  <c r="CC174" i="6"/>
  <c r="Y175" i="6" s="1"/>
  <c r="T32" i="4"/>
  <c r="BY26" i="6"/>
  <c r="BV16" i="6"/>
  <c r="BW16" i="6" s="1"/>
  <c r="P22" i="5"/>
  <c r="R22" i="5" s="1"/>
  <c r="EJ87" i="6"/>
  <c r="BL87" i="6" s="1"/>
  <c r="EI87" i="6"/>
  <c r="BB87" i="6" s="1"/>
  <c r="BN87" i="6" s="1"/>
  <c r="O22" i="4"/>
  <c r="E22" i="5" s="1"/>
  <c r="EV27" i="6"/>
  <c r="EW27" i="6" s="1"/>
  <c r="ER27" i="6"/>
  <c r="V33" i="5" s="1"/>
  <c r="ES27" i="6"/>
  <c r="W33" i="5" s="1"/>
  <c r="U33" i="5"/>
  <c r="ET28" i="6"/>
  <c r="EP29" i="6" s="1"/>
  <c r="EQ28" i="6"/>
  <c r="CJ59" i="6"/>
  <c r="AF60" i="6" s="1"/>
  <c r="EH97" i="6"/>
  <c r="EK97" i="6" s="1"/>
  <c r="CS97" i="6"/>
  <c r="AO98" i="6" s="1"/>
  <c r="CD97" i="6"/>
  <c r="Z98" i="6" s="1"/>
  <c r="CC97" i="6"/>
  <c r="Y98" i="6" s="1"/>
  <c r="BM97" i="6"/>
  <c r="EC86" i="6"/>
  <c r="AV86" i="6" s="1"/>
  <c r="K53" i="4"/>
  <c r="CJ112" i="6"/>
  <c r="AF113" i="6" s="1"/>
  <c r="CJ93" i="6"/>
  <c r="AF94" i="6" s="1"/>
  <c r="L21" i="5" l="1"/>
  <c r="M21" i="5" s="1"/>
  <c r="EN80" i="6"/>
  <c r="Q80" i="6" s="1"/>
  <c r="EO80" i="6" s="1"/>
  <c r="EM81" i="6" s="1"/>
  <c r="EN158" i="6"/>
  <c r="Q158" i="6" s="1"/>
  <c r="EO158" i="6" s="1"/>
  <c r="EM159" i="6" s="1"/>
  <c r="J26" i="5"/>
  <c r="K26" i="5" s="1"/>
  <c r="EH98" i="6"/>
  <c r="EK98" i="6" s="1"/>
  <c r="CS98" i="6"/>
  <c r="AO99" i="6" s="1"/>
  <c r="CD98" i="6"/>
  <c r="Z99" i="6" s="1"/>
  <c r="CC98" i="6"/>
  <c r="Y99" i="6" s="1"/>
  <c r="BM98" i="6"/>
  <c r="CT50" i="6"/>
  <c r="AP51" i="6" s="1"/>
  <c r="CU50" i="6"/>
  <c r="AQ51" i="6" s="1"/>
  <c r="DI22" i="6"/>
  <c r="BU21" i="6"/>
  <c r="P27" i="5"/>
  <c r="R27" i="5" s="1"/>
  <c r="CY143" i="6"/>
  <c r="AU144" i="6" s="1"/>
  <c r="EI144" i="6" s="1"/>
  <c r="CN143" i="6"/>
  <c r="AJ144" i="6" s="1"/>
  <c r="CW143" i="6"/>
  <c r="AS144" i="6" s="1"/>
  <c r="EJ144" i="6" s="1"/>
  <c r="BL144" i="6" s="1"/>
  <c r="M52" i="4"/>
  <c r="BP46" i="6"/>
  <c r="BR46" i="6" s="1"/>
  <c r="CM58" i="6"/>
  <c r="AI59" i="6" s="1"/>
  <c r="CB47" i="6"/>
  <c r="X48" i="6" s="1"/>
  <c r="BF47" i="6"/>
  <c r="BK47" i="6" s="1"/>
  <c r="BQ47" i="6" s="1"/>
  <c r="BA47" i="6"/>
  <c r="FC52" i="6"/>
  <c r="AZ52" i="6" s="1"/>
  <c r="L58" i="4" s="1"/>
  <c r="FB52" i="6"/>
  <c r="CJ60" i="6"/>
  <c r="AF61" i="6" s="1"/>
  <c r="CW57" i="6"/>
  <c r="AS58" i="6" s="1"/>
  <c r="EJ58" i="6" s="1"/>
  <c r="BL58" i="6" s="1"/>
  <c r="CY57" i="6"/>
  <c r="AU58" i="6" s="1"/>
  <c r="EI58" i="6" s="1"/>
  <c r="BB58" i="6" s="1"/>
  <c r="BN58" i="6" s="1"/>
  <c r="CV57" i="6"/>
  <c r="AR58" i="6" s="1"/>
  <c r="CX57" i="6"/>
  <c r="AT58" i="6" s="1"/>
  <c r="CN57" i="6"/>
  <c r="AJ58" i="6" s="1"/>
  <c r="EG88" i="6"/>
  <c r="ED89" i="6" s="1"/>
  <c r="CJ113" i="6"/>
  <c r="AF114" i="6" s="1"/>
  <c r="EV28" i="6"/>
  <c r="EW28" i="6" s="1"/>
  <c r="ES28" i="6"/>
  <c r="W34" i="5" s="1"/>
  <c r="ER28" i="6"/>
  <c r="V34" i="5" s="1"/>
  <c r="U34" i="5"/>
  <c r="P22" i="4"/>
  <c r="Q22" i="5"/>
  <c r="S22" i="5" s="1"/>
  <c r="EU16" i="6"/>
  <c r="EB177" i="6"/>
  <c r="EF178" i="6"/>
  <c r="BX50" i="6"/>
  <c r="U56" i="4" s="1"/>
  <c r="CF50" i="6"/>
  <c r="AB51" i="6" s="1"/>
  <c r="ET29" i="6"/>
  <c r="EP30" i="6" s="1"/>
  <c r="EQ29" i="6"/>
  <c r="U27" i="6"/>
  <c r="W27" i="6"/>
  <c r="CA27" i="6" s="1"/>
  <c r="CK155" i="6"/>
  <c r="AG156" i="6" s="1"/>
  <c r="EB88" i="6"/>
  <c r="EF89" i="6"/>
  <c r="K54" i="4"/>
  <c r="EJ86" i="6"/>
  <c r="BL86" i="6" s="1"/>
  <c r="EI86" i="6"/>
  <c r="BB86" i="6" s="1"/>
  <c r="BN86" i="6" s="1"/>
  <c r="EH175" i="6"/>
  <c r="EK175" i="6" s="1"/>
  <c r="CD175" i="6"/>
  <c r="Z176" i="6" s="1"/>
  <c r="CC175" i="6"/>
  <c r="Y176" i="6" s="1"/>
  <c r="BM175" i="6"/>
  <c r="CS175" i="6"/>
  <c r="AO176" i="6" s="1"/>
  <c r="FB135" i="6"/>
  <c r="FC135" i="6"/>
  <c r="CG51" i="6"/>
  <c r="AC52" i="6" s="1"/>
  <c r="V49" i="6"/>
  <c r="BZ49" i="6" s="1"/>
  <c r="FD50" i="6"/>
  <c r="AY49" i="6"/>
  <c r="L26" i="5" l="1"/>
  <c r="M26" i="5" s="1"/>
  <c r="EN159" i="6"/>
  <c r="Q159" i="6" s="1"/>
  <c r="EO159" i="6" s="1"/>
  <c r="EM160" i="6" s="1"/>
  <c r="EN81" i="6"/>
  <c r="Q81" i="6" s="1"/>
  <c r="EO81" i="6" s="1"/>
  <c r="EM82" i="6" s="1"/>
  <c r="EH99" i="6"/>
  <c r="EK99" i="6" s="1"/>
  <c r="CC99" i="6"/>
  <c r="Y100" i="6" s="1"/>
  <c r="CS99" i="6"/>
  <c r="AO100" i="6" s="1"/>
  <c r="CD99" i="6"/>
  <c r="Z100" i="6" s="1"/>
  <c r="BM99" i="6"/>
  <c r="M53" i="4"/>
  <c r="BP47" i="6"/>
  <c r="CG52" i="6"/>
  <c r="AC53" i="6" s="1"/>
  <c r="CF51" i="6"/>
  <c r="AB52" i="6" s="1"/>
  <c r="BX51" i="6"/>
  <c r="U57" i="4" s="1"/>
  <c r="CJ114" i="6"/>
  <c r="AF115" i="6" s="1"/>
  <c r="BR47" i="6"/>
  <c r="EG89" i="6"/>
  <c r="ED90" i="6" s="1"/>
  <c r="CB48" i="6"/>
  <c r="X49" i="6" s="1"/>
  <c r="BF48" i="6"/>
  <c r="BK48" i="6" s="1"/>
  <c r="BQ48" i="6" s="1"/>
  <c r="BA48" i="6"/>
  <c r="CN58" i="6"/>
  <c r="AJ59" i="6" s="1"/>
  <c r="CY58" i="6"/>
  <c r="AU59" i="6" s="1"/>
  <c r="EI59" i="6" s="1"/>
  <c r="BB59" i="6" s="1"/>
  <c r="BN59" i="6" s="1"/>
  <c r="CV58" i="6"/>
  <c r="AR59" i="6" s="1"/>
  <c r="CX58" i="6"/>
  <c r="AT59" i="6" s="1"/>
  <c r="CW58" i="6"/>
  <c r="AS59" i="6" s="1"/>
  <c r="EJ59" i="6" s="1"/>
  <c r="BL59" i="6" s="1"/>
  <c r="EB178" i="6"/>
  <c r="EF179" i="6"/>
  <c r="FC136" i="6"/>
  <c r="FB136" i="6"/>
  <c r="CM59" i="6"/>
  <c r="AI60" i="6" s="1"/>
  <c r="EB89" i="6"/>
  <c r="EC89" i="6" s="1"/>
  <c r="AV89" i="6" s="1"/>
  <c r="EF90" i="6"/>
  <c r="BW21" i="6"/>
  <c r="O27" i="4"/>
  <c r="Q27" i="5"/>
  <c r="S27" i="5" s="1"/>
  <c r="EU21" i="6"/>
  <c r="EC88" i="6"/>
  <c r="AV88" i="6" s="1"/>
  <c r="ES29" i="6"/>
  <c r="W35" i="5" s="1"/>
  <c r="ER29" i="6"/>
  <c r="V35" i="5" s="1"/>
  <c r="EV29" i="6"/>
  <c r="EW29" i="6" s="1"/>
  <c r="U35" i="5"/>
  <c r="EQ30" i="6"/>
  <c r="ET30" i="6"/>
  <c r="EP31" i="6" s="1"/>
  <c r="CW144" i="6"/>
  <c r="AS145" i="6" s="1"/>
  <c r="EJ145" i="6" s="1"/>
  <c r="BL145" i="6" s="1"/>
  <c r="CY144" i="6"/>
  <c r="AU145" i="6" s="1"/>
  <c r="EI145" i="6" s="1"/>
  <c r="CN144" i="6"/>
  <c r="AJ145" i="6" s="1"/>
  <c r="BD22" i="6"/>
  <c r="DR22" i="6"/>
  <c r="BC22" i="6"/>
  <c r="DV22" i="6"/>
  <c r="FC53" i="6"/>
  <c r="AZ53" i="6" s="1"/>
  <c r="L59" i="4" s="1"/>
  <c r="FB53" i="6"/>
  <c r="K55" i="4"/>
  <c r="EH176" i="6"/>
  <c r="EK176" i="6" s="1"/>
  <c r="CD176" i="6"/>
  <c r="Z177" i="6" s="1"/>
  <c r="CC176" i="6"/>
  <c r="Y177" i="6" s="1"/>
  <c r="BM176" i="6"/>
  <c r="CS176" i="6"/>
  <c r="AO177" i="6" s="1"/>
  <c r="CK156" i="6"/>
  <c r="AG157" i="6" s="1"/>
  <c r="F22" i="5"/>
  <c r="I22" i="5" s="1"/>
  <c r="Q22" i="4"/>
  <c r="S22" i="4" s="1"/>
  <c r="CT51" i="6"/>
  <c r="AP52" i="6" s="1"/>
  <c r="CU51" i="6"/>
  <c r="AQ52" i="6" s="1"/>
  <c r="FD51" i="6"/>
  <c r="V50" i="6"/>
  <c r="BZ50" i="6" s="1"/>
  <c r="AY50" i="6"/>
  <c r="T33" i="4"/>
  <c r="BY27" i="6"/>
  <c r="CJ61" i="6"/>
  <c r="AF62" i="6" s="1"/>
  <c r="EN82" i="6" l="1"/>
  <c r="Q82" i="6" s="1"/>
  <c r="EO82" i="6" s="1"/>
  <c r="EM83" i="6" s="1"/>
  <c r="EN160" i="6"/>
  <c r="Q160" i="6" s="1"/>
  <c r="EO160" i="6" s="1"/>
  <c r="EM161" i="6" s="1"/>
  <c r="CJ62" i="6"/>
  <c r="AF63" i="6" s="1"/>
  <c r="J22" i="5"/>
  <c r="K22" i="5" s="1"/>
  <c r="CM60" i="6"/>
  <c r="AI61" i="6" s="1"/>
  <c r="DP22" i="6"/>
  <c r="DL23" i="6" s="1"/>
  <c r="DN22" i="6"/>
  <c r="DJ23" i="6" s="1"/>
  <c r="DO22" i="6"/>
  <c r="DK23" i="6" s="1"/>
  <c r="DQ22" i="6"/>
  <c r="DM23" i="6" s="1"/>
  <c r="CB49" i="6"/>
  <c r="X50" i="6" s="1"/>
  <c r="BF49" i="6"/>
  <c r="BK49" i="6" s="1"/>
  <c r="BQ49" i="6" s="1"/>
  <c r="BA49" i="6"/>
  <c r="W28" i="6"/>
  <c r="CA28" i="6" s="1"/>
  <c r="U28" i="6"/>
  <c r="K56" i="4"/>
  <c r="EB179" i="6"/>
  <c r="EF180" i="6"/>
  <c r="EH100" i="6"/>
  <c r="EK100" i="6" s="1"/>
  <c r="CS100" i="6"/>
  <c r="AO101" i="6" s="1"/>
  <c r="CD100" i="6"/>
  <c r="Z101" i="6" s="1"/>
  <c r="CC100" i="6"/>
  <c r="Y101" i="6" s="1"/>
  <c r="BM100" i="6"/>
  <c r="EI88" i="6"/>
  <c r="BB88" i="6" s="1"/>
  <c r="BN88" i="6" s="1"/>
  <c r="EJ88" i="6"/>
  <c r="BL88" i="6" s="1"/>
  <c r="FC137" i="6"/>
  <c r="FB137" i="6"/>
  <c r="EH177" i="6"/>
  <c r="EK177" i="6" s="1"/>
  <c r="BM177" i="6"/>
  <c r="CD177" i="6"/>
  <c r="Z178" i="6" s="1"/>
  <c r="CS177" i="6"/>
  <c r="AO178" i="6" s="1"/>
  <c r="CC177" i="6"/>
  <c r="Y178" i="6" s="1"/>
  <c r="CJ115" i="6"/>
  <c r="AF116" i="6" s="1"/>
  <c r="EQ31" i="6"/>
  <c r="ET31" i="6"/>
  <c r="EP32" i="6" s="1"/>
  <c r="EG90" i="6"/>
  <c r="ED91" i="6" s="1"/>
  <c r="CN145" i="6"/>
  <c r="AJ146" i="6" s="1"/>
  <c r="CY145" i="6"/>
  <c r="AU146" i="6" s="1"/>
  <c r="EI146" i="6" s="1"/>
  <c r="CW145" i="6"/>
  <c r="AS146" i="6" s="1"/>
  <c r="EJ146" i="6" s="1"/>
  <c r="BL146" i="6" s="1"/>
  <c r="V51" i="6"/>
  <c r="BZ51" i="6" s="1"/>
  <c r="FD52" i="6"/>
  <c r="AY51" i="6"/>
  <c r="Q27" i="4"/>
  <c r="S27" i="4" s="1"/>
  <c r="E27" i="5"/>
  <c r="I27" i="5" s="1"/>
  <c r="BX52" i="6"/>
  <c r="U58" i="4" s="1"/>
  <c r="CF52" i="6"/>
  <c r="AB53" i="6" s="1"/>
  <c r="CK157" i="6"/>
  <c r="AG158" i="6" s="1"/>
  <c r="AY52" i="6"/>
  <c r="CU52" i="6"/>
  <c r="AQ53" i="6" s="1"/>
  <c r="CT52" i="6"/>
  <c r="AP53" i="6" s="1"/>
  <c r="EB90" i="6"/>
  <c r="EF91" i="6"/>
  <c r="EB91" i="6" s="1"/>
  <c r="CV59" i="6"/>
  <c r="AR60" i="6" s="1"/>
  <c r="CN59" i="6"/>
  <c r="AJ60" i="6" s="1"/>
  <c r="CW59" i="6"/>
  <c r="AS60" i="6" s="1"/>
  <c r="EJ60" i="6" s="1"/>
  <c r="BL60" i="6" s="1"/>
  <c r="CY59" i="6"/>
  <c r="AU60" i="6" s="1"/>
  <c r="EI60" i="6" s="1"/>
  <c r="BB60" i="6" s="1"/>
  <c r="BN60" i="6" s="1"/>
  <c r="CX59" i="6"/>
  <c r="AT60" i="6" s="1"/>
  <c r="CG53" i="6"/>
  <c r="AC54" i="6" s="1"/>
  <c r="FC54" i="6"/>
  <c r="AZ54" i="6" s="1"/>
  <c r="L60" i="4" s="1"/>
  <c r="FB54" i="6"/>
  <c r="EV30" i="6"/>
  <c r="EW30" i="6" s="1"/>
  <c r="ER30" i="6"/>
  <c r="V36" i="5" s="1"/>
  <c r="ES30" i="6"/>
  <c r="W36" i="5" s="1"/>
  <c r="U36" i="5"/>
  <c r="EI89" i="6"/>
  <c r="BB89" i="6" s="1"/>
  <c r="BN89" i="6" s="1"/>
  <c r="EJ89" i="6"/>
  <c r="BL89" i="6" s="1"/>
  <c r="BP48" i="6"/>
  <c r="BR48" i="6" s="1"/>
  <c r="M54" i="4"/>
  <c r="EN161" i="6" l="1"/>
  <c r="Q161" i="6" s="1"/>
  <c r="EO161" i="6" s="1"/>
  <c r="EM162" i="6" s="1"/>
  <c r="EN83" i="6"/>
  <c r="Q83" i="6" s="1"/>
  <c r="EO83" i="6" s="1"/>
  <c r="EM84" i="6" s="1"/>
  <c r="CN146" i="6"/>
  <c r="AJ147" i="6" s="1"/>
  <c r="CY146" i="6"/>
  <c r="AU147" i="6" s="1"/>
  <c r="EI147" i="6" s="1"/>
  <c r="CW146" i="6"/>
  <c r="AS147" i="6" s="1"/>
  <c r="EJ147" i="6" s="1"/>
  <c r="BL147" i="6" s="1"/>
  <c r="FB138" i="6"/>
  <c r="FC138" i="6"/>
  <c r="CN60" i="6"/>
  <c r="AJ61" i="6" s="1"/>
  <c r="CW60" i="6"/>
  <c r="AS61" i="6" s="1"/>
  <c r="EJ61" i="6" s="1"/>
  <c r="BL61" i="6" s="1"/>
  <c r="CY60" i="6"/>
  <c r="AU61" i="6" s="1"/>
  <c r="EI61" i="6" s="1"/>
  <c r="BB61" i="6" s="1"/>
  <c r="BN61" i="6" s="1"/>
  <c r="CV60" i="6"/>
  <c r="AR61" i="6" s="1"/>
  <c r="CX60" i="6"/>
  <c r="AT61" i="6" s="1"/>
  <c r="ET32" i="6"/>
  <c r="EP33" i="6" s="1"/>
  <c r="EQ32" i="6"/>
  <c r="T34" i="4"/>
  <c r="BY28" i="6"/>
  <c r="BP49" i="6"/>
  <c r="M55" i="4"/>
  <c r="K57" i="4"/>
  <c r="EV31" i="6"/>
  <c r="EW31" i="6" s="1"/>
  <c r="ES31" i="6"/>
  <c r="W37" i="5" s="1"/>
  <c r="ER31" i="6"/>
  <c r="V37" i="5" s="1"/>
  <c r="U37" i="5"/>
  <c r="CM61" i="6"/>
  <c r="AI62" i="6" s="1"/>
  <c r="EC90" i="6"/>
  <c r="AV90" i="6" s="1"/>
  <c r="CJ116" i="6"/>
  <c r="AF117" i="6" s="1"/>
  <c r="EH101" i="6"/>
  <c r="EK101" i="6" s="1"/>
  <c r="CD101" i="6"/>
  <c r="Z102" i="6" s="1"/>
  <c r="CS101" i="6"/>
  <c r="AO102" i="6" s="1"/>
  <c r="CC101" i="6"/>
  <c r="Y102" i="6" s="1"/>
  <c r="BM101" i="6"/>
  <c r="BR49" i="6"/>
  <c r="L22" i="5"/>
  <c r="M22" i="5" s="1"/>
  <c r="EG91" i="6"/>
  <c r="ED92" i="6" s="1"/>
  <c r="EG92" i="6" s="1"/>
  <c r="ED93" i="6" s="1"/>
  <c r="FD53" i="6"/>
  <c r="EH178" i="6"/>
  <c r="EK178" i="6" s="1"/>
  <c r="CS178" i="6"/>
  <c r="AO179" i="6" s="1"/>
  <c r="CC178" i="6"/>
  <c r="Y179" i="6" s="1"/>
  <c r="CD178" i="6"/>
  <c r="Z179" i="6" s="1"/>
  <c r="BM178" i="6"/>
  <c r="CB50" i="6"/>
  <c r="X51" i="6" s="1"/>
  <c r="BF50" i="6"/>
  <c r="BK50" i="6" s="1"/>
  <c r="BQ50" i="6" s="1"/>
  <c r="BA50" i="6"/>
  <c r="CJ63" i="6"/>
  <c r="AF64" i="6" s="1"/>
  <c r="EC91" i="6"/>
  <c r="AV91" i="6" s="1"/>
  <c r="EC92" i="6"/>
  <c r="AV92" i="6" s="1"/>
  <c r="FC55" i="6"/>
  <c r="AZ55" i="6" s="1"/>
  <c r="L61" i="4" s="1"/>
  <c r="FB55" i="6"/>
  <c r="CU53" i="6"/>
  <c r="AQ54" i="6" s="1"/>
  <c r="CT53" i="6"/>
  <c r="AP54" i="6" s="1"/>
  <c r="K58" i="4"/>
  <c r="DI23" i="6"/>
  <c r="EB180" i="6"/>
  <c r="EF181" i="6"/>
  <c r="J27" i="5"/>
  <c r="K27" i="5" s="1"/>
  <c r="CG54" i="6"/>
  <c r="AC55" i="6" s="1"/>
  <c r="CK158" i="6"/>
  <c r="AG159" i="6" s="1"/>
  <c r="CF53" i="6"/>
  <c r="AB54" i="6" s="1"/>
  <c r="BX53" i="6"/>
  <c r="U59" i="4" s="1"/>
  <c r="L27" i="5" l="1"/>
  <c r="M27" i="5" s="1"/>
  <c r="EN84" i="6"/>
  <c r="Q84" i="6" s="1"/>
  <c r="EO84" i="6" s="1"/>
  <c r="EM85" i="6" s="1"/>
  <c r="EN162" i="6"/>
  <c r="Q162" i="6" s="1"/>
  <c r="EO162" i="6" s="1"/>
  <c r="EM163" i="6" s="1"/>
  <c r="CG55" i="6"/>
  <c r="AC56" i="6" s="1"/>
  <c r="CU54" i="6"/>
  <c r="AQ55" i="6" s="1"/>
  <c r="CT54" i="6"/>
  <c r="AP55" i="6" s="1"/>
  <c r="FC56" i="6"/>
  <c r="AZ56" i="6" s="1"/>
  <c r="L62" i="4" s="1"/>
  <c r="FB56" i="6"/>
  <c r="U29" i="6"/>
  <c r="W29" i="6"/>
  <c r="EH102" i="6"/>
  <c r="EK102" i="6" s="1"/>
  <c r="CS102" i="6"/>
  <c r="AO103" i="6" s="1"/>
  <c r="CC102" i="6"/>
  <c r="Y103" i="6" s="1"/>
  <c r="CD102" i="6"/>
  <c r="Z103" i="6" s="1"/>
  <c r="BM102" i="6"/>
  <c r="EI91" i="6"/>
  <c r="BB91" i="6" s="1"/>
  <c r="BN91" i="6" s="1"/>
  <c r="EJ91" i="6"/>
  <c r="BL91" i="6" s="1"/>
  <c r="EV32" i="6"/>
  <c r="EW32" i="6" s="1"/>
  <c r="ES32" i="6"/>
  <c r="W38" i="5" s="1"/>
  <c r="ER32" i="6"/>
  <c r="V38" i="5" s="1"/>
  <c r="U38" i="5"/>
  <c r="EB181" i="6"/>
  <c r="EF182" i="6"/>
  <c r="CM62" i="6"/>
  <c r="AI63" i="6" s="1"/>
  <c r="ET33" i="6"/>
  <c r="EP34" i="6" s="1"/>
  <c r="EQ33" i="6"/>
  <c r="CW147" i="6"/>
  <c r="AS148" i="6" s="1"/>
  <c r="EJ148" i="6" s="1"/>
  <c r="BL148" i="6" s="1"/>
  <c r="CY147" i="6"/>
  <c r="AU148" i="6" s="1"/>
  <c r="EI148" i="6" s="1"/>
  <c r="CN147" i="6"/>
  <c r="AJ148" i="6" s="1"/>
  <c r="BI90" i="6"/>
  <c r="EJ90" i="6"/>
  <c r="BL90" i="6" s="1"/>
  <c r="EI90" i="6"/>
  <c r="BB90" i="6" s="1"/>
  <c r="BN90" i="6" s="1"/>
  <c r="BC23" i="6"/>
  <c r="DR23" i="6"/>
  <c r="BD23" i="6"/>
  <c r="BO23" i="6" s="1"/>
  <c r="DV23" i="6"/>
  <c r="CJ64" i="6"/>
  <c r="AF65" i="6" s="1"/>
  <c r="EJ92" i="6"/>
  <c r="BL92" i="6" s="1"/>
  <c r="EI92" i="6"/>
  <c r="BB92" i="6" s="1"/>
  <c r="BN92" i="6" s="1"/>
  <c r="M56" i="4"/>
  <c r="BP50" i="6"/>
  <c r="FD54" i="6"/>
  <c r="AY54" i="6" s="1"/>
  <c r="AY53" i="6"/>
  <c r="CJ117" i="6"/>
  <c r="AF118" i="6" s="1"/>
  <c r="EH179" i="6"/>
  <c r="EK179" i="6" s="1"/>
  <c r="BM179" i="6"/>
  <c r="CS179" i="6"/>
  <c r="AO180" i="6" s="1"/>
  <c r="CC179" i="6"/>
  <c r="Y180" i="6" s="1"/>
  <c r="CD179" i="6"/>
  <c r="Z180" i="6" s="1"/>
  <c r="FB139" i="6"/>
  <c r="FC139" i="6"/>
  <c r="CF54" i="6"/>
  <c r="AB55" i="6" s="1"/>
  <c r="BX54" i="6"/>
  <c r="U60" i="4" s="1"/>
  <c r="BR50" i="6"/>
  <c r="CB51" i="6"/>
  <c r="X52" i="6" s="1"/>
  <c r="BF51" i="6"/>
  <c r="BK51" i="6" s="1"/>
  <c r="BQ51" i="6" s="1"/>
  <c r="BA51" i="6"/>
  <c r="DM31" i="6"/>
  <c r="DJ31" i="6"/>
  <c r="DK31" i="6"/>
  <c r="DL31" i="6"/>
  <c r="EE93" i="6"/>
  <c r="CK159" i="6"/>
  <c r="AG160" i="6" s="1"/>
  <c r="CX61" i="6"/>
  <c r="AT62" i="6" s="1"/>
  <c r="CY61" i="6"/>
  <c r="AU62" i="6" s="1"/>
  <c r="EI62" i="6" s="1"/>
  <c r="BB62" i="6" s="1"/>
  <c r="BN62" i="6" s="1"/>
  <c r="CN61" i="6"/>
  <c r="AJ62" i="6" s="1"/>
  <c r="CV61" i="6"/>
  <c r="AR62" i="6" s="1"/>
  <c r="CW61" i="6"/>
  <c r="AS62" i="6" s="1"/>
  <c r="EJ62" i="6" s="1"/>
  <c r="BL62" i="6" s="1"/>
  <c r="K60" i="4" l="1"/>
  <c r="EN163" i="6"/>
  <c r="Q163" i="6" s="1"/>
  <c r="EO163" i="6" s="1"/>
  <c r="EM164" i="6" s="1"/>
  <c r="EN85" i="6"/>
  <c r="Q85" i="6" s="1"/>
  <c r="EO85" i="6" s="1"/>
  <c r="EM86" i="6" s="1"/>
  <c r="DI31" i="6"/>
  <c r="CY148" i="6"/>
  <c r="AU149" i="6" s="1"/>
  <c r="EI149" i="6" s="1"/>
  <c r="CW148" i="6"/>
  <c r="AS149" i="6" s="1"/>
  <c r="EJ149" i="6" s="1"/>
  <c r="BL149" i="6" s="1"/>
  <c r="CN148" i="6"/>
  <c r="AJ149" i="6" s="1"/>
  <c r="BY29" i="6"/>
  <c r="T35" i="4"/>
  <c r="BG29" i="6"/>
  <c r="BB29" i="6"/>
  <c r="BN29" i="6" s="1"/>
  <c r="M57" i="4"/>
  <c r="BP51" i="6"/>
  <c r="BR51" i="6"/>
  <c r="CT55" i="6"/>
  <c r="AP56" i="6" s="1"/>
  <c r="CU55" i="6"/>
  <c r="AQ56" i="6" s="1"/>
  <c r="CJ65" i="6"/>
  <c r="AF66" i="6" s="1"/>
  <c r="BB65" i="6"/>
  <c r="BN65" i="6" s="1"/>
  <c r="CJ118" i="6"/>
  <c r="AF119" i="6" s="1"/>
  <c r="ES33" i="6"/>
  <c r="W39" i="5" s="1"/>
  <c r="ER33" i="6"/>
  <c r="V39" i="5" s="1"/>
  <c r="EV33" i="6"/>
  <c r="EW33" i="6" s="1"/>
  <c r="U39" i="5"/>
  <c r="K59" i="4"/>
  <c r="EQ34" i="6"/>
  <c r="ET34" i="6"/>
  <c r="EP35" i="6" s="1"/>
  <c r="FC57" i="6"/>
  <c r="AZ57" i="6" s="1"/>
  <c r="L63" i="4" s="1"/>
  <c r="FB57" i="6"/>
  <c r="CK160" i="6"/>
  <c r="AG161" i="6" s="1"/>
  <c r="EB93" i="6"/>
  <c r="EH103" i="6"/>
  <c r="EK103" i="6" s="1"/>
  <c r="CS103" i="6"/>
  <c r="AO104" i="6" s="1"/>
  <c r="CD103" i="6"/>
  <c r="Z104" i="6" s="1"/>
  <c r="CC103" i="6"/>
  <c r="Y104" i="6" s="1"/>
  <c r="BM103" i="6"/>
  <c r="CG56" i="6"/>
  <c r="AC57" i="6" s="1"/>
  <c r="CN62" i="6"/>
  <c r="AJ63" i="6" s="1"/>
  <c r="CW62" i="6"/>
  <c r="AS63" i="6" s="1"/>
  <c r="EJ63" i="6" s="1"/>
  <c r="BL63" i="6" s="1"/>
  <c r="CX62" i="6"/>
  <c r="AT63" i="6" s="1"/>
  <c r="CY62" i="6"/>
  <c r="AU63" i="6" s="1"/>
  <c r="EI63" i="6" s="1"/>
  <c r="BB63" i="6" s="1"/>
  <c r="BN63" i="6" s="1"/>
  <c r="CV62" i="6"/>
  <c r="AR63" i="6" s="1"/>
  <c r="CB52" i="6"/>
  <c r="X53" i="6" s="1"/>
  <c r="BF52" i="6"/>
  <c r="BK52" i="6" s="1"/>
  <c r="BA52" i="6"/>
  <c r="CF55" i="6"/>
  <c r="AB56" i="6" s="1"/>
  <c r="BX55" i="6"/>
  <c r="U61" i="4" s="1"/>
  <c r="DQ23" i="6"/>
  <c r="DM24" i="6" s="1"/>
  <c r="DO23" i="6"/>
  <c r="DK24" i="6" s="1"/>
  <c r="DP23" i="6"/>
  <c r="DL24" i="6" s="1"/>
  <c r="DN23" i="6"/>
  <c r="DJ24" i="6" s="1"/>
  <c r="EG93" i="6"/>
  <c r="ED94" i="6" s="1"/>
  <c r="EG94" i="6" s="1"/>
  <c r="ED95" i="6" s="1"/>
  <c r="EG95" i="6" s="1"/>
  <c r="ED96" i="6" s="1"/>
  <c r="EG96" i="6" s="1"/>
  <c r="ED97" i="6" s="1"/>
  <c r="EG97" i="6" s="1"/>
  <c r="ED98" i="6" s="1"/>
  <c r="EG98" i="6" s="1"/>
  <c r="ED99" i="6" s="1"/>
  <c r="EG99" i="6" s="1"/>
  <c r="ED100" i="6" s="1"/>
  <c r="FD55" i="6"/>
  <c r="EB182" i="6"/>
  <c r="EF183" i="6"/>
  <c r="FB140" i="6"/>
  <c r="FC140" i="6"/>
  <c r="EH180" i="6"/>
  <c r="EK180" i="6" s="1"/>
  <c r="CD180" i="6"/>
  <c r="Z181" i="6" s="1"/>
  <c r="CC180" i="6"/>
  <c r="Y181" i="6" s="1"/>
  <c r="CS180" i="6"/>
  <c r="AO181" i="6" s="1"/>
  <c r="BM180" i="6"/>
  <c r="CA29" i="6"/>
  <c r="EN86" i="6" l="1"/>
  <c r="Q86" i="6" s="1"/>
  <c r="EO86" i="6" s="1"/>
  <c r="EM87" i="6" s="1"/>
  <c r="EN164" i="6"/>
  <c r="Q164" i="6" s="1"/>
  <c r="EO164" i="6" s="1"/>
  <c r="EM165" i="6" s="1"/>
  <c r="EV34" i="6"/>
  <c r="EW34" i="6" s="1"/>
  <c r="ES34" i="6"/>
  <c r="W40" i="5" s="1"/>
  <c r="ER34" i="6"/>
  <c r="V40" i="5" s="1"/>
  <c r="U40" i="5"/>
  <c r="FD56" i="6"/>
  <c r="AY55" i="6"/>
  <c r="FB141" i="6"/>
  <c r="FC141" i="6"/>
  <c r="FB58" i="6"/>
  <c r="FC58" i="6"/>
  <c r="AZ58" i="6" s="1"/>
  <c r="L64" i="4" s="1"/>
  <c r="BX56" i="6"/>
  <c r="U62" i="4" s="1"/>
  <c r="CF56" i="6"/>
  <c r="AB57" i="6" s="1"/>
  <c r="EH181" i="6"/>
  <c r="EK181" i="6" s="1"/>
  <c r="BM181" i="6"/>
  <c r="CC181" i="6"/>
  <c r="Y182" i="6" s="1"/>
  <c r="CD181" i="6"/>
  <c r="Z182" i="6" s="1"/>
  <c r="CS181" i="6"/>
  <c r="AO182" i="6" s="1"/>
  <c r="CB53" i="6"/>
  <c r="X54" i="6" s="1"/>
  <c r="BF53" i="6"/>
  <c r="BK53" i="6" s="1"/>
  <c r="BA53" i="6"/>
  <c r="CU56" i="6"/>
  <c r="AQ57" i="6" s="1"/>
  <c r="CT56" i="6"/>
  <c r="AP57" i="6" s="1"/>
  <c r="EF100" i="6"/>
  <c r="BD31" i="6"/>
  <c r="DR31" i="6"/>
  <c r="BC31" i="6"/>
  <c r="BO31" i="6"/>
  <c r="BQ31" i="6" s="1"/>
  <c r="DV31" i="6"/>
  <c r="CX63" i="6"/>
  <c r="AT64" i="6" s="1"/>
  <c r="CW63" i="6"/>
  <c r="AS64" i="6" s="1"/>
  <c r="CY63" i="6"/>
  <c r="AU64" i="6" s="1"/>
  <c r="EI64" i="6" s="1"/>
  <c r="BB64" i="6" s="1"/>
  <c r="BN64" i="6" s="1"/>
  <c r="CV63" i="6"/>
  <c r="AR64" i="6" s="1"/>
  <c r="EC99" i="6"/>
  <c r="AV99" i="6" s="1"/>
  <c r="EC98" i="6"/>
  <c r="AV98" i="6" s="1"/>
  <c r="EC94" i="6"/>
  <c r="AV94" i="6" s="1"/>
  <c r="EC97" i="6"/>
  <c r="AV97" i="6" s="1"/>
  <c r="EC95" i="6"/>
  <c r="AV95" i="6" s="1"/>
  <c r="EC96" i="6"/>
  <c r="AV96" i="6" s="1"/>
  <c r="EC93" i="6"/>
  <c r="AV93" i="6" s="1"/>
  <c r="DI24" i="6"/>
  <c r="CK161" i="6"/>
  <c r="AG162" i="6" s="1"/>
  <c r="CG57" i="6"/>
  <c r="AC58" i="6" s="1"/>
  <c r="CJ119" i="6"/>
  <c r="AF120" i="6" s="1"/>
  <c r="N35" i="4"/>
  <c r="EB183" i="6"/>
  <c r="EF184" i="6"/>
  <c r="W30" i="6"/>
  <c r="CA30" i="6" s="1"/>
  <c r="U30" i="6"/>
  <c r="EH104" i="6"/>
  <c r="EK104" i="6" s="1"/>
  <c r="CD104" i="6"/>
  <c r="Z105" i="6" s="1"/>
  <c r="CC104" i="6"/>
  <c r="Y105" i="6" s="1"/>
  <c r="CS104" i="6"/>
  <c r="AO105" i="6" s="1"/>
  <c r="BM104" i="6"/>
  <c r="BP52" i="6"/>
  <c r="M58" i="4"/>
  <c r="EQ35" i="6"/>
  <c r="CJ66" i="6"/>
  <c r="AF67" i="6" s="1"/>
  <c r="BB66" i="6"/>
  <c r="BN66" i="6" s="1"/>
  <c r="CN149" i="6"/>
  <c r="AJ150" i="6" s="1"/>
  <c r="CY149" i="6"/>
  <c r="AU150" i="6" s="1"/>
  <c r="EI150" i="6" s="1"/>
  <c r="CW149" i="6"/>
  <c r="AS150" i="6" s="1"/>
  <c r="EJ150" i="6" s="1"/>
  <c r="BL150" i="6" s="1"/>
  <c r="EN165" i="6" l="1"/>
  <c r="Q165" i="6" s="1"/>
  <c r="EO165" i="6" s="1"/>
  <c r="EM166" i="6" s="1"/>
  <c r="EN87" i="6"/>
  <c r="Q87" i="6" s="1"/>
  <c r="EO87" i="6" s="1"/>
  <c r="EM88" i="6" s="1"/>
  <c r="BI97" i="6"/>
  <c r="EI97" i="6"/>
  <c r="BB97" i="6" s="1"/>
  <c r="BN97" i="6" s="1"/>
  <c r="EJ97" i="6"/>
  <c r="BL97" i="6" s="1"/>
  <c r="BI98" i="6"/>
  <c r="EI98" i="6"/>
  <c r="EJ98" i="6"/>
  <c r="BL98" i="6" s="1"/>
  <c r="EB100" i="6"/>
  <c r="EC100" i="6" s="1"/>
  <c r="AV100" i="6" s="1"/>
  <c r="EF101" i="6"/>
  <c r="FD57" i="6"/>
  <c r="AY56" i="6"/>
  <c r="BI94" i="6"/>
  <c r="EI94" i="6"/>
  <c r="BB94" i="6" s="1"/>
  <c r="BN94" i="6" s="1"/>
  <c r="EJ94" i="6"/>
  <c r="BL94" i="6" s="1"/>
  <c r="EH182" i="6"/>
  <c r="EK182" i="6" s="1"/>
  <c r="CC182" i="6"/>
  <c r="Y183" i="6" s="1"/>
  <c r="CD182" i="6"/>
  <c r="Z183" i="6" s="1"/>
  <c r="CS182" i="6"/>
  <c r="AO183" i="6" s="1"/>
  <c r="BM182" i="6"/>
  <c r="CW150" i="6"/>
  <c r="AS151" i="6" s="1"/>
  <c r="EJ151" i="6" s="1"/>
  <c r="BL151" i="6" s="1"/>
  <c r="CN150" i="6"/>
  <c r="AJ151" i="6" s="1"/>
  <c r="CY150" i="6"/>
  <c r="AU151" i="6" s="1"/>
  <c r="EI151" i="6" s="1"/>
  <c r="CG58" i="6"/>
  <c r="AC59" i="6" s="1"/>
  <c r="BI99" i="6"/>
  <c r="EI99" i="6"/>
  <c r="BB99" i="6" s="1"/>
  <c r="BN99" i="6" s="1"/>
  <c r="EJ99" i="6"/>
  <c r="BL99" i="6" s="1"/>
  <c r="EG100" i="6"/>
  <c r="ED101" i="6" s="1"/>
  <c r="CF57" i="6"/>
  <c r="AB58" i="6" s="1"/>
  <c r="BX57" i="6"/>
  <c r="U63" i="4" s="1"/>
  <c r="CK162" i="6"/>
  <c r="AG163" i="6" s="1"/>
  <c r="EJ64" i="6"/>
  <c r="BL64" i="6" s="1"/>
  <c r="CV64" i="6"/>
  <c r="AR65" i="6" s="1"/>
  <c r="CW64" i="6"/>
  <c r="AS65" i="6" s="1"/>
  <c r="EJ65" i="6" s="1"/>
  <c r="BL65" i="6" s="1"/>
  <c r="CJ120" i="6"/>
  <c r="AF121" i="6" s="1"/>
  <c r="EH105" i="6"/>
  <c r="EK105" i="6" s="1"/>
  <c r="CD105" i="6"/>
  <c r="Z106" i="6" s="1"/>
  <c r="CS105" i="6"/>
  <c r="AO106" i="6" s="1"/>
  <c r="CC105" i="6"/>
  <c r="Y106" i="6" s="1"/>
  <c r="BM105" i="6"/>
  <c r="DO31" i="6"/>
  <c r="DK32" i="6" s="1"/>
  <c r="DN31" i="6"/>
  <c r="DJ32" i="6" s="1"/>
  <c r="DQ31" i="6"/>
  <c r="DM32" i="6" s="1"/>
  <c r="DP31" i="6"/>
  <c r="DL32" i="6" s="1"/>
  <c r="T36" i="4"/>
  <c r="BY30" i="6"/>
  <c r="CJ67" i="6"/>
  <c r="AF68" i="6" s="1"/>
  <c r="BB67" i="6"/>
  <c r="BN67" i="6" s="1"/>
  <c r="EV35" i="6"/>
  <c r="EW35" i="6" s="1"/>
  <c r="ES35" i="6"/>
  <c r="ER35" i="6"/>
  <c r="U41" i="5"/>
  <c r="BC24" i="6"/>
  <c r="BO24" i="6" s="1"/>
  <c r="BQ24" i="6" s="1"/>
  <c r="BD24" i="6"/>
  <c r="DR24" i="6"/>
  <c r="DV24" i="6"/>
  <c r="BS24" i="6" s="1"/>
  <c r="BT24" i="6" s="1"/>
  <c r="CT57" i="6"/>
  <c r="AP58" i="6" s="1"/>
  <c r="CU57" i="6"/>
  <c r="AQ58" i="6" s="1"/>
  <c r="EB184" i="6"/>
  <c r="EF185" i="6"/>
  <c r="BP53" i="6"/>
  <c r="M59" i="4"/>
  <c r="FB59" i="6"/>
  <c r="FC59" i="6"/>
  <c r="AZ59" i="6" s="1"/>
  <c r="L65" i="4" s="1"/>
  <c r="CX93" i="6"/>
  <c r="AT94" i="6" s="1"/>
  <c r="CX94" i="6" s="1"/>
  <c r="AT95" i="6" s="1"/>
  <c r="CX95" i="6" s="1"/>
  <c r="AT96" i="6" s="1"/>
  <c r="CX96" i="6" s="1"/>
  <c r="AT97" i="6" s="1"/>
  <c r="CX97" i="6" s="1"/>
  <c r="AT98" i="6" s="1"/>
  <c r="CX98" i="6" s="1"/>
  <c r="AT99" i="6" s="1"/>
  <c r="CX99" i="6" s="1"/>
  <c r="AT100" i="6" s="1"/>
  <c r="CX100" i="6" s="1"/>
  <c r="AT101" i="6" s="1"/>
  <c r="CX101" i="6" s="1"/>
  <c r="AT102" i="6" s="1"/>
  <c r="CX102" i="6" s="1"/>
  <c r="AT103" i="6" s="1"/>
  <c r="CX103" i="6" s="1"/>
  <c r="AT104" i="6" s="1"/>
  <c r="CX104" i="6" s="1"/>
  <c r="AT105" i="6" s="1"/>
  <c r="EJ93" i="6"/>
  <c r="BL93" i="6" s="1"/>
  <c r="EI93" i="6"/>
  <c r="BB93" i="6" s="1"/>
  <c r="BN93" i="6" s="1"/>
  <c r="BI96" i="6"/>
  <c r="EI96" i="6"/>
  <c r="BB96" i="6" s="1"/>
  <c r="BN96" i="6" s="1"/>
  <c r="EJ96" i="6"/>
  <c r="BL96" i="6" s="1"/>
  <c r="CB54" i="6"/>
  <c r="X55" i="6" s="1"/>
  <c r="BF54" i="6"/>
  <c r="BK54" i="6" s="1"/>
  <c r="BA54" i="6"/>
  <c r="FB142" i="6"/>
  <c r="FC142" i="6"/>
  <c r="EI95" i="6"/>
  <c r="BB95" i="6" s="1"/>
  <c r="BN95" i="6" s="1"/>
  <c r="EJ95" i="6"/>
  <c r="BL95" i="6" s="1"/>
  <c r="DW31" i="6"/>
  <c r="BR31" i="6"/>
  <c r="DX31" i="6" s="1"/>
  <c r="BV31" i="6" s="1"/>
  <c r="P37" i="4" s="1"/>
  <c r="F37" i="5" s="1"/>
  <c r="K61" i="4"/>
  <c r="EN88" i="6" l="1"/>
  <c r="Q88" i="6" s="1"/>
  <c r="EO88" i="6" s="1"/>
  <c r="EM89" i="6" s="1"/>
  <c r="EN166" i="6"/>
  <c r="Q166" i="6" s="1"/>
  <c r="EO166" i="6" s="1"/>
  <c r="EM167" i="6" s="1"/>
  <c r="EB101" i="6"/>
  <c r="EC101" i="6" s="1"/>
  <c r="AV101" i="6" s="1"/>
  <c r="EF102" i="6"/>
  <c r="CT58" i="6"/>
  <c r="AP59" i="6" s="1"/>
  <c r="CU58" i="6"/>
  <c r="AQ59" i="6" s="1"/>
  <c r="U31" i="6"/>
  <c r="W31" i="6"/>
  <c r="CJ121" i="6"/>
  <c r="AF122" i="6" s="1"/>
  <c r="CG59" i="6"/>
  <c r="AC60" i="6" s="1"/>
  <c r="CB55" i="6"/>
  <c r="X56" i="6" s="1"/>
  <c r="BF55" i="6"/>
  <c r="BK55" i="6" s="1"/>
  <c r="BA55" i="6"/>
  <c r="DI32" i="6"/>
  <c r="CJ68" i="6"/>
  <c r="AF69" i="6" s="1"/>
  <c r="BB69" i="6" s="1"/>
  <c r="BN69" i="6" s="1"/>
  <c r="BB68" i="6"/>
  <c r="BN68" i="6" s="1"/>
  <c r="DW24" i="6"/>
  <c r="BU24" i="6" s="1"/>
  <c r="BR24" i="6"/>
  <c r="DX24" i="6" s="1"/>
  <c r="CK163" i="6"/>
  <c r="AG164" i="6" s="1"/>
  <c r="CN151" i="6"/>
  <c r="AJ152" i="6" s="1"/>
  <c r="CY151" i="6"/>
  <c r="AU152" i="6" s="1"/>
  <c r="EI152" i="6" s="1"/>
  <c r="CW151" i="6"/>
  <c r="AS152" i="6" s="1"/>
  <c r="EJ152" i="6" s="1"/>
  <c r="BL152" i="6" s="1"/>
  <c r="EI100" i="6"/>
  <c r="BB100" i="6" s="1"/>
  <c r="BN100" i="6" s="1"/>
  <c r="EJ100" i="6"/>
  <c r="BL100" i="6" s="1"/>
  <c r="FB60" i="6"/>
  <c r="FC60" i="6"/>
  <c r="AZ60" i="6" s="1"/>
  <c r="L66" i="4" s="1"/>
  <c r="V41" i="5"/>
  <c r="DV35" i="6"/>
  <c r="EH106" i="6"/>
  <c r="EK106" i="6" s="1"/>
  <c r="CD106" i="6"/>
  <c r="Z107" i="6" s="1"/>
  <c r="CC106" i="6"/>
  <c r="Y107" i="6" s="1"/>
  <c r="CS106" i="6"/>
  <c r="AO107" i="6" s="1"/>
  <c r="BM106" i="6"/>
  <c r="EB185" i="6"/>
  <c r="EF186" i="6"/>
  <c r="EH183" i="6"/>
  <c r="EK183" i="6" s="1"/>
  <c r="CS183" i="6"/>
  <c r="AO184" i="6" s="1"/>
  <c r="CD183" i="6"/>
  <c r="Z184" i="6" s="1"/>
  <c r="CC183" i="6"/>
  <c r="Y184" i="6" s="1"/>
  <c r="BM183" i="6"/>
  <c r="P37" i="5"/>
  <c r="R37" i="5" s="1"/>
  <c r="BU31" i="6"/>
  <c r="DN24" i="6"/>
  <c r="DJ25" i="6" s="1"/>
  <c r="DP24" i="6"/>
  <c r="DL25" i="6" s="1"/>
  <c r="DO24" i="6"/>
  <c r="DK25" i="6" s="1"/>
  <c r="DQ24" i="6"/>
  <c r="DM25" i="6" s="1"/>
  <c r="K62" i="4"/>
  <c r="M60" i="4"/>
  <c r="BP54" i="6"/>
  <c r="W41" i="5"/>
  <c r="DX35" i="6"/>
  <c r="BV35" i="6" s="1"/>
  <c r="P41" i="4" s="1"/>
  <c r="F41" i="5" s="1"/>
  <c r="DW35" i="6"/>
  <c r="BU35" i="6" s="1"/>
  <c r="CF58" i="6"/>
  <c r="AB59" i="6" s="1"/>
  <c r="BX58" i="6"/>
  <c r="U64" i="4" s="1"/>
  <c r="FC143" i="6"/>
  <c r="FB143" i="6"/>
  <c r="EG101" i="6"/>
  <c r="ED102" i="6" s="1"/>
  <c r="FD58" i="6"/>
  <c r="AY57" i="6"/>
  <c r="EN167" i="6" l="1"/>
  <c r="Q167" i="6" s="1"/>
  <c r="EO167" i="6" s="1"/>
  <c r="EM168" i="6" s="1"/>
  <c r="EN89" i="6"/>
  <c r="Q89" i="6" s="1"/>
  <c r="EO89" i="6" s="1"/>
  <c r="EM90" i="6" s="1"/>
  <c r="DI25" i="6"/>
  <c r="FB61" i="6"/>
  <c r="FC61" i="6"/>
  <c r="AZ61" i="6" s="1"/>
  <c r="L67" i="4" s="1"/>
  <c r="O30" i="4"/>
  <c r="E30" i="5" s="1"/>
  <c r="EB186" i="6"/>
  <c r="EF187" i="6"/>
  <c r="CA31" i="6"/>
  <c r="O41" i="4"/>
  <c r="E41" i="5" s="1"/>
  <c r="BW35" i="6"/>
  <c r="EU35" i="6" s="1"/>
  <c r="ET35" i="6" s="1"/>
  <c r="EP36" i="6" s="1"/>
  <c r="O37" i="4"/>
  <c r="Q37" i="5"/>
  <c r="S37" i="5" s="1"/>
  <c r="EU31" i="6"/>
  <c r="BW31" i="6"/>
  <c r="DR32" i="6"/>
  <c r="BO32" i="6"/>
  <c r="BQ32" i="6" s="1"/>
  <c r="BC32" i="6"/>
  <c r="BD32" i="6"/>
  <c r="DV32" i="6"/>
  <c r="CT59" i="6"/>
  <c r="AP60" i="6" s="1"/>
  <c r="CU59" i="6"/>
  <c r="AQ60" i="6" s="1"/>
  <c r="K63" i="4"/>
  <c r="EH107" i="6"/>
  <c r="EK107" i="6" s="1"/>
  <c r="CD107" i="6"/>
  <c r="Z108" i="6" s="1"/>
  <c r="CS107" i="6"/>
  <c r="AO108" i="6" s="1"/>
  <c r="CC107" i="6"/>
  <c r="Y108" i="6" s="1"/>
  <c r="BM107" i="6"/>
  <c r="EB102" i="6"/>
  <c r="EC102" i="6" s="1"/>
  <c r="AV102" i="6" s="1"/>
  <c r="EF103" i="6"/>
  <c r="EI101" i="6"/>
  <c r="BB101" i="6" s="1"/>
  <c r="BN101" i="6" s="1"/>
  <c r="EJ101" i="6"/>
  <c r="BL101" i="6" s="1"/>
  <c r="M61" i="4"/>
  <c r="BP55" i="6"/>
  <c r="EH184" i="6"/>
  <c r="EK184" i="6" s="1"/>
  <c r="BM184" i="6"/>
  <c r="CD184" i="6"/>
  <c r="Z185" i="6" s="1"/>
  <c r="CC184" i="6"/>
  <c r="Y185" i="6" s="1"/>
  <c r="CS184" i="6"/>
  <c r="AO185" i="6" s="1"/>
  <c r="CB56" i="6"/>
  <c r="X57" i="6" s="1"/>
  <c r="BF56" i="6"/>
  <c r="BK56" i="6" s="1"/>
  <c r="BA56" i="6"/>
  <c r="CW152" i="6"/>
  <c r="AS153" i="6" s="1"/>
  <c r="EJ153" i="6" s="1"/>
  <c r="BL153" i="6" s="1"/>
  <c r="CN152" i="6"/>
  <c r="AJ153" i="6" s="1"/>
  <c r="CY152" i="6"/>
  <c r="AU153" i="6" s="1"/>
  <c r="EI153" i="6" s="1"/>
  <c r="CK164" i="6"/>
  <c r="AG165" i="6" s="1"/>
  <c r="CJ122" i="6"/>
  <c r="AF123" i="6" s="1"/>
  <c r="CF59" i="6"/>
  <c r="AB60" i="6" s="1"/>
  <c r="BX59" i="6"/>
  <c r="U65" i="4" s="1"/>
  <c r="FD59" i="6"/>
  <c r="AY58" i="6"/>
  <c r="EG102" i="6"/>
  <c r="ED103" i="6" s="1"/>
  <c r="CG60" i="6"/>
  <c r="AC61" i="6" s="1"/>
  <c r="FC144" i="6"/>
  <c r="FB144" i="6"/>
  <c r="T37" i="4"/>
  <c r="BY31" i="6"/>
  <c r="BV24" i="6"/>
  <c r="BW24" i="6" s="1"/>
  <c r="P30" i="5"/>
  <c r="R30" i="5" s="1"/>
  <c r="EN90" i="6" l="1"/>
  <c r="Q90" i="6" s="1"/>
  <c r="EO90" i="6" s="1"/>
  <c r="EM91" i="6" s="1"/>
  <c r="EN168" i="6"/>
  <c r="Q168" i="6" s="1"/>
  <c r="EO168" i="6" s="1"/>
  <c r="EM169" i="6" s="1"/>
  <c r="EB187" i="6"/>
  <c r="EF188" i="6"/>
  <c r="CB57" i="6"/>
  <c r="X58" i="6" s="1"/>
  <c r="BF57" i="6"/>
  <c r="BK57" i="6" s="1"/>
  <c r="BA57" i="6"/>
  <c r="CJ123" i="6"/>
  <c r="AF124" i="6" s="1"/>
  <c r="CG61" i="6"/>
  <c r="AC62" i="6" s="1"/>
  <c r="EH185" i="6"/>
  <c r="EK185" i="6" s="1"/>
  <c r="CS185" i="6"/>
  <c r="AO186" i="6" s="1"/>
  <c r="CD185" i="6"/>
  <c r="Z186" i="6" s="1"/>
  <c r="CC185" i="6"/>
  <c r="Y186" i="6" s="1"/>
  <c r="BM185" i="6"/>
  <c r="EH108" i="6"/>
  <c r="EK108" i="6" s="1"/>
  <c r="CD108" i="6"/>
  <c r="Z109" i="6" s="1"/>
  <c r="CC108" i="6"/>
  <c r="Y109" i="6" s="1"/>
  <c r="CS108" i="6"/>
  <c r="AO109" i="6" s="1"/>
  <c r="BM108" i="6"/>
  <c r="DW32" i="6"/>
  <c r="BU32" i="6" s="1"/>
  <c r="BR32" i="6"/>
  <c r="DX32" i="6" s="1"/>
  <c r="CK165" i="6"/>
  <c r="AG166" i="6" s="1"/>
  <c r="EG103" i="6"/>
  <c r="ED104" i="6" s="1"/>
  <c r="K64" i="4"/>
  <c r="FC62" i="6"/>
  <c r="AZ62" i="6" s="1"/>
  <c r="L68" i="4" s="1"/>
  <c r="FB62" i="6"/>
  <c r="BI102" i="6"/>
  <c r="EI102" i="6"/>
  <c r="BB102" i="6" s="1"/>
  <c r="BN102" i="6" s="1"/>
  <c r="EJ102" i="6"/>
  <c r="BL102" i="6" s="1"/>
  <c r="FD60" i="6"/>
  <c r="AY59" i="6"/>
  <c r="BD25" i="6"/>
  <c r="BO25" i="6" s="1"/>
  <c r="BQ25" i="6" s="1"/>
  <c r="BC25" i="6"/>
  <c r="DR25" i="6"/>
  <c r="DV25" i="6"/>
  <c r="FB145" i="6"/>
  <c r="FC145" i="6"/>
  <c r="P30" i="4"/>
  <c r="Q30" i="5"/>
  <c r="S30" i="5" s="1"/>
  <c r="EU24" i="6"/>
  <c r="CY153" i="6"/>
  <c r="AU154" i="6" s="1"/>
  <c r="EI154" i="6" s="1"/>
  <c r="CW153" i="6"/>
  <c r="AS154" i="6" s="1"/>
  <c r="EJ154" i="6" s="1"/>
  <c r="BL154" i="6" s="1"/>
  <c r="CN153" i="6"/>
  <c r="AJ154" i="6" s="1"/>
  <c r="Q37" i="4"/>
  <c r="S37" i="4" s="1"/>
  <c r="E37" i="5"/>
  <c r="I37" i="5" s="1"/>
  <c r="BX60" i="6"/>
  <c r="U66" i="4" s="1"/>
  <c r="CF60" i="6"/>
  <c r="AB61" i="6" s="1"/>
  <c r="DP32" i="6"/>
  <c r="DL33" i="6" s="1"/>
  <c r="DO32" i="6"/>
  <c r="DK33" i="6" s="1"/>
  <c r="DQ32" i="6"/>
  <c r="DM33" i="6" s="1"/>
  <c r="DN32" i="6"/>
  <c r="DJ33" i="6" s="1"/>
  <c r="W32" i="6"/>
  <c r="CA32" i="6" s="1"/>
  <c r="U32" i="6"/>
  <c r="EQ36" i="6"/>
  <c r="ET36" i="6"/>
  <c r="EP37" i="6" s="1"/>
  <c r="BP56" i="6"/>
  <c r="M62" i="4"/>
  <c r="CU60" i="6"/>
  <c r="AQ61" i="6" s="1"/>
  <c r="CT60" i="6"/>
  <c r="AP61" i="6" s="1"/>
  <c r="EB103" i="6"/>
  <c r="EC103" i="6" s="1"/>
  <c r="AV103" i="6" s="1"/>
  <c r="EF104" i="6"/>
  <c r="EB104" i="6" s="1"/>
  <c r="EC104" i="6" s="1"/>
  <c r="AV104" i="6" s="1"/>
  <c r="EN169" i="6" l="1"/>
  <c r="Q169" i="6" s="1"/>
  <c r="EO169" i="6" s="1"/>
  <c r="EM170" i="6" s="1"/>
  <c r="EN91" i="6"/>
  <c r="Q91" i="6" s="1"/>
  <c r="EO91" i="6" s="1"/>
  <c r="EM92" i="6" s="1"/>
  <c r="EI104" i="6"/>
  <c r="BB104" i="6" s="1"/>
  <c r="BN104" i="6" s="1"/>
  <c r="EJ104" i="6"/>
  <c r="BL104" i="6" s="1"/>
  <c r="CU61" i="6"/>
  <c r="AQ62" i="6" s="1"/>
  <c r="CT61" i="6"/>
  <c r="AP62" i="6" s="1"/>
  <c r="FC146" i="6"/>
  <c r="FB146" i="6"/>
  <c r="CG62" i="6"/>
  <c r="AC63" i="6" s="1"/>
  <c r="FB63" i="6"/>
  <c r="FC63" i="6"/>
  <c r="AZ63" i="6" s="1"/>
  <c r="L69" i="4" s="1"/>
  <c r="CJ124" i="6"/>
  <c r="AF125" i="6" s="1"/>
  <c r="CN154" i="6"/>
  <c r="AJ155" i="6" s="1"/>
  <c r="CY154" i="6"/>
  <c r="AU155" i="6" s="1"/>
  <c r="EI155" i="6" s="1"/>
  <c r="CW154" i="6"/>
  <c r="AS155" i="6" s="1"/>
  <c r="EJ155" i="6" s="1"/>
  <c r="BL155" i="6" s="1"/>
  <c r="DW25" i="6"/>
  <c r="BU25" i="6" s="1"/>
  <c r="BR25" i="6"/>
  <c r="DX25" i="6" s="1"/>
  <c r="BP57" i="6"/>
  <c r="M63" i="4"/>
  <c r="EV36" i="6"/>
  <c r="EW36" i="6" s="1"/>
  <c r="ES36" i="6"/>
  <c r="ER36" i="6"/>
  <c r="V42" i="5" s="1"/>
  <c r="U42" i="5"/>
  <c r="T38" i="4"/>
  <c r="BY32" i="6"/>
  <c r="K65" i="4"/>
  <c r="EG104" i="6"/>
  <c r="ED105" i="6" s="1"/>
  <c r="BF58" i="6"/>
  <c r="BK58" i="6" s="1"/>
  <c r="BA58" i="6"/>
  <c r="CK166" i="6"/>
  <c r="AG167" i="6" s="1"/>
  <c r="EH186" i="6"/>
  <c r="EK186" i="6" s="1"/>
  <c r="CC186" i="6"/>
  <c r="Y187" i="6" s="1"/>
  <c r="CS186" i="6"/>
  <c r="AO187" i="6" s="1"/>
  <c r="CD186" i="6"/>
  <c r="Z187" i="6" s="1"/>
  <c r="BM186" i="6"/>
  <c r="EB188" i="6"/>
  <c r="EF189" i="6"/>
  <c r="EH109" i="6"/>
  <c r="EK109" i="6" s="1"/>
  <c r="CS109" i="6"/>
  <c r="AO110" i="6" s="1"/>
  <c r="CD109" i="6"/>
  <c r="Z110" i="6" s="1"/>
  <c r="CC109" i="6"/>
  <c r="Y110" i="6" s="1"/>
  <c r="BM109" i="6"/>
  <c r="FD61" i="6"/>
  <c r="AY61" i="6" s="1"/>
  <c r="AY60" i="6"/>
  <c r="J37" i="5"/>
  <c r="K37" i="5" s="1"/>
  <c r="DI33" i="6"/>
  <c r="P38" i="5"/>
  <c r="R38" i="5" s="1"/>
  <c r="BV32" i="6"/>
  <c r="DN25" i="6"/>
  <c r="DJ26" i="6" s="1"/>
  <c r="DP25" i="6"/>
  <c r="DL26" i="6" s="1"/>
  <c r="DQ25" i="6"/>
  <c r="DM26" i="6" s="1"/>
  <c r="DO25" i="6"/>
  <c r="DK26" i="6" s="1"/>
  <c r="ET37" i="6"/>
  <c r="EP38" i="6" s="1"/>
  <c r="EQ37" i="6"/>
  <c r="O38" i="4"/>
  <c r="E38" i="5" s="1"/>
  <c r="F30" i="5"/>
  <c r="I30" i="5" s="1"/>
  <c r="Q30" i="4"/>
  <c r="S30" i="4" s="1"/>
  <c r="EI103" i="6"/>
  <c r="BB103" i="6" s="1"/>
  <c r="BN103" i="6" s="1"/>
  <c r="EJ103" i="6"/>
  <c r="BL103" i="6" s="1"/>
  <c r="BX61" i="6"/>
  <c r="U67" i="4" s="1"/>
  <c r="CF61" i="6"/>
  <c r="AB62" i="6" s="1"/>
  <c r="K67" i="4" l="1"/>
  <c r="EN92" i="6"/>
  <c r="Q92" i="6" s="1"/>
  <c r="EO92" i="6" s="1"/>
  <c r="EM93" i="6" s="1"/>
  <c r="EN170" i="6"/>
  <c r="Q170" i="6" s="1"/>
  <c r="EO170" i="6" s="1"/>
  <c r="EM171" i="6" s="1"/>
  <c r="EB189" i="6"/>
  <c r="EF190" i="6"/>
  <c r="EQ38" i="6"/>
  <c r="ET38" i="6"/>
  <c r="EP39" i="6" s="1"/>
  <c r="EG105" i="6"/>
  <c r="ED106" i="6" s="1"/>
  <c r="EE105" i="6"/>
  <c r="BV25" i="6"/>
  <c r="BW25" i="6" s="1"/>
  <c r="P31" i="5"/>
  <c r="R31" i="5" s="1"/>
  <c r="CG63" i="6"/>
  <c r="AC64" i="6" s="1"/>
  <c r="O31" i="4"/>
  <c r="E31" i="5" s="1"/>
  <c r="FC147" i="6"/>
  <c r="FB147" i="6"/>
  <c r="DI26" i="6"/>
  <c r="Q38" i="5"/>
  <c r="S38" i="5" s="1"/>
  <c r="P38" i="4"/>
  <c r="EU32" i="6"/>
  <c r="CT62" i="6"/>
  <c r="AP63" i="6" s="1"/>
  <c r="CU62" i="6"/>
  <c r="AQ63" i="6" s="1"/>
  <c r="U33" i="6"/>
  <c r="W33" i="6"/>
  <c r="CA33" i="6" s="1"/>
  <c r="EH187" i="6"/>
  <c r="EK187" i="6" s="1"/>
  <c r="BM187" i="6"/>
  <c r="CS187" i="6"/>
  <c r="AO188" i="6" s="1"/>
  <c r="CC187" i="6"/>
  <c r="Y188" i="6" s="1"/>
  <c r="CD187" i="6"/>
  <c r="Z188" i="6" s="1"/>
  <c r="J30" i="5"/>
  <c r="K30" i="5" s="1"/>
  <c r="EH110" i="6"/>
  <c r="EK110" i="6" s="1"/>
  <c r="CD110" i="6"/>
  <c r="Z111" i="6" s="1"/>
  <c r="CS110" i="6"/>
  <c r="AO111" i="6" s="1"/>
  <c r="CC110" i="6"/>
  <c r="Y111" i="6" s="1"/>
  <c r="BM110" i="6"/>
  <c r="CY155" i="6"/>
  <c r="AU156" i="6" s="1"/>
  <c r="EI156" i="6" s="1"/>
  <c r="CN155" i="6"/>
  <c r="AJ156" i="6" s="1"/>
  <c r="CW155" i="6"/>
  <c r="AS156" i="6" s="1"/>
  <c r="EJ156" i="6" s="1"/>
  <c r="BL156" i="6" s="1"/>
  <c r="CF62" i="6"/>
  <c r="AB63" i="6" s="1"/>
  <c r="BX62" i="6"/>
  <c r="U68" i="4" s="1"/>
  <c r="BC33" i="6"/>
  <c r="BD33" i="6"/>
  <c r="BO33" i="6"/>
  <c r="BQ33" i="6" s="1"/>
  <c r="DR33" i="6"/>
  <c r="DV33" i="6"/>
  <c r="CK167" i="6"/>
  <c r="AG168" i="6" s="1"/>
  <c r="W42" i="5"/>
  <c r="DW36" i="6"/>
  <c r="BU36" i="6" s="1"/>
  <c r="DX36" i="6"/>
  <c r="BW32" i="6"/>
  <c r="CJ125" i="6"/>
  <c r="AF126" i="6" s="1"/>
  <c r="ES37" i="6"/>
  <c r="EV37" i="6"/>
  <c r="EW37" i="6" s="1"/>
  <c r="ER37" i="6"/>
  <c r="V43" i="5" s="1"/>
  <c r="U43" i="5"/>
  <c r="FD62" i="6"/>
  <c r="M64" i="4"/>
  <c r="BP58" i="6"/>
  <c r="L37" i="5"/>
  <c r="M37" i="5" s="1"/>
  <c r="FB64" i="6"/>
  <c r="FC64" i="6"/>
  <c r="AZ64" i="6" s="1"/>
  <c r="L70" i="4" s="1"/>
  <c r="K66" i="4"/>
  <c r="EN171" i="6" l="1"/>
  <c r="Q171" i="6" s="1"/>
  <c r="EO171" i="6" s="1"/>
  <c r="EM172" i="6" s="1"/>
  <c r="EN93" i="6"/>
  <c r="Q93" i="6" s="1"/>
  <c r="EO93" i="6" s="1"/>
  <c r="EM94" i="6" s="1"/>
  <c r="W43" i="5"/>
  <c r="DW37" i="6"/>
  <c r="BU37" i="6" s="1"/>
  <c r="DX37" i="6"/>
  <c r="CN156" i="6"/>
  <c r="AJ157" i="6" s="1"/>
  <c r="CY156" i="6"/>
  <c r="AU157" i="6" s="1"/>
  <c r="EI157" i="6" s="1"/>
  <c r="CW156" i="6"/>
  <c r="AS157" i="6" s="1"/>
  <c r="EJ157" i="6" s="1"/>
  <c r="BL157" i="6" s="1"/>
  <c r="DR26" i="6"/>
  <c r="BD26" i="6"/>
  <c r="BC26" i="6"/>
  <c r="BO26" i="6" s="1"/>
  <c r="BQ26" i="6" s="1"/>
  <c r="DV26" i="6"/>
  <c r="EB105" i="6"/>
  <c r="EC105" i="6" s="1"/>
  <c r="AV105" i="6" s="1"/>
  <c r="ET39" i="6"/>
  <c r="EP40" i="6" s="1"/>
  <c r="EQ39" i="6"/>
  <c r="DO33" i="6"/>
  <c r="DK34" i="6" s="1"/>
  <c r="DP33" i="6"/>
  <c r="DL34" i="6" s="1"/>
  <c r="DN33" i="6"/>
  <c r="DJ34" i="6" s="1"/>
  <c r="DQ33" i="6"/>
  <c r="DM34" i="6" s="1"/>
  <c r="EH111" i="6"/>
  <c r="EK111" i="6" s="1"/>
  <c r="CS111" i="6"/>
  <c r="AO112" i="6" s="1"/>
  <c r="CC111" i="6"/>
  <c r="Y112" i="6" s="1"/>
  <c r="CD111" i="6"/>
  <c r="Z112" i="6" s="1"/>
  <c r="BM111" i="6"/>
  <c r="FB148" i="6"/>
  <c r="FC148" i="6"/>
  <c r="EV38" i="6"/>
  <c r="EW38" i="6" s="1"/>
  <c r="ES38" i="6"/>
  <c r="ER38" i="6"/>
  <c r="V44" i="5" s="1"/>
  <c r="U44" i="5"/>
  <c r="EB190" i="6"/>
  <c r="EF191" i="6"/>
  <c r="T39" i="4"/>
  <c r="BY33" i="6"/>
  <c r="CT63" i="6"/>
  <c r="AP64" i="6" s="1"/>
  <c r="CU63" i="6"/>
  <c r="AQ64" i="6" s="1"/>
  <c r="EE106" i="6"/>
  <c r="EG106" i="6" s="1"/>
  <c r="ED107" i="6" s="1"/>
  <c r="EG107" i="6" s="1"/>
  <c r="ED108" i="6" s="1"/>
  <c r="EG108" i="6" s="1"/>
  <c r="ED109" i="6" s="1"/>
  <c r="EG109" i="6" s="1"/>
  <c r="ED110" i="6" s="1"/>
  <c r="EG110" i="6" s="1"/>
  <c r="ED111" i="6" s="1"/>
  <c r="EG111" i="6" s="1"/>
  <c r="ED112" i="6" s="1"/>
  <c r="EG112" i="6" s="1"/>
  <c r="ED113" i="6" s="1"/>
  <c r="EG113" i="6" s="1"/>
  <c r="ED114" i="6" s="1"/>
  <c r="EG114" i="6" s="1"/>
  <c r="ED115" i="6" s="1"/>
  <c r="EG115" i="6" s="1"/>
  <c r="ED116" i="6" s="1"/>
  <c r="EG116" i="6" s="1"/>
  <c r="ED117" i="6" s="1"/>
  <c r="EG117" i="6" s="1"/>
  <c r="ED118" i="6" s="1"/>
  <c r="EG118" i="6" s="1"/>
  <c r="ED119" i="6" s="1"/>
  <c r="EG119" i="6" s="1"/>
  <c r="ED120" i="6" s="1"/>
  <c r="EG120" i="6" s="1"/>
  <c r="ED121" i="6" s="1"/>
  <c r="EG121" i="6" s="1"/>
  <c r="ED122" i="6" s="1"/>
  <c r="EG122" i="6" s="1"/>
  <c r="ED123" i="6" s="1"/>
  <c r="EG123" i="6" s="1"/>
  <c r="ED124" i="6" s="1"/>
  <c r="EG124" i="6" s="1"/>
  <c r="ED125" i="6" s="1"/>
  <c r="EG125" i="6" s="1"/>
  <c r="ED126" i="6" s="1"/>
  <c r="EG126" i="6" s="1"/>
  <c r="ED127" i="6" s="1"/>
  <c r="EG127" i="6" s="1"/>
  <c r="ED128" i="6" s="1"/>
  <c r="EG128" i="6" s="1"/>
  <c r="ED129" i="6" s="1"/>
  <c r="EG129" i="6" s="1"/>
  <c r="ED130" i="6" s="1"/>
  <c r="EG130" i="6" s="1"/>
  <c r="ED131" i="6" s="1"/>
  <c r="EG131" i="6" s="1"/>
  <c r="ED132" i="6" s="1"/>
  <c r="EG132" i="6" s="1"/>
  <c r="ED133" i="6" s="1"/>
  <c r="EG133" i="6" s="1"/>
  <c r="ED134" i="6" s="1"/>
  <c r="EG134" i="6" s="1"/>
  <c r="ED135" i="6" s="1"/>
  <c r="EG135" i="6" s="1"/>
  <c r="ED136" i="6" s="1"/>
  <c r="EG136" i="6" s="1"/>
  <c r="ED137" i="6" s="1"/>
  <c r="EG137" i="6" s="1"/>
  <c r="ED138" i="6" s="1"/>
  <c r="EG138" i="6" s="1"/>
  <c r="ED139" i="6" s="1"/>
  <c r="EG139" i="6" s="1"/>
  <c r="ED140" i="6" s="1"/>
  <c r="EG140" i="6" s="1"/>
  <c r="ED141" i="6" s="1"/>
  <c r="EG141" i="6" s="1"/>
  <c r="ED142" i="6" s="1"/>
  <c r="EG142" i="6" s="1"/>
  <c r="ED143" i="6" s="1"/>
  <c r="EG143" i="6" s="1"/>
  <c r="ED144" i="6" s="1"/>
  <c r="EG144" i="6" s="1"/>
  <c r="ED145" i="6" s="1"/>
  <c r="EG145" i="6" s="1"/>
  <c r="ED146" i="6" s="1"/>
  <c r="EG146" i="6" s="1"/>
  <c r="ED147" i="6" s="1"/>
  <c r="EG147" i="6" s="1"/>
  <c r="ED148" i="6" s="1"/>
  <c r="EG148" i="6" s="1"/>
  <c r="ED149" i="6" s="1"/>
  <c r="EG149" i="6" s="1"/>
  <c r="ED150" i="6" s="1"/>
  <c r="EG150" i="6" s="1"/>
  <c r="ED151" i="6" s="1"/>
  <c r="EG151" i="6" s="1"/>
  <c r="ED152" i="6" s="1"/>
  <c r="EG152" i="6" s="1"/>
  <c r="ED153" i="6" s="1"/>
  <c r="EG153" i="6" s="1"/>
  <c r="ED154" i="6" s="1"/>
  <c r="EG154" i="6" s="1"/>
  <c r="ED155" i="6" s="1"/>
  <c r="EG155" i="6" s="1"/>
  <c r="ED156" i="6" s="1"/>
  <c r="EG156" i="6" s="1"/>
  <c r="ED157" i="6" s="1"/>
  <c r="EG157" i="6" s="1"/>
  <c r="ED158" i="6" s="1"/>
  <c r="EG158" i="6" s="1"/>
  <c r="ED159" i="6" s="1"/>
  <c r="EG159" i="6" s="1"/>
  <c r="ED160" i="6" s="1"/>
  <c r="EG160" i="6" s="1"/>
  <c r="ED161" i="6" s="1"/>
  <c r="EG161" i="6" s="1"/>
  <c r="ED162" i="6" s="1"/>
  <c r="EG162" i="6" s="1"/>
  <c r="ED163" i="6" s="1"/>
  <c r="EG163" i="6" s="1"/>
  <c r="ED164" i="6" s="1"/>
  <c r="EG164" i="6" s="1"/>
  <c r="ED165" i="6" s="1"/>
  <c r="EG165" i="6" s="1"/>
  <c r="ED166" i="6" s="1"/>
  <c r="EG166" i="6" s="1"/>
  <c r="ED167" i="6" s="1"/>
  <c r="EG167" i="6" s="1"/>
  <c r="ED168" i="6" s="1"/>
  <c r="EG168" i="6" s="1"/>
  <c r="ED169" i="6" s="1"/>
  <c r="EG169" i="6" s="1"/>
  <c r="ED170" i="6" s="1"/>
  <c r="EG170" i="6" s="1"/>
  <c r="ED171" i="6" s="1"/>
  <c r="EG171" i="6" s="1"/>
  <c r="ED172" i="6" s="1"/>
  <c r="EG172" i="6" s="1"/>
  <c r="ED173" i="6" s="1"/>
  <c r="EG173" i="6" s="1"/>
  <c r="ED174" i="6" s="1"/>
  <c r="EG174" i="6" s="1"/>
  <c r="ED175" i="6" s="1"/>
  <c r="EG175" i="6" s="1"/>
  <c r="ED176" i="6" s="1"/>
  <c r="EG176" i="6" s="1"/>
  <c r="ED177" i="6" s="1"/>
  <c r="EG177" i="6" s="1"/>
  <c r="ED178" i="6" s="1"/>
  <c r="EG178" i="6" s="1"/>
  <c r="ED179" i="6" s="1"/>
  <c r="EG179" i="6" s="1"/>
  <c r="ED180" i="6" s="1"/>
  <c r="EG180" i="6" s="1"/>
  <c r="ED181" i="6" s="1"/>
  <c r="EG181" i="6" s="1"/>
  <c r="ED182" i="6" s="1"/>
  <c r="EG182" i="6" s="1"/>
  <c r="ED183" i="6" s="1"/>
  <c r="EG183" i="6" s="1"/>
  <c r="ED184" i="6" s="1"/>
  <c r="EG184" i="6" s="1"/>
  <c r="ED185" i="6" s="1"/>
  <c r="EG185" i="6" s="1"/>
  <c r="ED186" i="6" s="1"/>
  <c r="EG186" i="6" s="1"/>
  <c r="ED187" i="6" s="1"/>
  <c r="EG187" i="6" s="1"/>
  <c r="ED188" i="6" s="1"/>
  <c r="EG188" i="6" s="1"/>
  <c r="ED189" i="6" s="1"/>
  <c r="EG189" i="6" s="1"/>
  <c r="ED190" i="6" s="1"/>
  <c r="EG190" i="6" s="1"/>
  <c r="ED191" i="6" s="1"/>
  <c r="EG191" i="6" s="1"/>
  <c r="ED192" i="6" s="1"/>
  <c r="DW33" i="6"/>
  <c r="BU33" i="6" s="1"/>
  <c r="BR33" i="6"/>
  <c r="DX33" i="6" s="1"/>
  <c r="FB65" i="6"/>
  <c r="FC65" i="6"/>
  <c r="AZ65" i="6" s="1"/>
  <c r="L71" i="4" s="1"/>
  <c r="BX63" i="6"/>
  <c r="U69" i="4" s="1"/>
  <c r="CF63" i="6"/>
  <c r="AB64" i="6" s="1"/>
  <c r="CJ126" i="6"/>
  <c r="AF127" i="6" s="1"/>
  <c r="P42" i="5"/>
  <c r="R42" i="5" s="1"/>
  <c r="BV36" i="6"/>
  <c r="BW36" i="6" s="1"/>
  <c r="L30" i="5"/>
  <c r="M30" i="5" s="1"/>
  <c r="Q38" i="4"/>
  <c r="S38" i="4" s="1"/>
  <c r="F38" i="5"/>
  <c r="I38" i="5" s="1"/>
  <c r="CG64" i="6"/>
  <c r="AC65" i="6" s="1"/>
  <c r="CK168" i="6"/>
  <c r="AG169" i="6" s="1"/>
  <c r="FD63" i="6"/>
  <c r="O42" i="4"/>
  <c r="E42" i="5" s="1"/>
  <c r="EH188" i="6"/>
  <c r="EK188" i="6" s="1"/>
  <c r="CC188" i="6"/>
  <c r="Y189" i="6" s="1"/>
  <c r="BM188" i="6"/>
  <c r="CD188" i="6"/>
  <c r="Z189" i="6" s="1"/>
  <c r="CS188" i="6"/>
  <c r="AO189" i="6" s="1"/>
  <c r="P31" i="4"/>
  <c r="EU25" i="6"/>
  <c r="Q31" i="5"/>
  <c r="S31" i="5" s="1"/>
  <c r="EN94" i="6" l="1"/>
  <c r="Q94" i="6" s="1"/>
  <c r="EO94" i="6" s="1"/>
  <c r="EM95" i="6" s="1"/>
  <c r="EN172" i="6"/>
  <c r="Q172" i="6" s="1"/>
  <c r="EO172" i="6" s="1"/>
  <c r="EM173" i="6" s="1"/>
  <c r="J38" i="5"/>
  <c r="K38" i="5" s="1"/>
  <c r="W44" i="5"/>
  <c r="DW38" i="6"/>
  <c r="DX38" i="6"/>
  <c r="BV38" i="6" s="1"/>
  <c r="P44" i="4" s="1"/>
  <c r="F44" i="5" s="1"/>
  <c r="EV39" i="6"/>
  <c r="EW39" i="6" s="1"/>
  <c r="ES39" i="6"/>
  <c r="ER39" i="6"/>
  <c r="V45" i="5" s="1"/>
  <c r="U45" i="5"/>
  <c r="P42" i="4"/>
  <c r="EU36" i="6"/>
  <c r="Q42" i="5"/>
  <c r="S42" i="5" s="1"/>
  <c r="CT64" i="6"/>
  <c r="AP65" i="6" s="1"/>
  <c r="CU64" i="6"/>
  <c r="AQ65" i="6" s="1"/>
  <c r="FB149" i="6"/>
  <c r="FC149" i="6"/>
  <c r="EQ40" i="6"/>
  <c r="ET40" i="6"/>
  <c r="EP41" i="6" s="1"/>
  <c r="CW157" i="6"/>
  <c r="AS158" i="6" s="1"/>
  <c r="EJ158" i="6" s="1"/>
  <c r="BL158" i="6" s="1"/>
  <c r="CY157" i="6"/>
  <c r="AU158" i="6" s="1"/>
  <c r="EI158" i="6" s="1"/>
  <c r="CN157" i="6"/>
  <c r="AJ158" i="6" s="1"/>
  <c r="EH189" i="6"/>
  <c r="EK189" i="6" s="1"/>
  <c r="CD189" i="6"/>
  <c r="Z190" i="6" s="1"/>
  <c r="CS189" i="6"/>
  <c r="AO190" i="6" s="1"/>
  <c r="CC189" i="6"/>
  <c r="Y190" i="6" s="1"/>
  <c r="BM189" i="6"/>
  <c r="O39" i="4"/>
  <c r="E39" i="5" s="1"/>
  <c r="EB106" i="6"/>
  <c r="FD64" i="6"/>
  <c r="AY64" i="6" s="1"/>
  <c r="BV37" i="6"/>
  <c r="P43" i="5"/>
  <c r="R43" i="5" s="1"/>
  <c r="AY63" i="6"/>
  <c r="O43" i="4"/>
  <c r="E43" i="5" s="1"/>
  <c r="CX105" i="6"/>
  <c r="AT106" i="6" s="1"/>
  <c r="CX106" i="6" s="1"/>
  <c r="AT107" i="6" s="1"/>
  <c r="CX107" i="6" s="1"/>
  <c r="AT108" i="6" s="1"/>
  <c r="CX108" i="6" s="1"/>
  <c r="AT109" i="6" s="1"/>
  <c r="CX109" i="6" s="1"/>
  <c r="AT110" i="6" s="1"/>
  <c r="CX110" i="6" s="1"/>
  <c r="AT111" i="6" s="1"/>
  <c r="CX111" i="6" s="1"/>
  <c r="AT112" i="6" s="1"/>
  <c r="CX112" i="6" s="1"/>
  <c r="AT113" i="6" s="1"/>
  <c r="CX113" i="6" s="1"/>
  <c r="AT114" i="6" s="1"/>
  <c r="CX114" i="6" s="1"/>
  <c r="AT115" i="6" s="1"/>
  <c r="CX115" i="6" s="1"/>
  <c r="AT116" i="6" s="1"/>
  <c r="CX116" i="6" s="1"/>
  <c r="AT117" i="6" s="1"/>
  <c r="CX117" i="6" s="1"/>
  <c r="AT118" i="6" s="1"/>
  <c r="CX118" i="6" s="1"/>
  <c r="AT119" i="6" s="1"/>
  <c r="CX119" i="6" s="1"/>
  <c r="AT120" i="6" s="1"/>
  <c r="CX120" i="6" s="1"/>
  <c r="AT121" i="6" s="1"/>
  <c r="CX121" i="6" s="1"/>
  <c r="AT122" i="6" s="1"/>
  <c r="CX122" i="6" s="1"/>
  <c r="AT123" i="6" s="1"/>
  <c r="CX123" i="6" s="1"/>
  <c r="AT124" i="6" s="1"/>
  <c r="CX124" i="6" s="1"/>
  <c r="AT125" i="6" s="1"/>
  <c r="CX125" i="6" s="1"/>
  <c r="AT126" i="6" s="1"/>
  <c r="CX126" i="6" s="1"/>
  <c r="AT127" i="6" s="1"/>
  <c r="CX127" i="6" s="1"/>
  <c r="AT128" i="6" s="1"/>
  <c r="CX128" i="6" s="1"/>
  <c r="AT129" i="6" s="1"/>
  <c r="CX129" i="6" s="1"/>
  <c r="AT130" i="6" s="1"/>
  <c r="CX130" i="6" s="1"/>
  <c r="AT131" i="6" s="1"/>
  <c r="CX131" i="6" s="1"/>
  <c r="AT132" i="6" s="1"/>
  <c r="CX132" i="6" s="1"/>
  <c r="AT133" i="6" s="1"/>
  <c r="CX133" i="6" s="1"/>
  <c r="AT134" i="6" s="1"/>
  <c r="CX134" i="6" s="1"/>
  <c r="AT135" i="6" s="1"/>
  <c r="CX135" i="6" s="1"/>
  <c r="AT136" i="6" s="1"/>
  <c r="CX136" i="6" s="1"/>
  <c r="AT137" i="6" s="1"/>
  <c r="CX137" i="6" s="1"/>
  <c r="AT138" i="6" s="1"/>
  <c r="CX138" i="6" s="1"/>
  <c r="AT139" i="6" s="1"/>
  <c r="CX139" i="6" s="1"/>
  <c r="AT140" i="6" s="1"/>
  <c r="CX140" i="6" s="1"/>
  <c r="AT141" i="6" s="1"/>
  <c r="CX141" i="6" s="1"/>
  <c r="AT142" i="6" s="1"/>
  <c r="CX142" i="6" s="1"/>
  <c r="AT143" i="6" s="1"/>
  <c r="CX143" i="6" s="1"/>
  <c r="AT144" i="6" s="1"/>
  <c r="CX144" i="6" s="1"/>
  <c r="AT145" i="6" s="1"/>
  <c r="CX145" i="6" s="1"/>
  <c r="AT146" i="6" s="1"/>
  <c r="CX146" i="6" s="1"/>
  <c r="AT147" i="6" s="1"/>
  <c r="CX147" i="6" s="1"/>
  <c r="AT148" i="6" s="1"/>
  <c r="CX148" i="6" s="1"/>
  <c r="AT149" i="6" s="1"/>
  <c r="CX149" i="6" s="1"/>
  <c r="AT150" i="6" s="1"/>
  <c r="CX150" i="6" s="1"/>
  <c r="AT151" i="6" s="1"/>
  <c r="CX151" i="6" s="1"/>
  <c r="AT152" i="6" s="1"/>
  <c r="CX152" i="6" s="1"/>
  <c r="AT153" i="6" s="1"/>
  <c r="CX153" i="6" s="1"/>
  <c r="AT154" i="6" s="1"/>
  <c r="CX154" i="6" s="1"/>
  <c r="AT155" i="6" s="1"/>
  <c r="CX155" i="6" s="1"/>
  <c r="AT156" i="6" s="1"/>
  <c r="CX156" i="6" s="1"/>
  <c r="AT157" i="6" s="1"/>
  <c r="CX157" i="6" s="1"/>
  <c r="AT158" i="6" s="1"/>
  <c r="EI105" i="6"/>
  <c r="BB105" i="6" s="1"/>
  <c r="BN105" i="6" s="1"/>
  <c r="EB191" i="6"/>
  <c r="EF192" i="6"/>
  <c r="DW26" i="6"/>
  <c r="BU26" i="6" s="1"/>
  <c r="BR26" i="6"/>
  <c r="DX26" i="6" s="1"/>
  <c r="BV33" i="6"/>
  <c r="P39" i="5"/>
  <c r="R39" i="5" s="1"/>
  <c r="CJ127" i="6"/>
  <c r="AF128" i="6" s="1"/>
  <c r="W34" i="6"/>
  <c r="CA34" i="6" s="1"/>
  <c r="U34" i="6"/>
  <c r="BX64" i="6"/>
  <c r="U70" i="4" s="1"/>
  <c r="CF64" i="6"/>
  <c r="AB65" i="6" s="1"/>
  <c r="CK169" i="6"/>
  <c r="AG170" i="6" s="1"/>
  <c r="CG65" i="6"/>
  <c r="AC66" i="6" s="1"/>
  <c r="EH112" i="6"/>
  <c r="EK112" i="6" s="1"/>
  <c r="CC112" i="6"/>
  <c r="CD112" i="6"/>
  <c r="CS112" i="6"/>
  <c r="AO113" i="6" s="1"/>
  <c r="BM112" i="6"/>
  <c r="Q31" i="4"/>
  <c r="S31" i="4" s="1"/>
  <c r="F31" i="5"/>
  <c r="I31" i="5" s="1"/>
  <c r="FB66" i="6"/>
  <c r="FC66" i="6"/>
  <c r="AZ66" i="6" s="1"/>
  <c r="L72" i="4" s="1"/>
  <c r="DI34" i="6"/>
  <c r="DN26" i="6"/>
  <c r="DJ27" i="6" s="1"/>
  <c r="DP26" i="6"/>
  <c r="DL27" i="6" s="1"/>
  <c r="DO26" i="6"/>
  <c r="DK27" i="6" s="1"/>
  <c r="DQ26" i="6"/>
  <c r="DM27" i="6" s="1"/>
  <c r="K70" i="4" l="1"/>
  <c r="EN173" i="6"/>
  <c r="Q173" i="6" s="1"/>
  <c r="EO173" i="6" s="1"/>
  <c r="EM174" i="6" s="1"/>
  <c r="EN95" i="6"/>
  <c r="Q95" i="6" s="1"/>
  <c r="EO95" i="6" s="1"/>
  <c r="EM96" i="6" s="1"/>
  <c r="BE113" i="6"/>
  <c r="EK113" i="6" s="1"/>
  <c r="BO113" i="6" s="1"/>
  <c r="CS113" i="6"/>
  <c r="AO114" i="6" s="1"/>
  <c r="P39" i="4"/>
  <c r="Q39" i="5"/>
  <c r="S39" i="5" s="1"/>
  <c r="EU33" i="6"/>
  <c r="DI27" i="6"/>
  <c r="FC150" i="6"/>
  <c r="FB150" i="6"/>
  <c r="P44" i="5"/>
  <c r="R44" i="5" s="1"/>
  <c r="BU38" i="6"/>
  <c r="DR34" i="6"/>
  <c r="BO34" i="6"/>
  <c r="BQ34" i="6" s="1"/>
  <c r="BD34" i="6"/>
  <c r="BC34" i="6"/>
  <c r="DV34" i="6"/>
  <c r="BV26" i="6"/>
  <c r="P32" i="5"/>
  <c r="R32" i="5" s="1"/>
  <c r="CU65" i="6"/>
  <c r="AQ66" i="6" s="1"/>
  <c r="CT65" i="6"/>
  <c r="AP66" i="6" s="1"/>
  <c r="P43" i="4"/>
  <c r="Q43" i="5"/>
  <c r="S43" i="5" s="1"/>
  <c r="EU37" i="6"/>
  <c r="CG66" i="6"/>
  <c r="AC67" i="6" s="1"/>
  <c r="O32" i="4"/>
  <c r="E32" i="5" s="1"/>
  <c r="BW26" i="6"/>
  <c r="L38" i="5"/>
  <c r="M38" i="5" s="1"/>
  <c r="EB192" i="6"/>
  <c r="EF193" i="6"/>
  <c r="FB67" i="6"/>
  <c r="FC67" i="6"/>
  <c r="AZ67" i="6" s="1"/>
  <c r="L73" i="4" s="1"/>
  <c r="CK170" i="6"/>
  <c r="AG171" i="6" s="1"/>
  <c r="FD65" i="6"/>
  <c r="CX158" i="6"/>
  <c r="AT159" i="6" s="1"/>
  <c r="CN158" i="6"/>
  <c r="AJ159" i="6" s="1"/>
  <c r="CW158" i="6"/>
  <c r="AS159" i="6" s="1"/>
  <c r="EJ159" i="6" s="1"/>
  <c r="BL159" i="6" s="1"/>
  <c r="CY158" i="6"/>
  <c r="AU159" i="6" s="1"/>
  <c r="EI159" i="6" s="1"/>
  <c r="EH190" i="6"/>
  <c r="EK190" i="6" s="1"/>
  <c r="CS190" i="6"/>
  <c r="AO191" i="6" s="1"/>
  <c r="CC190" i="6"/>
  <c r="Y191" i="6" s="1"/>
  <c r="CD190" i="6"/>
  <c r="Z191" i="6" s="1"/>
  <c r="BM190" i="6"/>
  <c r="BX65" i="6"/>
  <c r="U71" i="4" s="1"/>
  <c r="CF65" i="6"/>
  <c r="AB66" i="6" s="1"/>
  <c r="F42" i="5"/>
  <c r="I42" i="5" s="1"/>
  <c r="Q42" i="4"/>
  <c r="S42" i="4" s="1"/>
  <c r="L31" i="5"/>
  <c r="M31" i="5" s="1"/>
  <c r="J31" i="5"/>
  <c r="K31" i="5" s="1"/>
  <c r="T40" i="4"/>
  <c r="BY34" i="6"/>
  <c r="EC118" i="6"/>
  <c r="AV118" i="6" s="1"/>
  <c r="EC127" i="6"/>
  <c r="AV127" i="6" s="1"/>
  <c r="EC122" i="6"/>
  <c r="AV122" i="6" s="1"/>
  <c r="EC117" i="6"/>
  <c r="AV117" i="6" s="1"/>
  <c r="EC120" i="6"/>
  <c r="AV120" i="6" s="1"/>
  <c r="EC112" i="6"/>
  <c r="AV112" i="6" s="1"/>
  <c r="EC107" i="6"/>
  <c r="AV107" i="6" s="1"/>
  <c r="EC128" i="6"/>
  <c r="AV128" i="6" s="1"/>
  <c r="EC119" i="6"/>
  <c r="AV119" i="6" s="1"/>
  <c r="EC126" i="6"/>
  <c r="AV126" i="6" s="1"/>
  <c r="EC115" i="6"/>
  <c r="AV115" i="6" s="1"/>
  <c r="EC114" i="6"/>
  <c r="AV114" i="6" s="1"/>
  <c r="EC110" i="6"/>
  <c r="AV110" i="6" s="1"/>
  <c r="EC124" i="6"/>
  <c r="AV124" i="6" s="1"/>
  <c r="EC129" i="6"/>
  <c r="AV129" i="6" s="1"/>
  <c r="EC121" i="6"/>
  <c r="AV121" i="6" s="1"/>
  <c r="EC109" i="6"/>
  <c r="AV109" i="6" s="1"/>
  <c r="EC108" i="6"/>
  <c r="AV108" i="6" s="1"/>
  <c r="EC111" i="6"/>
  <c r="AV111" i="6" s="1"/>
  <c r="EC106" i="6"/>
  <c r="AV106" i="6" s="1"/>
  <c r="EC125" i="6"/>
  <c r="AV125" i="6" s="1"/>
  <c r="EC113" i="6"/>
  <c r="AV113" i="6" s="1"/>
  <c r="EC123" i="6"/>
  <c r="AV123" i="6" s="1"/>
  <c r="EC116" i="6"/>
  <c r="AV116" i="6" s="1"/>
  <c r="BW37" i="6"/>
  <c r="EG192" i="6"/>
  <c r="ED193" i="6" s="1"/>
  <c r="EG193" i="6" s="1"/>
  <c r="ED194" i="6" s="1"/>
  <c r="K69" i="4"/>
  <c r="DZ63" i="6"/>
  <c r="DY64" i="6" s="1"/>
  <c r="DZ64" i="6" s="1"/>
  <c r="DY65" i="6" s="1"/>
  <c r="DZ65" i="6" s="1"/>
  <c r="DY66" i="6" s="1"/>
  <c r="DZ66" i="6" s="1"/>
  <c r="DY67" i="6" s="1"/>
  <c r="DZ67" i="6" s="1"/>
  <c r="DY68" i="6" s="1"/>
  <c r="DZ68" i="6" s="1"/>
  <c r="DY69" i="6" s="1"/>
  <c r="DZ69" i="6" s="1"/>
  <c r="DY70" i="6" s="1"/>
  <c r="DZ70" i="6" s="1"/>
  <c r="DY71" i="6" s="1"/>
  <c r="DZ71" i="6" s="1"/>
  <c r="DY72" i="6" s="1"/>
  <c r="DZ72" i="6" s="1"/>
  <c r="DY73" i="6" s="1"/>
  <c r="DZ73" i="6" s="1"/>
  <c r="DY74" i="6" s="1"/>
  <c r="DZ74" i="6" s="1"/>
  <c r="DY75" i="6" s="1"/>
  <c r="DZ75" i="6" s="1"/>
  <c r="DY76" i="6" s="1"/>
  <c r="DZ76" i="6" s="1"/>
  <c r="DY77" i="6" s="1"/>
  <c r="DZ77" i="6" s="1"/>
  <c r="DY78" i="6" s="1"/>
  <c r="DZ78" i="6" s="1"/>
  <c r="DY79" i="6" s="1"/>
  <c r="DZ79" i="6" s="1"/>
  <c r="DY80" i="6" s="1"/>
  <c r="DZ80" i="6" s="1"/>
  <c r="DY81" i="6" s="1"/>
  <c r="DZ81" i="6" s="1"/>
  <c r="DY82" i="6" s="1"/>
  <c r="DZ82" i="6" s="1"/>
  <c r="DY83" i="6" s="1"/>
  <c r="DZ83" i="6" s="1"/>
  <c r="DY84" i="6" s="1"/>
  <c r="DZ84" i="6" s="1"/>
  <c r="DY85" i="6" s="1"/>
  <c r="DZ85" i="6" s="1"/>
  <c r="DY86" i="6" s="1"/>
  <c r="DZ86" i="6" s="1"/>
  <c r="DY87" i="6" s="1"/>
  <c r="DZ87" i="6" s="1"/>
  <c r="DY88" i="6" s="1"/>
  <c r="DZ88" i="6" s="1"/>
  <c r="DY89" i="6" s="1"/>
  <c r="DZ89" i="6" s="1"/>
  <c r="DY90" i="6" s="1"/>
  <c r="DZ90" i="6" s="1"/>
  <c r="DY91" i="6" s="1"/>
  <c r="DZ91" i="6" s="1"/>
  <c r="DY92" i="6" s="1"/>
  <c r="BW33" i="6"/>
  <c r="ET41" i="6"/>
  <c r="EP42" i="6" s="1"/>
  <c r="EQ41" i="6"/>
  <c r="W45" i="5"/>
  <c r="DW39" i="6"/>
  <c r="BU39" i="6" s="1"/>
  <c r="DX39" i="6"/>
  <c r="CJ128" i="6"/>
  <c r="AF129" i="6" s="1"/>
  <c r="EV40" i="6"/>
  <c r="EW40" i="6" s="1"/>
  <c r="ES40" i="6"/>
  <c r="ER40" i="6"/>
  <c r="V46" i="5" s="1"/>
  <c r="U46" i="5"/>
  <c r="EN174" i="6" l="1"/>
  <c r="Q174" i="6" s="1"/>
  <c r="EO174" i="6" s="1"/>
  <c r="EM175" i="6" s="1"/>
  <c r="EN96" i="6"/>
  <c r="Q96" i="6" s="1"/>
  <c r="EO96" i="6" s="1"/>
  <c r="EM97" i="6" s="1"/>
  <c r="BI107" i="6"/>
  <c r="EJ107" i="6"/>
  <c r="BL107" i="6" s="1"/>
  <c r="EI107" i="6"/>
  <c r="BB107" i="6" s="1"/>
  <c r="BN107" i="6" s="1"/>
  <c r="J42" i="5"/>
  <c r="K42" i="5" s="1"/>
  <c r="CX159" i="6"/>
  <c r="AT160" i="6" s="1"/>
  <c r="CN159" i="6"/>
  <c r="AJ160" i="6" s="1"/>
  <c r="CW159" i="6"/>
  <c r="AS160" i="6" s="1"/>
  <c r="EJ160" i="6" s="1"/>
  <c r="BL160" i="6" s="1"/>
  <c r="CY159" i="6"/>
  <c r="AU160" i="6" s="1"/>
  <c r="EI160" i="6" s="1"/>
  <c r="BI108" i="6"/>
  <c r="EI108" i="6"/>
  <c r="BB108" i="6" s="1"/>
  <c r="BN108" i="6" s="1"/>
  <c r="EJ108" i="6"/>
  <c r="BL108" i="6" s="1"/>
  <c r="BI112" i="6"/>
  <c r="EI112" i="6"/>
  <c r="BB112" i="6" s="1"/>
  <c r="BN112" i="6" s="1"/>
  <c r="EJ112" i="6"/>
  <c r="BL112" i="6" s="1"/>
  <c r="CF66" i="6"/>
  <c r="AB67" i="6" s="1"/>
  <c r="BX66" i="6"/>
  <c r="U72" i="4" s="1"/>
  <c r="P32" i="4"/>
  <c r="Q32" i="5"/>
  <c r="S32" i="5" s="1"/>
  <c r="EU26" i="6"/>
  <c r="BI120" i="6"/>
  <c r="EJ120" i="6"/>
  <c r="BL120" i="6" s="1"/>
  <c r="EI120" i="6"/>
  <c r="BB120" i="6" s="1"/>
  <c r="BN120" i="6" s="1"/>
  <c r="BI121" i="6"/>
  <c r="EI121" i="6"/>
  <c r="BB121" i="6" s="1"/>
  <c r="BN121" i="6" s="1"/>
  <c r="EJ121" i="6"/>
  <c r="BL121" i="6" s="1"/>
  <c r="BI117" i="6"/>
  <c r="EI117" i="6"/>
  <c r="BB117" i="6" s="1"/>
  <c r="BN117" i="6" s="1"/>
  <c r="EJ117" i="6"/>
  <c r="BL117" i="6" s="1"/>
  <c r="Q39" i="4"/>
  <c r="S39" i="4" s="1"/>
  <c r="F39" i="5"/>
  <c r="I39" i="5" s="1"/>
  <c r="BI129" i="6"/>
  <c r="EJ129" i="6"/>
  <c r="BL129" i="6" s="1"/>
  <c r="EI129" i="6"/>
  <c r="BI122" i="6"/>
  <c r="EJ122" i="6"/>
  <c r="BL122" i="6" s="1"/>
  <c r="EI122" i="6"/>
  <c r="BB122" i="6" s="1"/>
  <c r="BN122" i="6" s="1"/>
  <c r="CG67" i="6"/>
  <c r="AC68" i="6" s="1"/>
  <c r="BE114" i="6"/>
  <c r="EK114" i="6" s="1"/>
  <c r="BO114" i="6" s="1"/>
  <c r="CS114" i="6"/>
  <c r="AO115" i="6" s="1"/>
  <c r="CS115" i="6" s="1"/>
  <c r="AO116" i="6" s="1"/>
  <c r="BI124" i="6"/>
  <c r="EJ124" i="6"/>
  <c r="BL124" i="6" s="1"/>
  <c r="EI124" i="6"/>
  <c r="BB124" i="6" s="1"/>
  <c r="BN124" i="6" s="1"/>
  <c r="BI127" i="6"/>
  <c r="EJ127" i="6"/>
  <c r="BL127" i="6" s="1"/>
  <c r="EI127" i="6"/>
  <c r="BB127" i="6" s="1"/>
  <c r="BN127" i="6" s="1"/>
  <c r="EH191" i="6"/>
  <c r="EK191" i="6" s="1"/>
  <c r="CD191" i="6"/>
  <c r="Z192" i="6" s="1"/>
  <c r="CC191" i="6"/>
  <c r="Y192" i="6" s="1"/>
  <c r="CS191" i="6"/>
  <c r="AO192" i="6" s="1"/>
  <c r="BM191" i="6"/>
  <c r="FD66" i="6"/>
  <c r="DW34" i="6"/>
  <c r="BR34" i="6"/>
  <c r="DX34" i="6" s="1"/>
  <c r="BV34" i="6" s="1"/>
  <c r="P40" i="4" s="1"/>
  <c r="F40" i="5" s="1"/>
  <c r="BI110" i="6"/>
  <c r="EI110" i="6"/>
  <c r="BB110" i="6" s="1"/>
  <c r="BN110" i="6" s="1"/>
  <c r="EJ110" i="6"/>
  <c r="BL110" i="6" s="1"/>
  <c r="BI118" i="6"/>
  <c r="EJ118" i="6"/>
  <c r="BL118" i="6" s="1"/>
  <c r="EI118" i="6"/>
  <c r="BB118" i="6" s="1"/>
  <c r="BN118" i="6" s="1"/>
  <c r="DP34" i="6"/>
  <c r="DL35" i="6" s="1"/>
  <c r="DP35" i="6" s="1"/>
  <c r="DL36" i="6" s="1"/>
  <c r="DN34" i="6"/>
  <c r="DJ35" i="6" s="1"/>
  <c r="DN35" i="6" s="1"/>
  <c r="DJ36" i="6" s="1"/>
  <c r="DO34" i="6"/>
  <c r="DK35" i="6" s="1"/>
  <c r="DO35" i="6" s="1"/>
  <c r="DK36" i="6" s="1"/>
  <c r="DQ34" i="6"/>
  <c r="DM35" i="6" s="1"/>
  <c r="DQ35" i="6" s="1"/>
  <c r="DM36" i="6" s="1"/>
  <c r="BI111" i="6"/>
  <c r="EI111" i="6"/>
  <c r="BB111" i="6" s="1"/>
  <c r="BN111" i="6" s="1"/>
  <c r="EJ111" i="6"/>
  <c r="BL111" i="6" s="1"/>
  <c r="W46" i="5"/>
  <c r="DW40" i="6"/>
  <c r="BU40" i="6" s="1"/>
  <c r="DX40" i="6"/>
  <c r="BV39" i="6"/>
  <c r="BW39" i="6" s="1"/>
  <c r="P45" i="5"/>
  <c r="R45" i="5" s="1"/>
  <c r="BI116" i="6"/>
  <c r="EI116" i="6"/>
  <c r="BB116" i="6" s="1"/>
  <c r="BN116" i="6" s="1"/>
  <c r="EJ116" i="6"/>
  <c r="BL116" i="6" s="1"/>
  <c r="BI114" i="6"/>
  <c r="EI114" i="6"/>
  <c r="BB114" i="6" s="1"/>
  <c r="BN114" i="6" s="1"/>
  <c r="EJ114" i="6"/>
  <c r="BL114" i="6" s="1"/>
  <c r="U35" i="6"/>
  <c r="W35" i="6"/>
  <c r="CA35" i="6" s="1"/>
  <c r="CK171" i="6"/>
  <c r="AG172" i="6" s="1"/>
  <c r="Q43" i="4"/>
  <c r="S43" i="4" s="1"/>
  <c r="F43" i="5"/>
  <c r="I43" i="5" s="1"/>
  <c r="BW38" i="6"/>
  <c r="O44" i="4"/>
  <c r="Q44" i="5"/>
  <c r="S44" i="5" s="1"/>
  <c r="EU38" i="6"/>
  <c r="BI123" i="6"/>
  <c r="EI123" i="6"/>
  <c r="BB123" i="6" s="1"/>
  <c r="BN123" i="6" s="1"/>
  <c r="EJ123" i="6"/>
  <c r="BL123" i="6" s="1"/>
  <c r="BI115" i="6"/>
  <c r="EI115" i="6"/>
  <c r="BB115" i="6" s="1"/>
  <c r="BN115" i="6" s="1"/>
  <c r="EJ115" i="6"/>
  <c r="BL115" i="6" s="1"/>
  <c r="BI109" i="6"/>
  <c r="EI109" i="6"/>
  <c r="BB109" i="6" s="1"/>
  <c r="BN109" i="6" s="1"/>
  <c r="EJ109" i="6"/>
  <c r="BL109" i="6" s="1"/>
  <c r="CJ129" i="6"/>
  <c r="AF130" i="6" s="1"/>
  <c r="CJ130" i="6" s="1"/>
  <c r="AF131" i="6" s="1"/>
  <c r="CJ131" i="6" s="1"/>
  <c r="AF132" i="6" s="1"/>
  <c r="CJ132" i="6" s="1"/>
  <c r="AF133" i="6" s="1"/>
  <c r="CJ133" i="6" s="1"/>
  <c r="AF134" i="6" s="1"/>
  <c r="CJ134" i="6" s="1"/>
  <c r="AF135" i="6" s="1"/>
  <c r="CJ135" i="6" s="1"/>
  <c r="AF136" i="6" s="1"/>
  <c r="CJ136" i="6" s="1"/>
  <c r="AF137" i="6" s="1"/>
  <c r="CJ137" i="6" s="1"/>
  <c r="AF138" i="6" s="1"/>
  <c r="CJ138" i="6" s="1"/>
  <c r="AF139" i="6" s="1"/>
  <c r="CJ139" i="6" s="1"/>
  <c r="AF140" i="6" s="1"/>
  <c r="CJ140" i="6" s="1"/>
  <c r="AF141" i="6" s="1"/>
  <c r="CJ141" i="6" s="1"/>
  <c r="AF142" i="6" s="1"/>
  <c r="CJ142" i="6" s="1"/>
  <c r="AF143" i="6" s="1"/>
  <c r="CJ143" i="6" s="1"/>
  <c r="AF144" i="6" s="1"/>
  <c r="CJ144" i="6" s="1"/>
  <c r="AF145" i="6" s="1"/>
  <c r="CJ145" i="6" s="1"/>
  <c r="AF146" i="6" s="1"/>
  <c r="CJ146" i="6" s="1"/>
  <c r="AF147" i="6" s="1"/>
  <c r="CJ147" i="6" s="1"/>
  <c r="AF148" i="6" s="1"/>
  <c r="CJ148" i="6" s="1"/>
  <c r="AF149" i="6" s="1"/>
  <c r="CJ149" i="6" s="1"/>
  <c r="AF150" i="6" s="1"/>
  <c r="CJ150" i="6" s="1"/>
  <c r="AF151" i="6" s="1"/>
  <c r="CJ151" i="6" s="1"/>
  <c r="AF152" i="6" s="1"/>
  <c r="CJ152" i="6" s="1"/>
  <c r="AF153" i="6" s="1"/>
  <c r="CJ153" i="6" s="1"/>
  <c r="AF154" i="6" s="1"/>
  <c r="CJ154" i="6" s="1"/>
  <c r="AF155" i="6" s="1"/>
  <c r="CJ155" i="6" s="1"/>
  <c r="AF156" i="6" s="1"/>
  <c r="CJ156" i="6" s="1"/>
  <c r="AF157" i="6" s="1"/>
  <c r="CJ157" i="6" s="1"/>
  <c r="AF158" i="6" s="1"/>
  <c r="CJ158" i="6" s="1"/>
  <c r="AF159" i="6" s="1"/>
  <c r="CJ159" i="6" s="1"/>
  <c r="AF160" i="6" s="1"/>
  <c r="CJ160" i="6" s="1"/>
  <c r="AF161" i="6" s="1"/>
  <c r="CJ161" i="6" s="1"/>
  <c r="AF162" i="6" s="1"/>
  <c r="CJ162" i="6" s="1"/>
  <c r="AF163" i="6" s="1"/>
  <c r="CJ163" i="6" s="1"/>
  <c r="AF164" i="6" s="1"/>
  <c r="CJ164" i="6" s="1"/>
  <c r="AF165" i="6" s="1"/>
  <c r="CJ165" i="6" s="1"/>
  <c r="AF166" i="6" s="1"/>
  <c r="CJ166" i="6" s="1"/>
  <c r="AF167" i="6" s="1"/>
  <c r="CJ167" i="6" s="1"/>
  <c r="AF168" i="6" s="1"/>
  <c r="CJ168" i="6" s="1"/>
  <c r="AF169" i="6" s="1"/>
  <c r="CJ169" i="6" s="1"/>
  <c r="AF170" i="6" s="1"/>
  <c r="CJ170" i="6" s="1"/>
  <c r="AF171" i="6" s="1"/>
  <c r="CJ171" i="6" s="1"/>
  <c r="AF172" i="6" s="1"/>
  <c r="BB129" i="6"/>
  <c r="BN129" i="6" s="1"/>
  <c r="O45" i="4"/>
  <c r="E45" i="5" s="1"/>
  <c r="BI113" i="6"/>
  <c r="EJ113" i="6"/>
  <c r="BL113" i="6" s="1"/>
  <c r="EI113" i="6"/>
  <c r="BB113" i="6" s="1"/>
  <c r="BN113" i="6" s="1"/>
  <c r="BI126" i="6"/>
  <c r="EI126" i="6"/>
  <c r="BB126" i="6" s="1"/>
  <c r="BN126" i="6" s="1"/>
  <c r="EJ126" i="6"/>
  <c r="BL126" i="6" s="1"/>
  <c r="FC68" i="6"/>
  <c r="AZ68" i="6" s="1"/>
  <c r="L74" i="4" s="1"/>
  <c r="FB68" i="6"/>
  <c r="FB151" i="6"/>
  <c r="FC151" i="6"/>
  <c r="BI125" i="6"/>
  <c r="EJ125" i="6"/>
  <c r="BL125" i="6" s="1"/>
  <c r="EI125" i="6"/>
  <c r="BB125" i="6" s="1"/>
  <c r="BN125" i="6" s="1"/>
  <c r="BI119" i="6"/>
  <c r="EJ119" i="6"/>
  <c r="BL119" i="6" s="1"/>
  <c r="EI119" i="6"/>
  <c r="BB119" i="6" s="1"/>
  <c r="BN119" i="6" s="1"/>
  <c r="EB193" i="6"/>
  <c r="EF194" i="6"/>
  <c r="AY66" i="6"/>
  <c r="CU66" i="6"/>
  <c r="AQ67" i="6" s="1"/>
  <c r="CT66" i="6"/>
  <c r="AP67" i="6" s="1"/>
  <c r="ES41" i="6"/>
  <c r="EV41" i="6"/>
  <c r="EW41" i="6" s="1"/>
  <c r="ER41" i="6"/>
  <c r="V47" i="5" s="1"/>
  <c r="U47" i="5"/>
  <c r="EQ42" i="6"/>
  <c r="ET42" i="6"/>
  <c r="EP43" i="6" s="1"/>
  <c r="BI106" i="6"/>
  <c r="EI106" i="6"/>
  <c r="BB106" i="6" s="1"/>
  <c r="BN106" i="6" s="1"/>
  <c r="CV106" i="6"/>
  <c r="AR107" i="6" s="1"/>
  <c r="CV107" i="6" s="1"/>
  <c r="AR108" i="6" s="1"/>
  <c r="CV108" i="6" s="1"/>
  <c r="AR109" i="6" s="1"/>
  <c r="CV109" i="6" s="1"/>
  <c r="AR110" i="6" s="1"/>
  <c r="CV110" i="6" s="1"/>
  <c r="AR111" i="6" s="1"/>
  <c r="CV111" i="6" s="1"/>
  <c r="AR112" i="6" s="1"/>
  <c r="CV112" i="6" s="1"/>
  <c r="AR113" i="6" s="1"/>
  <c r="CV113" i="6" s="1"/>
  <c r="AR114" i="6" s="1"/>
  <c r="CV114" i="6" s="1"/>
  <c r="AR115" i="6" s="1"/>
  <c r="CV115" i="6" s="1"/>
  <c r="AR116" i="6" s="1"/>
  <c r="CV116" i="6" s="1"/>
  <c r="AR117" i="6" s="1"/>
  <c r="CV117" i="6" s="1"/>
  <c r="AR118" i="6" s="1"/>
  <c r="CV118" i="6" s="1"/>
  <c r="AR119" i="6" s="1"/>
  <c r="CV119" i="6" s="1"/>
  <c r="AR120" i="6" s="1"/>
  <c r="CV120" i="6" s="1"/>
  <c r="AR121" i="6" s="1"/>
  <c r="CV121" i="6" s="1"/>
  <c r="AR122" i="6" s="1"/>
  <c r="CV122" i="6" s="1"/>
  <c r="AR123" i="6" s="1"/>
  <c r="CV123" i="6" s="1"/>
  <c r="AR124" i="6" s="1"/>
  <c r="CV124" i="6" s="1"/>
  <c r="AR125" i="6" s="1"/>
  <c r="CV125" i="6" s="1"/>
  <c r="AR126" i="6" s="1"/>
  <c r="CV126" i="6" s="1"/>
  <c r="AR127" i="6" s="1"/>
  <c r="CV127" i="6" s="1"/>
  <c r="AR128" i="6" s="1"/>
  <c r="CV128" i="6" s="1"/>
  <c r="AR129" i="6" s="1"/>
  <c r="CV129" i="6" s="1"/>
  <c r="AR130" i="6" s="1"/>
  <c r="CV130" i="6" s="1"/>
  <c r="AR131" i="6" s="1"/>
  <c r="CV131" i="6" s="1"/>
  <c r="AR132" i="6" s="1"/>
  <c r="CV132" i="6" s="1"/>
  <c r="AR133" i="6" s="1"/>
  <c r="CV133" i="6" s="1"/>
  <c r="AR134" i="6" s="1"/>
  <c r="CV134" i="6" s="1"/>
  <c r="AR135" i="6" s="1"/>
  <c r="CV135" i="6" s="1"/>
  <c r="AR136" i="6" s="1"/>
  <c r="CV136" i="6" s="1"/>
  <c r="AR137" i="6" s="1"/>
  <c r="CV137" i="6" s="1"/>
  <c r="AR138" i="6" s="1"/>
  <c r="CV138" i="6" s="1"/>
  <c r="AR139" i="6" s="1"/>
  <c r="CV139" i="6" s="1"/>
  <c r="AR140" i="6" s="1"/>
  <c r="CV140" i="6" s="1"/>
  <c r="AR141" i="6" s="1"/>
  <c r="CV141" i="6" s="1"/>
  <c r="AR142" i="6" s="1"/>
  <c r="CV142" i="6" s="1"/>
  <c r="AR143" i="6" s="1"/>
  <c r="CV143" i="6" s="1"/>
  <c r="AR144" i="6" s="1"/>
  <c r="CV144" i="6" s="1"/>
  <c r="AR145" i="6" s="1"/>
  <c r="CV145" i="6" s="1"/>
  <c r="AR146" i="6" s="1"/>
  <c r="CV146" i="6" s="1"/>
  <c r="AR147" i="6" s="1"/>
  <c r="CV147" i="6" s="1"/>
  <c r="AR148" i="6" s="1"/>
  <c r="CV148" i="6" s="1"/>
  <c r="AR149" i="6" s="1"/>
  <c r="CV149" i="6" s="1"/>
  <c r="AR150" i="6" s="1"/>
  <c r="CV150" i="6" s="1"/>
  <c r="AR151" i="6" s="1"/>
  <c r="CV151" i="6" s="1"/>
  <c r="AR152" i="6" s="1"/>
  <c r="CV152" i="6" s="1"/>
  <c r="AR153" i="6" s="1"/>
  <c r="CV153" i="6" s="1"/>
  <c r="AR154" i="6" s="1"/>
  <c r="CV154" i="6" s="1"/>
  <c r="AR155" i="6" s="1"/>
  <c r="CV155" i="6" s="1"/>
  <c r="AR156" i="6" s="1"/>
  <c r="CV156" i="6" s="1"/>
  <c r="AR157" i="6" s="1"/>
  <c r="CV157" i="6" s="1"/>
  <c r="AR158" i="6" s="1"/>
  <c r="CV158" i="6" s="1"/>
  <c r="AR159" i="6" s="1"/>
  <c r="CV159" i="6" s="1"/>
  <c r="AR160" i="6" s="1"/>
  <c r="BI128" i="6"/>
  <c r="EJ128" i="6"/>
  <c r="BL128" i="6" s="1"/>
  <c r="EI128" i="6"/>
  <c r="BB128" i="6" s="1"/>
  <c r="BN128" i="6" s="1"/>
  <c r="AY65" i="6"/>
  <c r="BC27" i="6"/>
  <c r="BO27" i="6" s="1"/>
  <c r="BQ27" i="6" s="1"/>
  <c r="BD27" i="6"/>
  <c r="DR27" i="6"/>
  <c r="DV27" i="6"/>
  <c r="EN97" i="6" l="1"/>
  <c r="Q97" i="6" s="1"/>
  <c r="EO97" i="6" s="1"/>
  <c r="EM98" i="6" s="1"/>
  <c r="EN175" i="6"/>
  <c r="Q175" i="6" s="1"/>
  <c r="EO175" i="6" s="1"/>
  <c r="EM176" i="6" s="1"/>
  <c r="DI36" i="6"/>
  <c r="J39" i="5"/>
  <c r="K39" i="5" s="1"/>
  <c r="L39" i="5"/>
  <c r="M39" i="5" s="1"/>
  <c r="EB194" i="6"/>
  <c r="EF195" i="6"/>
  <c r="P45" i="4"/>
  <c r="Q45" i="5"/>
  <c r="S45" i="5" s="1"/>
  <c r="EU39" i="6"/>
  <c r="BE116" i="6"/>
  <c r="EK116" i="6" s="1"/>
  <c r="BO116" i="6" s="1"/>
  <c r="CS116" i="6"/>
  <c r="AO117" i="6" s="1"/>
  <c r="EG194" i="6"/>
  <c r="ED195" i="6" s="1"/>
  <c r="CF67" i="6"/>
  <c r="AB68" i="6" s="1"/>
  <c r="BX67" i="6"/>
  <c r="U73" i="4" s="1"/>
  <c r="F32" i="5"/>
  <c r="I32" i="5" s="1"/>
  <c r="Q32" i="4"/>
  <c r="S32" i="4" s="1"/>
  <c r="CK172" i="6"/>
  <c r="AG173" i="6" s="1"/>
  <c r="CJ172" i="6"/>
  <c r="AF173" i="6" s="1"/>
  <c r="P46" i="5"/>
  <c r="R46" i="5" s="1"/>
  <c r="BV40" i="6"/>
  <c r="EH192" i="6"/>
  <c r="EK192" i="6" s="1"/>
  <c r="CC192" i="6"/>
  <c r="Y193" i="6" s="1"/>
  <c r="CS192" i="6"/>
  <c r="AO193" i="6" s="1"/>
  <c r="CD192" i="6"/>
  <c r="Z193" i="6" s="1"/>
  <c r="BM192" i="6"/>
  <c r="L42" i="5"/>
  <c r="M42" i="5" s="1"/>
  <c r="O46" i="4"/>
  <c r="E46" i="5" s="1"/>
  <c r="BW40" i="6"/>
  <c r="CG68" i="6"/>
  <c r="AC69" i="6" s="1"/>
  <c r="K71" i="4"/>
  <c r="ET43" i="6"/>
  <c r="EP44" i="6" s="1"/>
  <c r="EQ43" i="6"/>
  <c r="FB152" i="6"/>
  <c r="FC152" i="6"/>
  <c r="CT67" i="6"/>
  <c r="AP68" i="6" s="1"/>
  <c r="CU67" i="6"/>
  <c r="AQ68" i="6" s="1"/>
  <c r="FB69" i="6"/>
  <c r="FC69" i="6"/>
  <c r="AZ69" i="6" s="1"/>
  <c r="L75" i="4" s="1"/>
  <c r="EV42" i="6"/>
  <c r="EW42" i="6" s="1"/>
  <c r="ES42" i="6"/>
  <c r="ER42" i="6"/>
  <c r="V48" i="5" s="1"/>
  <c r="U48" i="5"/>
  <c r="T41" i="4"/>
  <c r="BY35" i="6"/>
  <c r="DQ27" i="6"/>
  <c r="DM28" i="6" s="1"/>
  <c r="DN27" i="6"/>
  <c r="DJ28" i="6" s="1"/>
  <c r="DO27" i="6"/>
  <c r="DK28" i="6" s="1"/>
  <c r="DP27" i="6"/>
  <c r="DL28" i="6" s="1"/>
  <c r="Q44" i="4"/>
  <c r="S44" i="4" s="1"/>
  <c r="E44" i="5"/>
  <c r="I44" i="5" s="1"/>
  <c r="K72" i="4"/>
  <c r="J43" i="5"/>
  <c r="K43" i="5" s="1"/>
  <c r="CN160" i="6"/>
  <c r="AJ161" i="6" s="1"/>
  <c r="CY160" i="6"/>
  <c r="AU161" i="6" s="1"/>
  <c r="EI161" i="6" s="1"/>
  <c r="CV160" i="6"/>
  <c r="AR161" i="6" s="1"/>
  <c r="CX160" i="6"/>
  <c r="AT161" i="6" s="1"/>
  <c r="CW160" i="6"/>
  <c r="AS161" i="6" s="1"/>
  <c r="EJ161" i="6" s="1"/>
  <c r="BL161" i="6" s="1"/>
  <c r="W47" i="5"/>
  <c r="DW41" i="6"/>
  <c r="BU41" i="6" s="1"/>
  <c r="DX41" i="6"/>
  <c r="DW27" i="6"/>
  <c r="BR27" i="6"/>
  <c r="DX27" i="6" s="1"/>
  <c r="BV27" i="6" s="1"/>
  <c r="P33" i="4" s="1"/>
  <c r="F33" i="5" s="1"/>
  <c r="P40" i="5"/>
  <c r="R40" i="5" s="1"/>
  <c r="BU34" i="6"/>
  <c r="FD67" i="6"/>
  <c r="EN176" i="6" l="1"/>
  <c r="Q176" i="6" s="1"/>
  <c r="EO176" i="6" s="1"/>
  <c r="EM177" i="6" s="1"/>
  <c r="EN98" i="6"/>
  <c r="Q98" i="6" s="1"/>
  <c r="EO98" i="6" s="1"/>
  <c r="EM99" i="6" s="1"/>
  <c r="EB195" i="6"/>
  <c r="EF196" i="6"/>
  <c r="CJ173" i="6"/>
  <c r="AF174" i="6" s="1"/>
  <c r="CK173" i="6"/>
  <c r="AG174" i="6" s="1"/>
  <c r="O47" i="4"/>
  <c r="E47" i="5" s="1"/>
  <c r="FB70" i="6"/>
  <c r="FC70" i="6"/>
  <c r="AZ70" i="6" s="1"/>
  <c r="L76" i="4" s="1"/>
  <c r="CG69" i="6"/>
  <c r="AC70" i="6" s="1"/>
  <c r="BV41" i="6"/>
  <c r="BW41" i="6" s="1"/>
  <c r="P47" i="5"/>
  <c r="R47" i="5" s="1"/>
  <c r="J32" i="5"/>
  <c r="K32" i="5" s="1"/>
  <c r="DI28" i="6"/>
  <c r="BD36" i="6"/>
  <c r="BC36" i="6"/>
  <c r="DR36" i="6"/>
  <c r="DV36" i="6"/>
  <c r="FC153" i="6"/>
  <c r="FB153" i="6"/>
  <c r="BX68" i="6"/>
  <c r="U74" i="4" s="1"/>
  <c r="CF68" i="6"/>
  <c r="AB69" i="6" s="1"/>
  <c r="W48" i="5"/>
  <c r="DW42" i="6"/>
  <c r="BU42" i="6" s="1"/>
  <c r="DX42" i="6"/>
  <c r="BU27" i="6"/>
  <c r="P33" i="5"/>
  <c r="R33" i="5" s="1"/>
  <c r="L44" i="5"/>
  <c r="M44" i="5" s="1"/>
  <c r="J44" i="5"/>
  <c r="K44" i="5" s="1"/>
  <c r="W36" i="6"/>
  <c r="CA36" i="6" s="1"/>
  <c r="U36" i="6"/>
  <c r="EV43" i="6"/>
  <c r="EW43" i="6" s="1"/>
  <c r="ES43" i="6"/>
  <c r="ER43" i="6"/>
  <c r="V49" i="5" s="1"/>
  <c r="U49" i="5"/>
  <c r="EH193" i="6"/>
  <c r="EK193" i="6" s="1"/>
  <c r="BM193" i="6"/>
  <c r="CS193" i="6"/>
  <c r="AO194" i="6" s="1"/>
  <c r="CC193" i="6"/>
  <c r="Y194" i="6" s="1"/>
  <c r="CD193" i="6"/>
  <c r="Z194" i="6" s="1"/>
  <c r="EG195" i="6"/>
  <c r="ED196" i="6" s="1"/>
  <c r="EQ44" i="6"/>
  <c r="ET44" i="6"/>
  <c r="EP45" i="6" s="1"/>
  <c r="BE117" i="6"/>
  <c r="EK117" i="6" s="1"/>
  <c r="BO117" i="6" s="1"/>
  <c r="CS117" i="6"/>
  <c r="AO118" i="6" s="1"/>
  <c r="Q45" i="4"/>
  <c r="S45" i="4" s="1"/>
  <c r="F45" i="5"/>
  <c r="I45" i="5" s="1"/>
  <c r="CU68" i="6"/>
  <c r="AQ69" i="6" s="1"/>
  <c r="CT68" i="6"/>
  <c r="AP69" i="6" s="1"/>
  <c r="O40" i="4"/>
  <c r="BW34" i="6"/>
  <c r="EU34" i="6"/>
  <c r="Q40" i="5"/>
  <c r="S40" i="5" s="1"/>
  <c r="FD68" i="6"/>
  <c r="AY67" i="6"/>
  <c r="CY161" i="6"/>
  <c r="AU162" i="6" s="1"/>
  <c r="EI162" i="6" s="1"/>
  <c r="CN161" i="6"/>
  <c r="AJ162" i="6" s="1"/>
  <c r="CW161" i="6"/>
  <c r="AS162" i="6" s="1"/>
  <c r="EJ162" i="6" s="1"/>
  <c r="BL162" i="6" s="1"/>
  <c r="CX161" i="6"/>
  <c r="AT162" i="6" s="1"/>
  <c r="CV161" i="6"/>
  <c r="AR162" i="6" s="1"/>
  <c r="L43" i="5"/>
  <c r="M43" i="5" s="1"/>
  <c r="Q46" i="5"/>
  <c r="S46" i="5" s="1"/>
  <c r="P46" i="4"/>
  <c r="EU40" i="6"/>
  <c r="L32" i="5" l="1"/>
  <c r="M32" i="5" s="1"/>
  <c r="EN99" i="6"/>
  <c r="Q99" i="6" s="1"/>
  <c r="EO99" i="6" s="1"/>
  <c r="EM100" i="6" s="1"/>
  <c r="EN177" i="6"/>
  <c r="Q177" i="6" s="1"/>
  <c r="EO177" i="6" s="1"/>
  <c r="EM178" i="6" s="1"/>
  <c r="EH194" i="6"/>
  <c r="EK194" i="6" s="1"/>
  <c r="BM194" i="6"/>
  <c r="CD194" i="6"/>
  <c r="Z195" i="6" s="1"/>
  <c r="CS194" i="6"/>
  <c r="AO195" i="6" s="1"/>
  <c r="CC194" i="6"/>
  <c r="Y195" i="6" s="1"/>
  <c r="DQ36" i="6"/>
  <c r="DM37" i="6" s="1"/>
  <c r="DO36" i="6"/>
  <c r="DK37" i="6" s="1"/>
  <c r="DN36" i="6"/>
  <c r="DJ37" i="6" s="1"/>
  <c r="DP36" i="6"/>
  <c r="DL37" i="6" s="1"/>
  <c r="FB71" i="6"/>
  <c r="FC71" i="6"/>
  <c r="AZ71" i="6" s="1"/>
  <c r="L77" i="4" s="1"/>
  <c r="CT69" i="6"/>
  <c r="AP70" i="6" s="1"/>
  <c r="CU69" i="6"/>
  <c r="AQ70" i="6" s="1"/>
  <c r="P48" i="5"/>
  <c r="R48" i="5" s="1"/>
  <c r="BV42" i="6"/>
  <c r="BW42" i="6" s="1"/>
  <c r="DR28" i="6"/>
  <c r="BD28" i="6"/>
  <c r="BO28" i="6" s="1"/>
  <c r="BQ28" i="6" s="1"/>
  <c r="BC28" i="6"/>
  <c r="DV28" i="6"/>
  <c r="K73" i="4"/>
  <c r="L45" i="5"/>
  <c r="M45" i="5" s="1"/>
  <c r="J45" i="5"/>
  <c r="K45" i="5" s="1"/>
  <c r="O48" i="4"/>
  <c r="E48" i="5" s="1"/>
  <c r="CK174" i="6"/>
  <c r="AG175" i="6" s="1"/>
  <c r="CJ174" i="6"/>
  <c r="AF175" i="6" s="1"/>
  <c r="Q40" i="4"/>
  <c r="S40" i="4" s="1"/>
  <c r="E40" i="5"/>
  <c r="I40" i="5" s="1"/>
  <c r="FD69" i="6"/>
  <c r="AY68" i="6"/>
  <c r="EB196" i="6"/>
  <c r="EF197" i="6"/>
  <c r="O33" i="4"/>
  <c r="EU27" i="6"/>
  <c r="Q33" i="5"/>
  <c r="S33" i="5" s="1"/>
  <c r="BW27" i="6"/>
  <c r="CF69" i="6"/>
  <c r="AB70" i="6" s="1"/>
  <c r="BX69" i="6"/>
  <c r="U75" i="4" s="1"/>
  <c r="W49" i="5"/>
  <c r="DW43" i="6"/>
  <c r="BU43" i="6" s="1"/>
  <c r="DX43" i="6"/>
  <c r="CV162" i="6"/>
  <c r="AR163" i="6" s="1"/>
  <c r="CY162" i="6"/>
  <c r="AU163" i="6" s="1"/>
  <c r="EI163" i="6" s="1"/>
  <c r="CX162" i="6"/>
  <c r="AT163" i="6" s="1"/>
  <c r="CW162" i="6"/>
  <c r="AS163" i="6" s="1"/>
  <c r="EJ163" i="6" s="1"/>
  <c r="BL163" i="6" s="1"/>
  <c r="CN162" i="6"/>
  <c r="AJ163" i="6" s="1"/>
  <c r="ET45" i="6"/>
  <c r="EP46" i="6" s="1"/>
  <c r="EQ45" i="6"/>
  <c r="FB154" i="6"/>
  <c r="FC154" i="6"/>
  <c r="BE118" i="6"/>
  <c r="EK118" i="6" s="1"/>
  <c r="BO118" i="6" s="1"/>
  <c r="CS118" i="6"/>
  <c r="AO119" i="6" s="1"/>
  <c r="CS119" i="6" s="1"/>
  <c r="AO120" i="6" s="1"/>
  <c r="F46" i="5"/>
  <c r="I46" i="5" s="1"/>
  <c r="Q46" i="4"/>
  <c r="S46" i="4" s="1"/>
  <c r="EV44" i="6"/>
  <c r="EW44" i="6" s="1"/>
  <c r="ES44" i="6"/>
  <c r="ER44" i="6"/>
  <c r="V50" i="5" s="1"/>
  <c r="U50" i="5"/>
  <c r="T42" i="4"/>
  <c r="BY36" i="6"/>
  <c r="P47" i="4"/>
  <c r="Q47" i="5"/>
  <c r="S47" i="5" s="1"/>
  <c r="EU41" i="6"/>
  <c r="EG196" i="6"/>
  <c r="ED197" i="6" s="1"/>
  <c r="CG70" i="6"/>
  <c r="AC71" i="6" s="1"/>
  <c r="EN178" i="6" l="1"/>
  <c r="Q178" i="6" s="1"/>
  <c r="EO178" i="6" s="1"/>
  <c r="EM179" i="6" s="1"/>
  <c r="EN100" i="6"/>
  <c r="Q100" i="6" s="1"/>
  <c r="EO100" i="6" s="1"/>
  <c r="EM101" i="6" s="1"/>
  <c r="Q47" i="4"/>
  <c r="S47" i="4" s="1"/>
  <c r="F47" i="5"/>
  <c r="I47" i="5" s="1"/>
  <c r="DW28" i="6"/>
  <c r="BU28" i="6" s="1"/>
  <c r="BR28" i="6"/>
  <c r="DX28" i="6" s="1"/>
  <c r="EH195" i="6"/>
  <c r="EK195" i="6" s="1"/>
  <c r="BM195" i="6"/>
  <c r="CC195" i="6"/>
  <c r="Y196" i="6" s="1"/>
  <c r="CD195" i="6"/>
  <c r="Z196" i="6" s="1"/>
  <c r="CS195" i="6"/>
  <c r="AO196" i="6" s="1"/>
  <c r="FC155" i="6"/>
  <c r="FB155" i="6"/>
  <c r="ES45" i="6"/>
  <c r="EV45" i="6"/>
  <c r="EW45" i="6" s="1"/>
  <c r="ER45" i="6"/>
  <c r="V51" i="5" s="1"/>
  <c r="U51" i="5"/>
  <c r="DQ28" i="6"/>
  <c r="DM29" i="6" s="1"/>
  <c r="DP28" i="6"/>
  <c r="DL29" i="6" s="1"/>
  <c r="DO28" i="6"/>
  <c r="DK29" i="6" s="1"/>
  <c r="DN28" i="6"/>
  <c r="DJ29" i="6" s="1"/>
  <c r="CN163" i="6"/>
  <c r="AJ164" i="6" s="1"/>
  <c r="CY163" i="6"/>
  <c r="AU164" i="6" s="1"/>
  <c r="EI164" i="6" s="1"/>
  <c r="CX163" i="6"/>
  <c r="AT164" i="6" s="1"/>
  <c r="CV163" i="6"/>
  <c r="AR164" i="6" s="1"/>
  <c r="CW163" i="6"/>
  <c r="AS164" i="6" s="1"/>
  <c r="EJ164" i="6" s="1"/>
  <c r="BL164" i="6" s="1"/>
  <c r="CK175" i="6"/>
  <c r="AG176" i="6" s="1"/>
  <c r="CJ175" i="6"/>
  <c r="AF176" i="6" s="1"/>
  <c r="P48" i="4"/>
  <c r="EU42" i="6"/>
  <c r="Q48" i="5"/>
  <c r="S48" i="5" s="1"/>
  <c r="BE120" i="6"/>
  <c r="EK120" i="6" s="1"/>
  <c r="BO120" i="6" s="1"/>
  <c r="CS120" i="6"/>
  <c r="AO121" i="6" s="1"/>
  <c r="CF70" i="6"/>
  <c r="AB71" i="6" s="1"/>
  <c r="BX70" i="6"/>
  <c r="U76" i="4" s="1"/>
  <c r="W37" i="6"/>
  <c r="CA37" i="6" s="1"/>
  <c r="U37" i="6"/>
  <c r="EQ46" i="6"/>
  <c r="ET46" i="6"/>
  <c r="EP47" i="6" s="1"/>
  <c r="E33" i="5"/>
  <c r="I33" i="5" s="1"/>
  <c r="Q33" i="4"/>
  <c r="S33" i="4" s="1"/>
  <c r="FD70" i="6"/>
  <c r="AY69" i="6"/>
  <c r="J40" i="5"/>
  <c r="K40" i="5" s="1"/>
  <c r="W50" i="5"/>
  <c r="DW44" i="6"/>
  <c r="BU44" i="6" s="1"/>
  <c r="DX44" i="6"/>
  <c r="CT70" i="6"/>
  <c r="AP71" i="6" s="1"/>
  <c r="CU70" i="6"/>
  <c r="AQ71" i="6" s="1"/>
  <c r="EB197" i="6"/>
  <c r="EF198" i="6"/>
  <c r="EG197" i="6"/>
  <c r="ED198" i="6" s="1"/>
  <c r="K74" i="4"/>
  <c r="CG71" i="6"/>
  <c r="AC72" i="6" s="1"/>
  <c r="J46" i="5"/>
  <c r="K46" i="5" s="1"/>
  <c r="L46" i="5"/>
  <c r="M46" i="5" s="1"/>
  <c r="BV43" i="6"/>
  <c r="BW43" i="6" s="1"/>
  <c r="P49" i="5"/>
  <c r="R49" i="5" s="1"/>
  <c r="FC72" i="6"/>
  <c r="AZ72" i="6" s="1"/>
  <c r="L78" i="4" s="1"/>
  <c r="FB72" i="6"/>
  <c r="O49" i="4"/>
  <c r="E49" i="5" s="1"/>
  <c r="DI37" i="6"/>
  <c r="EN101" i="6" l="1"/>
  <c r="Q101" i="6" s="1"/>
  <c r="EO101" i="6" s="1"/>
  <c r="EM102" i="6" s="1"/>
  <c r="EN179" i="6"/>
  <c r="Q179" i="6" s="1"/>
  <c r="EO179" i="6" s="1"/>
  <c r="EM180" i="6" s="1"/>
  <c r="EG198" i="6"/>
  <c r="ED199" i="6" s="1"/>
  <c r="CU71" i="6"/>
  <c r="AQ72" i="6" s="1"/>
  <c r="CT71" i="6"/>
  <c r="AP72" i="6" s="1"/>
  <c r="Q48" i="4"/>
  <c r="S48" i="4" s="1"/>
  <c r="F48" i="5"/>
  <c r="I48" i="5" s="1"/>
  <c r="BV28" i="6"/>
  <c r="BW28" i="6" s="1"/>
  <c r="P34" i="5"/>
  <c r="R34" i="5" s="1"/>
  <c r="P49" i="4"/>
  <c r="Q49" i="5"/>
  <c r="S49" i="5" s="1"/>
  <c r="EU43" i="6"/>
  <c r="J33" i="5"/>
  <c r="K33" i="5" s="1"/>
  <c r="O34" i="4"/>
  <c r="E34" i="5" s="1"/>
  <c r="EB198" i="6"/>
  <c r="EF199" i="6"/>
  <c r="BV44" i="6"/>
  <c r="P50" i="5"/>
  <c r="R50" i="5" s="1"/>
  <c r="J47" i="5"/>
  <c r="K47" i="5" s="1"/>
  <c r="CK176" i="6"/>
  <c r="AG177" i="6" s="1"/>
  <c r="CJ176" i="6"/>
  <c r="AF177" i="6" s="1"/>
  <c r="ER46" i="6"/>
  <c r="V52" i="5" s="1"/>
  <c r="EV46" i="6"/>
  <c r="EW46" i="6" s="1"/>
  <c r="ES46" i="6"/>
  <c r="U52" i="5"/>
  <c r="W51" i="5"/>
  <c r="DW45" i="6"/>
  <c r="BU45" i="6" s="1"/>
  <c r="DX45" i="6"/>
  <c r="ET47" i="6"/>
  <c r="EP48" i="6" s="1"/>
  <c r="EQ47" i="6"/>
  <c r="O50" i="4"/>
  <c r="E50" i="5" s="1"/>
  <c r="T43" i="4"/>
  <c r="BY37" i="6"/>
  <c r="FB156" i="6"/>
  <c r="FC156" i="6"/>
  <c r="CR70" i="6"/>
  <c r="AN71" i="6" s="1"/>
  <c r="CR71" i="6" s="1"/>
  <c r="AN72" i="6" s="1"/>
  <c r="CR72" i="6" s="1"/>
  <c r="AN73" i="6" s="1"/>
  <c r="CR73" i="6" s="1"/>
  <c r="AN74" i="6" s="1"/>
  <c r="CR74" i="6" s="1"/>
  <c r="AN75" i="6" s="1"/>
  <c r="CR75" i="6" s="1"/>
  <c r="AN76" i="6" s="1"/>
  <c r="CR76" i="6" s="1"/>
  <c r="AN77" i="6" s="1"/>
  <c r="CR77" i="6" s="1"/>
  <c r="AN78" i="6" s="1"/>
  <c r="CR78" i="6" s="1"/>
  <c r="AN79" i="6" s="1"/>
  <c r="CR79" i="6" s="1"/>
  <c r="AN80" i="6" s="1"/>
  <c r="CR80" i="6" s="1"/>
  <c r="AN81" i="6" s="1"/>
  <c r="CR81" i="6" s="1"/>
  <c r="AN82" i="6" s="1"/>
  <c r="CR82" i="6" s="1"/>
  <c r="AN83" i="6" s="1"/>
  <c r="CR83" i="6" s="1"/>
  <c r="AN84" i="6" s="1"/>
  <c r="CR84" i="6" s="1"/>
  <c r="AN85" i="6" s="1"/>
  <c r="CR85" i="6" s="1"/>
  <c r="AN86" i="6" s="1"/>
  <c r="CR86" i="6" s="1"/>
  <c r="AN87" i="6" s="1"/>
  <c r="CR87" i="6" s="1"/>
  <c r="AN88" i="6" s="1"/>
  <c r="CR88" i="6" s="1"/>
  <c r="AN89" i="6" s="1"/>
  <c r="CR89" i="6" s="1"/>
  <c r="AN90" i="6" s="1"/>
  <c r="CR90" i="6" s="1"/>
  <c r="AN91" i="6" s="1"/>
  <c r="CR91" i="6" s="1"/>
  <c r="AN92" i="6" s="1"/>
  <c r="CR92" i="6" s="1"/>
  <c r="AN93" i="6" s="1"/>
  <c r="CR93" i="6" s="1"/>
  <c r="AN94" i="6" s="1"/>
  <c r="CR94" i="6" s="1"/>
  <c r="AN95" i="6" s="1"/>
  <c r="CR95" i="6" s="1"/>
  <c r="AN96" i="6" s="1"/>
  <c r="CR96" i="6" s="1"/>
  <c r="AN97" i="6" s="1"/>
  <c r="CR97" i="6" s="1"/>
  <c r="AN98" i="6" s="1"/>
  <c r="CR98" i="6" s="1"/>
  <c r="AN99" i="6" s="1"/>
  <c r="CR99" i="6" s="1"/>
  <c r="AN100" i="6" s="1"/>
  <c r="CR100" i="6" s="1"/>
  <c r="AN101" i="6" s="1"/>
  <c r="CR101" i="6" s="1"/>
  <c r="AN102" i="6" s="1"/>
  <c r="CR102" i="6" s="1"/>
  <c r="AN103" i="6" s="1"/>
  <c r="CR103" i="6" s="1"/>
  <c r="AN104" i="6" s="1"/>
  <c r="CR104" i="6" s="1"/>
  <c r="AN105" i="6" s="1"/>
  <c r="CR105" i="6" s="1"/>
  <c r="AN106" i="6" s="1"/>
  <c r="CR106" i="6" s="1"/>
  <c r="AN107" i="6" s="1"/>
  <c r="CR107" i="6" s="1"/>
  <c r="AN108" i="6" s="1"/>
  <c r="CR108" i="6" s="1"/>
  <c r="AN109" i="6" s="1"/>
  <c r="CR109" i="6" s="1"/>
  <c r="AN110" i="6" s="1"/>
  <c r="FD71" i="6"/>
  <c r="AY70" i="6"/>
  <c r="FB73" i="6"/>
  <c r="FC73" i="6"/>
  <c r="AZ73" i="6" s="1"/>
  <c r="L79" i="4" s="1"/>
  <c r="CG72" i="6"/>
  <c r="AC73" i="6" s="1"/>
  <c r="L40" i="5"/>
  <c r="M40" i="5" s="1"/>
  <c r="BD37" i="6"/>
  <c r="DR37" i="6"/>
  <c r="BC37" i="6"/>
  <c r="DV37" i="6"/>
  <c r="K75" i="4"/>
  <c r="BX71" i="6"/>
  <c r="U77" i="4" s="1"/>
  <c r="CF71" i="6"/>
  <c r="AB72" i="6" s="1"/>
  <c r="CX164" i="6"/>
  <c r="AT165" i="6" s="1"/>
  <c r="CN164" i="6"/>
  <c r="AJ165" i="6" s="1"/>
  <c r="CW164" i="6"/>
  <c r="AS165" i="6" s="1"/>
  <c r="EJ165" i="6" s="1"/>
  <c r="BL165" i="6" s="1"/>
  <c r="CV164" i="6"/>
  <c r="AR165" i="6" s="1"/>
  <c r="CY164" i="6"/>
  <c r="AU165" i="6" s="1"/>
  <c r="EI165" i="6" s="1"/>
  <c r="BE121" i="6"/>
  <c r="EK121" i="6" s="1"/>
  <c r="BO121" i="6" s="1"/>
  <c r="CS121" i="6"/>
  <c r="AO122" i="6" s="1"/>
  <c r="DI29" i="6"/>
  <c r="CS196" i="6"/>
  <c r="AO197" i="6" s="1"/>
  <c r="EH196" i="6"/>
  <c r="EK196" i="6" s="1"/>
  <c r="CC196" i="6"/>
  <c r="Y197" i="6" s="1"/>
  <c r="CD196" i="6"/>
  <c r="Z197" i="6" s="1"/>
  <c r="BM196" i="6"/>
  <c r="EN180" i="6" l="1"/>
  <c r="Q180" i="6" s="1"/>
  <c r="EO180" i="6" s="1"/>
  <c r="EM181" i="6" s="1"/>
  <c r="EN102" i="6"/>
  <c r="Q102" i="6" s="1"/>
  <c r="EO102" i="6" s="1"/>
  <c r="EM103" i="6" s="1"/>
  <c r="DN37" i="6"/>
  <c r="DJ38" i="6" s="1"/>
  <c r="DQ37" i="6"/>
  <c r="DM38" i="6" s="1"/>
  <c r="DP37" i="6"/>
  <c r="DL38" i="6" s="1"/>
  <c r="DO37" i="6"/>
  <c r="DK38" i="6" s="1"/>
  <c r="CU72" i="6"/>
  <c r="AQ73" i="6" s="1"/>
  <c r="CT72" i="6"/>
  <c r="AP73" i="6" s="1"/>
  <c r="EB199" i="6"/>
  <c r="EF200" i="6"/>
  <c r="BE122" i="6"/>
  <c r="EK122" i="6" s="1"/>
  <c r="BO122" i="6" s="1"/>
  <c r="CS122" i="6"/>
  <c r="AO123" i="6" s="1"/>
  <c r="CS123" i="6" s="1"/>
  <c r="AO124" i="6" s="1"/>
  <c r="W52" i="5"/>
  <c r="DW46" i="6"/>
  <c r="DX46" i="6"/>
  <c r="BV46" i="6" s="1"/>
  <c r="P52" i="4" s="1"/>
  <c r="F52" i="5" s="1"/>
  <c r="O51" i="4"/>
  <c r="E51" i="5" s="1"/>
  <c r="FC157" i="6"/>
  <c r="FB157" i="6"/>
  <c r="L33" i="5"/>
  <c r="M33" i="5" s="1"/>
  <c r="EG199" i="6"/>
  <c r="ED200" i="6" s="1"/>
  <c r="EG200" i="6" s="1"/>
  <c r="ED201" i="6" s="1"/>
  <c r="P50" i="4"/>
  <c r="EU44" i="6"/>
  <c r="Q50" i="5"/>
  <c r="S50" i="5" s="1"/>
  <c r="CK177" i="6"/>
  <c r="AG178" i="6" s="1"/>
  <c r="CJ177" i="6"/>
  <c r="AF178" i="6" s="1"/>
  <c r="BC29" i="6"/>
  <c r="BO29" i="6" s="1"/>
  <c r="BQ29" i="6" s="1"/>
  <c r="DR29" i="6"/>
  <c r="BD29" i="6"/>
  <c r="DV29" i="6"/>
  <c r="W38" i="6"/>
  <c r="CA38" i="6" s="1"/>
  <c r="U38" i="6"/>
  <c r="CV165" i="6"/>
  <c r="AR166" i="6" s="1"/>
  <c r="CN165" i="6"/>
  <c r="AJ166" i="6" s="1"/>
  <c r="CX165" i="6"/>
  <c r="AT166" i="6" s="1"/>
  <c r="CW165" i="6"/>
  <c r="AS166" i="6" s="1"/>
  <c r="EJ166" i="6" s="1"/>
  <c r="BL166" i="6" s="1"/>
  <c r="CY165" i="6"/>
  <c r="AU166" i="6" s="1"/>
  <c r="EI166" i="6" s="1"/>
  <c r="CG73" i="6"/>
  <c r="AC74" i="6" s="1"/>
  <c r="EH197" i="6"/>
  <c r="EK197" i="6" s="1"/>
  <c r="CC197" i="6"/>
  <c r="Y198" i="6" s="1"/>
  <c r="CS197" i="6"/>
  <c r="AO198" i="6" s="1"/>
  <c r="BM197" i="6"/>
  <c r="CD197" i="6"/>
  <c r="Z198" i="6" s="1"/>
  <c r="CF72" i="6"/>
  <c r="AB73" i="6" s="1"/>
  <c r="BX72" i="6"/>
  <c r="U78" i="4" s="1"/>
  <c r="FB74" i="6"/>
  <c r="FC74" i="6"/>
  <c r="AZ74" i="6" s="1"/>
  <c r="L80" i="4" s="1"/>
  <c r="BW44" i="6"/>
  <c r="L47" i="5"/>
  <c r="M47" i="5" s="1"/>
  <c r="Q49" i="4"/>
  <c r="S49" i="4" s="1"/>
  <c r="F49" i="5"/>
  <c r="I49" i="5" s="1"/>
  <c r="BV45" i="6"/>
  <c r="BW45" i="6" s="1"/>
  <c r="P51" i="5"/>
  <c r="R51" i="5" s="1"/>
  <c r="K76" i="4"/>
  <c r="EV47" i="6"/>
  <c r="EW47" i="6" s="1"/>
  <c r="ER47" i="6"/>
  <c r="V53" i="5" s="1"/>
  <c r="ES47" i="6"/>
  <c r="U53" i="5"/>
  <c r="J48" i="5"/>
  <c r="K48" i="5" s="1"/>
  <c r="L48" i="5"/>
  <c r="M48" i="5" s="1"/>
  <c r="FD72" i="6"/>
  <c r="AY71" i="6"/>
  <c r="ET48" i="6"/>
  <c r="EP49" i="6" s="1"/>
  <c r="EQ48" i="6"/>
  <c r="P34" i="4"/>
  <c r="Q34" i="5"/>
  <c r="S34" i="5" s="1"/>
  <c r="EU28" i="6"/>
  <c r="EN103" i="6" l="1"/>
  <c r="Q103" i="6" s="1"/>
  <c r="EO103" i="6" s="1"/>
  <c r="EM104" i="6" s="1"/>
  <c r="EN181" i="6"/>
  <c r="Q181" i="6" s="1"/>
  <c r="EO181" i="6" s="1"/>
  <c r="EM182" i="6" s="1"/>
  <c r="CF73" i="6"/>
  <c r="AB74" i="6" s="1"/>
  <c r="BX73" i="6"/>
  <c r="U79" i="4" s="1"/>
  <c r="EB200" i="6"/>
  <c r="EF201" i="6"/>
  <c r="K77" i="4"/>
  <c r="T44" i="4"/>
  <c r="BY38" i="6"/>
  <c r="FB158" i="6"/>
  <c r="FC158" i="6"/>
  <c r="CU73" i="6"/>
  <c r="AQ74" i="6" s="1"/>
  <c r="CT73" i="6"/>
  <c r="AP74" i="6" s="1"/>
  <c r="DI38" i="6"/>
  <c r="EV48" i="6"/>
  <c r="EW48" i="6" s="1"/>
  <c r="ES48" i="6"/>
  <c r="ER48" i="6"/>
  <c r="V54" i="5" s="1"/>
  <c r="U54" i="5"/>
  <c r="ET49" i="6"/>
  <c r="EP50" i="6" s="1"/>
  <c r="EQ49" i="6"/>
  <c r="Q50" i="4"/>
  <c r="S50" i="4" s="1"/>
  <c r="F50" i="5"/>
  <c r="I50" i="5" s="1"/>
  <c r="CG74" i="6"/>
  <c r="AC75" i="6" s="1"/>
  <c r="P52" i="5"/>
  <c r="R52" i="5" s="1"/>
  <c r="BU46" i="6"/>
  <c r="CY166" i="6"/>
  <c r="AU167" i="6" s="1"/>
  <c r="EI167" i="6" s="1"/>
  <c r="CN166" i="6"/>
  <c r="AJ167" i="6" s="1"/>
  <c r="CX166" i="6"/>
  <c r="AT167" i="6" s="1"/>
  <c r="CW166" i="6"/>
  <c r="AS167" i="6" s="1"/>
  <c r="EJ167" i="6" s="1"/>
  <c r="BL167" i="6" s="1"/>
  <c r="CV166" i="6"/>
  <c r="AR167" i="6" s="1"/>
  <c r="EH198" i="6"/>
  <c r="EK198" i="6" s="1"/>
  <c r="BM198" i="6"/>
  <c r="CS198" i="6"/>
  <c r="AO199" i="6" s="1"/>
  <c r="CC198" i="6"/>
  <c r="Y199" i="6" s="1"/>
  <c r="CD198" i="6"/>
  <c r="Z199" i="6" s="1"/>
  <c r="DN29" i="6"/>
  <c r="DJ30" i="6" s="1"/>
  <c r="DO29" i="6"/>
  <c r="DK30" i="6" s="1"/>
  <c r="DQ29" i="6"/>
  <c r="DM30" i="6" s="1"/>
  <c r="DP29" i="6"/>
  <c r="DL30" i="6" s="1"/>
  <c r="CK178" i="6"/>
  <c r="AG179" i="6" s="1"/>
  <c r="CJ178" i="6"/>
  <c r="AF179" i="6" s="1"/>
  <c r="FD73" i="6"/>
  <c r="AY72" i="6"/>
  <c r="J49" i="5"/>
  <c r="K49" i="5" s="1"/>
  <c r="L49" i="5"/>
  <c r="M49" i="5" s="1"/>
  <c r="W53" i="5"/>
  <c r="DW47" i="6"/>
  <c r="BU47" i="6" s="1"/>
  <c r="DX47" i="6"/>
  <c r="FB75" i="6"/>
  <c r="FC75" i="6"/>
  <c r="AZ75" i="6" s="1"/>
  <c r="L81" i="4" s="1"/>
  <c r="BE124" i="6"/>
  <c r="EK124" i="6" s="1"/>
  <c r="BO124" i="6" s="1"/>
  <c r="CS124" i="6"/>
  <c r="AO125" i="6" s="1"/>
  <c r="CS125" i="6" s="1"/>
  <c r="AO126" i="6" s="1"/>
  <c r="Q51" i="5"/>
  <c r="S51" i="5" s="1"/>
  <c r="P51" i="4"/>
  <c r="EU45" i="6"/>
  <c r="DW29" i="6"/>
  <c r="BU29" i="6" s="1"/>
  <c r="BR29" i="6"/>
  <c r="DX29" i="6" s="1"/>
  <c r="F34" i="5"/>
  <c r="I34" i="5" s="1"/>
  <c r="Q34" i="4"/>
  <c r="S34" i="4" s="1"/>
  <c r="EN182" i="6" l="1"/>
  <c r="Q182" i="6" s="1"/>
  <c r="EO182" i="6" s="1"/>
  <c r="EM183" i="6" s="1"/>
  <c r="EN104" i="6"/>
  <c r="Q104" i="6" s="1"/>
  <c r="EO104" i="6" s="1"/>
  <c r="EM105" i="6" s="1"/>
  <c r="DI30" i="6"/>
  <c r="J34" i="5"/>
  <c r="K34" i="5" s="1"/>
  <c r="L34" i="5"/>
  <c r="M34" i="5" s="1"/>
  <c r="BV29" i="6"/>
  <c r="P35" i="5"/>
  <c r="R35" i="5" s="1"/>
  <c r="W54" i="5"/>
  <c r="DW48" i="6"/>
  <c r="BU48" i="6" s="1"/>
  <c r="DX48" i="6"/>
  <c r="O35" i="4"/>
  <c r="E35" i="5" s="1"/>
  <c r="EB201" i="6"/>
  <c r="EF202" i="6"/>
  <c r="J50" i="5"/>
  <c r="K50" i="5" s="1"/>
  <c r="L50" i="5"/>
  <c r="M50" i="5" s="1"/>
  <c r="EH199" i="6"/>
  <c r="EK199" i="6" s="1"/>
  <c r="CD199" i="6"/>
  <c r="Z200" i="6" s="1"/>
  <c r="CC199" i="6"/>
  <c r="Y200" i="6" s="1"/>
  <c r="CS199" i="6"/>
  <c r="AO200" i="6" s="1"/>
  <c r="BM199" i="6"/>
  <c r="F51" i="5"/>
  <c r="I51" i="5" s="1"/>
  <c r="Q51" i="4"/>
  <c r="S51" i="4" s="1"/>
  <c r="BE126" i="6"/>
  <c r="EK126" i="6" s="1"/>
  <c r="BO126" i="6" s="1"/>
  <c r="CS126" i="6"/>
  <c r="AO127" i="6" s="1"/>
  <c r="CS127" i="6" s="1"/>
  <c r="AO128" i="6" s="1"/>
  <c r="CS128" i="6" s="1"/>
  <c r="AO129" i="6" s="1"/>
  <c r="BE129" i="6" s="1"/>
  <c r="EK129" i="6" s="1"/>
  <c r="BO129" i="6" s="1"/>
  <c r="K78" i="4"/>
  <c r="EG201" i="6"/>
  <c r="ED202" i="6" s="1"/>
  <c r="CG75" i="6"/>
  <c r="AC76" i="6" s="1"/>
  <c r="BC38" i="6"/>
  <c r="BD38" i="6"/>
  <c r="DR38" i="6"/>
  <c r="DV38" i="6"/>
  <c r="CU74" i="6"/>
  <c r="AQ75" i="6" s="1"/>
  <c r="CT74" i="6"/>
  <c r="AP75" i="6" s="1"/>
  <c r="BX74" i="6"/>
  <c r="U80" i="4" s="1"/>
  <c r="CF74" i="6"/>
  <c r="AB75" i="6" s="1"/>
  <c r="O53" i="4"/>
  <c r="E53" i="5" s="1"/>
  <c r="BW46" i="6"/>
  <c r="O52" i="4"/>
  <c r="Q52" i="5"/>
  <c r="S52" i="5" s="1"/>
  <c r="EU46" i="6"/>
  <c r="ES49" i="6"/>
  <c r="EV49" i="6"/>
  <c r="EW49" i="6" s="1"/>
  <c r="ER49" i="6"/>
  <c r="V55" i="5" s="1"/>
  <c r="U55" i="5"/>
  <c r="FD74" i="6"/>
  <c r="AY73" i="6"/>
  <c r="FB76" i="6"/>
  <c r="FC76" i="6"/>
  <c r="AZ76" i="6" s="1"/>
  <c r="L82" i="4" s="1"/>
  <c r="CJ179" i="6"/>
  <c r="AF180" i="6" s="1"/>
  <c r="CK179" i="6"/>
  <c r="AG180" i="6" s="1"/>
  <c r="EQ50" i="6"/>
  <c r="ET50" i="6"/>
  <c r="EP51" i="6" s="1"/>
  <c r="FC159" i="6"/>
  <c r="FB159" i="6"/>
  <c r="BV47" i="6"/>
  <c r="BW47" i="6" s="1"/>
  <c r="P53" i="5"/>
  <c r="R53" i="5" s="1"/>
  <c r="U39" i="6"/>
  <c r="W39" i="6"/>
  <c r="CA39" i="6" s="1"/>
  <c r="CV167" i="6"/>
  <c r="AR168" i="6" s="1"/>
  <c r="CN167" i="6"/>
  <c r="AJ168" i="6" s="1"/>
  <c r="CY167" i="6"/>
  <c r="AU168" i="6" s="1"/>
  <c r="EI168" i="6" s="1"/>
  <c r="CW167" i="6"/>
  <c r="AS168" i="6" s="1"/>
  <c r="EJ168" i="6" s="1"/>
  <c r="BL168" i="6" s="1"/>
  <c r="CX167" i="6"/>
  <c r="AT168" i="6" s="1"/>
  <c r="EN105" i="6" l="1"/>
  <c r="Q105" i="6" s="1"/>
  <c r="EO105" i="6" s="1"/>
  <c r="EM106" i="6" s="1"/>
  <c r="EN183" i="6"/>
  <c r="Q183" i="6" s="1"/>
  <c r="EO183" i="6" s="1"/>
  <c r="EM184" i="6" s="1"/>
  <c r="O54" i="4"/>
  <c r="E54" i="5" s="1"/>
  <c r="FC77" i="6"/>
  <c r="AZ77" i="6" s="1"/>
  <c r="L83" i="4" s="1"/>
  <c r="FB77" i="6"/>
  <c r="CG76" i="6"/>
  <c r="AC77" i="6" s="1"/>
  <c r="P35" i="4"/>
  <c r="Q35" i="5"/>
  <c r="S35" i="5" s="1"/>
  <c r="EU29" i="6"/>
  <c r="T45" i="4"/>
  <c r="BY39" i="6"/>
  <c r="EG202" i="6"/>
  <c r="ED203" i="6" s="1"/>
  <c r="K79" i="4"/>
  <c r="FD75" i="6"/>
  <c r="AY74" i="6"/>
  <c r="P53" i="4"/>
  <c r="Q53" i="5"/>
  <c r="S53" i="5" s="1"/>
  <c r="EU47" i="6"/>
  <c r="FC160" i="6"/>
  <c r="FB160" i="6"/>
  <c r="CF75" i="6"/>
  <c r="AB76" i="6" s="1"/>
  <c r="BX75" i="6"/>
  <c r="U81" i="4" s="1"/>
  <c r="DR30" i="6"/>
  <c r="BD30" i="6"/>
  <c r="BC30" i="6"/>
  <c r="BO30" i="6" s="1"/>
  <c r="BQ30" i="6" s="1"/>
  <c r="DV30" i="6"/>
  <c r="BS30" i="6" s="1"/>
  <c r="BT30" i="6" s="1"/>
  <c r="EB202" i="6"/>
  <c r="EF203" i="6"/>
  <c r="CU75" i="6"/>
  <c r="AQ76" i="6" s="1"/>
  <c r="CT75" i="6"/>
  <c r="AP76" i="6" s="1"/>
  <c r="CS200" i="6"/>
  <c r="AO201" i="6" s="1"/>
  <c r="EH200" i="6"/>
  <c r="EK200" i="6" s="1"/>
  <c r="CC200" i="6"/>
  <c r="Y201" i="6" s="1"/>
  <c r="CD200" i="6"/>
  <c r="Z201" i="6" s="1"/>
  <c r="BM200" i="6"/>
  <c r="Q52" i="4"/>
  <c r="S52" i="4" s="1"/>
  <c r="E52" i="5"/>
  <c r="I52" i="5" s="1"/>
  <c r="ET51" i="6"/>
  <c r="EP52" i="6" s="1"/>
  <c r="EQ51" i="6"/>
  <c r="CN168" i="6"/>
  <c r="AJ169" i="6" s="1"/>
  <c r="CX168" i="6"/>
  <c r="AT169" i="6" s="1"/>
  <c r="CY168" i="6"/>
  <c r="AU169" i="6" s="1"/>
  <c r="EI169" i="6" s="1"/>
  <c r="CW168" i="6"/>
  <c r="AS169" i="6" s="1"/>
  <c r="EJ169" i="6" s="1"/>
  <c r="BL169" i="6" s="1"/>
  <c r="CV168" i="6"/>
  <c r="AR169" i="6" s="1"/>
  <c r="CK180" i="6"/>
  <c r="AG181" i="6" s="1"/>
  <c r="CJ180" i="6"/>
  <c r="AF181" i="6" s="1"/>
  <c r="J51" i="5"/>
  <c r="K51" i="5" s="1"/>
  <c r="L51" i="5"/>
  <c r="M51" i="5" s="1"/>
  <c r="BW29" i="6"/>
  <c r="ES50" i="6"/>
  <c r="ER50" i="6"/>
  <c r="V56" i="5" s="1"/>
  <c r="EV50" i="6"/>
  <c r="EW50" i="6" s="1"/>
  <c r="U56" i="5"/>
  <c r="W55" i="5"/>
  <c r="DW49" i="6"/>
  <c r="BU49" i="6" s="1"/>
  <c r="DX49" i="6"/>
  <c r="DQ38" i="6"/>
  <c r="DM39" i="6" s="1"/>
  <c r="DN38" i="6"/>
  <c r="DJ39" i="6" s="1"/>
  <c r="DP38" i="6"/>
  <c r="DL39" i="6" s="1"/>
  <c r="DO38" i="6"/>
  <c r="DK39" i="6" s="1"/>
  <c r="BV48" i="6"/>
  <c r="BW48" i="6" s="1"/>
  <c r="P54" i="5"/>
  <c r="R54" i="5" s="1"/>
  <c r="EN184" i="6" l="1"/>
  <c r="Q184" i="6" s="1"/>
  <c r="EO184" i="6" s="1"/>
  <c r="EM185" i="6" s="1"/>
  <c r="EN106" i="6"/>
  <c r="Q106" i="6" s="1"/>
  <c r="EO106" i="6" s="1"/>
  <c r="EM107" i="6" s="1"/>
  <c r="W56" i="5"/>
  <c r="DW50" i="6"/>
  <c r="DX50" i="6"/>
  <c r="BV50" i="6" s="1"/>
  <c r="P56" i="4" s="1"/>
  <c r="F56" i="5" s="1"/>
  <c r="K80" i="4"/>
  <c r="DW30" i="6"/>
  <c r="BU30" i="6" s="1"/>
  <c r="BR30" i="6"/>
  <c r="DX30" i="6" s="1"/>
  <c r="DI39" i="6"/>
  <c r="DN30" i="6"/>
  <c r="DO30" i="6"/>
  <c r="DP30" i="6"/>
  <c r="DQ30" i="6"/>
  <c r="FC78" i="6"/>
  <c r="AZ78" i="6" s="1"/>
  <c r="L84" i="4" s="1"/>
  <c r="FB78" i="6"/>
  <c r="EH201" i="6"/>
  <c r="EK201" i="6" s="1"/>
  <c r="BM201" i="6"/>
  <c r="CS201" i="6"/>
  <c r="AO202" i="6" s="1"/>
  <c r="CD201" i="6"/>
  <c r="Z202" i="6" s="1"/>
  <c r="CC201" i="6"/>
  <c r="Y202" i="6" s="1"/>
  <c r="CF76" i="6"/>
  <c r="AB77" i="6" s="1"/>
  <c r="BX76" i="6"/>
  <c r="U82" i="4" s="1"/>
  <c r="FC161" i="6"/>
  <c r="FB161" i="6"/>
  <c r="P54" i="4"/>
  <c r="Q54" i="5"/>
  <c r="S54" i="5" s="1"/>
  <c r="EU48" i="6"/>
  <c r="J52" i="5"/>
  <c r="K52" i="5" s="1"/>
  <c r="F35" i="5"/>
  <c r="I35" i="5" s="1"/>
  <c r="Q35" i="4"/>
  <c r="S35" i="4" s="1"/>
  <c r="FD76" i="6"/>
  <c r="AY75" i="6"/>
  <c r="BW49" i="6"/>
  <c r="O55" i="4"/>
  <c r="E55" i="5" s="1"/>
  <c r="EG203" i="6"/>
  <c r="ED204" i="6" s="1"/>
  <c r="EQ52" i="6"/>
  <c r="CG77" i="6"/>
  <c r="AC78" i="6" s="1"/>
  <c r="CK181" i="6"/>
  <c r="AG182" i="6" s="1"/>
  <c r="CJ181" i="6"/>
  <c r="AF182" i="6" s="1"/>
  <c r="BV49" i="6"/>
  <c r="P55" i="5"/>
  <c r="R55" i="5" s="1"/>
  <c r="W40" i="6"/>
  <c r="CA40" i="6" s="1"/>
  <c r="U40" i="6"/>
  <c r="CX169" i="6"/>
  <c r="AT170" i="6" s="1"/>
  <c r="CW169" i="6"/>
  <c r="AS170" i="6" s="1"/>
  <c r="EJ170" i="6" s="1"/>
  <c r="BL170" i="6" s="1"/>
  <c r="CV169" i="6"/>
  <c r="AR170" i="6" s="1"/>
  <c r="CN169" i="6"/>
  <c r="AJ170" i="6" s="1"/>
  <c r="CY169" i="6"/>
  <c r="AU170" i="6" s="1"/>
  <c r="EI170" i="6" s="1"/>
  <c r="CU76" i="6"/>
  <c r="AQ77" i="6" s="1"/>
  <c r="CT76" i="6"/>
  <c r="AP77" i="6" s="1"/>
  <c r="EV51" i="6"/>
  <c r="EW51" i="6" s="1"/>
  <c r="ER51" i="6"/>
  <c r="V57" i="5" s="1"/>
  <c r="ES51" i="6"/>
  <c r="U57" i="5"/>
  <c r="EB203" i="6"/>
  <c r="EF204" i="6"/>
  <c r="F53" i="5"/>
  <c r="I53" i="5" s="1"/>
  <c r="Q53" i="4"/>
  <c r="S53" i="4" s="1"/>
  <c r="L52" i="5" l="1"/>
  <c r="M52" i="5" s="1"/>
  <c r="EN107" i="6"/>
  <c r="Q107" i="6" s="1"/>
  <c r="EO107" i="6" s="1"/>
  <c r="EM108" i="6" s="1"/>
  <c r="EN185" i="6"/>
  <c r="Q185" i="6" s="1"/>
  <c r="EO185" i="6" s="1"/>
  <c r="EM186" i="6" s="1"/>
  <c r="BV30" i="6"/>
  <c r="P36" i="5"/>
  <c r="R36" i="5" s="1"/>
  <c r="O36" i="4"/>
  <c r="E36" i="5" s="1"/>
  <c r="BW30" i="6"/>
  <c r="K81" i="4"/>
  <c r="FC162" i="6"/>
  <c r="FB162" i="6"/>
  <c r="F54" i="5"/>
  <c r="I54" i="5" s="1"/>
  <c r="Q54" i="4"/>
  <c r="S54" i="4" s="1"/>
  <c r="FB79" i="6"/>
  <c r="FC79" i="6"/>
  <c r="AZ79" i="6" s="1"/>
  <c r="L85" i="4" s="1"/>
  <c r="BU50" i="6"/>
  <c r="P56" i="5"/>
  <c r="R56" i="5" s="1"/>
  <c r="CF77" i="6"/>
  <c r="AB78" i="6" s="1"/>
  <c r="BX77" i="6"/>
  <c r="U83" i="4" s="1"/>
  <c r="EG204" i="6"/>
  <c r="ED205" i="6" s="1"/>
  <c r="W57" i="5"/>
  <c r="DW51" i="6"/>
  <c r="BU51" i="6" s="1"/>
  <c r="DX51" i="6"/>
  <c r="Q55" i="5"/>
  <c r="S55" i="5" s="1"/>
  <c r="P55" i="4"/>
  <c r="EU49" i="6"/>
  <c r="CJ182" i="6"/>
  <c r="AF183" i="6" s="1"/>
  <c r="CK182" i="6"/>
  <c r="AG183" i="6" s="1"/>
  <c r="CU77" i="6"/>
  <c r="AQ78" i="6" s="1"/>
  <c r="CT77" i="6"/>
  <c r="AP78" i="6" s="1"/>
  <c r="EH202" i="6"/>
  <c r="EK202" i="6" s="1"/>
  <c r="CD202" i="6"/>
  <c r="Z203" i="6" s="1"/>
  <c r="BM202" i="6"/>
  <c r="CS202" i="6"/>
  <c r="AO203" i="6" s="1"/>
  <c r="CC202" i="6"/>
  <c r="Y203" i="6" s="1"/>
  <c r="EB204" i="6"/>
  <c r="EF205" i="6"/>
  <c r="T46" i="4"/>
  <c r="BY40" i="6"/>
  <c r="FD77" i="6"/>
  <c r="AY76" i="6"/>
  <c r="CG78" i="6"/>
  <c r="AC79" i="6" s="1"/>
  <c r="J35" i="5"/>
  <c r="K35" i="5" s="1"/>
  <c r="J53" i="5"/>
  <c r="K53" i="5" s="1"/>
  <c r="L53" i="5"/>
  <c r="M53" i="5" s="1"/>
  <c r="CN170" i="6"/>
  <c r="AJ171" i="6" s="1"/>
  <c r="CW170" i="6"/>
  <c r="AS171" i="6" s="1"/>
  <c r="EJ171" i="6" s="1"/>
  <c r="BL171" i="6" s="1"/>
  <c r="CY170" i="6"/>
  <c r="AU171" i="6" s="1"/>
  <c r="EI171" i="6" s="1"/>
  <c r="CX170" i="6"/>
  <c r="AT171" i="6" s="1"/>
  <c r="CV170" i="6"/>
  <c r="AR171" i="6" s="1"/>
  <c r="EV52" i="6"/>
  <c r="EW52" i="6" s="1"/>
  <c r="ES52" i="6"/>
  <c r="ER52" i="6"/>
  <c r="V58" i="5" s="1"/>
  <c r="U58" i="5"/>
  <c r="BD39" i="6"/>
  <c r="BC39" i="6"/>
  <c r="DR39" i="6"/>
  <c r="DV39" i="6"/>
  <c r="EN186" i="6" l="1"/>
  <c r="Q186" i="6" s="1"/>
  <c r="EO186" i="6" s="1"/>
  <c r="EM187" i="6" s="1"/>
  <c r="EN108" i="6"/>
  <c r="Q108" i="6" s="1"/>
  <c r="EO108" i="6" s="1"/>
  <c r="EM109" i="6" s="1"/>
  <c r="W58" i="5"/>
  <c r="DX52" i="6"/>
  <c r="BV52" i="6" s="1"/>
  <c r="P58" i="4" s="1"/>
  <c r="F58" i="5" s="1"/>
  <c r="DW52" i="6"/>
  <c r="BU52" i="6" s="1"/>
  <c r="EG205" i="6"/>
  <c r="ED206" i="6" s="1"/>
  <c r="DP39" i="6"/>
  <c r="DL40" i="6" s="1"/>
  <c r="DO39" i="6"/>
  <c r="DK40" i="6" s="1"/>
  <c r="DN39" i="6"/>
  <c r="DJ40" i="6" s="1"/>
  <c r="DQ39" i="6"/>
  <c r="DM40" i="6" s="1"/>
  <c r="BV51" i="6"/>
  <c r="BW51" i="6" s="1"/>
  <c r="P57" i="5"/>
  <c r="R57" i="5" s="1"/>
  <c r="FC163" i="6"/>
  <c r="FB163" i="6"/>
  <c r="CG79" i="6"/>
  <c r="AC80" i="6" s="1"/>
  <c r="K82" i="4"/>
  <c r="CF78" i="6"/>
  <c r="AB79" i="6" s="1"/>
  <c r="BX78" i="6"/>
  <c r="U84" i="4" s="1"/>
  <c r="CT78" i="6"/>
  <c r="AP79" i="6" s="1"/>
  <c r="CU78" i="6"/>
  <c r="AQ79" i="6" s="1"/>
  <c r="O57" i="4"/>
  <c r="E57" i="5" s="1"/>
  <c r="CX171" i="6"/>
  <c r="AT172" i="6" s="1"/>
  <c r="CN171" i="6"/>
  <c r="AJ172" i="6" s="1"/>
  <c r="CY171" i="6"/>
  <c r="AU172" i="6" s="1"/>
  <c r="EI172" i="6" s="1"/>
  <c r="CV171" i="6"/>
  <c r="AR172" i="6" s="1"/>
  <c r="CW171" i="6"/>
  <c r="AS172" i="6" s="1"/>
  <c r="EJ172" i="6" s="1"/>
  <c r="BL172" i="6" s="1"/>
  <c r="U41" i="6"/>
  <c r="W41" i="6"/>
  <c r="CA41" i="6" s="1"/>
  <c r="CK183" i="6"/>
  <c r="AG184" i="6" s="1"/>
  <c r="CJ183" i="6"/>
  <c r="AF184" i="6" s="1"/>
  <c r="BW50" i="6"/>
  <c r="O56" i="4"/>
  <c r="EU50" i="6"/>
  <c r="Q56" i="5"/>
  <c r="S56" i="5" s="1"/>
  <c r="Q36" i="5"/>
  <c r="S36" i="5" s="1"/>
  <c r="P36" i="4"/>
  <c r="EU30" i="6"/>
  <c r="EB205" i="6"/>
  <c r="EF206" i="6"/>
  <c r="FB80" i="6"/>
  <c r="FC80" i="6"/>
  <c r="AZ80" i="6" s="1"/>
  <c r="L86" i="4" s="1"/>
  <c r="F55" i="5"/>
  <c r="I55" i="5" s="1"/>
  <c r="Q55" i="4"/>
  <c r="S55" i="4" s="1"/>
  <c r="FD78" i="6"/>
  <c r="AY77" i="6"/>
  <c r="L35" i="5"/>
  <c r="M35" i="5" s="1"/>
  <c r="EH203" i="6"/>
  <c r="EK203" i="6" s="1"/>
  <c r="BM203" i="6"/>
  <c r="CC203" i="6"/>
  <c r="Y204" i="6" s="1"/>
  <c r="CS203" i="6"/>
  <c r="AO204" i="6" s="1"/>
  <c r="CD203" i="6"/>
  <c r="Z204" i="6" s="1"/>
  <c r="J54" i="5"/>
  <c r="K54" i="5" s="1"/>
  <c r="L54" i="5" l="1"/>
  <c r="M54" i="5" s="1"/>
  <c r="EN109" i="6"/>
  <c r="Q109" i="6" s="1"/>
  <c r="EO109" i="6" s="1"/>
  <c r="EM110" i="6" s="1"/>
  <c r="EN187" i="6"/>
  <c r="Q187" i="6" s="1"/>
  <c r="EO187" i="6" s="1"/>
  <c r="EM188" i="6" s="1"/>
  <c r="DI40" i="6"/>
  <c r="AY79" i="6"/>
  <c r="CT79" i="6"/>
  <c r="AP80" i="6" s="1"/>
  <c r="CU79" i="6"/>
  <c r="AQ80" i="6" s="1"/>
  <c r="EB206" i="6"/>
  <c r="EF207" i="6"/>
  <c r="T47" i="4"/>
  <c r="BY41" i="6"/>
  <c r="EG206" i="6"/>
  <c r="ED207" i="6" s="1"/>
  <c r="BW52" i="6"/>
  <c r="EU52" i="6" s="1"/>
  <c r="ET52" i="6" s="1"/>
  <c r="EP53" i="6" s="1"/>
  <c r="O58" i="4"/>
  <c r="E58" i="5" s="1"/>
  <c r="FB81" i="6"/>
  <c r="FC81" i="6"/>
  <c r="AZ81" i="6" s="1"/>
  <c r="L87" i="4" s="1"/>
  <c r="CJ184" i="6"/>
  <c r="AF185" i="6" s="1"/>
  <c r="CK184" i="6"/>
  <c r="AG185" i="6" s="1"/>
  <c r="Q36" i="4"/>
  <c r="S36" i="4" s="1"/>
  <c r="F36" i="5"/>
  <c r="I36" i="5" s="1"/>
  <c r="CG80" i="6"/>
  <c r="AC81" i="6" s="1"/>
  <c r="K83" i="4"/>
  <c r="CN172" i="6"/>
  <c r="AJ173" i="6" s="1"/>
  <c r="CW172" i="6"/>
  <c r="AS173" i="6" s="1"/>
  <c r="EJ173" i="6" s="1"/>
  <c r="BL173" i="6" s="1"/>
  <c r="CY172" i="6"/>
  <c r="AU173" i="6" s="1"/>
  <c r="EI173" i="6" s="1"/>
  <c r="CX172" i="6"/>
  <c r="AT173" i="6" s="1"/>
  <c r="CV172" i="6"/>
  <c r="AR173" i="6" s="1"/>
  <c r="FC164" i="6"/>
  <c r="FB164" i="6"/>
  <c r="BX79" i="6"/>
  <c r="U85" i="4" s="1"/>
  <c r="CF79" i="6"/>
  <c r="AB80" i="6" s="1"/>
  <c r="FD79" i="6"/>
  <c r="AY78" i="6"/>
  <c r="J55" i="5"/>
  <c r="K55" i="5" s="1"/>
  <c r="EH204" i="6"/>
  <c r="EK204" i="6" s="1"/>
  <c r="CS204" i="6"/>
  <c r="AO205" i="6" s="1"/>
  <c r="CD204" i="6"/>
  <c r="Z205" i="6" s="1"/>
  <c r="CC204" i="6"/>
  <c r="Y205" i="6" s="1"/>
  <c r="BM204" i="6"/>
  <c r="E56" i="5"/>
  <c r="I56" i="5" s="1"/>
  <c r="Q56" i="4"/>
  <c r="S56" i="4" s="1"/>
  <c r="P57" i="4"/>
  <c r="Q57" i="5"/>
  <c r="S57" i="5" s="1"/>
  <c r="EU51" i="6"/>
  <c r="L55" i="5" l="1"/>
  <c r="M55" i="5" s="1"/>
  <c r="EN188" i="6"/>
  <c r="Q188" i="6" s="1"/>
  <c r="EO188" i="6" s="1"/>
  <c r="EM189" i="6" s="1"/>
  <c r="EN110" i="6"/>
  <c r="Q110" i="6" s="1"/>
  <c r="EO110" i="6" s="1"/>
  <c r="EM111" i="6" s="1"/>
  <c r="CG81" i="6"/>
  <c r="AC82" i="6" s="1"/>
  <c r="FC165" i="6"/>
  <c r="FB165" i="6"/>
  <c r="CK185" i="6"/>
  <c r="AG186" i="6" s="1"/>
  <c r="CJ185" i="6"/>
  <c r="AF186" i="6" s="1"/>
  <c r="CT80" i="6"/>
  <c r="AP81" i="6" s="1"/>
  <c r="CU80" i="6"/>
  <c r="AQ81" i="6" s="1"/>
  <c r="K85" i="4"/>
  <c r="FC82" i="6"/>
  <c r="AZ82" i="6" s="1"/>
  <c r="L88" i="4" s="1"/>
  <c r="FB82" i="6"/>
  <c r="F57" i="5"/>
  <c r="I57" i="5" s="1"/>
  <c r="Q57" i="4"/>
  <c r="S57" i="4" s="1"/>
  <c r="CX173" i="6"/>
  <c r="AT174" i="6" s="1"/>
  <c r="CV173" i="6"/>
  <c r="AR174" i="6" s="1"/>
  <c r="CW173" i="6"/>
  <c r="AS174" i="6" s="1"/>
  <c r="EJ174" i="6" s="1"/>
  <c r="BL174" i="6" s="1"/>
  <c r="CY173" i="6"/>
  <c r="AU174" i="6" s="1"/>
  <c r="EI174" i="6" s="1"/>
  <c r="CN173" i="6"/>
  <c r="AJ174" i="6" s="1"/>
  <c r="ET53" i="6"/>
  <c r="EP54" i="6" s="1"/>
  <c r="EQ53" i="6"/>
  <c r="J36" i="5"/>
  <c r="K36" i="5" s="1"/>
  <c r="FD80" i="6"/>
  <c r="BD40" i="6"/>
  <c r="DR40" i="6"/>
  <c r="BC40" i="6"/>
  <c r="DV40" i="6"/>
  <c r="J56" i="5"/>
  <c r="K56" i="5" s="1"/>
  <c r="K84" i="4"/>
  <c r="EG207" i="6"/>
  <c r="ED208" i="6" s="1"/>
  <c r="EH205" i="6"/>
  <c r="EK205" i="6" s="1"/>
  <c r="BM205" i="6"/>
  <c r="CC205" i="6"/>
  <c r="Y206" i="6" s="1"/>
  <c r="CS205" i="6"/>
  <c r="AO206" i="6" s="1"/>
  <c r="CD205" i="6"/>
  <c r="Z206" i="6" s="1"/>
  <c r="BX80" i="6"/>
  <c r="U86" i="4" s="1"/>
  <c r="CF80" i="6"/>
  <c r="AB81" i="6" s="1"/>
  <c r="W42" i="6"/>
  <c r="CA42" i="6" s="1"/>
  <c r="U42" i="6"/>
  <c r="EB207" i="6"/>
  <c r="EF208" i="6"/>
  <c r="L36" i="5" l="1"/>
  <c r="M36" i="5" s="1"/>
  <c r="EN111" i="6"/>
  <c r="Q111" i="6" s="1"/>
  <c r="EO111" i="6" s="1"/>
  <c r="EM112" i="6" s="1"/>
  <c r="EN189" i="6"/>
  <c r="Q189" i="6" s="1"/>
  <c r="EO189" i="6" s="1"/>
  <c r="EM190" i="6" s="1"/>
  <c r="EQ54" i="6"/>
  <c r="ET54" i="6"/>
  <c r="EP55" i="6" s="1"/>
  <c r="CU81" i="6"/>
  <c r="AQ82" i="6" s="1"/>
  <c r="CT81" i="6"/>
  <c r="AP82" i="6" s="1"/>
  <c r="DQ40" i="6"/>
  <c r="DM41" i="6" s="1"/>
  <c r="DP40" i="6"/>
  <c r="DL41" i="6" s="1"/>
  <c r="DN40" i="6"/>
  <c r="DJ41" i="6" s="1"/>
  <c r="DO40" i="6"/>
  <c r="DK41" i="6" s="1"/>
  <c r="CK186" i="6"/>
  <c r="AG187" i="6" s="1"/>
  <c r="CJ186" i="6"/>
  <c r="AF187" i="6" s="1"/>
  <c r="FB166" i="6"/>
  <c r="FC166" i="6"/>
  <c r="EH206" i="6"/>
  <c r="EK206" i="6" s="1"/>
  <c r="CD206" i="6"/>
  <c r="Z207" i="6" s="1"/>
  <c r="CS206" i="6"/>
  <c r="AO207" i="6" s="1"/>
  <c r="CC206" i="6"/>
  <c r="Y207" i="6" s="1"/>
  <c r="BM206" i="6"/>
  <c r="CF81" i="6"/>
  <c r="AB82" i="6" s="1"/>
  <c r="BX81" i="6"/>
  <c r="U87" i="4" s="1"/>
  <c r="J57" i="5"/>
  <c r="K57" i="5" s="1"/>
  <c r="CG82" i="6"/>
  <c r="AC83" i="6" s="1"/>
  <c r="EB208" i="6"/>
  <c r="EF209" i="6"/>
  <c r="EG208" i="6"/>
  <c r="ED209" i="6" s="1"/>
  <c r="AY80" i="6"/>
  <c r="FD81" i="6"/>
  <c r="FB83" i="6"/>
  <c r="FC83" i="6"/>
  <c r="AZ83" i="6" s="1"/>
  <c r="L89" i="4" s="1"/>
  <c r="CX174" i="6"/>
  <c r="AT175" i="6" s="1"/>
  <c r="CW174" i="6"/>
  <c r="AS175" i="6" s="1"/>
  <c r="EJ175" i="6" s="1"/>
  <c r="BL175" i="6" s="1"/>
  <c r="CV174" i="6"/>
  <c r="AR175" i="6" s="1"/>
  <c r="CY174" i="6"/>
  <c r="AU175" i="6" s="1"/>
  <c r="EI175" i="6" s="1"/>
  <c r="CN174" i="6"/>
  <c r="AJ175" i="6" s="1"/>
  <c r="T48" i="4"/>
  <c r="BY42" i="6"/>
  <c r="L56" i="5"/>
  <c r="M56" i="5" s="1"/>
  <c r="ES53" i="6"/>
  <c r="W59" i="5" s="1"/>
  <c r="ER53" i="6"/>
  <c r="V59" i="5" s="1"/>
  <c r="EV53" i="6"/>
  <c r="EW53" i="6" s="1"/>
  <c r="U59" i="5"/>
  <c r="EN190" i="6" l="1"/>
  <c r="Q190" i="6" s="1"/>
  <c r="EO190" i="6" s="1"/>
  <c r="EM191" i="6" s="1"/>
  <c r="EN112" i="6"/>
  <c r="Q112" i="6" s="1"/>
  <c r="EO112" i="6" s="1"/>
  <c r="DI41" i="6"/>
  <c r="FD82" i="6"/>
  <c r="AY81" i="6"/>
  <c r="W43" i="6"/>
  <c r="CA43" i="6" s="1"/>
  <c r="U43" i="6"/>
  <c r="ET55" i="6"/>
  <c r="EP56" i="6" s="1"/>
  <c r="EQ55" i="6"/>
  <c r="K86" i="4"/>
  <c r="EG209" i="6"/>
  <c r="ED210" i="6" s="1"/>
  <c r="ES54" i="6"/>
  <c r="W60" i="5" s="1"/>
  <c r="ER54" i="6"/>
  <c r="V60" i="5" s="1"/>
  <c r="EV54" i="6"/>
  <c r="EW54" i="6" s="1"/>
  <c r="U60" i="5"/>
  <c r="CX175" i="6"/>
  <c r="AT176" i="6" s="1"/>
  <c r="CN175" i="6"/>
  <c r="AJ176" i="6" s="1"/>
  <c r="CY175" i="6"/>
  <c r="AU176" i="6" s="1"/>
  <c r="EI176" i="6" s="1"/>
  <c r="CW175" i="6"/>
  <c r="AS176" i="6" s="1"/>
  <c r="EJ176" i="6" s="1"/>
  <c r="BL176" i="6" s="1"/>
  <c r="CV175" i="6"/>
  <c r="AR176" i="6" s="1"/>
  <c r="EB209" i="6"/>
  <c r="EF210" i="6"/>
  <c r="CG83" i="6"/>
  <c r="AC84" i="6" s="1"/>
  <c r="FC167" i="6"/>
  <c r="FB167" i="6"/>
  <c r="CU82" i="6"/>
  <c r="AQ83" i="6" s="1"/>
  <c r="CT82" i="6"/>
  <c r="AP83" i="6" s="1"/>
  <c r="CF82" i="6"/>
  <c r="AB83" i="6" s="1"/>
  <c r="BX82" i="6"/>
  <c r="U88" i="4" s="1"/>
  <c r="EH207" i="6"/>
  <c r="EK207" i="6" s="1"/>
  <c r="CS207" i="6"/>
  <c r="AO208" i="6" s="1"/>
  <c r="CC207" i="6"/>
  <c r="Y208" i="6" s="1"/>
  <c r="CD207" i="6"/>
  <c r="Z208" i="6" s="1"/>
  <c r="BM207" i="6"/>
  <c r="FC84" i="6"/>
  <c r="AZ84" i="6" s="1"/>
  <c r="L90" i="4" s="1"/>
  <c r="FB84" i="6"/>
  <c r="L57" i="5"/>
  <c r="M57" i="5" s="1"/>
  <c r="CK187" i="6"/>
  <c r="AG188" i="6" s="1"/>
  <c r="CJ187" i="6"/>
  <c r="AF188" i="6" s="1"/>
  <c r="EN191" i="6" l="1"/>
  <c r="Q191" i="6" s="1"/>
  <c r="EO191" i="6" s="1"/>
  <c r="EM192" i="6" s="1"/>
  <c r="FC168" i="6"/>
  <c r="FB168" i="6"/>
  <c r="FD83" i="6"/>
  <c r="AY82" i="6"/>
  <c r="CK188" i="6"/>
  <c r="AG189" i="6" s="1"/>
  <c r="CJ188" i="6"/>
  <c r="AF189" i="6" s="1"/>
  <c r="FB85" i="6"/>
  <c r="FC86" i="6" s="1"/>
  <c r="AZ86" i="6" s="1"/>
  <c r="L92" i="4" s="1"/>
  <c r="FC85" i="6"/>
  <c r="AZ85" i="6" s="1"/>
  <c r="L91" i="4" s="1"/>
  <c r="EB210" i="6"/>
  <c r="EF211" i="6"/>
  <c r="CY176" i="6"/>
  <c r="AU177" i="6" s="1"/>
  <c r="EI177" i="6" s="1"/>
  <c r="CX176" i="6"/>
  <c r="AT177" i="6" s="1"/>
  <c r="CW176" i="6"/>
  <c r="AS177" i="6" s="1"/>
  <c r="EJ177" i="6" s="1"/>
  <c r="BL177" i="6" s="1"/>
  <c r="CN176" i="6"/>
  <c r="AJ177" i="6" s="1"/>
  <c r="CV176" i="6"/>
  <c r="AR177" i="6" s="1"/>
  <c r="EH208" i="6"/>
  <c r="EK208" i="6" s="1"/>
  <c r="BM208" i="6"/>
  <c r="CC208" i="6"/>
  <c r="Y209" i="6" s="1"/>
  <c r="CS208" i="6"/>
  <c r="AO209" i="6" s="1"/>
  <c r="CD208" i="6"/>
  <c r="Z209" i="6" s="1"/>
  <c r="EG210" i="6"/>
  <c r="ED211" i="6" s="1"/>
  <c r="BC41" i="6"/>
  <c r="DR41" i="6"/>
  <c r="BD41" i="6"/>
  <c r="DV41" i="6"/>
  <c r="EV55" i="6"/>
  <c r="EW55" i="6" s="1"/>
  <c r="ER55" i="6"/>
  <c r="V61" i="5" s="1"/>
  <c r="ES55" i="6"/>
  <c r="W61" i="5" s="1"/>
  <c r="U61" i="5"/>
  <c r="ET56" i="6"/>
  <c r="EP57" i="6" s="1"/>
  <c r="EQ56" i="6"/>
  <c r="CG84" i="6"/>
  <c r="AC85" i="6" s="1"/>
  <c r="BX83" i="6"/>
  <c r="U89" i="4" s="1"/>
  <c r="CF83" i="6"/>
  <c r="AB84" i="6" s="1"/>
  <c r="T49" i="4"/>
  <c r="BY43" i="6"/>
  <c r="CU83" i="6"/>
  <c r="AQ84" i="6" s="1"/>
  <c r="CT83" i="6"/>
  <c r="AP84" i="6" s="1"/>
  <c r="K87" i="4"/>
  <c r="EN192" i="6" l="1"/>
  <c r="Q192" i="6" s="1"/>
  <c r="EO192" i="6" s="1"/>
  <c r="EM193" i="6" s="1"/>
  <c r="ET57" i="6"/>
  <c r="EP58" i="6" s="1"/>
  <c r="EQ57" i="6"/>
  <c r="CK189" i="6"/>
  <c r="AG190" i="6" s="1"/>
  <c r="CJ189" i="6"/>
  <c r="AF190" i="6" s="1"/>
  <c r="K88" i="4"/>
  <c r="FD84" i="6"/>
  <c r="AY83" i="6"/>
  <c r="U44" i="6"/>
  <c r="W44" i="6"/>
  <c r="CA44" i="6" s="1"/>
  <c r="CY177" i="6"/>
  <c r="AU178" i="6" s="1"/>
  <c r="EI178" i="6" s="1"/>
  <c r="CW177" i="6"/>
  <c r="AS178" i="6" s="1"/>
  <c r="EJ178" i="6" s="1"/>
  <c r="BL178" i="6" s="1"/>
  <c r="CV177" i="6"/>
  <c r="AR178" i="6" s="1"/>
  <c r="CX177" i="6"/>
  <c r="AT178" i="6" s="1"/>
  <c r="CN177" i="6"/>
  <c r="AJ178" i="6" s="1"/>
  <c r="EH209" i="6"/>
  <c r="EK209" i="6" s="1"/>
  <c r="CS209" i="6"/>
  <c r="AO210" i="6" s="1"/>
  <c r="BM209" i="6"/>
  <c r="CC209" i="6"/>
  <c r="Y210" i="6" s="1"/>
  <c r="CD209" i="6"/>
  <c r="Z210" i="6" s="1"/>
  <c r="CT84" i="6"/>
  <c r="AP85" i="6" s="1"/>
  <c r="CU84" i="6"/>
  <c r="AQ85" i="6" s="1"/>
  <c r="BX84" i="6"/>
  <c r="U90" i="4" s="1"/>
  <c r="CF84" i="6"/>
  <c r="AB85" i="6" s="1"/>
  <c r="DN41" i="6"/>
  <c r="DJ42" i="6" s="1"/>
  <c r="DQ41" i="6"/>
  <c r="DM42" i="6" s="1"/>
  <c r="DP41" i="6"/>
  <c r="DL42" i="6" s="1"/>
  <c r="DO41" i="6"/>
  <c r="DK42" i="6" s="1"/>
  <c r="FC169" i="6"/>
  <c r="FB169" i="6"/>
  <c r="EB211" i="6"/>
  <c r="EF212" i="6"/>
  <c r="EG211" i="6"/>
  <c r="ED212" i="6" s="1"/>
  <c r="CG85" i="6"/>
  <c r="AC86" i="6" s="1"/>
  <c r="EV56" i="6"/>
  <c r="EW56" i="6" s="1"/>
  <c r="ES56" i="6"/>
  <c r="W62" i="5" s="1"/>
  <c r="ER56" i="6"/>
  <c r="V62" i="5" s="1"/>
  <c r="U62" i="5"/>
  <c r="EN193" i="6" l="1"/>
  <c r="Q193" i="6" s="1"/>
  <c r="EO193" i="6" s="1"/>
  <c r="EM194" i="6" s="1"/>
  <c r="DI42" i="6"/>
  <c r="FD85" i="6"/>
  <c r="AY84" i="6"/>
  <c r="CN178" i="6"/>
  <c r="AJ179" i="6" s="1"/>
  <c r="CY178" i="6"/>
  <c r="AU179" i="6" s="1"/>
  <c r="EI179" i="6" s="1"/>
  <c r="CX178" i="6"/>
  <c r="AT179" i="6" s="1"/>
  <c r="CV178" i="6"/>
  <c r="AR179" i="6" s="1"/>
  <c r="CW178" i="6"/>
  <c r="AS179" i="6" s="1"/>
  <c r="EJ179" i="6" s="1"/>
  <c r="BL179" i="6" s="1"/>
  <c r="BX85" i="6"/>
  <c r="U91" i="4" s="1"/>
  <c r="CF85" i="6"/>
  <c r="AB86" i="6" s="1"/>
  <c r="CG86" i="6"/>
  <c r="AC87" i="6" s="1"/>
  <c r="CT85" i="6"/>
  <c r="AP86" i="6" s="1"/>
  <c r="CU85" i="6"/>
  <c r="AQ86" i="6" s="1"/>
  <c r="CK190" i="6"/>
  <c r="AG191" i="6" s="1"/>
  <c r="CJ190" i="6"/>
  <c r="AF191" i="6" s="1"/>
  <c r="ES57" i="6"/>
  <c r="W63" i="5" s="1"/>
  <c r="ER57" i="6"/>
  <c r="V63" i="5" s="1"/>
  <c r="EV57" i="6"/>
  <c r="EW57" i="6" s="1"/>
  <c r="U63" i="5"/>
  <c r="EG212" i="6"/>
  <c r="ED213" i="6" s="1"/>
  <c r="T50" i="4"/>
  <c r="BY44" i="6"/>
  <c r="EQ58" i="6"/>
  <c r="K89" i="4"/>
  <c r="EB212" i="6"/>
  <c r="EF213" i="6"/>
  <c r="EH210" i="6"/>
  <c r="EK210" i="6" s="1"/>
  <c r="CC210" i="6"/>
  <c r="Y211" i="6" s="1"/>
  <c r="CD210" i="6"/>
  <c r="Z211" i="6" s="1"/>
  <c r="CS210" i="6"/>
  <c r="AO211" i="6" s="1"/>
  <c r="BM210" i="6"/>
  <c r="FB170" i="6"/>
  <c r="FC170" i="6"/>
  <c r="EN194" i="6" l="1"/>
  <c r="Q194" i="6" s="1"/>
  <c r="EO194" i="6" s="1"/>
  <c r="EM195" i="6" s="1"/>
  <c r="CK191" i="6"/>
  <c r="AG192" i="6" s="1"/>
  <c r="CJ191" i="6"/>
  <c r="AF192" i="6" s="1"/>
  <c r="CX179" i="6"/>
  <c r="AT180" i="6" s="1"/>
  <c r="CV179" i="6"/>
  <c r="AR180" i="6" s="1"/>
  <c r="CY179" i="6"/>
  <c r="AU180" i="6" s="1"/>
  <c r="EI180" i="6" s="1"/>
  <c r="CN179" i="6"/>
  <c r="AJ180" i="6" s="1"/>
  <c r="CW179" i="6"/>
  <c r="AS180" i="6" s="1"/>
  <c r="EJ180" i="6" s="1"/>
  <c r="BL180" i="6" s="1"/>
  <c r="FC171" i="6"/>
  <c r="FB171" i="6"/>
  <c r="CT86" i="6"/>
  <c r="AP87" i="6" s="1"/>
  <c r="CU86" i="6"/>
  <c r="AQ87" i="6" s="1"/>
  <c r="EV58" i="6"/>
  <c r="EW58" i="6" s="1"/>
  <c r="ES58" i="6"/>
  <c r="ER58" i="6"/>
  <c r="V64" i="5" s="1"/>
  <c r="U64" i="5"/>
  <c r="FD86" i="6"/>
  <c r="AY85" i="6"/>
  <c r="CG87" i="6"/>
  <c r="AC88" i="6" s="1"/>
  <c r="BX86" i="6"/>
  <c r="U92" i="4" s="1"/>
  <c r="CF86" i="6"/>
  <c r="AB87" i="6" s="1"/>
  <c r="K90" i="4"/>
  <c r="U45" i="6"/>
  <c r="W45" i="6"/>
  <c r="CA45" i="6" s="1"/>
  <c r="BD42" i="6"/>
  <c r="BC42" i="6"/>
  <c r="DR42" i="6"/>
  <c r="DV42" i="6"/>
  <c r="EB213" i="6"/>
  <c r="EF214" i="6"/>
  <c r="EH211" i="6"/>
  <c r="EK211" i="6" s="1"/>
  <c r="BM211" i="6"/>
  <c r="CC211" i="6"/>
  <c r="Y212" i="6" s="1"/>
  <c r="CD211" i="6"/>
  <c r="Z212" i="6" s="1"/>
  <c r="CS211" i="6"/>
  <c r="AO212" i="6" s="1"/>
  <c r="EG213" i="6"/>
  <c r="ED214" i="6" s="1"/>
  <c r="EN195" i="6" l="1"/>
  <c r="Q195" i="6" s="1"/>
  <c r="EO195" i="6" s="1"/>
  <c r="EM196" i="6" s="1"/>
  <c r="EB214" i="6"/>
  <c r="EF215" i="6"/>
  <c r="K91" i="4"/>
  <c r="DO42" i="6"/>
  <c r="DK43" i="6" s="1"/>
  <c r="DP42" i="6"/>
  <c r="DL43" i="6" s="1"/>
  <c r="DN42" i="6"/>
  <c r="DJ43" i="6" s="1"/>
  <c r="DQ42" i="6"/>
  <c r="DM43" i="6" s="1"/>
  <c r="FD87" i="6"/>
  <c r="CV180" i="6"/>
  <c r="AR181" i="6" s="1"/>
  <c r="CW180" i="6"/>
  <c r="AS181" i="6" s="1"/>
  <c r="EJ181" i="6" s="1"/>
  <c r="BL181" i="6" s="1"/>
  <c r="CN180" i="6"/>
  <c r="AJ181" i="6" s="1"/>
  <c r="CY180" i="6"/>
  <c r="AU181" i="6" s="1"/>
  <c r="EI181" i="6" s="1"/>
  <c r="CX180" i="6"/>
  <c r="AT181" i="6" s="1"/>
  <c r="FC172" i="6"/>
  <c r="FB172" i="6"/>
  <c r="EH212" i="6"/>
  <c r="EK212" i="6" s="1"/>
  <c r="BM212" i="6"/>
  <c r="CS212" i="6"/>
  <c r="AO213" i="6" s="1"/>
  <c r="CC212" i="6"/>
  <c r="Y213" i="6" s="1"/>
  <c r="CD212" i="6"/>
  <c r="Z213" i="6" s="1"/>
  <c r="T51" i="4"/>
  <c r="BY45" i="6"/>
  <c r="W64" i="5"/>
  <c r="DW58" i="6"/>
  <c r="BU58" i="6" s="1"/>
  <c r="DX58" i="6"/>
  <c r="BV58" i="6" s="1"/>
  <c r="P64" i="4" s="1"/>
  <c r="F64" i="5" s="1"/>
  <c r="CK192" i="6"/>
  <c r="AG193" i="6" s="1"/>
  <c r="CJ192" i="6"/>
  <c r="AF193" i="6" s="1"/>
  <c r="CG88" i="6"/>
  <c r="AC89" i="6" s="1"/>
  <c r="CF87" i="6"/>
  <c r="AB88" i="6" s="1"/>
  <c r="BX87" i="6"/>
  <c r="U93" i="4" s="1"/>
  <c r="EG214" i="6"/>
  <c r="ED215" i="6" s="1"/>
  <c r="CT87" i="6"/>
  <c r="AP88" i="6" s="1"/>
  <c r="CU87" i="6"/>
  <c r="AQ88" i="6" s="1"/>
  <c r="EN196" i="6" l="1"/>
  <c r="Q196" i="6" s="1"/>
  <c r="EO196" i="6" s="1"/>
  <c r="EM197" i="6" s="1"/>
  <c r="CK193" i="6"/>
  <c r="AG194" i="6" s="1"/>
  <c r="CJ193" i="6"/>
  <c r="AF194" i="6" s="1"/>
  <c r="CU88" i="6"/>
  <c r="AQ89" i="6" s="1"/>
  <c r="CT88" i="6"/>
  <c r="AP89" i="6" s="1"/>
  <c r="U46" i="6"/>
  <c r="W46" i="6"/>
  <c r="CA46" i="6" s="1"/>
  <c r="CX181" i="6"/>
  <c r="AT182" i="6" s="1"/>
  <c r="CW181" i="6"/>
  <c r="AS182" i="6" s="1"/>
  <c r="EJ182" i="6" s="1"/>
  <c r="BL182" i="6" s="1"/>
  <c r="CV181" i="6"/>
  <c r="AR182" i="6" s="1"/>
  <c r="CN181" i="6"/>
  <c r="AJ182" i="6" s="1"/>
  <c r="CY181" i="6"/>
  <c r="AU182" i="6" s="1"/>
  <c r="EI182" i="6" s="1"/>
  <c r="EB215" i="6"/>
  <c r="EF216" i="6"/>
  <c r="CG89" i="6"/>
  <c r="AC90" i="6" s="1"/>
  <c r="FC173" i="6"/>
  <c r="FB173" i="6"/>
  <c r="BW58" i="6"/>
  <c r="EU58" i="6" s="1"/>
  <c r="ET58" i="6" s="1"/>
  <c r="EP59" i="6" s="1"/>
  <c r="O64" i="4"/>
  <c r="E64" i="5" s="1"/>
  <c r="DI43" i="6"/>
  <c r="FD88" i="6"/>
  <c r="AY87" i="6"/>
  <c r="EG215" i="6"/>
  <c r="ED216" i="6" s="1"/>
  <c r="EH213" i="6"/>
  <c r="EK213" i="6" s="1"/>
  <c r="CS213" i="6"/>
  <c r="AO214" i="6" s="1"/>
  <c r="CD213" i="6"/>
  <c r="Z214" i="6" s="1"/>
  <c r="CC213" i="6"/>
  <c r="Y214" i="6" s="1"/>
  <c r="BM213" i="6"/>
  <c r="BX88" i="6"/>
  <c r="U94" i="4" s="1"/>
  <c r="CF88" i="6"/>
  <c r="AB89" i="6" s="1"/>
  <c r="EN197" i="6" l="1"/>
  <c r="Q197" i="6" s="1"/>
  <c r="EO197" i="6" s="1"/>
  <c r="EM198" i="6" s="1"/>
  <c r="FB174" i="6"/>
  <c r="FC174" i="6"/>
  <c r="T52" i="4"/>
  <c r="BY46" i="6"/>
  <c r="EG216" i="6"/>
  <c r="ED217" i="6" s="1"/>
  <c r="CT89" i="6"/>
  <c r="AP90" i="6" s="1"/>
  <c r="CU89" i="6"/>
  <c r="AQ90" i="6" s="1"/>
  <c r="EQ59" i="6"/>
  <c r="ET59" i="6"/>
  <c r="EP60" i="6" s="1"/>
  <c r="FD89" i="6"/>
  <c r="AY88" i="6"/>
  <c r="CK194" i="6"/>
  <c r="AG195" i="6" s="1"/>
  <c r="CJ194" i="6"/>
  <c r="AF195" i="6" s="1"/>
  <c r="CG90" i="6"/>
  <c r="AC91" i="6" s="1"/>
  <c r="K93" i="4"/>
  <c r="BX89" i="6"/>
  <c r="U95" i="4" s="1"/>
  <c r="CF89" i="6"/>
  <c r="AB90" i="6" s="1"/>
  <c r="CN182" i="6"/>
  <c r="AJ183" i="6" s="1"/>
  <c r="CY182" i="6"/>
  <c r="AU183" i="6" s="1"/>
  <c r="EI183" i="6" s="1"/>
  <c r="CV182" i="6"/>
  <c r="AR183" i="6" s="1"/>
  <c r="CW182" i="6"/>
  <c r="AS183" i="6" s="1"/>
  <c r="EJ183" i="6" s="1"/>
  <c r="BL183" i="6" s="1"/>
  <c r="CX182" i="6"/>
  <c r="AT183" i="6" s="1"/>
  <c r="BC43" i="6"/>
  <c r="BD43" i="6"/>
  <c r="DR43" i="6"/>
  <c r="DV43" i="6"/>
  <c r="EB216" i="6"/>
  <c r="EF217" i="6"/>
  <c r="EH214" i="6"/>
  <c r="EK214" i="6" s="1"/>
  <c r="CD214" i="6"/>
  <c r="Z215" i="6" s="1"/>
  <c r="CS214" i="6"/>
  <c r="AO215" i="6" s="1"/>
  <c r="CC214" i="6"/>
  <c r="Y215" i="6" s="1"/>
  <c r="BM214" i="6"/>
  <c r="EN198" i="6" l="1"/>
  <c r="Q198" i="6" s="1"/>
  <c r="EO198" i="6" s="1"/>
  <c r="EM199" i="6" s="1"/>
  <c r="ET60" i="6"/>
  <c r="EP61" i="6" s="1"/>
  <c r="EQ60" i="6"/>
  <c r="EV59" i="6"/>
  <c r="EW59" i="6" s="1"/>
  <c r="ES59" i="6"/>
  <c r="W65" i="5" s="1"/>
  <c r="ER59" i="6"/>
  <c r="V65" i="5" s="1"/>
  <c r="U65" i="5"/>
  <c r="CU90" i="6"/>
  <c r="AQ91" i="6" s="1"/>
  <c r="CT90" i="6"/>
  <c r="AP91" i="6" s="1"/>
  <c r="EB217" i="6"/>
  <c r="EF218" i="6"/>
  <c r="BX90" i="6"/>
  <c r="U96" i="4" s="1"/>
  <c r="CF90" i="6"/>
  <c r="AB91" i="6" s="1"/>
  <c r="CG91" i="6"/>
  <c r="AC92" i="6" s="1"/>
  <c r="EG217" i="6"/>
  <c r="ED218" i="6" s="1"/>
  <c r="U47" i="6"/>
  <c r="W47" i="6"/>
  <c r="CA47" i="6" s="1"/>
  <c r="K94" i="4"/>
  <c r="FD90" i="6"/>
  <c r="AY89" i="6"/>
  <c r="FB175" i="6"/>
  <c r="FC175" i="6"/>
  <c r="EH215" i="6"/>
  <c r="EK215" i="6" s="1"/>
  <c r="CD215" i="6"/>
  <c r="Z216" i="6" s="1"/>
  <c r="CS215" i="6"/>
  <c r="AO216" i="6" s="1"/>
  <c r="CC215" i="6"/>
  <c r="Y216" i="6" s="1"/>
  <c r="BM215" i="6"/>
  <c r="DN43" i="6"/>
  <c r="DJ44" i="6" s="1"/>
  <c r="DQ43" i="6"/>
  <c r="DM44" i="6" s="1"/>
  <c r="DO43" i="6"/>
  <c r="DK44" i="6" s="1"/>
  <c r="DP43" i="6"/>
  <c r="DL44" i="6" s="1"/>
  <c r="CJ195" i="6"/>
  <c r="AF196" i="6" s="1"/>
  <c r="CK195" i="6"/>
  <c r="AG196" i="6" s="1"/>
  <c r="CX183" i="6"/>
  <c r="AT184" i="6" s="1"/>
  <c r="CV183" i="6"/>
  <c r="AR184" i="6" s="1"/>
  <c r="CN183" i="6"/>
  <c r="AJ184" i="6" s="1"/>
  <c r="CY183" i="6"/>
  <c r="AU184" i="6" s="1"/>
  <c r="EI184" i="6" s="1"/>
  <c r="CW183" i="6"/>
  <c r="AS184" i="6" s="1"/>
  <c r="EJ184" i="6" s="1"/>
  <c r="BL184" i="6" s="1"/>
  <c r="EN199" i="6" l="1"/>
  <c r="Q199" i="6" s="1"/>
  <c r="EO199" i="6" s="1"/>
  <c r="EM200" i="6" s="1"/>
  <c r="EB218" i="6"/>
  <c r="EF219" i="6"/>
  <c r="DI44" i="6"/>
  <c r="EH216" i="6"/>
  <c r="EK216" i="6" s="1"/>
  <c r="CC216" i="6"/>
  <c r="Y217" i="6" s="1"/>
  <c r="CS216" i="6"/>
  <c r="AO217" i="6" s="1"/>
  <c r="CD216" i="6"/>
  <c r="Z217" i="6" s="1"/>
  <c r="BM216" i="6"/>
  <c r="CT91" i="6"/>
  <c r="AP92" i="6" s="1"/>
  <c r="CU91" i="6"/>
  <c r="AQ92" i="6" s="1"/>
  <c r="ET61" i="6"/>
  <c r="EP62" i="6" s="1"/>
  <c r="EQ61" i="6"/>
  <c r="CY184" i="6"/>
  <c r="AU185" i="6" s="1"/>
  <c r="EI185" i="6" s="1"/>
  <c r="CW184" i="6"/>
  <c r="AS185" i="6" s="1"/>
  <c r="EJ185" i="6" s="1"/>
  <c r="BL185" i="6" s="1"/>
  <c r="CN184" i="6"/>
  <c r="AJ185" i="6" s="1"/>
  <c r="CX184" i="6"/>
  <c r="AT185" i="6" s="1"/>
  <c r="CV184" i="6"/>
  <c r="AR185" i="6" s="1"/>
  <c r="T53" i="4"/>
  <c r="BY47" i="6"/>
  <c r="CG92" i="6"/>
  <c r="AC93" i="6" s="1"/>
  <c r="EG218" i="6"/>
  <c r="ED219" i="6" s="1"/>
  <c r="FC176" i="6"/>
  <c r="FB176" i="6"/>
  <c r="CK196" i="6"/>
  <c r="AG197" i="6" s="1"/>
  <c r="CJ196" i="6"/>
  <c r="AF197" i="6" s="1"/>
  <c r="EV60" i="6"/>
  <c r="EW60" i="6" s="1"/>
  <c r="ES60" i="6"/>
  <c r="W66" i="5" s="1"/>
  <c r="ER60" i="6"/>
  <c r="V66" i="5" s="1"/>
  <c r="U66" i="5"/>
  <c r="K95" i="4"/>
  <c r="BX91" i="6"/>
  <c r="U97" i="4" s="1"/>
  <c r="CF91" i="6"/>
  <c r="AB92" i="6" s="1"/>
  <c r="FD91" i="6"/>
  <c r="AY90" i="6"/>
  <c r="EN200" i="6" l="1"/>
  <c r="Q200" i="6" s="1"/>
  <c r="EO200" i="6" s="1"/>
  <c r="EM201" i="6" s="1"/>
  <c r="EH217" i="6"/>
  <c r="EK217" i="6" s="1"/>
  <c r="CD217" i="6"/>
  <c r="Z218" i="6" s="1"/>
  <c r="BM217" i="6"/>
  <c r="CC217" i="6"/>
  <c r="Y218" i="6" s="1"/>
  <c r="CS217" i="6"/>
  <c r="AO218" i="6" s="1"/>
  <c r="K96" i="4"/>
  <c r="BD44" i="6"/>
  <c r="BC44" i="6"/>
  <c r="DR44" i="6"/>
  <c r="DV44" i="6"/>
  <c r="FD92" i="6"/>
  <c r="AY91" i="6"/>
  <c r="CN185" i="6"/>
  <c r="AJ186" i="6" s="1"/>
  <c r="CX185" i="6"/>
  <c r="AT186" i="6" s="1"/>
  <c r="CY185" i="6"/>
  <c r="AU186" i="6" s="1"/>
  <c r="EI186" i="6" s="1"/>
  <c r="CV185" i="6"/>
  <c r="AR186" i="6" s="1"/>
  <c r="CW185" i="6"/>
  <c r="AS186" i="6" s="1"/>
  <c r="EJ186" i="6" s="1"/>
  <c r="BL186" i="6" s="1"/>
  <c r="CJ197" i="6"/>
  <c r="AF198" i="6" s="1"/>
  <c r="CK197" i="6"/>
  <c r="AG198" i="6" s="1"/>
  <c r="FC177" i="6"/>
  <c r="FB177" i="6"/>
  <c r="ES61" i="6"/>
  <c r="W67" i="5" s="1"/>
  <c r="ER61" i="6"/>
  <c r="V67" i="5" s="1"/>
  <c r="EV61" i="6"/>
  <c r="EW61" i="6" s="1"/>
  <c r="U67" i="5"/>
  <c r="EB219" i="6"/>
  <c r="EF220" i="6"/>
  <c r="BX92" i="6"/>
  <c r="U98" i="4" s="1"/>
  <c r="CF92" i="6"/>
  <c r="AB93" i="6" s="1"/>
  <c r="EG219" i="6"/>
  <c r="ED220" i="6" s="1"/>
  <c r="CU92" i="6"/>
  <c r="AQ93" i="6" s="1"/>
  <c r="CT92" i="6"/>
  <c r="AP93" i="6" s="1"/>
  <c r="W48" i="6"/>
  <c r="CA48" i="6" s="1"/>
  <c r="U48" i="6"/>
  <c r="EQ62" i="6"/>
  <c r="CG93" i="6"/>
  <c r="AC94" i="6" s="1"/>
  <c r="EN201" i="6" l="1"/>
  <c r="Q201" i="6" s="1"/>
  <c r="EO201" i="6" s="1"/>
  <c r="EM202" i="6" s="1"/>
  <c r="CG94" i="6"/>
  <c r="AC95" i="6" s="1"/>
  <c r="FD93" i="6"/>
  <c r="EH218" i="6"/>
  <c r="EK218" i="6" s="1"/>
  <c r="CS218" i="6"/>
  <c r="AO219" i="6" s="1"/>
  <c r="CD218" i="6"/>
  <c r="Z219" i="6" s="1"/>
  <c r="CC218" i="6"/>
  <c r="Y219" i="6" s="1"/>
  <c r="BM218" i="6"/>
  <c r="K97" i="4"/>
  <c r="EV62" i="6"/>
  <c r="EW62" i="6" s="1"/>
  <c r="ES62" i="6"/>
  <c r="ER62" i="6"/>
  <c r="U68" i="5"/>
  <c r="CY186" i="6"/>
  <c r="AU187" i="6" s="1"/>
  <c r="EI187" i="6" s="1"/>
  <c r="CX186" i="6"/>
  <c r="AT187" i="6" s="1"/>
  <c r="CW186" i="6"/>
  <c r="AS187" i="6" s="1"/>
  <c r="EJ187" i="6" s="1"/>
  <c r="BL187" i="6" s="1"/>
  <c r="CV186" i="6"/>
  <c r="AR187" i="6" s="1"/>
  <c r="CN186" i="6"/>
  <c r="AJ187" i="6" s="1"/>
  <c r="AY92" i="6"/>
  <c r="FB178" i="6"/>
  <c r="FC178" i="6"/>
  <c r="T54" i="4"/>
  <c r="BY48" i="6"/>
  <c r="CT93" i="6"/>
  <c r="AP94" i="6" s="1"/>
  <c r="CU93" i="6"/>
  <c r="AQ94" i="6" s="1"/>
  <c r="CK198" i="6"/>
  <c r="AG199" i="6" s="1"/>
  <c r="CJ198" i="6"/>
  <c r="AF199" i="6" s="1"/>
  <c r="EG220" i="6"/>
  <c r="ED221" i="6" s="1"/>
  <c r="DQ44" i="6"/>
  <c r="DM45" i="6" s="1"/>
  <c r="DN44" i="6"/>
  <c r="DJ45" i="6" s="1"/>
  <c r="DO44" i="6"/>
  <c r="DK45" i="6" s="1"/>
  <c r="DP44" i="6"/>
  <c r="DL45" i="6" s="1"/>
  <c r="EB220" i="6"/>
  <c r="EF221" i="6"/>
  <c r="CF93" i="6"/>
  <c r="AB94" i="6" s="1"/>
  <c r="BX93" i="6"/>
  <c r="U99" i="4" s="1"/>
  <c r="EN202" i="6" l="1"/>
  <c r="Q202" i="6" s="1"/>
  <c r="EO202" i="6" s="1"/>
  <c r="EM203" i="6" s="1"/>
  <c r="DJ62" i="6"/>
  <c r="DN62" i="6" s="1"/>
  <c r="DJ63" i="6" s="1"/>
  <c r="DK62" i="6"/>
  <c r="DO62" i="6" s="1"/>
  <c r="DK63" i="6" s="1"/>
  <c r="DM62" i="6"/>
  <c r="DQ62" i="6" s="1"/>
  <c r="DM63" i="6" s="1"/>
  <c r="DL62" i="6"/>
  <c r="DP62" i="6" s="1"/>
  <c r="DL63" i="6" s="1"/>
  <c r="EG221" i="6"/>
  <c r="ED222" i="6" s="1"/>
  <c r="FD94" i="6"/>
  <c r="CK199" i="6"/>
  <c r="AG200" i="6" s="1"/>
  <c r="CJ199" i="6"/>
  <c r="AF200" i="6" s="1"/>
  <c r="CT94" i="6"/>
  <c r="AP95" i="6" s="1"/>
  <c r="CU94" i="6"/>
  <c r="AQ95" i="6" s="1"/>
  <c r="CF94" i="6"/>
  <c r="AB95" i="6" s="1"/>
  <c r="BX94" i="6"/>
  <c r="U100" i="4" s="1"/>
  <c r="AY93" i="6"/>
  <c r="V68" i="5"/>
  <c r="DV62" i="6"/>
  <c r="EB221" i="6"/>
  <c r="EF222" i="6"/>
  <c r="W49" i="6"/>
  <c r="CA49" i="6" s="1"/>
  <c r="U49" i="6"/>
  <c r="W68" i="5"/>
  <c r="DW62" i="6"/>
  <c r="BU62" i="6" s="1"/>
  <c r="DX62" i="6"/>
  <c r="BV62" i="6" s="1"/>
  <c r="P68" i="4" s="1"/>
  <c r="F68" i="5" s="1"/>
  <c r="FC179" i="6"/>
  <c r="FB179" i="6"/>
  <c r="CG95" i="6"/>
  <c r="AC96" i="6" s="1"/>
  <c r="DI45" i="6"/>
  <c r="K98" i="4"/>
  <c r="DZ92" i="6"/>
  <c r="DY93" i="6" s="1"/>
  <c r="DZ93" i="6" s="1"/>
  <c r="DY94" i="6" s="1"/>
  <c r="DZ94" i="6" s="1"/>
  <c r="DY95" i="6" s="1"/>
  <c r="DZ95" i="6" s="1"/>
  <c r="DY96" i="6" s="1"/>
  <c r="DZ96" i="6" s="1"/>
  <c r="DY97" i="6" s="1"/>
  <c r="DZ97" i="6" s="1"/>
  <c r="DY98" i="6" s="1"/>
  <c r="DZ98" i="6" s="1"/>
  <c r="DY99" i="6" s="1"/>
  <c r="DZ99" i="6" s="1"/>
  <c r="DY100" i="6" s="1"/>
  <c r="DZ100" i="6" s="1"/>
  <c r="DY101" i="6" s="1"/>
  <c r="DZ101" i="6" s="1"/>
  <c r="DY102" i="6" s="1"/>
  <c r="DZ102" i="6" s="1"/>
  <c r="DY103" i="6" s="1"/>
  <c r="DZ103" i="6" s="1"/>
  <c r="DY104" i="6" s="1"/>
  <c r="DZ104" i="6" s="1"/>
  <c r="DY105" i="6" s="1"/>
  <c r="DZ105" i="6" s="1"/>
  <c r="DY106" i="6" s="1"/>
  <c r="DZ106" i="6" s="1"/>
  <c r="DY107" i="6" s="1"/>
  <c r="DZ107" i="6" s="1"/>
  <c r="DY108" i="6" s="1"/>
  <c r="DZ108" i="6" s="1"/>
  <c r="DY109" i="6" s="1"/>
  <c r="DZ109" i="6" s="1"/>
  <c r="DY110" i="6" s="1"/>
  <c r="DZ110" i="6" s="1"/>
  <c r="DY111" i="6" s="1"/>
  <c r="DZ111" i="6" s="1"/>
  <c r="DY112" i="6" s="1"/>
  <c r="DZ112" i="6" s="1"/>
  <c r="DY113" i="6" s="1"/>
  <c r="DZ113" i="6" s="1"/>
  <c r="DY114" i="6" s="1"/>
  <c r="DZ114" i="6" s="1"/>
  <c r="DY115" i="6" s="1"/>
  <c r="DZ115" i="6" s="1"/>
  <c r="DY116" i="6" s="1"/>
  <c r="DZ116" i="6" s="1"/>
  <c r="DY117" i="6" s="1"/>
  <c r="DZ117" i="6" s="1"/>
  <c r="DY118" i="6" s="1"/>
  <c r="DZ118" i="6" s="1"/>
  <c r="DY119" i="6" s="1"/>
  <c r="DZ119" i="6" s="1"/>
  <c r="DY120" i="6" s="1"/>
  <c r="DZ120" i="6" s="1"/>
  <c r="DY121" i="6" s="1"/>
  <c r="DZ121" i="6" s="1"/>
  <c r="DY122" i="6" s="1"/>
  <c r="DZ122" i="6" s="1"/>
  <c r="DY123" i="6" s="1"/>
  <c r="DZ123" i="6" s="1"/>
  <c r="DY124" i="6" s="1"/>
  <c r="DZ124" i="6" s="1"/>
  <c r="DY125" i="6" s="1"/>
  <c r="DZ125" i="6" s="1"/>
  <c r="DY126" i="6" s="1"/>
  <c r="DZ126" i="6" s="1"/>
  <c r="DY127" i="6" s="1"/>
  <c r="DZ127" i="6" s="1"/>
  <c r="DY128" i="6" s="1"/>
  <c r="DZ128" i="6" s="1"/>
  <c r="DY129" i="6" s="1"/>
  <c r="DZ129" i="6" s="1"/>
  <c r="DY130" i="6" s="1"/>
  <c r="DZ130" i="6" s="1"/>
  <c r="DY131" i="6" s="1"/>
  <c r="DZ131" i="6" s="1"/>
  <c r="DY132" i="6" s="1"/>
  <c r="DZ132" i="6" s="1"/>
  <c r="DY133" i="6" s="1"/>
  <c r="DZ133" i="6" s="1"/>
  <c r="DY134" i="6" s="1"/>
  <c r="DZ134" i="6" s="1"/>
  <c r="DY135" i="6" s="1"/>
  <c r="DZ135" i="6" s="1"/>
  <c r="DY136" i="6" s="1"/>
  <c r="DZ136" i="6" s="1"/>
  <c r="DY137" i="6" s="1"/>
  <c r="DZ137" i="6" s="1"/>
  <c r="DY138" i="6" s="1"/>
  <c r="DZ138" i="6" s="1"/>
  <c r="DY139" i="6" s="1"/>
  <c r="DZ139" i="6" s="1"/>
  <c r="DY140" i="6" s="1"/>
  <c r="DZ140" i="6" s="1"/>
  <c r="DY141" i="6" s="1"/>
  <c r="DZ141" i="6" s="1"/>
  <c r="DY142" i="6" s="1"/>
  <c r="DZ142" i="6" s="1"/>
  <c r="DY143" i="6" s="1"/>
  <c r="DZ143" i="6" s="1"/>
  <c r="DY144" i="6" s="1"/>
  <c r="DZ144" i="6" s="1"/>
  <c r="DY145" i="6" s="1"/>
  <c r="DZ145" i="6" s="1"/>
  <c r="DY146" i="6" s="1"/>
  <c r="DZ146" i="6" s="1"/>
  <c r="DY147" i="6" s="1"/>
  <c r="DZ147" i="6" s="1"/>
  <c r="DY148" i="6" s="1"/>
  <c r="DZ148" i="6" s="1"/>
  <c r="DY149" i="6" s="1"/>
  <c r="DZ149" i="6" s="1"/>
  <c r="DY150" i="6" s="1"/>
  <c r="DZ150" i="6" s="1"/>
  <c r="DY151" i="6" s="1"/>
  <c r="DZ151" i="6" s="1"/>
  <c r="DY152" i="6" s="1"/>
  <c r="DZ152" i="6" s="1"/>
  <c r="DY153" i="6" s="1"/>
  <c r="DZ153" i="6" s="1"/>
  <c r="DY154" i="6" s="1"/>
  <c r="DZ154" i="6" s="1"/>
  <c r="DY155" i="6" s="1"/>
  <c r="DZ155" i="6" s="1"/>
  <c r="DY156" i="6" s="1"/>
  <c r="DZ156" i="6" s="1"/>
  <c r="DY157" i="6" s="1"/>
  <c r="DZ157" i="6" s="1"/>
  <c r="DY158" i="6" s="1"/>
  <c r="DZ158" i="6" s="1"/>
  <c r="DY159" i="6" s="1"/>
  <c r="DZ159" i="6" s="1"/>
  <c r="DY160" i="6" s="1"/>
  <c r="DZ160" i="6" s="1"/>
  <c r="DY161" i="6" s="1"/>
  <c r="DZ161" i="6" s="1"/>
  <c r="DY162" i="6" s="1"/>
  <c r="DZ162" i="6" s="1"/>
  <c r="DY163" i="6" s="1"/>
  <c r="DZ163" i="6" s="1"/>
  <c r="DY164" i="6" s="1"/>
  <c r="DZ164" i="6" s="1"/>
  <c r="DY165" i="6" s="1"/>
  <c r="DZ165" i="6" s="1"/>
  <c r="DY166" i="6" s="1"/>
  <c r="DZ166" i="6" s="1"/>
  <c r="DY167" i="6" s="1"/>
  <c r="DZ167" i="6" s="1"/>
  <c r="DY168" i="6" s="1"/>
  <c r="DZ168" i="6" s="1"/>
  <c r="DY169" i="6" s="1"/>
  <c r="DZ169" i="6" s="1"/>
  <c r="DY170" i="6" s="1"/>
  <c r="DZ170" i="6" s="1"/>
  <c r="DY171" i="6" s="1"/>
  <c r="DZ171" i="6" s="1"/>
  <c r="DY172" i="6" s="1"/>
  <c r="DZ172" i="6" s="1"/>
  <c r="DY173" i="6" s="1"/>
  <c r="DZ173" i="6" s="1"/>
  <c r="DY174" i="6" s="1"/>
  <c r="DZ174" i="6" s="1"/>
  <c r="DY175" i="6" s="1"/>
  <c r="DZ175" i="6" s="1"/>
  <c r="DY176" i="6" s="1"/>
  <c r="DZ176" i="6" s="1"/>
  <c r="DY177" i="6" s="1"/>
  <c r="DZ177" i="6" s="1"/>
  <c r="DY178" i="6" s="1"/>
  <c r="DZ178" i="6" s="1"/>
  <c r="DY179" i="6" s="1"/>
  <c r="DZ179" i="6" s="1"/>
  <c r="DY180" i="6" s="1"/>
  <c r="DZ180" i="6" s="1"/>
  <c r="DY181" i="6" s="1"/>
  <c r="DZ181" i="6" s="1"/>
  <c r="DY182" i="6" s="1"/>
  <c r="DZ182" i="6" s="1"/>
  <c r="DY183" i="6" s="1"/>
  <c r="DZ183" i="6" s="1"/>
  <c r="DY184" i="6" s="1"/>
  <c r="DZ184" i="6" s="1"/>
  <c r="DY185" i="6" s="1"/>
  <c r="DZ185" i="6" s="1"/>
  <c r="DY186" i="6" s="1"/>
  <c r="DZ186" i="6" s="1"/>
  <c r="DY187" i="6" s="1"/>
  <c r="DZ187" i="6" s="1"/>
  <c r="DY188" i="6" s="1"/>
  <c r="DZ188" i="6" s="1"/>
  <c r="DY189" i="6" s="1"/>
  <c r="DZ189" i="6" s="1"/>
  <c r="DY190" i="6" s="1"/>
  <c r="DZ190" i="6" s="1"/>
  <c r="DY191" i="6" s="1"/>
  <c r="DZ191" i="6" s="1"/>
  <c r="DY192" i="6" s="1"/>
  <c r="DZ192" i="6" s="1"/>
  <c r="DY193" i="6" s="1"/>
  <c r="DZ193" i="6" s="1"/>
  <c r="DY194" i="6" s="1"/>
  <c r="DZ194" i="6" s="1"/>
  <c r="DY195" i="6" s="1"/>
  <c r="DZ195" i="6" s="1"/>
  <c r="DY196" i="6" s="1"/>
  <c r="DZ196" i="6" s="1"/>
  <c r="DY197" i="6" s="1"/>
  <c r="DZ197" i="6" s="1"/>
  <c r="DY198" i="6" s="1"/>
  <c r="DZ198" i="6" s="1"/>
  <c r="DY199" i="6" s="1"/>
  <c r="DZ199" i="6" s="1"/>
  <c r="DY200" i="6" s="1"/>
  <c r="DZ200" i="6" s="1"/>
  <c r="DY201" i="6" s="1"/>
  <c r="DZ201" i="6" s="1"/>
  <c r="DY202" i="6" s="1"/>
  <c r="DZ202" i="6" s="1"/>
  <c r="DY203" i="6" s="1"/>
  <c r="DZ203" i="6" s="1"/>
  <c r="DY204" i="6" s="1"/>
  <c r="DZ204" i="6" s="1"/>
  <c r="DY205" i="6" s="1"/>
  <c r="DZ205" i="6" s="1"/>
  <c r="DY206" i="6" s="1"/>
  <c r="DZ206" i="6" s="1"/>
  <c r="DY207" i="6" s="1"/>
  <c r="DZ207" i="6" s="1"/>
  <c r="DY208" i="6" s="1"/>
  <c r="DZ208" i="6" s="1"/>
  <c r="DY209" i="6" s="1"/>
  <c r="DZ209" i="6" s="1"/>
  <c r="DY210" i="6" s="1"/>
  <c r="DZ210" i="6" s="1"/>
  <c r="DY211" i="6" s="1"/>
  <c r="DZ211" i="6" s="1"/>
  <c r="DY212" i="6" s="1"/>
  <c r="DZ212" i="6" s="1"/>
  <c r="DY213" i="6" s="1"/>
  <c r="DZ213" i="6" s="1"/>
  <c r="DY214" i="6" s="1"/>
  <c r="DZ214" i="6" s="1"/>
  <c r="DY215" i="6" s="1"/>
  <c r="DZ215" i="6" s="1"/>
  <c r="DY216" i="6" s="1"/>
  <c r="DZ216" i="6" s="1"/>
  <c r="DY217" i="6" s="1"/>
  <c r="DZ217" i="6" s="1"/>
  <c r="DY218" i="6" s="1"/>
  <c r="DZ218" i="6" s="1"/>
  <c r="DY219" i="6" s="1"/>
  <c r="DZ219" i="6" s="1"/>
  <c r="DY220" i="6" s="1"/>
  <c r="DZ220" i="6" s="1"/>
  <c r="DY221" i="6" s="1"/>
  <c r="DZ221" i="6" s="1"/>
  <c r="DY222" i="6" s="1"/>
  <c r="DZ222" i="6" s="1"/>
  <c r="DY223" i="6" s="1"/>
  <c r="DZ223" i="6" s="1"/>
  <c r="DY224" i="6" s="1"/>
  <c r="DZ224" i="6" s="1"/>
  <c r="DY225" i="6" s="1"/>
  <c r="DZ225" i="6" s="1"/>
  <c r="DY226" i="6" s="1"/>
  <c r="DZ226" i="6" s="1"/>
  <c r="DY227" i="6" s="1"/>
  <c r="DZ227" i="6" s="1"/>
  <c r="DY228" i="6" s="1"/>
  <c r="DZ228" i="6" s="1"/>
  <c r="DY229" i="6" s="1"/>
  <c r="DZ229" i="6" s="1"/>
  <c r="DY230" i="6" s="1"/>
  <c r="DZ230" i="6" s="1"/>
  <c r="DY231" i="6" s="1"/>
  <c r="DZ231" i="6" s="1"/>
  <c r="DY232" i="6" s="1"/>
  <c r="DZ232" i="6" s="1"/>
  <c r="DY233" i="6" s="1"/>
  <c r="DZ233" i="6" s="1"/>
  <c r="DY234" i="6" s="1"/>
  <c r="DZ234" i="6" s="1"/>
  <c r="DY235" i="6" s="1"/>
  <c r="DZ235" i="6" s="1"/>
  <c r="DY236" i="6" s="1"/>
  <c r="DZ236" i="6" s="1"/>
  <c r="DY237" i="6" s="1"/>
  <c r="DZ237" i="6" s="1"/>
  <c r="DY238" i="6" s="1"/>
  <c r="DZ238" i="6" s="1"/>
  <c r="DY239" i="6" s="1"/>
  <c r="DZ239" i="6" s="1"/>
  <c r="DY240" i="6" s="1"/>
  <c r="DZ240" i="6" s="1"/>
  <c r="DY241" i="6" s="1"/>
  <c r="DZ241" i="6" s="1"/>
  <c r="DY242" i="6" s="1"/>
  <c r="DZ242" i="6" s="1"/>
  <c r="CN187" i="6"/>
  <c r="AJ188" i="6" s="1"/>
  <c r="CW187" i="6"/>
  <c r="AS188" i="6" s="1"/>
  <c r="EJ188" i="6" s="1"/>
  <c r="BL188" i="6" s="1"/>
  <c r="CY187" i="6"/>
  <c r="AU188" i="6" s="1"/>
  <c r="EI188" i="6" s="1"/>
  <c r="CV187" i="6"/>
  <c r="AR188" i="6" s="1"/>
  <c r="CX187" i="6"/>
  <c r="AT188" i="6" s="1"/>
  <c r="EH219" i="6"/>
  <c r="EK219" i="6" s="1"/>
  <c r="CD219" i="6"/>
  <c r="Z220" i="6" s="1"/>
  <c r="CC219" i="6"/>
  <c r="Y220" i="6" s="1"/>
  <c r="BM219" i="6"/>
  <c r="CS219" i="6"/>
  <c r="AO220" i="6" s="1"/>
  <c r="EN203" i="6" l="1"/>
  <c r="Q203" i="6" s="1"/>
  <c r="EO203" i="6" s="1"/>
  <c r="EM204" i="6" s="1"/>
  <c r="EB222" i="6"/>
  <c r="EF223" i="6"/>
  <c r="K99" i="4"/>
  <c r="EH220" i="6"/>
  <c r="EK220" i="6" s="1"/>
  <c r="CD220" i="6"/>
  <c r="Z221" i="6" s="1"/>
  <c r="CC220" i="6"/>
  <c r="Y221" i="6" s="1"/>
  <c r="CS220" i="6"/>
  <c r="AO221" i="6" s="1"/>
  <c r="BM220" i="6"/>
  <c r="BY49" i="6"/>
  <c r="T55" i="4"/>
  <c r="CJ200" i="6"/>
  <c r="AF201" i="6" s="1"/>
  <c r="CK200" i="6"/>
  <c r="AG201" i="6" s="1"/>
  <c r="BD45" i="6"/>
  <c r="BC45" i="6"/>
  <c r="DR45" i="6"/>
  <c r="DV45" i="6"/>
  <c r="FD95" i="6"/>
  <c r="AY94" i="6"/>
  <c r="CG96" i="6"/>
  <c r="AC97" i="6" s="1"/>
  <c r="FC180" i="6"/>
  <c r="FB180" i="6"/>
  <c r="EG222" i="6"/>
  <c r="ED223" i="6" s="1"/>
  <c r="DI63" i="6"/>
  <c r="CX188" i="6"/>
  <c r="AT189" i="6" s="1"/>
  <c r="CW188" i="6"/>
  <c r="AS189" i="6" s="1"/>
  <c r="EJ189" i="6" s="1"/>
  <c r="BL189" i="6" s="1"/>
  <c r="CY188" i="6"/>
  <c r="AU189" i="6" s="1"/>
  <c r="EI189" i="6" s="1"/>
  <c r="CV188" i="6"/>
  <c r="AR189" i="6" s="1"/>
  <c r="CN188" i="6"/>
  <c r="AJ189" i="6" s="1"/>
  <c r="CF95" i="6"/>
  <c r="AB96" i="6" s="1"/>
  <c r="BX95" i="6"/>
  <c r="U101" i="4" s="1"/>
  <c r="CU95" i="6"/>
  <c r="AQ96" i="6" s="1"/>
  <c r="CT95" i="6"/>
  <c r="AP96" i="6" s="1"/>
  <c r="BW62" i="6"/>
  <c r="EU62" i="6" s="1"/>
  <c r="ET62" i="6" s="1"/>
  <c r="EP63" i="6" s="1"/>
  <c r="O68" i="4"/>
  <c r="E68" i="5" s="1"/>
  <c r="EN204" i="6" l="1"/>
  <c r="Q204" i="6" s="1"/>
  <c r="EO204" i="6" s="1"/>
  <c r="EM205" i="6" s="1"/>
  <c r="FD96" i="6"/>
  <c r="AY95" i="6"/>
  <c r="CG97" i="6"/>
  <c r="AC98" i="6" s="1"/>
  <c r="EQ63" i="6"/>
  <c r="EH221" i="6"/>
  <c r="EK221" i="6" s="1"/>
  <c r="BM221" i="6"/>
  <c r="CD221" i="6"/>
  <c r="Z222" i="6" s="1"/>
  <c r="CS221" i="6"/>
  <c r="AO222" i="6" s="1"/>
  <c r="CC221" i="6"/>
  <c r="Y222" i="6" s="1"/>
  <c r="CT96" i="6"/>
  <c r="AP97" i="6" s="1"/>
  <c r="CU96" i="6"/>
  <c r="AQ97" i="6" s="1"/>
  <c r="DQ45" i="6"/>
  <c r="DM46" i="6" s="1"/>
  <c r="DP45" i="6"/>
  <c r="DL46" i="6" s="1"/>
  <c r="DN45" i="6"/>
  <c r="DJ46" i="6" s="1"/>
  <c r="DO45" i="6"/>
  <c r="DK46" i="6" s="1"/>
  <c r="DR63" i="6"/>
  <c r="BC63" i="6"/>
  <c r="EG223" i="6"/>
  <c r="ED224" i="6" s="1"/>
  <c r="EB223" i="6"/>
  <c r="EF224" i="6"/>
  <c r="CF96" i="6"/>
  <c r="AB97" i="6" s="1"/>
  <c r="BX96" i="6"/>
  <c r="U102" i="4" s="1"/>
  <c r="FC181" i="6"/>
  <c r="FB181" i="6"/>
  <c r="CN189" i="6"/>
  <c r="AJ190" i="6" s="1"/>
  <c r="CW189" i="6"/>
  <c r="AS190" i="6" s="1"/>
  <c r="EJ190" i="6" s="1"/>
  <c r="BL190" i="6" s="1"/>
  <c r="CV189" i="6"/>
  <c r="AR190" i="6" s="1"/>
  <c r="CX189" i="6"/>
  <c r="AT190" i="6" s="1"/>
  <c r="CY189" i="6"/>
  <c r="AU190" i="6" s="1"/>
  <c r="EI190" i="6" s="1"/>
  <c r="CK201" i="6"/>
  <c r="AG202" i="6" s="1"/>
  <c r="CJ201" i="6"/>
  <c r="AF202" i="6" s="1"/>
  <c r="K100" i="4"/>
  <c r="W50" i="6"/>
  <c r="CA50" i="6" s="1"/>
  <c r="U50" i="6"/>
  <c r="EN205" i="6" l="1"/>
  <c r="Q205" i="6" s="1"/>
  <c r="EO205" i="6" s="1"/>
  <c r="EM206" i="6" s="1"/>
  <c r="ER63" i="6"/>
  <c r="ES63" i="6"/>
  <c r="EV63" i="6"/>
  <c r="EW63" i="6" s="1"/>
  <c r="U69" i="5"/>
  <c r="CG98" i="6"/>
  <c r="AC99" i="6" s="1"/>
  <c r="CN190" i="6"/>
  <c r="AJ191" i="6" s="1"/>
  <c r="CX190" i="6"/>
  <c r="AT191" i="6" s="1"/>
  <c r="CW190" i="6"/>
  <c r="AS191" i="6" s="1"/>
  <c r="EJ191" i="6" s="1"/>
  <c r="BL191" i="6" s="1"/>
  <c r="CY190" i="6"/>
  <c r="AU191" i="6" s="1"/>
  <c r="EI191" i="6" s="1"/>
  <c r="CV190" i="6"/>
  <c r="AR191" i="6" s="1"/>
  <c r="K101" i="4"/>
  <c r="FD97" i="6"/>
  <c r="AY96" i="6"/>
  <c r="DI46" i="6"/>
  <c r="BX97" i="6"/>
  <c r="U103" i="4" s="1"/>
  <c r="CF97" i="6"/>
  <c r="AB98" i="6" s="1"/>
  <c r="EB224" i="6"/>
  <c r="EF225" i="6"/>
  <c r="EH222" i="6"/>
  <c r="EK222" i="6" s="1"/>
  <c r="CS222" i="6"/>
  <c r="AO223" i="6" s="1"/>
  <c r="CD222" i="6"/>
  <c r="Z223" i="6" s="1"/>
  <c r="CC222" i="6"/>
  <c r="Y223" i="6" s="1"/>
  <c r="BM222" i="6"/>
  <c r="CK202" i="6"/>
  <c r="AG203" i="6" s="1"/>
  <c r="CJ202" i="6"/>
  <c r="AF203" i="6" s="1"/>
  <c r="CU97" i="6"/>
  <c r="AQ98" i="6" s="1"/>
  <c r="CT97" i="6"/>
  <c r="AP98" i="6" s="1"/>
  <c r="EG224" i="6"/>
  <c r="ED225" i="6" s="1"/>
  <c r="DP63" i="6"/>
  <c r="DL64" i="6" s="1"/>
  <c r="DO63" i="6"/>
  <c r="DK64" i="6" s="1"/>
  <c r="DN63" i="6"/>
  <c r="DJ64" i="6" s="1"/>
  <c r="DQ63" i="6"/>
  <c r="DM64" i="6" s="1"/>
  <c r="FB182" i="6"/>
  <c r="FC182" i="6"/>
  <c r="T56" i="4"/>
  <c r="BY50" i="6"/>
  <c r="EN206" i="6" l="1"/>
  <c r="Q206" i="6" s="1"/>
  <c r="EO206" i="6" s="1"/>
  <c r="EM207" i="6" s="1"/>
  <c r="W51" i="6"/>
  <c r="CA51" i="6" s="1"/>
  <c r="U51" i="6"/>
  <c r="CK203" i="6"/>
  <c r="AG204" i="6" s="1"/>
  <c r="CJ203" i="6"/>
  <c r="AF204" i="6" s="1"/>
  <c r="CV191" i="6"/>
  <c r="AR192" i="6" s="1"/>
  <c r="CN191" i="6"/>
  <c r="AJ192" i="6" s="1"/>
  <c r="CY191" i="6"/>
  <c r="AU192" i="6" s="1"/>
  <c r="EI192" i="6" s="1"/>
  <c r="CX191" i="6"/>
  <c r="AT192" i="6" s="1"/>
  <c r="CW191" i="6"/>
  <c r="AS192" i="6" s="1"/>
  <c r="EJ192" i="6" s="1"/>
  <c r="BL192" i="6" s="1"/>
  <c r="K102" i="4"/>
  <c r="EH223" i="6"/>
  <c r="EK223" i="6" s="1"/>
  <c r="BM223" i="6"/>
  <c r="CD223" i="6"/>
  <c r="Z224" i="6" s="1"/>
  <c r="CC223" i="6"/>
  <c r="Y224" i="6" s="1"/>
  <c r="CS223" i="6"/>
  <c r="AO224" i="6" s="1"/>
  <c r="FD98" i="6"/>
  <c r="AY97" i="6"/>
  <c r="CG99" i="6"/>
  <c r="AC100" i="6" s="1"/>
  <c r="FB183" i="6"/>
  <c r="FC183" i="6"/>
  <c r="EB225" i="6"/>
  <c r="EF226" i="6"/>
  <c r="W69" i="5"/>
  <c r="DX63" i="6"/>
  <c r="BV63" i="6" s="1"/>
  <c r="P69" i="4" s="1"/>
  <c r="F69" i="5" s="1"/>
  <c r="DW63" i="6"/>
  <c r="BU63" i="6" s="1"/>
  <c r="EG225" i="6"/>
  <c r="ED226" i="6" s="1"/>
  <c r="V69" i="5"/>
  <c r="DV63" i="6"/>
  <c r="CF98" i="6"/>
  <c r="AB99" i="6" s="1"/>
  <c r="BX98" i="6"/>
  <c r="U104" i="4" s="1"/>
  <c r="CU98" i="6"/>
  <c r="AQ99" i="6" s="1"/>
  <c r="CT98" i="6"/>
  <c r="AP99" i="6" s="1"/>
  <c r="DI64" i="6"/>
  <c r="BC46" i="6"/>
  <c r="DR46" i="6"/>
  <c r="BD46" i="6"/>
  <c r="DV46" i="6"/>
  <c r="EN207" i="6" l="1"/>
  <c r="Q207" i="6" s="1"/>
  <c r="EO207" i="6" s="1"/>
  <c r="EM208" i="6" s="1"/>
  <c r="DN46" i="6"/>
  <c r="DJ47" i="6" s="1"/>
  <c r="DP46" i="6"/>
  <c r="DL47" i="6" s="1"/>
  <c r="DQ46" i="6"/>
  <c r="DM47" i="6" s="1"/>
  <c r="DO46" i="6"/>
  <c r="DK47" i="6" s="1"/>
  <c r="O69" i="4"/>
  <c r="E69" i="5" s="1"/>
  <c r="BW63" i="6"/>
  <c r="EU63" i="6" s="1"/>
  <c r="ET63" i="6" s="1"/>
  <c r="EP64" i="6" s="1"/>
  <c r="EB226" i="6"/>
  <c r="EF227" i="6"/>
  <c r="CX192" i="6"/>
  <c r="AT193" i="6" s="1"/>
  <c r="CW192" i="6"/>
  <c r="AS193" i="6" s="1"/>
  <c r="EJ193" i="6" s="1"/>
  <c r="BL193" i="6" s="1"/>
  <c r="CY192" i="6"/>
  <c r="AU193" i="6" s="1"/>
  <c r="EI193" i="6" s="1"/>
  <c r="CV192" i="6"/>
  <c r="AR193" i="6" s="1"/>
  <c r="CN192" i="6"/>
  <c r="AJ193" i="6" s="1"/>
  <c r="EH224" i="6"/>
  <c r="EK224" i="6" s="1"/>
  <c r="CS224" i="6"/>
  <c r="AO225" i="6" s="1"/>
  <c r="CC224" i="6"/>
  <c r="Y225" i="6" s="1"/>
  <c r="CD224" i="6"/>
  <c r="Z225" i="6" s="1"/>
  <c r="BM224" i="6"/>
  <c r="CK204" i="6"/>
  <c r="AG205" i="6" s="1"/>
  <c r="CJ204" i="6"/>
  <c r="AF205" i="6" s="1"/>
  <c r="DR64" i="6"/>
  <c r="BC64" i="6"/>
  <c r="CF99" i="6"/>
  <c r="AB100" i="6" s="1"/>
  <c r="BX99" i="6"/>
  <c r="U105" i="4" s="1"/>
  <c r="T57" i="4"/>
  <c r="BY51" i="6"/>
  <c r="FC184" i="6"/>
  <c r="FB184" i="6"/>
  <c r="CG100" i="6"/>
  <c r="AC101" i="6" s="1"/>
  <c r="CT99" i="6"/>
  <c r="AP100" i="6" s="1"/>
  <c r="CU99" i="6"/>
  <c r="AQ100" i="6" s="1"/>
  <c r="EG226" i="6"/>
  <c r="ED227" i="6" s="1"/>
  <c r="K103" i="4"/>
  <c r="FD99" i="6"/>
  <c r="AY98" i="6"/>
  <c r="EN208" i="6" l="1"/>
  <c r="Q208" i="6" s="1"/>
  <c r="EO208" i="6" s="1"/>
  <c r="EM209" i="6" s="1"/>
  <c r="DO64" i="6"/>
  <c r="DK65" i="6" s="1"/>
  <c r="DQ64" i="6"/>
  <c r="DM65" i="6" s="1"/>
  <c r="DN64" i="6"/>
  <c r="DJ65" i="6" s="1"/>
  <c r="DP64" i="6"/>
  <c r="DL65" i="6" s="1"/>
  <c r="EB227" i="6"/>
  <c r="EF228" i="6"/>
  <c r="CG101" i="6"/>
  <c r="AC102" i="6" s="1"/>
  <c r="EQ64" i="6"/>
  <c r="FD100" i="6"/>
  <c r="AY99" i="6"/>
  <c r="FB185" i="6"/>
  <c r="FC185" i="6"/>
  <c r="W52" i="6"/>
  <c r="CA52" i="6" s="1"/>
  <c r="V52" i="6"/>
  <c r="BZ52" i="6" s="1"/>
  <c r="V53" i="6" s="1"/>
  <c r="BZ53" i="6" s="1"/>
  <c r="V54" i="6" s="1"/>
  <c r="BZ54" i="6" s="1"/>
  <c r="V55" i="6" s="1"/>
  <c r="BZ55" i="6" s="1"/>
  <c r="V56" i="6" s="1"/>
  <c r="BZ56" i="6" s="1"/>
  <c r="V57" i="6" s="1"/>
  <c r="BZ57" i="6" s="1"/>
  <c r="V58" i="6" s="1"/>
  <c r="BZ58" i="6" s="1"/>
  <c r="V59" i="6" s="1"/>
  <c r="BZ59" i="6" s="1"/>
  <c r="V60" i="6" s="1"/>
  <c r="BZ60" i="6" s="1"/>
  <c r="V61" i="6" s="1"/>
  <c r="BZ61" i="6" s="1"/>
  <c r="V62" i="6" s="1"/>
  <c r="BZ62" i="6" s="1"/>
  <c r="U52" i="6"/>
  <c r="EH225" i="6"/>
  <c r="EK225" i="6" s="1"/>
  <c r="CS225" i="6"/>
  <c r="AO226" i="6" s="1"/>
  <c r="BM225" i="6"/>
  <c r="CD225" i="6"/>
  <c r="Z226" i="6" s="1"/>
  <c r="CC225" i="6"/>
  <c r="Y226" i="6" s="1"/>
  <c r="DI47" i="6"/>
  <c r="K104" i="4"/>
  <c r="CJ205" i="6"/>
  <c r="AF206" i="6" s="1"/>
  <c r="CK205" i="6"/>
  <c r="AG206" i="6" s="1"/>
  <c r="BX100" i="6"/>
  <c r="U106" i="4" s="1"/>
  <c r="CF100" i="6"/>
  <c r="AB101" i="6" s="1"/>
  <c r="CV193" i="6"/>
  <c r="AR194" i="6" s="1"/>
  <c r="CN193" i="6"/>
  <c r="AJ194" i="6" s="1"/>
  <c r="CY193" i="6"/>
  <c r="AU194" i="6" s="1"/>
  <c r="EI194" i="6" s="1"/>
  <c r="CX193" i="6"/>
  <c r="AT194" i="6" s="1"/>
  <c r="CW193" i="6"/>
  <c r="AS194" i="6" s="1"/>
  <c r="EJ194" i="6" s="1"/>
  <c r="BL194" i="6" s="1"/>
  <c r="EG227" i="6"/>
  <c r="ED228" i="6" s="1"/>
  <c r="CU100" i="6"/>
  <c r="AQ101" i="6" s="1"/>
  <c r="CT100" i="6"/>
  <c r="AP101" i="6" s="1"/>
  <c r="EN209" i="6" l="1"/>
  <c r="Q209" i="6" s="1"/>
  <c r="EO209" i="6" s="1"/>
  <c r="EM210" i="6" s="1"/>
  <c r="EG228" i="6"/>
  <c r="ED229" i="6" s="1"/>
  <c r="BD47" i="6"/>
  <c r="BC47" i="6"/>
  <c r="DR47" i="6"/>
  <c r="DV47" i="6"/>
  <c r="CG102" i="6"/>
  <c r="AC103" i="6" s="1"/>
  <c r="FC186" i="6"/>
  <c r="FB186" i="6"/>
  <c r="EV64" i="6"/>
  <c r="EW64" i="6" s="1"/>
  <c r="ES64" i="6"/>
  <c r="ER64" i="6"/>
  <c r="U70" i="5"/>
  <c r="CT101" i="6"/>
  <c r="AP102" i="6" s="1"/>
  <c r="CU101" i="6"/>
  <c r="AQ102" i="6" s="1"/>
  <c r="T58" i="4"/>
  <c r="BY52" i="6"/>
  <c r="EB228" i="6"/>
  <c r="EF229" i="6"/>
  <c r="K105" i="4"/>
  <c r="EH226" i="6"/>
  <c r="EK226" i="6" s="1"/>
  <c r="CS226" i="6"/>
  <c r="AO227" i="6" s="1"/>
  <c r="CD226" i="6"/>
  <c r="Z227" i="6" s="1"/>
  <c r="CC226" i="6"/>
  <c r="Y227" i="6" s="1"/>
  <c r="BM226" i="6"/>
  <c r="BX101" i="6"/>
  <c r="U107" i="4" s="1"/>
  <c r="CF101" i="6"/>
  <c r="AB102" i="6" s="1"/>
  <c r="DI65" i="6"/>
  <c r="CX194" i="6"/>
  <c r="AT195" i="6" s="1"/>
  <c r="CN194" i="6"/>
  <c r="AJ195" i="6" s="1"/>
  <c r="CV194" i="6"/>
  <c r="AR195" i="6" s="1"/>
  <c r="CY194" i="6"/>
  <c r="AU195" i="6" s="1"/>
  <c r="EI195" i="6" s="1"/>
  <c r="CW194" i="6"/>
  <c r="AS195" i="6" s="1"/>
  <c r="EJ195" i="6" s="1"/>
  <c r="BL195" i="6" s="1"/>
  <c r="FD101" i="6"/>
  <c r="AY100" i="6"/>
  <c r="CK206" i="6"/>
  <c r="AG207" i="6" s="1"/>
  <c r="CJ206" i="6"/>
  <c r="AF207" i="6" s="1"/>
  <c r="EN210" i="6" l="1"/>
  <c r="Q210" i="6" s="1"/>
  <c r="EO210" i="6" s="1"/>
  <c r="EM211" i="6" s="1"/>
  <c r="EB229" i="6"/>
  <c r="EF230" i="6"/>
  <c r="CJ207" i="6"/>
  <c r="AF208" i="6" s="1"/>
  <c r="CK207" i="6"/>
  <c r="AG208" i="6" s="1"/>
  <c r="CG103" i="6"/>
  <c r="AC104" i="6" s="1"/>
  <c r="DO47" i="6"/>
  <c r="DK48" i="6" s="1"/>
  <c r="DQ47" i="6"/>
  <c r="DM48" i="6" s="1"/>
  <c r="DP47" i="6"/>
  <c r="DL48" i="6" s="1"/>
  <c r="DN47" i="6"/>
  <c r="DJ48" i="6" s="1"/>
  <c r="FD102" i="6"/>
  <c r="AY101" i="6"/>
  <c r="CT102" i="6"/>
  <c r="AP103" i="6" s="1"/>
  <c r="CU102" i="6"/>
  <c r="AQ103" i="6" s="1"/>
  <c r="DR65" i="6"/>
  <c r="BC65" i="6"/>
  <c r="BO65" i="6" s="1"/>
  <c r="FC187" i="6"/>
  <c r="FB187" i="6"/>
  <c r="K106" i="4"/>
  <c r="EG229" i="6"/>
  <c r="ED230" i="6" s="1"/>
  <c r="EH227" i="6"/>
  <c r="EK227" i="6" s="1"/>
  <c r="CS227" i="6"/>
  <c r="AO228" i="6" s="1"/>
  <c r="CD227" i="6"/>
  <c r="Z228" i="6" s="1"/>
  <c r="CC227" i="6"/>
  <c r="Y228" i="6" s="1"/>
  <c r="BM227" i="6"/>
  <c r="V70" i="5"/>
  <c r="DV64" i="6"/>
  <c r="BX102" i="6"/>
  <c r="U108" i="4" s="1"/>
  <c r="CF102" i="6"/>
  <c r="AB103" i="6" s="1"/>
  <c r="U53" i="6"/>
  <c r="W53" i="6"/>
  <c r="CA53" i="6" s="1"/>
  <c r="CV195" i="6"/>
  <c r="AR196" i="6" s="1"/>
  <c r="CN195" i="6"/>
  <c r="AJ196" i="6" s="1"/>
  <c r="CY195" i="6"/>
  <c r="AU196" i="6" s="1"/>
  <c r="EI196" i="6" s="1"/>
  <c r="CW195" i="6"/>
  <c r="AS196" i="6" s="1"/>
  <c r="EJ196" i="6" s="1"/>
  <c r="BL196" i="6" s="1"/>
  <c r="CX195" i="6"/>
  <c r="AT196" i="6" s="1"/>
  <c r="W70" i="5"/>
  <c r="DX64" i="6"/>
  <c r="BV64" i="6" s="1"/>
  <c r="P70" i="4" s="1"/>
  <c r="F70" i="5" s="1"/>
  <c r="DW64" i="6"/>
  <c r="BU64" i="6" s="1"/>
  <c r="EN211" i="6" l="1"/>
  <c r="Q211" i="6" s="1"/>
  <c r="EO211" i="6" s="1"/>
  <c r="EM212" i="6" s="1"/>
  <c r="BW64" i="6"/>
  <c r="EU64" i="6" s="1"/>
  <c r="ET64" i="6" s="1"/>
  <c r="EP65" i="6" s="1"/>
  <c r="O70" i="4"/>
  <c r="E70" i="5" s="1"/>
  <c r="DI48" i="6"/>
  <c r="DP65" i="6"/>
  <c r="DL66" i="6" s="1"/>
  <c r="DN65" i="6"/>
  <c r="DJ66" i="6" s="1"/>
  <c r="DQ65" i="6"/>
  <c r="DM66" i="6" s="1"/>
  <c r="DO65" i="6"/>
  <c r="DK66" i="6" s="1"/>
  <c r="CG104" i="6"/>
  <c r="AC105" i="6" s="1"/>
  <c r="CN196" i="6"/>
  <c r="AJ197" i="6" s="1"/>
  <c r="CX196" i="6"/>
  <c r="AT197" i="6" s="1"/>
  <c r="CW196" i="6"/>
  <c r="AS197" i="6" s="1"/>
  <c r="EJ197" i="6" s="1"/>
  <c r="BL197" i="6" s="1"/>
  <c r="CY196" i="6"/>
  <c r="AU197" i="6" s="1"/>
  <c r="EI197" i="6" s="1"/>
  <c r="CV196" i="6"/>
  <c r="AR197" i="6" s="1"/>
  <c r="CK208" i="6"/>
  <c r="AG209" i="6" s="1"/>
  <c r="CJ208" i="6"/>
  <c r="AF209" i="6" s="1"/>
  <c r="K107" i="4"/>
  <c r="EB230" i="6"/>
  <c r="EF231" i="6"/>
  <c r="FD103" i="6"/>
  <c r="AY102" i="6"/>
  <c r="BY53" i="6"/>
  <c r="T59" i="4"/>
  <c r="BX103" i="6"/>
  <c r="U109" i="4" s="1"/>
  <c r="CF103" i="6"/>
  <c r="AB104" i="6" s="1"/>
  <c r="EH228" i="6"/>
  <c r="EK228" i="6" s="1"/>
  <c r="BM228" i="6"/>
  <c r="CD228" i="6"/>
  <c r="Z229" i="6" s="1"/>
  <c r="CC228" i="6"/>
  <c r="Y229" i="6" s="1"/>
  <c r="CS228" i="6"/>
  <c r="AO229" i="6" s="1"/>
  <c r="CT103" i="6"/>
  <c r="AP104" i="6" s="1"/>
  <c r="CU103" i="6"/>
  <c r="AQ104" i="6" s="1"/>
  <c r="EG230" i="6"/>
  <c r="ED231" i="6" s="1"/>
  <c r="FC188" i="6"/>
  <c r="FB188" i="6"/>
  <c r="EN212" i="6" l="1"/>
  <c r="Q212" i="6" s="1"/>
  <c r="EO212" i="6" s="1"/>
  <c r="EM213" i="6" s="1"/>
  <c r="DI66" i="6"/>
  <c r="CT104" i="6"/>
  <c r="AP105" i="6" s="1"/>
  <c r="CU104" i="6"/>
  <c r="AQ105" i="6" s="1"/>
  <c r="W54" i="6"/>
  <c r="CA54" i="6" s="1"/>
  <c r="U54" i="6"/>
  <c r="BD48" i="6"/>
  <c r="BC48" i="6"/>
  <c r="DR48" i="6"/>
  <c r="DV48" i="6"/>
  <c r="K108" i="4"/>
  <c r="FC189" i="6"/>
  <c r="FB189" i="6"/>
  <c r="EH229" i="6"/>
  <c r="EK229" i="6" s="1"/>
  <c r="CS229" i="6"/>
  <c r="AO230" i="6" s="1"/>
  <c r="CD229" i="6"/>
  <c r="Z230" i="6" s="1"/>
  <c r="CC229" i="6"/>
  <c r="Y230" i="6" s="1"/>
  <c r="BM229" i="6"/>
  <c r="CF104" i="6"/>
  <c r="AB105" i="6" s="1"/>
  <c r="BX104" i="6"/>
  <c r="U110" i="4" s="1"/>
  <c r="FD104" i="6"/>
  <c r="AY103" i="6"/>
  <c r="ET65" i="6"/>
  <c r="EP66" i="6" s="1"/>
  <c r="EQ65" i="6"/>
  <c r="EG231" i="6"/>
  <c r="ED232" i="6" s="1"/>
  <c r="CK209" i="6"/>
  <c r="AG210" i="6" s="1"/>
  <c r="CJ209" i="6"/>
  <c r="AF210" i="6" s="1"/>
  <c r="CN197" i="6"/>
  <c r="AJ198" i="6" s="1"/>
  <c r="CV197" i="6"/>
  <c r="AR198" i="6" s="1"/>
  <c r="CY197" i="6"/>
  <c r="AU198" i="6" s="1"/>
  <c r="EI198" i="6" s="1"/>
  <c r="CW197" i="6"/>
  <c r="AS198" i="6" s="1"/>
  <c r="EJ198" i="6" s="1"/>
  <c r="BL198" i="6" s="1"/>
  <c r="CX197" i="6"/>
  <c r="AT198" i="6" s="1"/>
  <c r="EB231" i="6"/>
  <c r="EF232" i="6"/>
  <c r="CG105" i="6"/>
  <c r="AC106" i="6" s="1"/>
  <c r="EN213" i="6" l="1"/>
  <c r="Q213" i="6" s="1"/>
  <c r="EO213" i="6" s="1"/>
  <c r="EM214" i="6" s="1"/>
  <c r="DQ48" i="6"/>
  <c r="DM49" i="6" s="1"/>
  <c r="DP48" i="6"/>
  <c r="DL49" i="6" s="1"/>
  <c r="DN48" i="6"/>
  <c r="DJ49" i="6" s="1"/>
  <c r="DO48" i="6"/>
  <c r="DK49" i="6" s="1"/>
  <c r="EQ66" i="6"/>
  <c r="ET66" i="6"/>
  <c r="EP67" i="6" s="1"/>
  <c r="T60" i="4"/>
  <c r="BY54" i="6"/>
  <c r="EH230" i="6"/>
  <c r="EK230" i="6" s="1"/>
  <c r="BM230" i="6"/>
  <c r="CD230" i="6"/>
  <c r="Z231" i="6" s="1"/>
  <c r="CC230" i="6"/>
  <c r="Y231" i="6" s="1"/>
  <c r="CS230" i="6"/>
  <c r="AO231" i="6" s="1"/>
  <c r="EV65" i="6"/>
  <c r="EW65" i="6" s="1"/>
  <c r="ES65" i="6"/>
  <c r="W71" i="5" s="1"/>
  <c r="ER65" i="6"/>
  <c r="U71" i="5"/>
  <c r="FD105" i="6"/>
  <c r="AY105" i="6" s="1"/>
  <c r="AY104" i="6"/>
  <c r="DR66" i="6"/>
  <c r="BC66" i="6"/>
  <c r="BO66" i="6" s="1"/>
  <c r="EG232" i="6"/>
  <c r="ED233" i="6" s="1"/>
  <c r="CG106" i="6"/>
  <c r="AC107" i="6" s="1"/>
  <c r="EB232" i="6"/>
  <c r="EF233" i="6"/>
  <c r="CT105" i="6"/>
  <c r="AP106" i="6" s="1"/>
  <c r="CU105" i="6"/>
  <c r="AQ106" i="6" s="1"/>
  <c r="BX105" i="6"/>
  <c r="U111" i="4" s="1"/>
  <c r="CF105" i="6"/>
  <c r="AB106" i="6" s="1"/>
  <c r="K109" i="4"/>
  <c r="FB190" i="6"/>
  <c r="FC190" i="6"/>
  <c r="CY198" i="6"/>
  <c r="AU199" i="6" s="1"/>
  <c r="EI199" i="6" s="1"/>
  <c r="CX198" i="6"/>
  <c r="AT199" i="6" s="1"/>
  <c r="CW198" i="6"/>
  <c r="AS199" i="6" s="1"/>
  <c r="EJ199" i="6" s="1"/>
  <c r="BL199" i="6" s="1"/>
  <c r="CV198" i="6"/>
  <c r="AR199" i="6" s="1"/>
  <c r="CN198" i="6"/>
  <c r="AJ199" i="6" s="1"/>
  <c r="CK210" i="6"/>
  <c r="AG211" i="6" s="1"/>
  <c r="CJ210" i="6"/>
  <c r="AF211" i="6" s="1"/>
  <c r="K111" i="4" l="1"/>
  <c r="EO214" i="6"/>
  <c r="EM215" i="6" s="1"/>
  <c r="EN214" i="6"/>
  <c r="Q214" i="6" s="1"/>
  <c r="EB233" i="6"/>
  <c r="EF234" i="6"/>
  <c r="W55" i="6"/>
  <c r="CA55" i="6" s="1"/>
  <c r="U55" i="6"/>
  <c r="ET67" i="6"/>
  <c r="EP68" i="6" s="1"/>
  <c r="EQ67" i="6"/>
  <c r="FD106" i="6"/>
  <c r="V71" i="5"/>
  <c r="DV65" i="6"/>
  <c r="CG107" i="6"/>
  <c r="AC108" i="6" s="1"/>
  <c r="EV66" i="6"/>
  <c r="EW66" i="6" s="1"/>
  <c r="ES66" i="6"/>
  <c r="W72" i="5" s="1"/>
  <c r="ER66" i="6"/>
  <c r="U72" i="5"/>
  <c r="FC191" i="6"/>
  <c r="FB191" i="6"/>
  <c r="EG233" i="6"/>
  <c r="ED234" i="6" s="1"/>
  <c r="CN199" i="6"/>
  <c r="AJ200" i="6" s="1"/>
  <c r="CY199" i="6"/>
  <c r="AU200" i="6" s="1"/>
  <c r="EI200" i="6" s="1"/>
  <c r="CV199" i="6"/>
  <c r="AR200" i="6" s="1"/>
  <c r="CX199" i="6"/>
  <c r="AT200" i="6" s="1"/>
  <c r="CW199" i="6"/>
  <c r="AS200" i="6" s="1"/>
  <c r="EJ200" i="6" s="1"/>
  <c r="BL200" i="6" s="1"/>
  <c r="CF106" i="6"/>
  <c r="AB107" i="6" s="1"/>
  <c r="BX106" i="6"/>
  <c r="U112" i="4" s="1"/>
  <c r="DI49" i="6"/>
  <c r="DN66" i="6"/>
  <c r="DJ67" i="6" s="1"/>
  <c r="DP66" i="6"/>
  <c r="DL67" i="6" s="1"/>
  <c r="DO66" i="6"/>
  <c r="DK67" i="6" s="1"/>
  <c r="DQ66" i="6"/>
  <c r="DM67" i="6" s="1"/>
  <c r="EH231" i="6"/>
  <c r="EK231" i="6" s="1"/>
  <c r="CD231" i="6"/>
  <c r="Z232" i="6" s="1"/>
  <c r="CC231" i="6"/>
  <c r="Y232" i="6" s="1"/>
  <c r="CS231" i="6"/>
  <c r="AO232" i="6" s="1"/>
  <c r="BM231" i="6"/>
  <c r="CJ211" i="6"/>
  <c r="AF212" i="6" s="1"/>
  <c r="CK211" i="6"/>
  <c r="AG212" i="6" s="1"/>
  <c r="AY106" i="6"/>
  <c r="CT106" i="6"/>
  <c r="AP107" i="6" s="1"/>
  <c r="CU106" i="6"/>
  <c r="AQ107" i="6" s="1"/>
  <c r="K110" i="4"/>
  <c r="CT107" i="6" l="1"/>
  <c r="AP108" i="6" s="1"/>
  <c r="CU107" i="6"/>
  <c r="AQ108" i="6" s="1"/>
  <c r="V72" i="5"/>
  <c r="DV66" i="6"/>
  <c r="EH232" i="6"/>
  <c r="EK232" i="6" s="1"/>
  <c r="CD232" i="6"/>
  <c r="Z233" i="6" s="1"/>
  <c r="CC232" i="6"/>
  <c r="Y233" i="6" s="1"/>
  <c r="BM232" i="6"/>
  <c r="CS232" i="6"/>
  <c r="AO233" i="6" s="1"/>
  <c r="EQ68" i="6"/>
  <c r="CG108" i="6"/>
  <c r="AC109" i="6" s="1"/>
  <c r="BX107" i="6"/>
  <c r="U113" i="4" s="1"/>
  <c r="CF107" i="6"/>
  <c r="AB108" i="6" s="1"/>
  <c r="ES67" i="6"/>
  <c r="W73" i="5" s="1"/>
  <c r="EV67" i="6"/>
  <c r="EW67" i="6" s="1"/>
  <c r="ER67" i="6"/>
  <c r="V73" i="5" s="1"/>
  <c r="U73" i="5"/>
  <c r="T61" i="4"/>
  <c r="BY55" i="6"/>
  <c r="EB234" i="6"/>
  <c r="EF235" i="6"/>
  <c r="DI67" i="6"/>
  <c r="CN200" i="6"/>
  <c r="AJ201" i="6" s="1"/>
  <c r="CY200" i="6"/>
  <c r="AU201" i="6" s="1"/>
  <c r="EI201" i="6" s="1"/>
  <c r="CV200" i="6"/>
  <c r="AR201" i="6" s="1"/>
  <c r="CX200" i="6"/>
  <c r="AT201" i="6" s="1"/>
  <c r="CW200" i="6"/>
  <c r="AS201" i="6" s="1"/>
  <c r="EJ201" i="6" s="1"/>
  <c r="BL201" i="6" s="1"/>
  <c r="FD107" i="6"/>
  <c r="EO215" i="6"/>
  <c r="EM216" i="6" s="1"/>
  <c r="EN215" i="6"/>
  <c r="Q215" i="6" s="1"/>
  <c r="K112" i="4"/>
  <c r="EG234" i="6"/>
  <c r="ED235" i="6" s="1"/>
  <c r="CK212" i="6"/>
  <c r="AG213" i="6" s="1"/>
  <c r="CJ212" i="6"/>
  <c r="AF213" i="6" s="1"/>
  <c r="BD49" i="6"/>
  <c r="DR49" i="6"/>
  <c r="BC49" i="6"/>
  <c r="DV49" i="6"/>
  <c r="FC192" i="6"/>
  <c r="FB192" i="6"/>
  <c r="DP49" i="6" l="1"/>
  <c r="DL50" i="6" s="1"/>
  <c r="DN49" i="6"/>
  <c r="DJ50" i="6" s="1"/>
  <c r="DQ49" i="6"/>
  <c r="DM50" i="6" s="1"/>
  <c r="DO49" i="6"/>
  <c r="DK50" i="6" s="1"/>
  <c r="W56" i="6"/>
  <c r="CA56" i="6" s="1"/>
  <c r="U56" i="6"/>
  <c r="CJ213" i="6"/>
  <c r="AF214" i="6" s="1"/>
  <c r="CK213" i="6"/>
  <c r="AG214" i="6" s="1"/>
  <c r="EG235" i="6"/>
  <c r="ED236" i="6" s="1"/>
  <c r="EH233" i="6"/>
  <c r="EK233" i="6" s="1"/>
  <c r="CS233" i="6"/>
  <c r="AO234" i="6" s="1"/>
  <c r="BM233" i="6"/>
  <c r="CD233" i="6"/>
  <c r="Z234" i="6" s="1"/>
  <c r="CC233" i="6"/>
  <c r="Y234" i="6" s="1"/>
  <c r="ES68" i="6"/>
  <c r="ER68" i="6"/>
  <c r="V74" i="5" s="1"/>
  <c r="EV68" i="6"/>
  <c r="EW68" i="6" s="1"/>
  <c r="U74" i="5"/>
  <c r="CV201" i="6"/>
  <c r="AR202" i="6" s="1"/>
  <c r="CY201" i="6"/>
  <c r="AU202" i="6" s="1"/>
  <c r="EI202" i="6" s="1"/>
  <c r="CX201" i="6"/>
  <c r="AT202" i="6" s="1"/>
  <c r="CN201" i="6"/>
  <c r="AJ202" i="6" s="1"/>
  <c r="CW201" i="6"/>
  <c r="AS202" i="6" s="1"/>
  <c r="EJ202" i="6" s="1"/>
  <c r="BL202" i="6" s="1"/>
  <c r="CF108" i="6"/>
  <c r="AB109" i="6" s="1"/>
  <c r="BX108" i="6"/>
  <c r="U114" i="4" s="1"/>
  <c r="EB235" i="6"/>
  <c r="EF236" i="6"/>
  <c r="EO216" i="6"/>
  <c r="EM217" i="6" s="1"/>
  <c r="EN216" i="6"/>
  <c r="Q216" i="6" s="1"/>
  <c r="BC67" i="6"/>
  <c r="BO67" i="6" s="1"/>
  <c r="DR67" i="6"/>
  <c r="DV67" i="6"/>
  <c r="BS67" i="6" s="1"/>
  <c r="FC193" i="6"/>
  <c r="FB193" i="6"/>
  <c r="CU108" i="6"/>
  <c r="AQ109" i="6" s="1"/>
  <c r="CT108" i="6"/>
  <c r="AP109" i="6" s="1"/>
  <c r="FD108" i="6"/>
  <c r="AY107" i="6"/>
  <c r="CG109" i="6"/>
  <c r="AC110" i="6" s="1"/>
  <c r="EN217" i="6" l="1"/>
  <c r="Q217" i="6" s="1"/>
  <c r="EO217" i="6" s="1"/>
  <c r="EM218" i="6" s="1"/>
  <c r="CT109" i="6"/>
  <c r="AP110" i="6" s="1"/>
  <c r="CU109" i="6"/>
  <c r="AQ110" i="6" s="1"/>
  <c r="EH234" i="6"/>
  <c r="EK234" i="6" s="1"/>
  <c r="CC234" i="6"/>
  <c r="Y235" i="6" s="1"/>
  <c r="BM234" i="6"/>
  <c r="CD234" i="6"/>
  <c r="Z235" i="6" s="1"/>
  <c r="CS234" i="6"/>
  <c r="AO235" i="6" s="1"/>
  <c r="BX109" i="6"/>
  <c r="U115" i="4" s="1"/>
  <c r="CF109" i="6"/>
  <c r="AB110" i="6" s="1"/>
  <c r="FC194" i="6"/>
  <c r="FB194" i="6"/>
  <c r="CW202" i="6"/>
  <c r="AS203" i="6" s="1"/>
  <c r="EJ203" i="6" s="1"/>
  <c r="BL203" i="6" s="1"/>
  <c r="CV202" i="6"/>
  <c r="AR203" i="6" s="1"/>
  <c r="CN202" i="6"/>
  <c r="AJ203" i="6" s="1"/>
  <c r="CX202" i="6"/>
  <c r="AT203" i="6" s="1"/>
  <c r="CY202" i="6"/>
  <c r="AU203" i="6" s="1"/>
  <c r="EI203" i="6" s="1"/>
  <c r="EB236" i="6"/>
  <c r="EF237" i="6"/>
  <c r="CK214" i="6"/>
  <c r="AG215" i="6" s="1"/>
  <c r="CJ214" i="6"/>
  <c r="AF215" i="6" s="1"/>
  <c r="DQ67" i="6"/>
  <c r="DM68" i="6" s="1"/>
  <c r="DP67" i="6"/>
  <c r="DL68" i="6" s="1"/>
  <c r="DO67" i="6"/>
  <c r="DK68" i="6" s="1"/>
  <c r="DN67" i="6"/>
  <c r="DJ68" i="6" s="1"/>
  <c r="CG110" i="6"/>
  <c r="AC111" i="6" s="1"/>
  <c r="W74" i="5"/>
  <c r="DW68" i="6"/>
  <c r="BU68" i="6" s="1"/>
  <c r="DX68" i="6"/>
  <c r="BV68" i="6" s="1"/>
  <c r="P74" i="4" s="1"/>
  <c r="F74" i="5" s="1"/>
  <c r="EG236" i="6"/>
  <c r="ED237" i="6" s="1"/>
  <c r="K113" i="4"/>
  <c r="FD109" i="6"/>
  <c r="AY108" i="6"/>
  <c r="T62" i="4"/>
  <c r="BY56" i="6"/>
  <c r="DI50" i="6"/>
  <c r="EN218" i="6" l="1"/>
  <c r="Q218" i="6" s="1"/>
  <c r="EO218" i="6" s="1"/>
  <c r="EM219" i="6" s="1"/>
  <c r="EG237" i="6"/>
  <c r="ED238" i="6" s="1"/>
  <c r="EB237" i="6"/>
  <c r="EF238" i="6"/>
  <c r="FD110" i="6"/>
  <c r="AY109" i="6"/>
  <c r="BW68" i="6"/>
  <c r="EU68" i="6" s="1"/>
  <c r="ET68" i="6" s="1"/>
  <c r="EP69" i="6" s="1"/>
  <c r="O74" i="4"/>
  <c r="E74" i="5" s="1"/>
  <c r="CF110" i="6"/>
  <c r="AB111" i="6" s="1"/>
  <c r="BX110" i="6"/>
  <c r="U116" i="4" s="1"/>
  <c r="CJ215" i="6"/>
  <c r="AF216" i="6" s="1"/>
  <c r="CK215" i="6"/>
  <c r="AG216" i="6" s="1"/>
  <c r="BC50" i="6"/>
  <c r="BD50" i="6"/>
  <c r="DR50" i="6"/>
  <c r="DV50" i="6"/>
  <c r="U57" i="6"/>
  <c r="W57" i="6"/>
  <c r="CA57" i="6" s="1"/>
  <c r="EH235" i="6"/>
  <c r="EK235" i="6" s="1"/>
  <c r="CC235" i="6"/>
  <c r="Y236" i="6" s="1"/>
  <c r="CS235" i="6"/>
  <c r="AO236" i="6" s="1"/>
  <c r="BM235" i="6"/>
  <c r="CD235" i="6"/>
  <c r="Z236" i="6" s="1"/>
  <c r="K114" i="4"/>
  <c r="CG111" i="6"/>
  <c r="AC112" i="6" s="1"/>
  <c r="CX203" i="6"/>
  <c r="AT204" i="6" s="1"/>
  <c r="CN203" i="6"/>
  <c r="AJ204" i="6" s="1"/>
  <c r="CY203" i="6"/>
  <c r="AU204" i="6" s="1"/>
  <c r="EI204" i="6" s="1"/>
  <c r="CW203" i="6"/>
  <c r="AS204" i="6" s="1"/>
  <c r="EJ204" i="6" s="1"/>
  <c r="BL204" i="6" s="1"/>
  <c r="CV203" i="6"/>
  <c r="AR204" i="6" s="1"/>
  <c r="DI68" i="6"/>
  <c r="CU110" i="6"/>
  <c r="AQ111" i="6" s="1"/>
  <c r="CT110" i="6"/>
  <c r="AP111" i="6" s="1"/>
  <c r="FB195" i="6"/>
  <c r="FC195" i="6"/>
  <c r="EN219" i="6" l="1"/>
  <c r="Q219" i="6" s="1"/>
  <c r="EO219" i="6" s="1"/>
  <c r="EM220" i="6" s="1"/>
  <c r="CG112" i="6"/>
  <c r="AC113" i="6" s="1"/>
  <c r="ET69" i="6"/>
  <c r="EP70" i="6" s="1"/>
  <c r="EQ69" i="6"/>
  <c r="K115" i="4"/>
  <c r="CY204" i="6"/>
  <c r="AU205" i="6" s="1"/>
  <c r="EI205" i="6" s="1"/>
  <c r="CV204" i="6"/>
  <c r="AR205" i="6" s="1"/>
  <c r="CN204" i="6"/>
  <c r="AJ205" i="6" s="1"/>
  <c r="CW204" i="6"/>
  <c r="AS205" i="6" s="1"/>
  <c r="EJ205" i="6" s="1"/>
  <c r="BL205" i="6" s="1"/>
  <c r="CX204" i="6"/>
  <c r="AT205" i="6" s="1"/>
  <c r="FC196" i="6"/>
  <c r="FB196" i="6"/>
  <c r="DN50" i="6"/>
  <c r="DJ51" i="6" s="1"/>
  <c r="DO50" i="6"/>
  <c r="DK51" i="6" s="1"/>
  <c r="DP50" i="6"/>
  <c r="DL51" i="6" s="1"/>
  <c r="DQ50" i="6"/>
  <c r="DM51" i="6" s="1"/>
  <c r="EB238" i="6"/>
  <c r="EF239" i="6"/>
  <c r="DR68" i="6"/>
  <c r="DV68" i="6"/>
  <c r="CK216" i="6"/>
  <c r="AG217" i="6" s="1"/>
  <c r="CJ216" i="6"/>
  <c r="AF217" i="6" s="1"/>
  <c r="EG238" i="6"/>
  <c r="ED239" i="6" s="1"/>
  <c r="BY57" i="6"/>
  <c r="T63" i="4"/>
  <c r="FD111" i="6"/>
  <c r="CR110" i="6"/>
  <c r="AN111" i="6" s="1"/>
  <c r="CR111" i="6" s="1"/>
  <c r="AN112" i="6" s="1"/>
  <c r="CR112" i="6" s="1"/>
  <c r="AN113" i="6" s="1"/>
  <c r="CR113" i="6" s="1"/>
  <c r="AN114" i="6" s="1"/>
  <c r="CR114" i="6" s="1"/>
  <c r="AN115" i="6" s="1"/>
  <c r="CR115" i="6" s="1"/>
  <c r="AN116" i="6" s="1"/>
  <c r="CR116" i="6" s="1"/>
  <c r="AN117" i="6" s="1"/>
  <c r="CR117" i="6" s="1"/>
  <c r="AN118" i="6" s="1"/>
  <c r="CR118" i="6" s="1"/>
  <c r="AN119" i="6" s="1"/>
  <c r="CR119" i="6" s="1"/>
  <c r="AN120" i="6" s="1"/>
  <c r="CR120" i="6" s="1"/>
  <c r="AN121" i="6" s="1"/>
  <c r="CR121" i="6" s="1"/>
  <c r="AN122" i="6" s="1"/>
  <c r="CR122" i="6" s="1"/>
  <c r="AN123" i="6" s="1"/>
  <c r="CR123" i="6" s="1"/>
  <c r="AN124" i="6" s="1"/>
  <c r="CR124" i="6" s="1"/>
  <c r="AN125" i="6" s="1"/>
  <c r="CR125" i="6" s="1"/>
  <c r="AN126" i="6" s="1"/>
  <c r="CR126" i="6" s="1"/>
  <c r="AN127" i="6" s="1"/>
  <c r="CR127" i="6" s="1"/>
  <c r="AN128" i="6" s="1"/>
  <c r="CR128" i="6" s="1"/>
  <c r="AN129" i="6" s="1"/>
  <c r="CR129" i="6" s="1"/>
  <c r="AN130" i="6" s="1"/>
  <c r="CR130" i="6" s="1"/>
  <c r="AN131" i="6" s="1"/>
  <c r="CR131" i="6" s="1"/>
  <c r="AN132" i="6" s="1"/>
  <c r="CR132" i="6" s="1"/>
  <c r="AN133" i="6" s="1"/>
  <c r="CR133" i="6" s="1"/>
  <c r="AN134" i="6" s="1"/>
  <c r="CR134" i="6" s="1"/>
  <c r="AN135" i="6" s="1"/>
  <c r="CR135" i="6" s="1"/>
  <c r="AN136" i="6" s="1"/>
  <c r="CR136" i="6" s="1"/>
  <c r="AN137" i="6" s="1"/>
  <c r="CR137" i="6" s="1"/>
  <c r="AN138" i="6" s="1"/>
  <c r="CR138" i="6" s="1"/>
  <c r="AN139" i="6" s="1"/>
  <c r="CR139" i="6" s="1"/>
  <c r="AN140" i="6" s="1"/>
  <c r="CR140" i="6" s="1"/>
  <c r="AN141" i="6" s="1"/>
  <c r="CR141" i="6" s="1"/>
  <c r="AN142" i="6" s="1"/>
  <c r="CR142" i="6" s="1"/>
  <c r="AN143" i="6" s="1"/>
  <c r="CR143" i="6" s="1"/>
  <c r="AN144" i="6" s="1"/>
  <c r="CR144" i="6" s="1"/>
  <c r="AN145" i="6" s="1"/>
  <c r="CR145" i="6" s="1"/>
  <c r="AN146" i="6" s="1"/>
  <c r="CR146" i="6" s="1"/>
  <c r="AN147" i="6" s="1"/>
  <c r="CR147" i="6" s="1"/>
  <c r="AN148" i="6" s="1"/>
  <c r="CR148" i="6" s="1"/>
  <c r="AN149" i="6" s="1"/>
  <c r="CR149" i="6" s="1"/>
  <c r="AN150" i="6" s="1"/>
  <c r="CR150" i="6" s="1"/>
  <c r="AN151" i="6" s="1"/>
  <c r="CR151" i="6" s="1"/>
  <c r="AN152" i="6" s="1"/>
  <c r="CR152" i="6" s="1"/>
  <c r="AN153" i="6" s="1"/>
  <c r="CR153" i="6" s="1"/>
  <c r="AN154" i="6" s="1"/>
  <c r="CR154" i="6" s="1"/>
  <c r="AN155" i="6" s="1"/>
  <c r="CR155" i="6" s="1"/>
  <c r="AN156" i="6" s="1"/>
  <c r="CR156" i="6" s="1"/>
  <c r="AN157" i="6" s="1"/>
  <c r="CR157" i="6" s="1"/>
  <c r="AN158" i="6" s="1"/>
  <c r="CR158" i="6" s="1"/>
  <c r="AN159" i="6" s="1"/>
  <c r="CR159" i="6" s="1"/>
  <c r="AN160" i="6" s="1"/>
  <c r="CR160" i="6" s="1"/>
  <c r="AN161" i="6" s="1"/>
  <c r="CR161" i="6" s="1"/>
  <c r="AN162" i="6" s="1"/>
  <c r="CR162" i="6" s="1"/>
  <c r="AN163" i="6" s="1"/>
  <c r="CR163" i="6" s="1"/>
  <c r="AN164" i="6" s="1"/>
  <c r="CR164" i="6" s="1"/>
  <c r="AN165" i="6" s="1"/>
  <c r="CR165" i="6" s="1"/>
  <c r="AN166" i="6" s="1"/>
  <c r="CR166" i="6" s="1"/>
  <c r="AN167" i="6" s="1"/>
  <c r="CR167" i="6" s="1"/>
  <c r="AN168" i="6" s="1"/>
  <c r="CR168" i="6" s="1"/>
  <c r="AN169" i="6" s="1"/>
  <c r="CR169" i="6" s="1"/>
  <c r="AN170" i="6" s="1"/>
  <c r="CR170" i="6" s="1"/>
  <c r="AN171" i="6" s="1"/>
  <c r="CR171" i="6" s="1"/>
  <c r="AN172" i="6" s="1"/>
  <c r="CR172" i="6" s="1"/>
  <c r="AN173" i="6" s="1"/>
  <c r="CR173" i="6" s="1"/>
  <c r="AN174" i="6" s="1"/>
  <c r="CR174" i="6" s="1"/>
  <c r="AN175" i="6" s="1"/>
  <c r="CR175" i="6" s="1"/>
  <c r="AN176" i="6" s="1"/>
  <c r="CR176" i="6" s="1"/>
  <c r="AN177" i="6" s="1"/>
  <c r="CR177" i="6" s="1"/>
  <c r="AN178" i="6" s="1"/>
  <c r="CR178" i="6" s="1"/>
  <c r="AN179" i="6" s="1"/>
  <c r="CR179" i="6" s="1"/>
  <c r="AN180" i="6" s="1"/>
  <c r="CR180" i="6" s="1"/>
  <c r="AN181" i="6" s="1"/>
  <c r="CR181" i="6" s="1"/>
  <c r="AN182" i="6" s="1"/>
  <c r="CR182" i="6" s="1"/>
  <c r="AN183" i="6" s="1"/>
  <c r="CR183" i="6" s="1"/>
  <c r="AN184" i="6" s="1"/>
  <c r="CR184" i="6" s="1"/>
  <c r="AN185" i="6" s="1"/>
  <c r="CR185" i="6" s="1"/>
  <c r="AN186" i="6" s="1"/>
  <c r="CR186" i="6" s="1"/>
  <c r="AN187" i="6" s="1"/>
  <c r="CR187" i="6" s="1"/>
  <c r="AN188" i="6" s="1"/>
  <c r="CR188" i="6" s="1"/>
  <c r="AN189" i="6" s="1"/>
  <c r="CR189" i="6" s="1"/>
  <c r="AN190" i="6" s="1"/>
  <c r="CR190" i="6" s="1"/>
  <c r="AN191" i="6" s="1"/>
  <c r="CR191" i="6" s="1"/>
  <c r="AN192" i="6" s="1"/>
  <c r="CR192" i="6" s="1"/>
  <c r="AN193" i="6" s="1"/>
  <c r="CR193" i="6" s="1"/>
  <c r="AN194" i="6" s="1"/>
  <c r="CR194" i="6" s="1"/>
  <c r="AN195" i="6" s="1"/>
  <c r="CR195" i="6" s="1"/>
  <c r="AN196" i="6" s="1"/>
  <c r="CR196" i="6" s="1"/>
  <c r="AN197" i="6" s="1"/>
  <c r="CR197" i="6" s="1"/>
  <c r="AN198" i="6" s="1"/>
  <c r="CR198" i="6" s="1"/>
  <c r="AN199" i="6" s="1"/>
  <c r="CR199" i="6" s="1"/>
  <c r="AN200" i="6" s="1"/>
  <c r="CR200" i="6" s="1"/>
  <c r="AN201" i="6" s="1"/>
  <c r="CR201" i="6" s="1"/>
  <c r="AN202" i="6" s="1"/>
  <c r="CR202" i="6" s="1"/>
  <c r="AN203" i="6" s="1"/>
  <c r="CR203" i="6" s="1"/>
  <c r="AN204" i="6" s="1"/>
  <c r="CR204" i="6" s="1"/>
  <c r="AN205" i="6" s="1"/>
  <c r="CR205" i="6" s="1"/>
  <c r="AN206" i="6" s="1"/>
  <c r="CR206" i="6" s="1"/>
  <c r="AN207" i="6" s="1"/>
  <c r="CR207" i="6" s="1"/>
  <c r="AN208" i="6" s="1"/>
  <c r="CR208" i="6" s="1"/>
  <c r="AN209" i="6" s="1"/>
  <c r="CR209" i="6" s="1"/>
  <c r="AN210" i="6" s="1"/>
  <c r="CR210" i="6" s="1"/>
  <c r="AN211" i="6" s="1"/>
  <c r="CR211" i="6" s="1"/>
  <c r="AN212" i="6" s="1"/>
  <c r="CR212" i="6" s="1"/>
  <c r="AN213" i="6" s="1"/>
  <c r="CR213" i="6" s="1"/>
  <c r="AN214" i="6" s="1"/>
  <c r="CR214" i="6" s="1"/>
  <c r="AN215" i="6" s="1"/>
  <c r="CR215" i="6" s="1"/>
  <c r="AN216" i="6" s="1"/>
  <c r="CR216" i="6" s="1"/>
  <c r="AN217" i="6" s="1"/>
  <c r="CR217" i="6" s="1"/>
  <c r="AN218" i="6" s="1"/>
  <c r="CR218" i="6" s="1"/>
  <c r="AN219" i="6" s="1"/>
  <c r="CR219" i="6" s="1"/>
  <c r="AN220" i="6" s="1"/>
  <c r="CR220" i="6" s="1"/>
  <c r="AN221" i="6" s="1"/>
  <c r="CR221" i="6" s="1"/>
  <c r="AN222" i="6" s="1"/>
  <c r="CR222" i="6" s="1"/>
  <c r="AN223" i="6" s="1"/>
  <c r="CR223" i="6" s="1"/>
  <c r="AN224" i="6" s="1"/>
  <c r="CR224" i="6" s="1"/>
  <c r="AN225" i="6" s="1"/>
  <c r="CR225" i="6" s="1"/>
  <c r="AN226" i="6" s="1"/>
  <c r="CR226" i="6" s="1"/>
  <c r="AN227" i="6" s="1"/>
  <c r="CR227" i="6" s="1"/>
  <c r="AN228" i="6" s="1"/>
  <c r="CR228" i="6" s="1"/>
  <c r="AN229" i="6" s="1"/>
  <c r="CR229" i="6" s="1"/>
  <c r="AN230" i="6" s="1"/>
  <c r="CR230" i="6" s="1"/>
  <c r="AN231" i="6" s="1"/>
  <c r="CR231" i="6" s="1"/>
  <c r="AN232" i="6" s="1"/>
  <c r="CR232" i="6" s="1"/>
  <c r="AN233" i="6" s="1"/>
  <c r="CR233" i="6" s="1"/>
  <c r="AN234" i="6" s="1"/>
  <c r="CR234" i="6" s="1"/>
  <c r="AN235" i="6" s="1"/>
  <c r="CR235" i="6" s="1"/>
  <c r="AN236" i="6" s="1"/>
  <c r="CR236" i="6" s="1"/>
  <c r="AN237" i="6" s="1"/>
  <c r="CR237" i="6" s="1"/>
  <c r="AN238" i="6" s="1"/>
  <c r="CR238" i="6" s="1"/>
  <c r="AN239" i="6" s="1"/>
  <c r="CR239" i="6" s="1"/>
  <c r="AN240" i="6" s="1"/>
  <c r="CR240" i="6" s="1"/>
  <c r="AN241" i="6" s="1"/>
  <c r="CR241" i="6" s="1"/>
  <c r="AN242" i="6" s="1"/>
  <c r="CR242" i="6" s="1"/>
  <c r="AY110" i="6"/>
  <c r="CU111" i="6"/>
  <c r="AQ112" i="6" s="1"/>
  <c r="CT111" i="6"/>
  <c r="AP112" i="6" s="1"/>
  <c r="EH236" i="6"/>
  <c r="EK236" i="6" s="1"/>
  <c r="CC236" i="6"/>
  <c r="Y237" i="6" s="1"/>
  <c r="CD236" i="6"/>
  <c r="Z237" i="6" s="1"/>
  <c r="CS236" i="6"/>
  <c r="AO237" i="6" s="1"/>
  <c r="BM236" i="6"/>
  <c r="CF111" i="6"/>
  <c r="AB112" i="6" s="1"/>
  <c r="BX111" i="6"/>
  <c r="U117" i="4" s="1"/>
  <c r="EN220" i="6" l="1"/>
  <c r="Q220" i="6" s="1"/>
  <c r="EO220" i="6" s="1"/>
  <c r="EM221" i="6" s="1"/>
  <c r="CW205" i="6"/>
  <c r="AS206" i="6" s="1"/>
  <c r="EJ206" i="6" s="1"/>
  <c r="BL206" i="6" s="1"/>
  <c r="CX205" i="6"/>
  <c r="AT206" i="6" s="1"/>
  <c r="CN205" i="6"/>
  <c r="AJ206" i="6" s="1"/>
  <c r="CY205" i="6"/>
  <c r="AU206" i="6" s="1"/>
  <c r="EI206" i="6" s="1"/>
  <c r="CV205" i="6"/>
  <c r="AR206" i="6" s="1"/>
  <c r="K116" i="4"/>
  <c r="DP68" i="6"/>
  <c r="DL69" i="6" s="1"/>
  <c r="DN68" i="6"/>
  <c r="DJ69" i="6" s="1"/>
  <c r="DO68" i="6"/>
  <c r="DK69" i="6" s="1"/>
  <c r="DQ68" i="6"/>
  <c r="DM69" i="6" s="1"/>
  <c r="EB239" i="6"/>
  <c r="EF240" i="6"/>
  <c r="EV69" i="6"/>
  <c r="EW69" i="6" s="1"/>
  <c r="ES69" i="6"/>
  <c r="W75" i="5" s="1"/>
  <c r="ER69" i="6"/>
  <c r="V75" i="5" s="1"/>
  <c r="U75" i="5"/>
  <c r="EQ70" i="6"/>
  <c r="DI51" i="6"/>
  <c r="FC197" i="6"/>
  <c r="FB197" i="6"/>
  <c r="CG113" i="6"/>
  <c r="AC114" i="6" s="1"/>
  <c r="BX112" i="6"/>
  <c r="U118" i="4" s="1"/>
  <c r="CF112" i="6"/>
  <c r="AB113" i="6" s="1"/>
  <c r="W58" i="6"/>
  <c r="CA58" i="6" s="1"/>
  <c r="U58" i="6"/>
  <c r="EH237" i="6"/>
  <c r="EK237" i="6" s="1"/>
  <c r="BM237" i="6"/>
  <c r="CD237" i="6"/>
  <c r="Z238" i="6" s="1"/>
  <c r="CS237" i="6"/>
  <c r="AO238" i="6" s="1"/>
  <c r="CC237" i="6"/>
  <c r="Y238" i="6" s="1"/>
  <c r="EG239" i="6"/>
  <c r="ED240" i="6" s="1"/>
  <c r="CJ217" i="6"/>
  <c r="AF218" i="6" s="1"/>
  <c r="CK217" i="6"/>
  <c r="AG218" i="6" s="1"/>
  <c r="FD112" i="6"/>
  <c r="AY111" i="6"/>
  <c r="CU112" i="6"/>
  <c r="AQ113" i="6" s="1"/>
  <c r="CT112" i="6"/>
  <c r="AP113" i="6" s="1"/>
  <c r="EN221" i="6" l="1"/>
  <c r="Q221" i="6" s="1"/>
  <c r="EO221" i="6" s="1"/>
  <c r="EM222" i="6" s="1"/>
  <c r="T64" i="4"/>
  <c r="BY58" i="6"/>
  <c r="CB58" i="6"/>
  <c r="X59" i="6" s="1"/>
  <c r="CF113" i="6"/>
  <c r="AB114" i="6" s="1"/>
  <c r="BX113" i="6"/>
  <c r="U119" i="4" s="1"/>
  <c r="K117" i="4"/>
  <c r="ES70" i="6"/>
  <c r="ER70" i="6"/>
  <c r="V76" i="5" s="1"/>
  <c r="EV70" i="6"/>
  <c r="EW70" i="6" s="1"/>
  <c r="U76" i="5"/>
  <c r="CK218" i="6"/>
  <c r="AG219" i="6" s="1"/>
  <c r="CJ218" i="6"/>
  <c r="AF219" i="6" s="1"/>
  <c r="CG114" i="6"/>
  <c r="AC115" i="6" s="1"/>
  <c r="CN206" i="6"/>
  <c r="AJ207" i="6" s="1"/>
  <c r="CX206" i="6"/>
  <c r="AT207" i="6" s="1"/>
  <c r="CW206" i="6"/>
  <c r="AS207" i="6" s="1"/>
  <c r="EJ207" i="6" s="1"/>
  <c r="BL207" i="6" s="1"/>
  <c r="CY206" i="6"/>
  <c r="AU207" i="6" s="1"/>
  <c r="EI207" i="6" s="1"/>
  <c r="CV206" i="6"/>
  <c r="AR207" i="6" s="1"/>
  <c r="EG240" i="6"/>
  <c r="ED241" i="6" s="1"/>
  <c r="EH238" i="6"/>
  <c r="EK238" i="6" s="1"/>
  <c r="CC238" i="6"/>
  <c r="Y239" i="6" s="1"/>
  <c r="CS238" i="6"/>
  <c r="AO239" i="6" s="1"/>
  <c r="BM238" i="6"/>
  <c r="CD238" i="6"/>
  <c r="Z239" i="6" s="1"/>
  <c r="FC198" i="6"/>
  <c r="FB198" i="6"/>
  <c r="EB240" i="6"/>
  <c r="EF241" i="6"/>
  <c r="CU113" i="6"/>
  <c r="AQ114" i="6" s="1"/>
  <c r="CT113" i="6"/>
  <c r="AP114" i="6" s="1"/>
  <c r="FD113" i="6"/>
  <c r="AY112" i="6"/>
  <c r="BC51" i="6"/>
  <c r="BD51" i="6"/>
  <c r="DR51" i="6"/>
  <c r="DV51" i="6"/>
  <c r="DI69" i="6"/>
  <c r="EN222" i="6" l="1"/>
  <c r="Q222" i="6" s="1"/>
  <c r="EO222" i="6" s="1"/>
  <c r="EM223" i="6" s="1"/>
  <c r="EB241" i="6"/>
  <c r="EF242" i="6"/>
  <c r="EB242" i="6" s="1"/>
  <c r="W76" i="5"/>
  <c r="DX70" i="6"/>
  <c r="BV70" i="6" s="1"/>
  <c r="P76" i="4" s="1"/>
  <c r="F76" i="5" s="1"/>
  <c r="DW70" i="6"/>
  <c r="BU70" i="6" s="1"/>
  <c r="DN51" i="6"/>
  <c r="DJ52" i="6" s="1"/>
  <c r="DQ51" i="6"/>
  <c r="DM52" i="6" s="1"/>
  <c r="DP51" i="6"/>
  <c r="DL52" i="6" s="1"/>
  <c r="DO51" i="6"/>
  <c r="DK52" i="6" s="1"/>
  <c r="FB199" i="6"/>
  <c r="FC199" i="6"/>
  <c r="BX114" i="6"/>
  <c r="U120" i="4" s="1"/>
  <c r="CF114" i="6"/>
  <c r="AB115" i="6" s="1"/>
  <c r="CB59" i="6"/>
  <c r="X60" i="6" s="1"/>
  <c r="BF59" i="6"/>
  <c r="BK59" i="6" s="1"/>
  <c r="BA59" i="6"/>
  <c r="FD114" i="6"/>
  <c r="AY113" i="6"/>
  <c r="W59" i="6"/>
  <c r="CA59" i="6" s="1"/>
  <c r="U59" i="6"/>
  <c r="K118" i="4"/>
  <c r="EH239" i="6"/>
  <c r="EK239" i="6" s="1"/>
  <c r="BM239" i="6"/>
  <c r="CS239" i="6"/>
  <c r="AO240" i="6" s="1"/>
  <c r="CD239" i="6"/>
  <c r="Z240" i="6" s="1"/>
  <c r="CC239" i="6"/>
  <c r="Y240" i="6" s="1"/>
  <c r="CK219" i="6"/>
  <c r="AG220" i="6" s="1"/>
  <c r="CJ219" i="6"/>
  <c r="AF220" i="6" s="1"/>
  <c r="CN207" i="6"/>
  <c r="AJ208" i="6" s="1"/>
  <c r="CV207" i="6"/>
  <c r="AR208" i="6" s="1"/>
  <c r="CY207" i="6"/>
  <c r="AU208" i="6" s="1"/>
  <c r="EI208" i="6" s="1"/>
  <c r="CX207" i="6"/>
  <c r="AT208" i="6" s="1"/>
  <c r="CW207" i="6"/>
  <c r="AS208" i="6" s="1"/>
  <c r="EJ208" i="6" s="1"/>
  <c r="BL208" i="6" s="1"/>
  <c r="EG241" i="6"/>
  <c r="ED242" i="6" s="1"/>
  <c r="CG115" i="6"/>
  <c r="AC116" i="6" s="1"/>
  <c r="BC69" i="6"/>
  <c r="DR69" i="6"/>
  <c r="DV69" i="6"/>
  <c r="CU114" i="6"/>
  <c r="AQ115" i="6" s="1"/>
  <c r="CT114" i="6"/>
  <c r="AP115" i="6" s="1"/>
  <c r="EN223" i="6" l="1"/>
  <c r="Q223" i="6" s="1"/>
  <c r="EO223" i="6" s="1"/>
  <c r="EM224" i="6" s="1"/>
  <c r="DI52" i="6"/>
  <c r="CG116" i="6"/>
  <c r="AC117" i="6" s="1"/>
  <c r="FD115" i="6"/>
  <c r="AY114" i="6"/>
  <c r="BW70" i="6"/>
  <c r="EU70" i="6" s="1"/>
  <c r="ET70" i="6" s="1"/>
  <c r="EP71" i="6" s="1"/>
  <c r="O76" i="4"/>
  <c r="E76" i="5" s="1"/>
  <c r="K119" i="4"/>
  <c r="M65" i="4"/>
  <c r="BP59" i="6"/>
  <c r="DO69" i="6"/>
  <c r="DK70" i="6" s="1"/>
  <c r="DN69" i="6"/>
  <c r="DJ70" i="6" s="1"/>
  <c r="DP69" i="6"/>
  <c r="DL70" i="6" s="1"/>
  <c r="DQ69" i="6"/>
  <c r="DM70" i="6" s="1"/>
  <c r="FB200" i="6"/>
  <c r="FC200" i="6"/>
  <c r="EH240" i="6"/>
  <c r="EK240" i="6" s="1"/>
  <c r="CS240" i="6"/>
  <c r="AO241" i="6" s="1"/>
  <c r="CC240" i="6"/>
  <c r="Y241" i="6" s="1"/>
  <c r="CD240" i="6"/>
  <c r="Z241" i="6" s="1"/>
  <c r="BM240" i="6"/>
  <c r="EG242" i="6"/>
  <c r="BX115" i="6"/>
  <c r="U121" i="4" s="1"/>
  <c r="CF115" i="6"/>
  <c r="AB116" i="6" s="1"/>
  <c r="CB60" i="6"/>
  <c r="X61" i="6" s="1"/>
  <c r="BF60" i="6"/>
  <c r="BK60" i="6" s="1"/>
  <c r="BA60" i="6"/>
  <c r="CJ220" i="6"/>
  <c r="AF221" i="6" s="1"/>
  <c r="CK220" i="6"/>
  <c r="AG221" i="6" s="1"/>
  <c r="CT115" i="6"/>
  <c r="AP116" i="6" s="1"/>
  <c r="CU115" i="6"/>
  <c r="AQ116" i="6" s="1"/>
  <c r="CX208" i="6"/>
  <c r="AT209" i="6" s="1"/>
  <c r="CN208" i="6"/>
  <c r="AJ209" i="6" s="1"/>
  <c r="CW208" i="6"/>
  <c r="AS209" i="6" s="1"/>
  <c r="EJ209" i="6" s="1"/>
  <c r="BL209" i="6" s="1"/>
  <c r="CV208" i="6"/>
  <c r="AR209" i="6" s="1"/>
  <c r="CY208" i="6"/>
  <c r="AU209" i="6" s="1"/>
  <c r="EI209" i="6" s="1"/>
  <c r="T65" i="4"/>
  <c r="BY59" i="6"/>
  <c r="EN224" i="6" l="1"/>
  <c r="Q224" i="6" s="1"/>
  <c r="EO224" i="6" s="1"/>
  <c r="EM225" i="6" s="1"/>
  <c r="DI70" i="6"/>
  <c r="CG117" i="6"/>
  <c r="AC118" i="6" s="1"/>
  <c r="CW209" i="6"/>
  <c r="AS210" i="6" s="1"/>
  <c r="EJ210" i="6" s="1"/>
  <c r="BL210" i="6" s="1"/>
  <c r="CY209" i="6"/>
  <c r="AU210" i="6" s="1"/>
  <c r="EI210" i="6" s="1"/>
  <c r="CV209" i="6"/>
  <c r="AR210" i="6" s="1"/>
  <c r="CN209" i="6"/>
  <c r="AJ210" i="6" s="1"/>
  <c r="CX209" i="6"/>
  <c r="AT210" i="6" s="1"/>
  <c r="CT116" i="6"/>
  <c r="AP117" i="6" s="1"/>
  <c r="CU116" i="6"/>
  <c r="AQ117" i="6" s="1"/>
  <c r="EH241" i="6"/>
  <c r="EK241" i="6" s="1"/>
  <c r="BM241" i="6"/>
  <c r="CD241" i="6"/>
  <c r="Z242" i="6" s="1"/>
  <c r="CC241" i="6"/>
  <c r="Y242" i="6" s="1"/>
  <c r="CS241" i="6"/>
  <c r="AO242" i="6" s="1"/>
  <c r="BX116" i="6"/>
  <c r="U122" i="4" s="1"/>
  <c r="CF116" i="6"/>
  <c r="AB117" i="6" s="1"/>
  <c r="BD52" i="6"/>
  <c r="DR52" i="6"/>
  <c r="BC52" i="6"/>
  <c r="DV52" i="6"/>
  <c r="CK221" i="6"/>
  <c r="AG222" i="6" s="1"/>
  <c r="CJ221" i="6"/>
  <c r="AF222" i="6" s="1"/>
  <c r="M66" i="4"/>
  <c r="BP60" i="6"/>
  <c r="EQ71" i="6"/>
  <c r="ET71" i="6"/>
  <c r="EP72" i="6" s="1"/>
  <c r="W60" i="6"/>
  <c r="CA60" i="6" s="1"/>
  <c r="U60" i="6"/>
  <c r="FC201" i="6"/>
  <c r="FB201" i="6"/>
  <c r="K120" i="4"/>
  <c r="CB61" i="6"/>
  <c r="X62" i="6" s="1"/>
  <c r="BF61" i="6"/>
  <c r="BK61" i="6" s="1"/>
  <c r="BA61" i="6"/>
  <c r="FD116" i="6"/>
  <c r="AY115" i="6"/>
  <c r="EN225" i="6" l="1"/>
  <c r="Q225" i="6" s="1"/>
  <c r="EO225" i="6" s="1"/>
  <c r="EM226" i="6" s="1"/>
  <c r="BX117" i="6"/>
  <c r="U123" i="4" s="1"/>
  <c r="CF117" i="6"/>
  <c r="AB118" i="6" s="1"/>
  <c r="EV71" i="6"/>
  <c r="EW71" i="6" s="1"/>
  <c r="ES71" i="6"/>
  <c r="W77" i="5" s="1"/>
  <c r="ER71" i="6"/>
  <c r="V77" i="5" s="1"/>
  <c r="U77" i="5"/>
  <c r="EH242" i="6"/>
  <c r="EK242" i="6" s="1"/>
  <c r="BM242" i="6"/>
  <c r="CD242" i="6"/>
  <c r="CS242" i="6"/>
  <c r="CC242" i="6"/>
  <c r="M67" i="4"/>
  <c r="BP61" i="6"/>
  <c r="CG118" i="6"/>
  <c r="AC119" i="6" s="1"/>
  <c r="ET72" i="6"/>
  <c r="EP73" i="6" s="1"/>
  <c r="EQ72" i="6"/>
  <c r="CB62" i="6"/>
  <c r="X63" i="6" s="1"/>
  <c r="BF62" i="6"/>
  <c r="BK62" i="6" s="1"/>
  <c r="BD62" i="6"/>
  <c r="BA62" i="6"/>
  <c r="CK222" i="6"/>
  <c r="AG223" i="6" s="1"/>
  <c r="CJ222" i="6"/>
  <c r="AF223" i="6" s="1"/>
  <c r="BC70" i="6"/>
  <c r="DR70" i="6"/>
  <c r="DV70" i="6"/>
  <c r="FD117" i="6"/>
  <c r="AY116" i="6"/>
  <c r="FC202" i="6"/>
  <c r="FB202" i="6"/>
  <c r="T66" i="4"/>
  <c r="BY60" i="6"/>
  <c r="CU117" i="6"/>
  <c r="AQ118" i="6" s="1"/>
  <c r="CT117" i="6"/>
  <c r="AP118" i="6" s="1"/>
  <c r="CN210" i="6"/>
  <c r="AJ211" i="6" s="1"/>
  <c r="CX210" i="6"/>
  <c r="AT211" i="6" s="1"/>
  <c r="CV210" i="6"/>
  <c r="AR211" i="6" s="1"/>
  <c r="CW210" i="6"/>
  <c r="AS211" i="6" s="1"/>
  <c r="EJ211" i="6" s="1"/>
  <c r="BL211" i="6" s="1"/>
  <c r="CY210" i="6"/>
  <c r="AU211" i="6" s="1"/>
  <c r="EI211" i="6" s="1"/>
  <c r="K121" i="4"/>
  <c r="DO52" i="6"/>
  <c r="DK53" i="6" s="1"/>
  <c r="DP52" i="6"/>
  <c r="DL53" i="6" s="1"/>
  <c r="DQ52" i="6"/>
  <c r="DM53" i="6" s="1"/>
  <c r="DN52" i="6"/>
  <c r="DJ53" i="6" s="1"/>
  <c r="EN226" i="6" l="1"/>
  <c r="Q226" i="6" s="1"/>
  <c r="EO226" i="6" s="1"/>
  <c r="EM227" i="6" s="1"/>
  <c r="BP62" i="6"/>
  <c r="M68" i="4"/>
  <c r="CB63" i="6"/>
  <c r="X64" i="6" s="1"/>
  <c r="BF63" i="6"/>
  <c r="BK63" i="6" s="1"/>
  <c r="BA63" i="6"/>
  <c r="BD63" i="6"/>
  <c r="BO63" i="6" s="1"/>
  <c r="FD118" i="6"/>
  <c r="AY117" i="6"/>
  <c r="ES72" i="6"/>
  <c r="W78" i="5" s="1"/>
  <c r="EV72" i="6"/>
  <c r="EW72" i="6" s="1"/>
  <c r="ER72" i="6"/>
  <c r="V78" i="5" s="1"/>
  <c r="U78" i="5"/>
  <c r="CX211" i="6"/>
  <c r="AT212" i="6" s="1"/>
  <c r="CN211" i="6"/>
  <c r="AJ212" i="6" s="1"/>
  <c r="CV211" i="6"/>
  <c r="AR212" i="6" s="1"/>
  <c r="CY211" i="6"/>
  <c r="AU212" i="6" s="1"/>
  <c r="EI212" i="6" s="1"/>
  <c r="CW211" i="6"/>
  <c r="AS212" i="6" s="1"/>
  <c r="EJ212" i="6" s="1"/>
  <c r="BL212" i="6" s="1"/>
  <c r="ET73" i="6"/>
  <c r="EP74" i="6" s="1"/>
  <c r="EQ73" i="6"/>
  <c r="K122" i="4"/>
  <c r="CT118" i="6"/>
  <c r="AP119" i="6" s="1"/>
  <c r="CU118" i="6"/>
  <c r="AQ119" i="6" s="1"/>
  <c r="DQ70" i="6"/>
  <c r="DM71" i="6" s="1"/>
  <c r="DO70" i="6"/>
  <c r="DK71" i="6" s="1"/>
  <c r="DN70" i="6"/>
  <c r="DJ71" i="6" s="1"/>
  <c r="DP70" i="6"/>
  <c r="DL71" i="6" s="1"/>
  <c r="CG119" i="6"/>
  <c r="AC120" i="6" s="1"/>
  <c r="U61" i="6"/>
  <c r="W61" i="6"/>
  <c r="CA61" i="6" s="1"/>
  <c r="BX118" i="6"/>
  <c r="U124" i="4" s="1"/>
  <c r="CF118" i="6"/>
  <c r="AB119" i="6" s="1"/>
  <c r="DI53" i="6"/>
  <c r="FC203" i="6"/>
  <c r="FB203" i="6"/>
  <c r="CK223" i="6"/>
  <c r="AG224" i="6" s="1"/>
  <c r="CJ223" i="6"/>
  <c r="AF224" i="6" s="1"/>
  <c r="EN227" i="6" l="1"/>
  <c r="Q227" i="6" s="1"/>
  <c r="EO227" i="6" s="1"/>
  <c r="EM228" i="6" s="1"/>
  <c r="ET74" i="6"/>
  <c r="EP75" i="6" s="1"/>
  <c r="EQ74" i="6"/>
  <c r="EV73" i="6"/>
  <c r="EW73" i="6" s="1"/>
  <c r="ES73" i="6"/>
  <c r="W79" i="5" s="1"/>
  <c r="ER73" i="6"/>
  <c r="V79" i="5" s="1"/>
  <c r="U79" i="5"/>
  <c r="CK224" i="6"/>
  <c r="AG225" i="6" s="1"/>
  <c r="CJ224" i="6"/>
  <c r="AF225" i="6" s="1"/>
  <c r="CG120" i="6"/>
  <c r="AC121" i="6" s="1"/>
  <c r="DI71" i="6"/>
  <c r="M69" i="4"/>
  <c r="BP63" i="6"/>
  <c r="CU119" i="6"/>
  <c r="AQ120" i="6" s="1"/>
  <c r="CT119" i="6"/>
  <c r="AP120" i="6" s="1"/>
  <c r="CB64" i="6"/>
  <c r="X65" i="6" s="1"/>
  <c r="BF64" i="6"/>
  <c r="BK64" i="6" s="1"/>
  <c r="BA64" i="6"/>
  <c r="BD64" i="6"/>
  <c r="FD119" i="6"/>
  <c r="AY118" i="6"/>
  <c r="CF119" i="6"/>
  <c r="AB120" i="6" s="1"/>
  <c r="BX119" i="6"/>
  <c r="U125" i="4" s="1"/>
  <c r="FC204" i="6"/>
  <c r="FB204" i="6"/>
  <c r="CY212" i="6"/>
  <c r="AU213" i="6" s="1"/>
  <c r="EI213" i="6" s="1"/>
  <c r="CX212" i="6"/>
  <c r="AT213" i="6" s="1"/>
  <c r="CV212" i="6"/>
  <c r="AR213" i="6" s="1"/>
  <c r="CW212" i="6"/>
  <c r="AS213" i="6" s="1"/>
  <c r="EJ213" i="6" s="1"/>
  <c r="BL213" i="6" s="1"/>
  <c r="CN212" i="6"/>
  <c r="AJ213" i="6" s="1"/>
  <c r="BD53" i="6"/>
  <c r="DR53" i="6"/>
  <c r="BC53" i="6"/>
  <c r="BO53" i="6" s="1"/>
  <c r="BQ53" i="6" s="1"/>
  <c r="DV53" i="6"/>
  <c r="BS53" i="6" s="1"/>
  <c r="BT53" i="6" s="1"/>
  <c r="T67" i="4"/>
  <c r="BY61" i="6"/>
  <c r="K123" i="4"/>
  <c r="EN228" i="6" l="1"/>
  <c r="Q228" i="6" s="1"/>
  <c r="EO228" i="6" s="1"/>
  <c r="EM229" i="6" s="1"/>
  <c r="M70" i="4"/>
  <c r="BP64" i="6"/>
  <c r="DW53" i="6"/>
  <c r="BU53" i="6" s="1"/>
  <c r="BR53" i="6"/>
  <c r="DX53" i="6" s="1"/>
  <c r="K124" i="4"/>
  <c r="CB65" i="6"/>
  <c r="X66" i="6" s="1"/>
  <c r="BF65" i="6"/>
  <c r="BK65" i="6" s="1"/>
  <c r="BQ65" i="6" s="1"/>
  <c r="BA65" i="6"/>
  <c r="BD65" i="6"/>
  <c r="FD120" i="6"/>
  <c r="AY119" i="6"/>
  <c r="EV74" i="6"/>
  <c r="EW74" i="6" s="1"/>
  <c r="ES74" i="6"/>
  <c r="W80" i="5" s="1"/>
  <c r="ER74" i="6"/>
  <c r="V80" i="5" s="1"/>
  <c r="U80" i="5"/>
  <c r="BX120" i="6"/>
  <c r="U126" i="4" s="1"/>
  <c r="CF120" i="6"/>
  <c r="AB121" i="6" s="1"/>
  <c r="EQ75" i="6"/>
  <c r="ET75" i="6"/>
  <c r="EP76" i="6" s="1"/>
  <c r="CN213" i="6"/>
  <c r="AJ214" i="6" s="1"/>
  <c r="CY213" i="6"/>
  <c r="AU214" i="6" s="1"/>
  <c r="EI214" i="6" s="1"/>
  <c r="CX213" i="6"/>
  <c r="AT214" i="6" s="1"/>
  <c r="CW213" i="6"/>
  <c r="AS214" i="6" s="1"/>
  <c r="EJ214" i="6" s="1"/>
  <c r="BL214" i="6" s="1"/>
  <c r="CV213" i="6"/>
  <c r="AR214" i="6" s="1"/>
  <c r="BC71" i="6"/>
  <c r="BO71" i="6" s="1"/>
  <c r="DR71" i="6"/>
  <c r="DV71" i="6"/>
  <c r="BS71" i="6" s="1"/>
  <c r="CG121" i="6"/>
  <c r="AC122" i="6" s="1"/>
  <c r="W62" i="6"/>
  <c r="CA62" i="6" s="1"/>
  <c r="U62" i="6"/>
  <c r="FB205" i="6"/>
  <c r="FC205" i="6"/>
  <c r="CK225" i="6"/>
  <c r="AG226" i="6" s="1"/>
  <c r="CJ225" i="6"/>
  <c r="AF226" i="6" s="1"/>
  <c r="CU120" i="6"/>
  <c r="AQ121" i="6" s="1"/>
  <c r="CT120" i="6"/>
  <c r="AP121" i="6" s="1"/>
  <c r="DO53" i="6"/>
  <c r="DK54" i="6" s="1"/>
  <c r="DN53" i="6"/>
  <c r="DJ54" i="6" s="1"/>
  <c r="DP53" i="6"/>
  <c r="DL54" i="6" s="1"/>
  <c r="DQ53" i="6"/>
  <c r="DM54" i="6" s="1"/>
  <c r="EN229" i="6" l="1"/>
  <c r="Q229" i="6" s="1"/>
  <c r="EO229" i="6" s="1"/>
  <c r="EM230" i="6" s="1"/>
  <c r="EV75" i="6"/>
  <c r="EW75" i="6" s="1"/>
  <c r="ES75" i="6"/>
  <c r="W81" i="5" s="1"/>
  <c r="ER75" i="6"/>
  <c r="V81" i="5" s="1"/>
  <c r="U81" i="5"/>
  <c r="CF121" i="6"/>
  <c r="AB122" i="6" s="1"/>
  <c r="BX121" i="6"/>
  <c r="U127" i="4" s="1"/>
  <c r="M71" i="4"/>
  <c r="BP65" i="6"/>
  <c r="BR65" i="6" s="1"/>
  <c r="DX65" i="6" s="1"/>
  <c r="DW65" i="6"/>
  <c r="BU65" i="6" s="1"/>
  <c r="DI54" i="6"/>
  <c r="CB66" i="6"/>
  <c r="X67" i="6" s="1"/>
  <c r="BF66" i="6"/>
  <c r="BK66" i="6" s="1"/>
  <c r="BQ66" i="6" s="1"/>
  <c r="BA66" i="6"/>
  <c r="BD66" i="6"/>
  <c r="DO71" i="6"/>
  <c r="DK72" i="6" s="1"/>
  <c r="DP71" i="6"/>
  <c r="DL72" i="6" s="1"/>
  <c r="DQ71" i="6"/>
  <c r="DM72" i="6" s="1"/>
  <c r="DN71" i="6"/>
  <c r="DJ72" i="6" s="1"/>
  <c r="DM74" i="6"/>
  <c r="DK74" i="6"/>
  <c r="DL74" i="6"/>
  <c r="DJ74" i="6"/>
  <c r="BV53" i="6"/>
  <c r="BW53" i="6" s="1"/>
  <c r="P59" i="5"/>
  <c r="R59" i="5" s="1"/>
  <c r="O59" i="4"/>
  <c r="E59" i="5" s="1"/>
  <c r="CT121" i="6"/>
  <c r="AP122" i="6" s="1"/>
  <c r="CU121" i="6"/>
  <c r="AQ122" i="6" s="1"/>
  <c r="FD121" i="6"/>
  <c r="AY120" i="6"/>
  <c r="CG122" i="6"/>
  <c r="AC123" i="6" s="1"/>
  <c r="CK226" i="6"/>
  <c r="AG227" i="6" s="1"/>
  <c r="CJ226" i="6"/>
  <c r="AF227" i="6" s="1"/>
  <c r="FB206" i="6"/>
  <c r="FC206" i="6"/>
  <c r="K125" i="4"/>
  <c r="T68" i="4"/>
  <c r="BY62" i="6"/>
  <c r="CW214" i="6"/>
  <c r="AS215" i="6" s="1"/>
  <c r="EJ215" i="6" s="1"/>
  <c r="BL215" i="6" s="1"/>
  <c r="CX214" i="6"/>
  <c r="AT215" i="6" s="1"/>
  <c r="CY214" i="6"/>
  <c r="AU215" i="6" s="1"/>
  <c r="EI215" i="6" s="1"/>
  <c r="CV214" i="6"/>
  <c r="AR215" i="6" s="1"/>
  <c r="CN214" i="6"/>
  <c r="AJ215" i="6" s="1"/>
  <c r="ET76" i="6"/>
  <c r="EP77" i="6" s="1"/>
  <c r="EQ76" i="6"/>
  <c r="P71" i="5" l="1"/>
  <c r="R71" i="5" s="1"/>
  <c r="BV65" i="6"/>
  <c r="BW65" i="6" s="1"/>
  <c r="EN230" i="6"/>
  <c r="Q230" i="6" s="1"/>
  <c r="EO230" i="6" s="1"/>
  <c r="EM231" i="6" s="1"/>
  <c r="DI72" i="6"/>
  <c r="O71" i="4"/>
  <c r="E71" i="5" s="1"/>
  <c r="EQ77" i="6"/>
  <c r="ET77" i="6"/>
  <c r="EP78" i="6" s="1"/>
  <c r="CN215" i="6"/>
  <c r="AJ216" i="6" s="1"/>
  <c r="CV215" i="6"/>
  <c r="AR216" i="6" s="1"/>
  <c r="CX215" i="6"/>
  <c r="AT216" i="6" s="1"/>
  <c r="CW215" i="6"/>
  <c r="AS216" i="6" s="1"/>
  <c r="EJ216" i="6" s="1"/>
  <c r="BL216" i="6" s="1"/>
  <c r="CY215" i="6"/>
  <c r="AU216" i="6" s="1"/>
  <c r="EI216" i="6" s="1"/>
  <c r="CK227" i="6"/>
  <c r="AG228" i="6" s="1"/>
  <c r="CJ227" i="6"/>
  <c r="AF228" i="6" s="1"/>
  <c r="BX122" i="6"/>
  <c r="U128" i="4" s="1"/>
  <c r="CF122" i="6"/>
  <c r="AB123" i="6" s="1"/>
  <c r="CU122" i="6"/>
  <c r="AQ123" i="6" s="1"/>
  <c r="CT122" i="6"/>
  <c r="AP123" i="6" s="1"/>
  <c r="EV76" i="6"/>
  <c r="EW76" i="6" s="1"/>
  <c r="ES76" i="6"/>
  <c r="W82" i="5" s="1"/>
  <c r="ER76" i="6"/>
  <c r="V82" i="5" s="1"/>
  <c r="U82" i="5"/>
  <c r="FC207" i="6"/>
  <c r="FB207" i="6"/>
  <c r="FD122" i="6"/>
  <c r="AY121" i="6"/>
  <c r="CG123" i="6"/>
  <c r="AC124" i="6" s="1"/>
  <c r="M72" i="4"/>
  <c r="BP66" i="6"/>
  <c r="W63" i="6"/>
  <c r="V63" i="6"/>
  <c r="BZ63" i="6" s="1"/>
  <c r="V64" i="6" s="1"/>
  <c r="BZ64" i="6" s="1"/>
  <c r="V65" i="6" s="1"/>
  <c r="BZ65" i="6" s="1"/>
  <c r="V66" i="6" s="1"/>
  <c r="BZ66" i="6" s="1"/>
  <c r="V67" i="6" s="1"/>
  <c r="BZ67" i="6" s="1"/>
  <c r="V68" i="6" s="1"/>
  <c r="BZ68" i="6" s="1"/>
  <c r="V69" i="6" s="1"/>
  <c r="BZ69" i="6" s="1"/>
  <c r="V70" i="6" s="1"/>
  <c r="BZ70" i="6" s="1"/>
  <c r="V71" i="6" s="1"/>
  <c r="BZ71" i="6" s="1"/>
  <c r="V72" i="6" s="1"/>
  <c r="BZ72" i="6" s="1"/>
  <c r="V73" i="6" s="1"/>
  <c r="BZ73" i="6" s="1"/>
  <c r="V74" i="6" s="1"/>
  <c r="BZ74" i="6" s="1"/>
  <c r="V75" i="6" s="1"/>
  <c r="BZ75" i="6" s="1"/>
  <c r="V76" i="6" s="1"/>
  <c r="BZ76" i="6" s="1"/>
  <c r="V77" i="6" s="1"/>
  <c r="BZ77" i="6" s="1"/>
  <c r="V78" i="6" s="1"/>
  <c r="BZ78" i="6" s="1"/>
  <c r="U63" i="6"/>
  <c r="K126" i="4"/>
  <c r="Q59" i="5"/>
  <c r="S59" i="5" s="1"/>
  <c r="P59" i="4"/>
  <c r="EU53" i="6"/>
  <c r="DW66" i="6"/>
  <c r="BU66" i="6" s="1"/>
  <c r="BR66" i="6"/>
  <c r="DX66" i="6" s="1"/>
  <c r="CB67" i="6"/>
  <c r="X68" i="6" s="1"/>
  <c r="BF67" i="6"/>
  <c r="BK67" i="6" s="1"/>
  <c r="BQ67" i="6" s="1"/>
  <c r="BA67" i="6"/>
  <c r="BD67" i="6"/>
  <c r="BC54" i="6"/>
  <c r="BO54" i="6" s="1"/>
  <c r="BQ54" i="6" s="1"/>
  <c r="BD54" i="6"/>
  <c r="DR54" i="6"/>
  <c r="DV54" i="6"/>
  <c r="DI74" i="6"/>
  <c r="EN231" i="6" l="1"/>
  <c r="Q231" i="6" s="1"/>
  <c r="EO231" i="6" s="1"/>
  <c r="EM232" i="6" s="1"/>
  <c r="CT123" i="6"/>
  <c r="AP124" i="6" s="1"/>
  <c r="CU123" i="6"/>
  <c r="AQ124" i="6" s="1"/>
  <c r="DP54" i="6"/>
  <c r="DL55" i="6" s="1"/>
  <c r="DQ54" i="6"/>
  <c r="DM55" i="6" s="1"/>
  <c r="DO54" i="6"/>
  <c r="DK55" i="6" s="1"/>
  <c r="DN54" i="6"/>
  <c r="DJ55" i="6" s="1"/>
  <c r="O72" i="4"/>
  <c r="E72" i="5" s="1"/>
  <c r="CG124" i="6"/>
  <c r="AC125" i="6" s="1"/>
  <c r="ES77" i="6"/>
  <c r="W83" i="5" s="1"/>
  <c r="EV77" i="6"/>
  <c r="EW77" i="6" s="1"/>
  <c r="ER77" i="6"/>
  <c r="V83" i="5" s="1"/>
  <c r="U83" i="5"/>
  <c r="K127" i="4"/>
  <c r="F59" i="5"/>
  <c r="I59" i="5" s="1"/>
  <c r="Q59" i="4"/>
  <c r="S59" i="4" s="1"/>
  <c r="CF123" i="6"/>
  <c r="AB124" i="6" s="1"/>
  <c r="BX123" i="6"/>
  <c r="U129" i="4" s="1"/>
  <c r="AY122" i="6"/>
  <c r="FD123" i="6"/>
  <c r="CK228" i="6"/>
  <c r="AG229" i="6" s="1"/>
  <c r="CJ228" i="6"/>
  <c r="AF229" i="6" s="1"/>
  <c r="T69" i="4"/>
  <c r="BY63" i="6"/>
  <c r="FB208" i="6"/>
  <c r="FC208" i="6"/>
  <c r="DR72" i="6"/>
  <c r="DV72" i="6"/>
  <c r="BP67" i="6"/>
  <c r="BT67" i="6" s="1"/>
  <c r="M73" i="4"/>
  <c r="CA63" i="6"/>
  <c r="DW54" i="6"/>
  <c r="BR54" i="6"/>
  <c r="DX54" i="6" s="1"/>
  <c r="BV54" i="6" s="1"/>
  <c r="P60" i="4" s="1"/>
  <c r="F60" i="5" s="1"/>
  <c r="DW67" i="6"/>
  <c r="BU67" i="6" s="1"/>
  <c r="BR67" i="6"/>
  <c r="DX67" i="6" s="1"/>
  <c r="BF68" i="6"/>
  <c r="BK68" i="6" s="1"/>
  <c r="BA68" i="6"/>
  <c r="BD68" i="6"/>
  <c r="CX216" i="6"/>
  <c r="AT217" i="6" s="1"/>
  <c r="CV216" i="6"/>
  <c r="AR217" i="6" s="1"/>
  <c r="CY216" i="6"/>
  <c r="AU217" i="6" s="1"/>
  <c r="EI217" i="6" s="1"/>
  <c r="CN216" i="6"/>
  <c r="AJ217" i="6" s="1"/>
  <c r="CW216" i="6"/>
  <c r="AS217" i="6" s="1"/>
  <c r="EJ217" i="6" s="1"/>
  <c r="BL217" i="6" s="1"/>
  <c r="P71" i="4"/>
  <c r="Q71" i="5"/>
  <c r="S71" i="5" s="1"/>
  <c r="EU65" i="6"/>
  <c r="BO74" i="6"/>
  <c r="DR74" i="6"/>
  <c r="BC74" i="6"/>
  <c r="DV74" i="6"/>
  <c r="BV66" i="6"/>
  <c r="BW66" i="6" s="1"/>
  <c r="P72" i="5"/>
  <c r="R72" i="5" s="1"/>
  <c r="ET78" i="6"/>
  <c r="EP79" i="6" s="1"/>
  <c r="EQ78" i="6"/>
  <c r="EN232" i="6" l="1"/>
  <c r="Q232" i="6" s="1"/>
  <c r="EO232" i="6" s="1"/>
  <c r="EM233" i="6" s="1"/>
  <c r="CG125" i="6"/>
  <c r="AC126" i="6" s="1"/>
  <c r="DQ74" i="6"/>
  <c r="DM75" i="6" s="1"/>
  <c r="DN74" i="6"/>
  <c r="DJ75" i="6" s="1"/>
  <c r="DP74" i="6"/>
  <c r="DL75" i="6" s="1"/>
  <c r="DO74" i="6"/>
  <c r="DK75" i="6" s="1"/>
  <c r="CF124" i="6"/>
  <c r="AB125" i="6" s="1"/>
  <c r="BX124" i="6"/>
  <c r="U130" i="4" s="1"/>
  <c r="DI55" i="6"/>
  <c r="K128" i="4"/>
  <c r="CJ229" i="6"/>
  <c r="AF230" i="6" s="1"/>
  <c r="CK229" i="6"/>
  <c r="AG230" i="6" s="1"/>
  <c r="CU124" i="6"/>
  <c r="AQ125" i="6" s="1"/>
  <c r="CT124" i="6"/>
  <c r="AP125" i="6" s="1"/>
  <c r="DN72" i="6"/>
  <c r="DJ73" i="6" s="1"/>
  <c r="DP72" i="6"/>
  <c r="DL73" i="6" s="1"/>
  <c r="DO72" i="6"/>
  <c r="DK73" i="6" s="1"/>
  <c r="DQ72" i="6"/>
  <c r="DM73" i="6" s="1"/>
  <c r="M74" i="4"/>
  <c r="BP68" i="6"/>
  <c r="O73" i="4"/>
  <c r="E73" i="5" s="1"/>
  <c r="W64" i="6"/>
  <c r="CA64" i="6" s="1"/>
  <c r="U64" i="6"/>
  <c r="J59" i="5"/>
  <c r="K59" i="5" s="1"/>
  <c r="F71" i="5"/>
  <c r="I71" i="5" s="1"/>
  <c r="Q71" i="4"/>
  <c r="S71" i="4" s="1"/>
  <c r="BV67" i="6"/>
  <c r="P73" i="5"/>
  <c r="R73" i="5" s="1"/>
  <c r="FC209" i="6"/>
  <c r="FB209" i="6"/>
  <c r="P60" i="5"/>
  <c r="R60" i="5" s="1"/>
  <c r="BU54" i="6"/>
  <c r="EQ79" i="6"/>
  <c r="CY217" i="6"/>
  <c r="AU218" i="6" s="1"/>
  <c r="EI218" i="6" s="1"/>
  <c r="CN217" i="6"/>
  <c r="AJ218" i="6" s="1"/>
  <c r="CX217" i="6"/>
  <c r="AT218" i="6" s="1"/>
  <c r="CV217" i="6"/>
  <c r="AR218" i="6" s="1"/>
  <c r="CW217" i="6"/>
  <c r="AS218" i="6" s="1"/>
  <c r="EJ218" i="6" s="1"/>
  <c r="BL218" i="6" s="1"/>
  <c r="P72" i="4"/>
  <c r="Q72" i="5"/>
  <c r="S72" i="5" s="1"/>
  <c r="EU66" i="6"/>
  <c r="EV78" i="6"/>
  <c r="EW78" i="6" s="1"/>
  <c r="ES78" i="6"/>
  <c r="W84" i="5" s="1"/>
  <c r="ER78" i="6"/>
  <c r="V84" i="5" s="1"/>
  <c r="U84" i="5"/>
  <c r="FD124" i="6"/>
  <c r="AY123" i="6"/>
  <c r="L59" i="5" l="1"/>
  <c r="M59" i="5" s="1"/>
  <c r="EN233" i="6"/>
  <c r="Q233" i="6" s="1"/>
  <c r="EO233" i="6" s="1"/>
  <c r="EM234" i="6" s="1"/>
  <c r="DI73" i="6"/>
  <c r="DI75" i="6"/>
  <c r="F72" i="5"/>
  <c r="I72" i="5" s="1"/>
  <c r="Q72" i="4"/>
  <c r="S72" i="4" s="1"/>
  <c r="K129" i="4"/>
  <c r="P73" i="4"/>
  <c r="Q73" i="5"/>
  <c r="S73" i="5" s="1"/>
  <c r="EU67" i="6"/>
  <c r="J71" i="5"/>
  <c r="K71" i="5" s="1"/>
  <c r="CV218" i="6"/>
  <c r="AR219" i="6" s="1"/>
  <c r="CW218" i="6"/>
  <c r="AS219" i="6" s="1"/>
  <c r="EJ219" i="6" s="1"/>
  <c r="BL219" i="6" s="1"/>
  <c r="CY218" i="6"/>
  <c r="AU219" i="6" s="1"/>
  <c r="EI219" i="6" s="1"/>
  <c r="CX218" i="6"/>
  <c r="AT219" i="6" s="1"/>
  <c r="CN218" i="6"/>
  <c r="AJ219" i="6" s="1"/>
  <c r="AY124" i="6"/>
  <c r="FD125" i="6"/>
  <c r="BW67" i="6"/>
  <c r="FB210" i="6"/>
  <c r="FC210" i="6"/>
  <c r="CG126" i="6"/>
  <c r="AC127" i="6" s="1"/>
  <c r="CF125" i="6"/>
  <c r="AB126" i="6" s="1"/>
  <c r="BX125" i="6"/>
  <c r="U131" i="4" s="1"/>
  <c r="CT125" i="6"/>
  <c r="AP126" i="6" s="1"/>
  <c r="CU125" i="6"/>
  <c r="AQ126" i="6" s="1"/>
  <c r="T70" i="4"/>
  <c r="BY64" i="6"/>
  <c r="CJ230" i="6"/>
  <c r="AF231" i="6" s="1"/>
  <c r="CK230" i="6"/>
  <c r="AG231" i="6" s="1"/>
  <c r="ER79" i="6"/>
  <c r="V85" i="5" s="1"/>
  <c r="EV79" i="6"/>
  <c r="EW79" i="6" s="1"/>
  <c r="ES79" i="6"/>
  <c r="U85" i="5"/>
  <c r="BW54" i="6"/>
  <c r="O60" i="4"/>
  <c r="EU54" i="6"/>
  <c r="Q60" i="5"/>
  <c r="S60" i="5" s="1"/>
  <c r="BD55" i="6"/>
  <c r="BC55" i="6"/>
  <c r="BO55" i="6" s="1"/>
  <c r="BQ55" i="6" s="1"/>
  <c r="DR55" i="6"/>
  <c r="DV55" i="6"/>
  <c r="BS55" i="6" s="1"/>
  <c r="BT55" i="6" s="1"/>
  <c r="EN234" i="6" l="1"/>
  <c r="Q234" i="6" s="1"/>
  <c r="EO234" i="6" s="1"/>
  <c r="EM235" i="6" s="1"/>
  <c r="BX126" i="6"/>
  <c r="U132" i="4" s="1"/>
  <c r="CF126" i="6"/>
  <c r="AB127" i="6" s="1"/>
  <c r="CW219" i="6"/>
  <c r="AS220" i="6" s="1"/>
  <c r="EJ220" i="6" s="1"/>
  <c r="BL220" i="6" s="1"/>
  <c r="CV219" i="6"/>
  <c r="AR220" i="6" s="1"/>
  <c r="CN219" i="6"/>
  <c r="AJ220" i="6" s="1"/>
  <c r="CX219" i="6"/>
  <c r="AT220" i="6" s="1"/>
  <c r="CY219" i="6"/>
  <c r="AU220" i="6" s="1"/>
  <c r="EI220" i="6" s="1"/>
  <c r="J72" i="5"/>
  <c r="K72" i="5" s="1"/>
  <c r="DQ55" i="6"/>
  <c r="DM56" i="6" s="1"/>
  <c r="DP55" i="6"/>
  <c r="DL56" i="6" s="1"/>
  <c r="DN55" i="6"/>
  <c r="DJ56" i="6" s="1"/>
  <c r="DO55" i="6"/>
  <c r="DK56" i="6" s="1"/>
  <c r="CK231" i="6"/>
  <c r="AG232" i="6" s="1"/>
  <c r="CJ231" i="6"/>
  <c r="AF232" i="6" s="1"/>
  <c r="FC211" i="6"/>
  <c r="FB211" i="6"/>
  <c r="L71" i="5"/>
  <c r="M71" i="5" s="1"/>
  <c r="FD126" i="6"/>
  <c r="AY125" i="6"/>
  <c r="DR73" i="6"/>
  <c r="BC73" i="6"/>
  <c r="BO73" i="6" s="1"/>
  <c r="DV73" i="6"/>
  <c r="BS73" i="6" s="1"/>
  <c r="W85" i="5"/>
  <c r="DX79" i="6"/>
  <c r="BV79" i="6" s="1"/>
  <c r="P85" i="4" s="1"/>
  <c r="F85" i="5" s="1"/>
  <c r="DW79" i="6"/>
  <c r="BU79" i="6" s="1"/>
  <c r="DR75" i="6"/>
  <c r="BC75" i="6"/>
  <c r="BO75" i="6"/>
  <c r="DV75" i="6"/>
  <c r="CT126" i="6"/>
  <c r="AP127" i="6" s="1"/>
  <c r="CU126" i="6"/>
  <c r="AQ127" i="6" s="1"/>
  <c r="F73" i="5"/>
  <c r="I73" i="5" s="1"/>
  <c r="Q73" i="4"/>
  <c r="S73" i="4" s="1"/>
  <c r="CG127" i="6"/>
  <c r="AC128" i="6" s="1"/>
  <c r="K130" i="4"/>
  <c r="DW55" i="6"/>
  <c r="BR55" i="6"/>
  <c r="DX55" i="6" s="1"/>
  <c r="BV55" i="6" s="1"/>
  <c r="P61" i="4" s="1"/>
  <c r="F61" i="5" s="1"/>
  <c r="W65" i="6"/>
  <c r="CA65" i="6" s="1"/>
  <c r="U65" i="6"/>
  <c r="E60" i="5"/>
  <c r="I60" i="5" s="1"/>
  <c r="Q60" i="4"/>
  <c r="S60" i="4" s="1"/>
  <c r="EN235" i="6" l="1"/>
  <c r="Q235" i="6" s="1"/>
  <c r="EO235" i="6" s="1"/>
  <c r="EM236" i="6" s="1"/>
  <c r="DQ73" i="6"/>
  <c r="DO73" i="6"/>
  <c r="DN73" i="6"/>
  <c r="DP73" i="6"/>
  <c r="P61" i="5"/>
  <c r="R61" i="5" s="1"/>
  <c r="BU55" i="6"/>
  <c r="L72" i="5"/>
  <c r="M72" i="5" s="1"/>
  <c r="DO75" i="6"/>
  <c r="DK76" i="6" s="1"/>
  <c r="DP75" i="6"/>
  <c r="DL76" i="6" s="1"/>
  <c r="DN75" i="6"/>
  <c r="DJ76" i="6" s="1"/>
  <c r="DQ75" i="6"/>
  <c r="DM76" i="6" s="1"/>
  <c r="O85" i="4"/>
  <c r="E85" i="5" s="1"/>
  <c r="BW79" i="6"/>
  <c r="EU79" i="6" s="1"/>
  <c r="ET79" i="6" s="1"/>
  <c r="EP80" i="6" s="1"/>
  <c r="T71" i="4"/>
  <c r="BY65" i="6"/>
  <c r="FB212" i="6"/>
  <c r="FC212" i="6"/>
  <c r="CN220" i="6"/>
  <c r="AJ221" i="6" s="1"/>
  <c r="CX220" i="6"/>
  <c r="AT221" i="6" s="1"/>
  <c r="CW220" i="6"/>
  <c r="AS221" i="6" s="1"/>
  <c r="EJ221" i="6" s="1"/>
  <c r="BL221" i="6" s="1"/>
  <c r="CY220" i="6"/>
  <c r="AU221" i="6" s="1"/>
  <c r="EI221" i="6" s="1"/>
  <c r="CV220" i="6"/>
  <c r="AR221" i="6" s="1"/>
  <c r="K131" i="4"/>
  <c r="FD127" i="6"/>
  <c r="AY126" i="6"/>
  <c r="CG128" i="6"/>
  <c r="AC129" i="6" s="1"/>
  <c r="CU127" i="6"/>
  <c r="AQ128" i="6" s="1"/>
  <c r="CT127" i="6"/>
  <c r="AP128" i="6" s="1"/>
  <c r="J60" i="5"/>
  <c r="K60" i="5" s="1"/>
  <c r="L60" i="5"/>
  <c r="M60" i="5" s="1"/>
  <c r="J73" i="5"/>
  <c r="K73" i="5" s="1"/>
  <c r="CJ232" i="6"/>
  <c r="AF233" i="6" s="1"/>
  <c r="CK232" i="6"/>
  <c r="AG233" i="6" s="1"/>
  <c r="BX127" i="6"/>
  <c r="U133" i="4" s="1"/>
  <c r="CF127" i="6"/>
  <c r="AB128" i="6" s="1"/>
  <c r="DI56" i="6"/>
  <c r="EN236" i="6" l="1"/>
  <c r="Q236" i="6" s="1"/>
  <c r="EO236" i="6" s="1"/>
  <c r="EM237" i="6" s="1"/>
  <c r="CU128" i="6"/>
  <c r="AQ129" i="6" s="1"/>
  <c r="CT128" i="6"/>
  <c r="AP129" i="6" s="1"/>
  <c r="CF128" i="6"/>
  <c r="AB129" i="6" s="1"/>
  <c r="BX128" i="6"/>
  <c r="U134" i="4" s="1"/>
  <c r="CX221" i="6"/>
  <c r="AT222" i="6" s="1"/>
  <c r="CW221" i="6"/>
  <c r="AS222" i="6" s="1"/>
  <c r="EJ222" i="6" s="1"/>
  <c r="BL222" i="6" s="1"/>
  <c r="CV221" i="6"/>
  <c r="AR222" i="6" s="1"/>
  <c r="CN221" i="6"/>
  <c r="AJ222" i="6" s="1"/>
  <c r="CY221" i="6"/>
  <c r="AU222" i="6" s="1"/>
  <c r="EI222" i="6" s="1"/>
  <c r="O61" i="4"/>
  <c r="EU55" i="6"/>
  <c r="BW55" i="6"/>
  <c r="Q61" i="5"/>
  <c r="S61" i="5" s="1"/>
  <c r="K132" i="4"/>
  <c r="CK233" i="6"/>
  <c r="AG234" i="6" s="1"/>
  <c r="CJ233" i="6"/>
  <c r="AF234" i="6" s="1"/>
  <c r="FC213" i="6"/>
  <c r="FB213" i="6"/>
  <c r="FD128" i="6"/>
  <c r="AY127" i="6"/>
  <c r="W66" i="6"/>
  <c r="CA66" i="6" s="1"/>
  <c r="U66" i="6"/>
  <c r="BD56" i="6"/>
  <c r="BC56" i="6"/>
  <c r="BO56" i="6" s="1"/>
  <c r="BQ56" i="6" s="1"/>
  <c r="DR56" i="6"/>
  <c r="DV56" i="6"/>
  <c r="BS56" i="6" s="1"/>
  <c r="BT56" i="6" s="1"/>
  <c r="EQ80" i="6"/>
  <c r="ET80" i="6"/>
  <c r="EP81" i="6" s="1"/>
  <c r="CG129" i="6"/>
  <c r="AC130" i="6" s="1"/>
  <c r="L73" i="5"/>
  <c r="M73" i="5" s="1"/>
  <c r="DI76" i="6"/>
  <c r="EN237" i="6" l="1"/>
  <c r="Q237" i="6" s="1"/>
  <c r="EO237" i="6" s="1"/>
  <c r="EM238" i="6" s="1"/>
  <c r="FC214" i="6"/>
  <c r="FB214" i="6"/>
  <c r="AY128" i="6"/>
  <c r="FD129" i="6"/>
  <c r="DW56" i="6"/>
  <c r="BR56" i="6"/>
  <c r="DX56" i="6" s="1"/>
  <c r="BV56" i="6" s="1"/>
  <c r="P62" i="4" s="1"/>
  <c r="F62" i="5" s="1"/>
  <c r="EV80" i="6"/>
  <c r="EW80" i="6" s="1"/>
  <c r="ES80" i="6"/>
  <c r="W86" i="5" s="1"/>
  <c r="ER80" i="6"/>
  <c r="V86" i="5" s="1"/>
  <c r="U86" i="5"/>
  <c r="CK234" i="6"/>
  <c r="AG235" i="6" s="1"/>
  <c r="CJ234" i="6"/>
  <c r="AF235" i="6" s="1"/>
  <c r="T72" i="4"/>
  <c r="BY66" i="6"/>
  <c r="BX129" i="6"/>
  <c r="U135" i="4" s="1"/>
  <c r="CF129" i="6"/>
  <c r="AB130" i="6" s="1"/>
  <c r="CF130" i="6" s="1"/>
  <c r="AB131" i="6" s="1"/>
  <c r="CF131" i="6" s="1"/>
  <c r="AB132" i="6" s="1"/>
  <c r="CF132" i="6" s="1"/>
  <c r="AB133" i="6" s="1"/>
  <c r="CF133" i="6" s="1"/>
  <c r="AB134" i="6" s="1"/>
  <c r="CF134" i="6" s="1"/>
  <c r="AB135" i="6" s="1"/>
  <c r="CF135" i="6" s="1"/>
  <c r="AB136" i="6" s="1"/>
  <c r="CF136" i="6" s="1"/>
  <c r="AB137" i="6" s="1"/>
  <c r="CF137" i="6" s="1"/>
  <c r="AB138" i="6" s="1"/>
  <c r="CF138" i="6" s="1"/>
  <c r="AB139" i="6" s="1"/>
  <c r="CF139" i="6" s="1"/>
  <c r="AB140" i="6" s="1"/>
  <c r="CF140" i="6" s="1"/>
  <c r="AB141" i="6" s="1"/>
  <c r="CF141" i="6" s="1"/>
  <c r="AB142" i="6" s="1"/>
  <c r="CF142" i="6" s="1"/>
  <c r="AB143" i="6" s="1"/>
  <c r="CF143" i="6" s="1"/>
  <c r="AB144" i="6" s="1"/>
  <c r="CF144" i="6" s="1"/>
  <c r="AB145" i="6" s="1"/>
  <c r="CF145" i="6" s="1"/>
  <c r="AB146" i="6" s="1"/>
  <c r="CF146" i="6" s="1"/>
  <c r="AB147" i="6" s="1"/>
  <c r="CF147" i="6" s="1"/>
  <c r="AB148" i="6" s="1"/>
  <c r="CF148" i="6" s="1"/>
  <c r="AB149" i="6" s="1"/>
  <c r="CF149" i="6" s="1"/>
  <c r="AB150" i="6" s="1"/>
  <c r="CF150" i="6" s="1"/>
  <c r="AB151" i="6" s="1"/>
  <c r="CF151" i="6" s="1"/>
  <c r="AB152" i="6" s="1"/>
  <c r="CF152" i="6" s="1"/>
  <c r="AB153" i="6" s="1"/>
  <c r="CF153" i="6" s="1"/>
  <c r="AB154" i="6" s="1"/>
  <c r="CF154" i="6" s="1"/>
  <c r="AB155" i="6" s="1"/>
  <c r="CF155" i="6" s="1"/>
  <c r="AB156" i="6" s="1"/>
  <c r="CF156" i="6" s="1"/>
  <c r="AB157" i="6" s="1"/>
  <c r="CF157" i="6" s="1"/>
  <c r="AB158" i="6" s="1"/>
  <c r="CF158" i="6" s="1"/>
  <c r="AB159" i="6" s="1"/>
  <c r="CF159" i="6" s="1"/>
  <c r="AB160" i="6" s="1"/>
  <c r="CF160" i="6" s="1"/>
  <c r="AB161" i="6" s="1"/>
  <c r="CF161" i="6" s="1"/>
  <c r="AB162" i="6" s="1"/>
  <c r="CF162" i="6" s="1"/>
  <c r="AB163" i="6" s="1"/>
  <c r="CF163" i="6" s="1"/>
  <c r="AB164" i="6" s="1"/>
  <c r="CF164" i="6" s="1"/>
  <c r="AB165" i="6" s="1"/>
  <c r="CF165" i="6" s="1"/>
  <c r="AB166" i="6" s="1"/>
  <c r="CF166" i="6" s="1"/>
  <c r="AB167" i="6" s="1"/>
  <c r="CF167" i="6" s="1"/>
  <c r="AB168" i="6" s="1"/>
  <c r="CF168" i="6" s="1"/>
  <c r="AB169" i="6" s="1"/>
  <c r="CF169" i="6" s="1"/>
  <c r="AB170" i="6" s="1"/>
  <c r="CF170" i="6" s="1"/>
  <c r="AB171" i="6" s="1"/>
  <c r="CF171" i="6" s="1"/>
  <c r="AB172" i="6" s="1"/>
  <c r="CF172" i="6" s="1"/>
  <c r="AB173" i="6" s="1"/>
  <c r="CF173" i="6" s="1"/>
  <c r="AB174" i="6" s="1"/>
  <c r="CF174" i="6" s="1"/>
  <c r="AB175" i="6" s="1"/>
  <c r="CF175" i="6" s="1"/>
  <c r="AB176" i="6" s="1"/>
  <c r="CF176" i="6" s="1"/>
  <c r="AB177" i="6" s="1"/>
  <c r="CF177" i="6" s="1"/>
  <c r="AB178" i="6" s="1"/>
  <c r="CF178" i="6" s="1"/>
  <c r="AB179" i="6" s="1"/>
  <c r="CF179" i="6" s="1"/>
  <c r="AB180" i="6" s="1"/>
  <c r="CF180" i="6" s="1"/>
  <c r="AB181" i="6" s="1"/>
  <c r="CF181" i="6" s="1"/>
  <c r="AB182" i="6" s="1"/>
  <c r="CF182" i="6" s="1"/>
  <c r="AB183" i="6" s="1"/>
  <c r="CF183" i="6" s="1"/>
  <c r="AB184" i="6" s="1"/>
  <c r="CF184" i="6" s="1"/>
  <c r="AB185" i="6" s="1"/>
  <c r="CF185" i="6" s="1"/>
  <c r="AB186" i="6" s="1"/>
  <c r="CF186" i="6" s="1"/>
  <c r="AB187" i="6" s="1"/>
  <c r="CF187" i="6" s="1"/>
  <c r="AB188" i="6" s="1"/>
  <c r="CF188" i="6" s="1"/>
  <c r="AB189" i="6" s="1"/>
  <c r="CF189" i="6" s="1"/>
  <c r="AB190" i="6" s="1"/>
  <c r="CF190" i="6" s="1"/>
  <c r="AB191" i="6" s="1"/>
  <c r="CF191" i="6" s="1"/>
  <c r="AB192" i="6" s="1"/>
  <c r="CF192" i="6" s="1"/>
  <c r="AB193" i="6" s="1"/>
  <c r="CF193" i="6" s="1"/>
  <c r="AB194" i="6" s="1"/>
  <c r="CF194" i="6" s="1"/>
  <c r="AB195" i="6" s="1"/>
  <c r="CF195" i="6" s="1"/>
  <c r="AB196" i="6" s="1"/>
  <c r="CF196" i="6" s="1"/>
  <c r="AB197" i="6" s="1"/>
  <c r="CF197" i="6" s="1"/>
  <c r="AB198" i="6" s="1"/>
  <c r="CF198" i="6" s="1"/>
  <c r="AB199" i="6" s="1"/>
  <c r="CF199" i="6" s="1"/>
  <c r="AB200" i="6" s="1"/>
  <c r="CF200" i="6" s="1"/>
  <c r="AB201" i="6" s="1"/>
  <c r="CF201" i="6" s="1"/>
  <c r="AB202" i="6" s="1"/>
  <c r="CF202" i="6" s="1"/>
  <c r="AB203" i="6" s="1"/>
  <c r="CF203" i="6" s="1"/>
  <c r="AB204" i="6" s="1"/>
  <c r="CF204" i="6" s="1"/>
  <c r="AB205" i="6" s="1"/>
  <c r="CF205" i="6" s="1"/>
  <c r="AB206" i="6" s="1"/>
  <c r="CF206" i="6" s="1"/>
  <c r="AB207" i="6" s="1"/>
  <c r="CF207" i="6" s="1"/>
  <c r="AB208" i="6" s="1"/>
  <c r="CF208" i="6" s="1"/>
  <c r="AB209" i="6" s="1"/>
  <c r="CF209" i="6" s="1"/>
  <c r="AB210" i="6" s="1"/>
  <c r="CF210" i="6" s="1"/>
  <c r="AB211" i="6" s="1"/>
  <c r="CF211" i="6" s="1"/>
  <c r="AB212" i="6" s="1"/>
  <c r="CF212" i="6" s="1"/>
  <c r="AB213" i="6" s="1"/>
  <c r="CF213" i="6" s="1"/>
  <c r="AB214" i="6" s="1"/>
  <c r="CF214" i="6" s="1"/>
  <c r="AB215" i="6" s="1"/>
  <c r="CF215" i="6" s="1"/>
  <c r="AB216" i="6" s="1"/>
  <c r="CF216" i="6" s="1"/>
  <c r="AB217" i="6" s="1"/>
  <c r="CF217" i="6" s="1"/>
  <c r="AB218" i="6" s="1"/>
  <c r="CF218" i="6" s="1"/>
  <c r="AB219" i="6" s="1"/>
  <c r="CF219" i="6" s="1"/>
  <c r="AB220" i="6" s="1"/>
  <c r="CF220" i="6" s="1"/>
  <c r="AB221" i="6" s="1"/>
  <c r="CF221" i="6" s="1"/>
  <c r="AB222" i="6" s="1"/>
  <c r="CF222" i="6" s="1"/>
  <c r="AB223" i="6" s="1"/>
  <c r="CF223" i="6" s="1"/>
  <c r="AB224" i="6" s="1"/>
  <c r="CF224" i="6" s="1"/>
  <c r="AB225" i="6" s="1"/>
  <c r="CF225" i="6" s="1"/>
  <c r="AB226" i="6" s="1"/>
  <c r="CF226" i="6" s="1"/>
  <c r="AB227" i="6" s="1"/>
  <c r="CF227" i="6" s="1"/>
  <c r="AB228" i="6" s="1"/>
  <c r="CF228" i="6" s="1"/>
  <c r="AB229" i="6" s="1"/>
  <c r="CF229" i="6" s="1"/>
  <c r="AB230" i="6" s="1"/>
  <c r="CF230" i="6" s="1"/>
  <c r="AB231" i="6" s="1"/>
  <c r="CF231" i="6" s="1"/>
  <c r="AB232" i="6" s="1"/>
  <c r="CF232" i="6" s="1"/>
  <c r="AB233" i="6" s="1"/>
  <c r="CF233" i="6" s="1"/>
  <c r="AB234" i="6" s="1"/>
  <c r="CF234" i="6" s="1"/>
  <c r="AB235" i="6" s="1"/>
  <c r="CF235" i="6" s="1"/>
  <c r="AB236" i="6" s="1"/>
  <c r="CF236" i="6" s="1"/>
  <c r="AB237" i="6" s="1"/>
  <c r="CF237" i="6" s="1"/>
  <c r="AB238" i="6" s="1"/>
  <c r="CF238" i="6" s="1"/>
  <c r="AB239" i="6" s="1"/>
  <c r="CF239" i="6" s="1"/>
  <c r="AB240" i="6" s="1"/>
  <c r="CF240" i="6" s="1"/>
  <c r="AB241" i="6" s="1"/>
  <c r="CF241" i="6" s="1"/>
  <c r="AB242" i="6" s="1"/>
  <c r="CF242" i="6" s="1"/>
  <c r="ET81" i="6"/>
  <c r="EP82" i="6" s="1"/>
  <c r="EQ81" i="6"/>
  <c r="DQ56" i="6"/>
  <c r="DM57" i="6" s="1"/>
  <c r="DN56" i="6"/>
  <c r="DJ57" i="6" s="1"/>
  <c r="DO56" i="6"/>
  <c r="DK57" i="6" s="1"/>
  <c r="DP56" i="6"/>
  <c r="DL57" i="6" s="1"/>
  <c r="BO76" i="6"/>
  <c r="BC76" i="6"/>
  <c r="DR76" i="6"/>
  <c r="DV76" i="6"/>
  <c r="CT129" i="6"/>
  <c r="AP130" i="6" s="1"/>
  <c r="CU129" i="6"/>
  <c r="AQ130" i="6" s="1"/>
  <c r="CW222" i="6"/>
  <c r="AS223" i="6" s="1"/>
  <c r="EJ223" i="6" s="1"/>
  <c r="BL223" i="6" s="1"/>
  <c r="CY222" i="6"/>
  <c r="AU223" i="6" s="1"/>
  <c r="EI223" i="6" s="1"/>
  <c r="CX222" i="6"/>
  <c r="AT223" i="6" s="1"/>
  <c r="CV222" i="6"/>
  <c r="AR223" i="6" s="1"/>
  <c r="CN222" i="6"/>
  <c r="AJ223" i="6" s="1"/>
  <c r="K133" i="4"/>
  <c r="CG130" i="6"/>
  <c r="AC131" i="6" s="1"/>
  <c r="E61" i="5"/>
  <c r="I61" i="5" s="1"/>
  <c r="Q61" i="4"/>
  <c r="S61" i="4" s="1"/>
  <c r="EN238" i="6" l="1"/>
  <c r="Q238" i="6" s="1"/>
  <c r="EO238" i="6" s="1"/>
  <c r="EM239" i="6" s="1"/>
  <c r="FD130" i="6"/>
  <c r="AY129" i="6"/>
  <c r="DI57" i="6"/>
  <c r="ET82" i="6"/>
  <c r="EP83" i="6" s="1"/>
  <c r="EQ82" i="6"/>
  <c r="J61" i="5"/>
  <c r="K61" i="5" s="1"/>
  <c r="K134" i="4"/>
  <c r="DQ76" i="6"/>
  <c r="DM77" i="6" s="1"/>
  <c r="DO76" i="6"/>
  <c r="DK77" i="6" s="1"/>
  <c r="DN76" i="6"/>
  <c r="DJ77" i="6" s="1"/>
  <c r="DP76" i="6"/>
  <c r="DL77" i="6" s="1"/>
  <c r="U67" i="6"/>
  <c r="W67" i="6"/>
  <c r="CA67" i="6" s="1"/>
  <c r="CX223" i="6"/>
  <c r="AT224" i="6" s="1"/>
  <c r="CV223" i="6"/>
  <c r="AR224" i="6" s="1"/>
  <c r="CW223" i="6"/>
  <c r="AS224" i="6" s="1"/>
  <c r="EJ224" i="6" s="1"/>
  <c r="BL224" i="6" s="1"/>
  <c r="CN223" i="6"/>
  <c r="AJ224" i="6" s="1"/>
  <c r="CY223" i="6"/>
  <c r="AU224" i="6" s="1"/>
  <c r="EI224" i="6" s="1"/>
  <c r="ES81" i="6"/>
  <c r="W87" i="5" s="1"/>
  <c r="EV81" i="6"/>
  <c r="EW81" i="6" s="1"/>
  <c r="ER81" i="6"/>
  <c r="V87" i="5" s="1"/>
  <c r="U87" i="5"/>
  <c r="P62" i="5"/>
  <c r="R62" i="5" s="1"/>
  <c r="BU56" i="6"/>
  <c r="CT130" i="6"/>
  <c r="AP131" i="6" s="1"/>
  <c r="CU130" i="6"/>
  <c r="AQ131" i="6" s="1"/>
  <c r="CG131" i="6"/>
  <c r="AC132" i="6" s="1"/>
  <c r="CK235" i="6"/>
  <c r="AG236" i="6" s="1"/>
  <c r="CJ235" i="6"/>
  <c r="AF236" i="6" s="1"/>
  <c r="FC215" i="6"/>
  <c r="FB215" i="6"/>
  <c r="EN239" i="6" l="1"/>
  <c r="Q239" i="6" s="1"/>
  <c r="EO239" i="6" s="1"/>
  <c r="EM240" i="6" s="1"/>
  <c r="CG132" i="6"/>
  <c r="AC133" i="6" s="1"/>
  <c r="EQ83" i="6"/>
  <c r="ET83" i="6"/>
  <c r="EP84" i="6" s="1"/>
  <c r="BD57" i="6"/>
  <c r="DR57" i="6"/>
  <c r="BC57" i="6"/>
  <c r="BO57" i="6"/>
  <c r="BQ57" i="6" s="1"/>
  <c r="DV57" i="6"/>
  <c r="EV82" i="6"/>
  <c r="EW82" i="6" s="1"/>
  <c r="ES82" i="6"/>
  <c r="W88" i="5" s="1"/>
  <c r="ER82" i="6"/>
  <c r="V88" i="5" s="1"/>
  <c r="U88" i="5"/>
  <c r="BW56" i="6"/>
  <c r="Q62" i="5"/>
  <c r="S62" i="5" s="1"/>
  <c r="O62" i="4"/>
  <c r="EU56" i="6"/>
  <c r="BY67" i="6"/>
  <c r="T73" i="4"/>
  <c r="K135" i="4"/>
  <c r="DI77" i="6"/>
  <c r="FC216" i="6"/>
  <c r="FB216" i="6"/>
  <c r="FD131" i="6"/>
  <c r="CU131" i="6"/>
  <c r="AQ132" i="6" s="1"/>
  <c r="CT131" i="6"/>
  <c r="AP132" i="6" s="1"/>
  <c r="CK236" i="6"/>
  <c r="AG237" i="6" s="1"/>
  <c r="CJ236" i="6"/>
  <c r="AF237" i="6" s="1"/>
  <c r="CY224" i="6"/>
  <c r="AU225" i="6" s="1"/>
  <c r="EI225" i="6" s="1"/>
  <c r="CV224" i="6"/>
  <c r="AR225" i="6" s="1"/>
  <c r="CN224" i="6"/>
  <c r="AJ225" i="6" s="1"/>
  <c r="CX224" i="6"/>
  <c r="AT225" i="6" s="1"/>
  <c r="CW224" i="6"/>
  <c r="AS225" i="6" s="1"/>
  <c r="EJ225" i="6" s="1"/>
  <c r="BL225" i="6" s="1"/>
  <c r="L61" i="5"/>
  <c r="M61" i="5" s="1"/>
  <c r="EN240" i="6" l="1"/>
  <c r="Q240" i="6" s="1"/>
  <c r="EO240" i="6" s="1"/>
  <c r="EM241" i="6" s="1"/>
  <c r="FD132" i="6"/>
  <c r="U68" i="6"/>
  <c r="W68" i="6"/>
  <c r="CA68" i="6" s="1"/>
  <c r="DP57" i="6"/>
  <c r="DL58" i="6" s="1"/>
  <c r="DO57" i="6"/>
  <c r="DK58" i="6" s="1"/>
  <c r="DN57" i="6"/>
  <c r="DJ58" i="6" s="1"/>
  <c r="DQ57" i="6"/>
  <c r="DM58" i="6" s="1"/>
  <c r="EQ84" i="6"/>
  <c r="CX225" i="6"/>
  <c r="AT226" i="6" s="1"/>
  <c r="CN225" i="6"/>
  <c r="AJ226" i="6" s="1"/>
  <c r="CW225" i="6"/>
  <c r="AS226" i="6" s="1"/>
  <c r="EJ226" i="6" s="1"/>
  <c r="BL226" i="6" s="1"/>
  <c r="CY225" i="6"/>
  <c r="AU226" i="6" s="1"/>
  <c r="EI226" i="6" s="1"/>
  <c r="CV225" i="6"/>
  <c r="AR226" i="6" s="1"/>
  <c r="EV83" i="6"/>
  <c r="EW83" i="6" s="1"/>
  <c r="ES83" i="6"/>
  <c r="W89" i="5" s="1"/>
  <c r="ER83" i="6"/>
  <c r="V89" i="5" s="1"/>
  <c r="U89" i="5"/>
  <c r="E62" i="5"/>
  <c r="I62" i="5" s="1"/>
  <c r="Q62" i="4"/>
  <c r="S62" i="4" s="1"/>
  <c r="DW57" i="6"/>
  <c r="BR57" i="6"/>
  <c r="DX57" i="6" s="1"/>
  <c r="BV57" i="6" s="1"/>
  <c r="P63" i="4" s="1"/>
  <c r="F63" i="5" s="1"/>
  <c r="FC217" i="6"/>
  <c r="FB217" i="6"/>
  <c r="CG133" i="6"/>
  <c r="AC134" i="6" s="1"/>
  <c r="CU132" i="6"/>
  <c r="AQ133" i="6" s="1"/>
  <c r="CT132" i="6"/>
  <c r="AP133" i="6" s="1"/>
  <c r="BC77" i="6"/>
  <c r="BO77" i="6" s="1"/>
  <c r="DR77" i="6"/>
  <c r="DV77" i="6"/>
  <c r="BS77" i="6" s="1"/>
  <c r="CK237" i="6"/>
  <c r="AG238" i="6" s="1"/>
  <c r="CJ237" i="6"/>
  <c r="AF238" i="6" s="1"/>
  <c r="EN241" i="6" l="1"/>
  <c r="Q241" i="6" s="1"/>
  <c r="EO241" i="6" s="1"/>
  <c r="EM242" i="6" s="1"/>
  <c r="T74" i="4"/>
  <c r="BY68" i="6"/>
  <c r="BC68" i="6"/>
  <c r="CB68" i="6"/>
  <c r="X69" i="6" s="1"/>
  <c r="CT133" i="6"/>
  <c r="AP134" i="6" s="1"/>
  <c r="CU133" i="6"/>
  <c r="AQ134" i="6" s="1"/>
  <c r="J62" i="5"/>
  <c r="K62" i="5" s="1"/>
  <c r="CG134" i="6"/>
  <c r="AC135" i="6" s="1"/>
  <c r="FC218" i="6"/>
  <c r="FB218" i="6"/>
  <c r="CN226" i="6"/>
  <c r="AJ227" i="6" s="1"/>
  <c r="CW226" i="6"/>
  <c r="AS227" i="6" s="1"/>
  <c r="EJ227" i="6" s="1"/>
  <c r="BL227" i="6" s="1"/>
  <c r="CX226" i="6"/>
  <c r="AT227" i="6" s="1"/>
  <c r="CV226" i="6"/>
  <c r="AR227" i="6" s="1"/>
  <c r="CY226" i="6"/>
  <c r="AU227" i="6" s="1"/>
  <c r="EI227" i="6" s="1"/>
  <c r="FD133" i="6"/>
  <c r="DI58" i="6"/>
  <c r="CK238" i="6"/>
  <c r="AG239" i="6" s="1"/>
  <c r="CJ238" i="6"/>
  <c r="AF239" i="6" s="1"/>
  <c r="BU57" i="6"/>
  <c r="P63" i="5"/>
  <c r="R63" i="5" s="1"/>
  <c r="ES84" i="6"/>
  <c r="ER84" i="6"/>
  <c r="V90" i="5" s="1"/>
  <c r="EV84" i="6"/>
  <c r="EW84" i="6" s="1"/>
  <c r="U90" i="5"/>
  <c r="DO77" i="6"/>
  <c r="DK78" i="6" s="1"/>
  <c r="DQ77" i="6"/>
  <c r="DM78" i="6" s="1"/>
  <c r="DN77" i="6"/>
  <c r="DJ78" i="6" s="1"/>
  <c r="DP77" i="6"/>
  <c r="DL78" i="6" s="1"/>
  <c r="L62" i="5" l="1"/>
  <c r="M62" i="5" s="1"/>
  <c r="EN242" i="6"/>
  <c r="Q242" i="6" s="1"/>
  <c r="EO242" i="6" s="1"/>
  <c r="CU134" i="6"/>
  <c r="AQ135" i="6" s="1"/>
  <c r="CT134" i="6"/>
  <c r="AP135" i="6" s="1"/>
  <c r="W90" i="5"/>
  <c r="DX84" i="6"/>
  <c r="BV84" i="6" s="1"/>
  <c r="P90" i="4" s="1"/>
  <c r="F90" i="5" s="1"/>
  <c r="DW84" i="6"/>
  <c r="BU84" i="6" s="1"/>
  <c r="CB69" i="6"/>
  <c r="X70" i="6" s="1"/>
  <c r="BF69" i="6"/>
  <c r="BK69" i="6" s="1"/>
  <c r="BA69" i="6"/>
  <c r="BD69" i="6"/>
  <c r="BO69" i="6" s="1"/>
  <c r="BW57" i="6"/>
  <c r="O63" i="4"/>
  <c r="Q63" i="5"/>
  <c r="S63" i="5" s="1"/>
  <c r="EU57" i="6"/>
  <c r="U69" i="6"/>
  <c r="W69" i="6"/>
  <c r="CA69" i="6" s="1"/>
  <c r="CX227" i="6"/>
  <c r="AT228" i="6" s="1"/>
  <c r="CW227" i="6"/>
  <c r="AS228" i="6" s="1"/>
  <c r="EJ228" i="6" s="1"/>
  <c r="BL228" i="6" s="1"/>
  <c r="CN227" i="6"/>
  <c r="AJ228" i="6" s="1"/>
  <c r="CY227" i="6"/>
  <c r="AU228" i="6" s="1"/>
  <c r="EI228" i="6" s="1"/>
  <c r="CV227" i="6"/>
  <c r="AR228" i="6" s="1"/>
  <c r="CJ239" i="6"/>
  <c r="AF240" i="6" s="1"/>
  <c r="CK239" i="6"/>
  <c r="AG240" i="6" s="1"/>
  <c r="FC219" i="6"/>
  <c r="FB219" i="6"/>
  <c r="BC58" i="6"/>
  <c r="BD58" i="6"/>
  <c r="DR58" i="6"/>
  <c r="DV58" i="6"/>
  <c r="DI78" i="6"/>
  <c r="CG135" i="6"/>
  <c r="AC136" i="6" s="1"/>
  <c r="FD134" i="6"/>
  <c r="BC78" i="6" l="1"/>
  <c r="DR78" i="6"/>
  <c r="BO78" i="6"/>
  <c r="DV78" i="6"/>
  <c r="BP69" i="6"/>
  <c r="M75" i="4"/>
  <c r="CG136" i="6"/>
  <c r="AC137" i="6" s="1"/>
  <c r="BQ69" i="6"/>
  <c r="CK240" i="6"/>
  <c r="AG241" i="6" s="1"/>
  <c r="CJ240" i="6"/>
  <c r="AF241" i="6" s="1"/>
  <c r="CX228" i="6"/>
  <c r="AT229" i="6" s="1"/>
  <c r="CW228" i="6"/>
  <c r="AS229" i="6" s="1"/>
  <c r="EJ229" i="6" s="1"/>
  <c r="BL229" i="6" s="1"/>
  <c r="CV228" i="6"/>
  <c r="AR229" i="6" s="1"/>
  <c r="CN228" i="6"/>
  <c r="AJ229" i="6" s="1"/>
  <c r="CY228" i="6"/>
  <c r="AU229" i="6" s="1"/>
  <c r="EI229" i="6" s="1"/>
  <c r="CB70" i="6"/>
  <c r="X71" i="6" s="1"/>
  <c r="BF70" i="6"/>
  <c r="BK70" i="6" s="1"/>
  <c r="BA70" i="6"/>
  <c r="BD70" i="6"/>
  <c r="BO70" i="6" s="1"/>
  <c r="O90" i="4"/>
  <c r="E90" i="5" s="1"/>
  <c r="BW84" i="6"/>
  <c r="EU84" i="6" s="1"/>
  <c r="ET84" i="6" s="1"/>
  <c r="EP85" i="6" s="1"/>
  <c r="T75" i="4"/>
  <c r="BY69" i="6"/>
  <c r="DQ58" i="6"/>
  <c r="DM59" i="6" s="1"/>
  <c r="DN58" i="6"/>
  <c r="DJ59" i="6" s="1"/>
  <c r="DO58" i="6"/>
  <c r="DK59" i="6" s="1"/>
  <c r="DP58" i="6"/>
  <c r="DL59" i="6" s="1"/>
  <c r="CU135" i="6"/>
  <c r="AQ136" i="6" s="1"/>
  <c r="CT135" i="6"/>
  <c r="AP136" i="6" s="1"/>
  <c r="FD135" i="6"/>
  <c r="FB220" i="6"/>
  <c r="FC220" i="6"/>
  <c r="Q63" i="4"/>
  <c r="S63" i="4" s="1"/>
  <c r="E63" i="5"/>
  <c r="I63" i="5" s="1"/>
  <c r="M76" i="4" l="1"/>
  <c r="BP70" i="6"/>
  <c r="FB221" i="6"/>
  <c r="FC221" i="6"/>
  <c r="ET85" i="6"/>
  <c r="EP86" i="6" s="1"/>
  <c r="EQ85" i="6"/>
  <c r="CK241" i="6"/>
  <c r="AG242" i="6" s="1"/>
  <c r="CJ241" i="6"/>
  <c r="AF242" i="6" s="1"/>
  <c r="J63" i="5"/>
  <c r="K63" i="5" s="1"/>
  <c r="FD136" i="6"/>
  <c r="DW69" i="6"/>
  <c r="BR69" i="6"/>
  <c r="DX69" i="6" s="1"/>
  <c r="BV69" i="6" s="1"/>
  <c r="P75" i="4" s="1"/>
  <c r="F75" i="5" s="1"/>
  <c r="CG137" i="6"/>
  <c r="AC138" i="6" s="1"/>
  <c r="CU136" i="6"/>
  <c r="AQ137" i="6" s="1"/>
  <c r="CT136" i="6"/>
  <c r="AP137" i="6" s="1"/>
  <c r="CB71" i="6"/>
  <c r="X72" i="6" s="1"/>
  <c r="BF71" i="6"/>
  <c r="BK71" i="6" s="1"/>
  <c r="BQ71" i="6" s="1"/>
  <c r="BA71" i="6"/>
  <c r="BD71" i="6"/>
  <c r="CX229" i="6"/>
  <c r="AT230" i="6" s="1"/>
  <c r="CW229" i="6"/>
  <c r="AS230" i="6" s="1"/>
  <c r="EJ230" i="6" s="1"/>
  <c r="BL230" i="6" s="1"/>
  <c r="CY229" i="6"/>
  <c r="AU230" i="6" s="1"/>
  <c r="EI230" i="6" s="1"/>
  <c r="CV229" i="6"/>
  <c r="AR230" i="6" s="1"/>
  <c r="CN229" i="6"/>
  <c r="AJ230" i="6" s="1"/>
  <c r="DO78" i="6"/>
  <c r="DK79" i="6" s="1"/>
  <c r="DP78" i="6"/>
  <c r="DL79" i="6" s="1"/>
  <c r="DN78" i="6"/>
  <c r="DJ79" i="6" s="1"/>
  <c r="DQ78" i="6"/>
  <c r="DM79" i="6" s="1"/>
  <c r="DI59" i="6"/>
  <c r="U70" i="6"/>
  <c r="W70" i="6"/>
  <c r="CA70" i="6" s="1"/>
  <c r="DI79" i="6" l="1"/>
  <c r="L63" i="5"/>
  <c r="M63" i="5" s="1"/>
  <c r="M77" i="4"/>
  <c r="BP71" i="6"/>
  <c r="BT71" i="6" s="1"/>
  <c r="FD137" i="6"/>
  <c r="CT137" i="6"/>
  <c r="AP138" i="6" s="1"/>
  <c r="CU137" i="6"/>
  <c r="AQ138" i="6" s="1"/>
  <c r="CK242" i="6"/>
  <c r="CJ242" i="6"/>
  <c r="EV85" i="6"/>
  <c r="EW85" i="6" s="1"/>
  <c r="ES85" i="6"/>
  <c r="W91" i="5" s="1"/>
  <c r="ER85" i="6"/>
  <c r="V91" i="5" s="1"/>
  <c r="U91" i="5"/>
  <c r="CY230" i="6"/>
  <c r="AU231" i="6" s="1"/>
  <c r="EI231" i="6" s="1"/>
  <c r="CX230" i="6"/>
  <c r="AT231" i="6" s="1"/>
  <c r="CW230" i="6"/>
  <c r="AS231" i="6" s="1"/>
  <c r="EJ231" i="6" s="1"/>
  <c r="BL231" i="6" s="1"/>
  <c r="CV230" i="6"/>
  <c r="AR231" i="6" s="1"/>
  <c r="CN230" i="6"/>
  <c r="AJ231" i="6" s="1"/>
  <c r="CG138" i="6"/>
  <c r="AC139" i="6" s="1"/>
  <c r="EQ86" i="6"/>
  <c r="T76" i="4"/>
  <c r="BY70" i="6"/>
  <c r="BU69" i="6"/>
  <c r="P75" i="5"/>
  <c r="R75" i="5" s="1"/>
  <c r="FC222" i="6"/>
  <c r="FB222" i="6"/>
  <c r="CB72" i="6"/>
  <c r="X73" i="6" s="1"/>
  <c r="BF72" i="6"/>
  <c r="BK72" i="6" s="1"/>
  <c r="BA72" i="6"/>
  <c r="BD72" i="6"/>
  <c r="BC59" i="6"/>
  <c r="BO59" i="6"/>
  <c r="BQ59" i="6" s="1"/>
  <c r="BD59" i="6"/>
  <c r="DR59" i="6"/>
  <c r="DV59" i="6"/>
  <c r="DW71" i="6"/>
  <c r="BU71" i="6" s="1"/>
  <c r="BR71" i="6"/>
  <c r="DX71" i="6" s="1"/>
  <c r="CB73" i="6" l="1"/>
  <c r="X74" i="6" s="1"/>
  <c r="BF73" i="6"/>
  <c r="BK73" i="6" s="1"/>
  <c r="BQ73" i="6" s="1"/>
  <c r="BA73" i="6"/>
  <c r="BD73" i="6"/>
  <c r="CX231" i="6"/>
  <c r="AT232" i="6" s="1"/>
  <c r="CN231" i="6"/>
  <c r="AJ232" i="6" s="1"/>
  <c r="CW231" i="6"/>
  <c r="AS232" i="6" s="1"/>
  <c r="EJ232" i="6" s="1"/>
  <c r="BL232" i="6" s="1"/>
  <c r="CV231" i="6"/>
  <c r="AR232" i="6" s="1"/>
  <c r="CY231" i="6"/>
  <c r="AU232" i="6" s="1"/>
  <c r="EI232" i="6" s="1"/>
  <c r="CT138" i="6"/>
  <c r="AP139" i="6" s="1"/>
  <c r="CU138" i="6"/>
  <c r="AQ139" i="6" s="1"/>
  <c r="FC223" i="6"/>
  <c r="FB223" i="6"/>
  <c r="DP59" i="6"/>
  <c r="DL60" i="6" s="1"/>
  <c r="DQ59" i="6"/>
  <c r="DM60" i="6" s="1"/>
  <c r="DO59" i="6"/>
  <c r="DK60" i="6" s="1"/>
  <c r="DN59" i="6"/>
  <c r="DJ60" i="6" s="1"/>
  <c r="O75" i="4"/>
  <c r="EU69" i="6"/>
  <c r="Q75" i="5"/>
  <c r="S75" i="5" s="1"/>
  <c r="BW69" i="6"/>
  <c r="O77" i="4"/>
  <c r="E77" i="5" s="1"/>
  <c r="W71" i="6"/>
  <c r="CA71" i="6" s="1"/>
  <c r="U71" i="6"/>
  <c r="ES86" i="6"/>
  <c r="ER86" i="6"/>
  <c r="EV86" i="6"/>
  <c r="EW86" i="6" s="1"/>
  <c r="U92" i="5"/>
  <c r="DW59" i="6"/>
  <c r="BR59" i="6"/>
  <c r="DX59" i="6" s="1"/>
  <c r="BV59" i="6" s="1"/>
  <c r="P65" i="4" s="1"/>
  <c r="F65" i="5" s="1"/>
  <c r="M78" i="4"/>
  <c r="BP72" i="6"/>
  <c r="DR79" i="6"/>
  <c r="BC79" i="6"/>
  <c r="DV79" i="6"/>
  <c r="P77" i="5"/>
  <c r="R77" i="5" s="1"/>
  <c r="BV71" i="6"/>
  <c r="BW71" i="6" s="1"/>
  <c r="FD138" i="6"/>
  <c r="CG139" i="6"/>
  <c r="AC140" i="6" s="1"/>
  <c r="CT139" i="6" l="1"/>
  <c r="AP140" i="6" s="1"/>
  <c r="CU139" i="6"/>
  <c r="AQ140" i="6" s="1"/>
  <c r="DP79" i="6"/>
  <c r="DL80" i="6" s="1"/>
  <c r="DO79" i="6"/>
  <c r="DK80" i="6" s="1"/>
  <c r="DN79" i="6"/>
  <c r="DJ80" i="6" s="1"/>
  <c r="DQ79" i="6"/>
  <c r="DM80" i="6" s="1"/>
  <c r="CG140" i="6"/>
  <c r="AC141" i="6" s="1"/>
  <c r="P65" i="5"/>
  <c r="R65" i="5" s="1"/>
  <c r="BU59" i="6"/>
  <c r="Q75" i="4"/>
  <c r="S75" i="4" s="1"/>
  <c r="E75" i="5"/>
  <c r="I75" i="5" s="1"/>
  <c r="CN232" i="6"/>
  <c r="AJ233" i="6" s="1"/>
  <c r="CY232" i="6"/>
  <c r="AU233" i="6" s="1"/>
  <c r="EI233" i="6" s="1"/>
  <c r="CV232" i="6"/>
  <c r="AR233" i="6" s="1"/>
  <c r="CX232" i="6"/>
  <c r="AT233" i="6" s="1"/>
  <c r="CW232" i="6"/>
  <c r="AS233" i="6" s="1"/>
  <c r="EJ233" i="6" s="1"/>
  <c r="BL233" i="6" s="1"/>
  <c r="DI60" i="6"/>
  <c r="M79" i="4"/>
  <c r="BP73" i="6"/>
  <c r="BT73" i="6" s="1"/>
  <c r="DW73" i="6"/>
  <c r="BU73" i="6" s="1"/>
  <c r="FD139" i="6"/>
  <c r="DK86" i="6"/>
  <c r="DO86" i="6" s="1"/>
  <c r="DK87" i="6" s="1"/>
  <c r="DL86" i="6"/>
  <c r="DP86" i="6" s="1"/>
  <c r="DL87" i="6" s="1"/>
  <c r="DJ86" i="6"/>
  <c r="DN86" i="6" s="1"/>
  <c r="DJ87" i="6" s="1"/>
  <c r="DM86" i="6"/>
  <c r="DQ86" i="6" s="1"/>
  <c r="DM87" i="6" s="1"/>
  <c r="P77" i="4"/>
  <c r="Q77" i="5"/>
  <c r="S77" i="5" s="1"/>
  <c r="EU71" i="6"/>
  <c r="V92" i="5"/>
  <c r="DV86" i="6"/>
  <c r="W92" i="5"/>
  <c r="DX86" i="6"/>
  <c r="BV86" i="6" s="1"/>
  <c r="P92" i="4" s="1"/>
  <c r="F92" i="5" s="1"/>
  <c r="DW86" i="6"/>
  <c r="BU86" i="6" s="1"/>
  <c r="T77" i="4"/>
  <c r="BY71" i="6"/>
  <c r="FC224" i="6"/>
  <c r="FB224" i="6"/>
  <c r="CB74" i="6"/>
  <c r="X75" i="6" s="1"/>
  <c r="BF74" i="6"/>
  <c r="BK74" i="6" s="1"/>
  <c r="BQ74" i="6" s="1"/>
  <c r="BA74" i="6"/>
  <c r="BD74" i="6"/>
  <c r="DW74" i="6" l="1"/>
  <c r="BU74" i="6" s="1"/>
  <c r="J75" i="5"/>
  <c r="K75" i="5" s="1"/>
  <c r="L75" i="5"/>
  <c r="M75" i="5" s="1"/>
  <c r="DI87" i="6"/>
  <c r="O65" i="4"/>
  <c r="Q65" i="5"/>
  <c r="S65" i="5" s="1"/>
  <c r="EU59" i="6"/>
  <c r="BW59" i="6"/>
  <c r="DR60" i="6"/>
  <c r="BD60" i="6"/>
  <c r="BC60" i="6"/>
  <c r="BO60" i="6" s="1"/>
  <c r="BQ60" i="6" s="1"/>
  <c r="DV60" i="6"/>
  <c r="BS60" i="6" s="1"/>
  <c r="BT60" i="6" s="1"/>
  <c r="CG141" i="6"/>
  <c r="AC142" i="6" s="1"/>
  <c r="DI80" i="6"/>
  <c r="U72" i="6"/>
  <c r="W72" i="6"/>
  <c r="CA72" i="6" s="1"/>
  <c r="O92" i="4"/>
  <c r="E92" i="5" s="1"/>
  <c r="BW86" i="6"/>
  <c r="EU86" i="6" s="1"/>
  <c r="ET86" i="6" s="1"/>
  <c r="EP87" i="6" s="1"/>
  <c r="FD140" i="6"/>
  <c r="BR73" i="6"/>
  <c r="DX73" i="6" s="1"/>
  <c r="CT140" i="6"/>
  <c r="AP141" i="6" s="1"/>
  <c r="CU140" i="6"/>
  <c r="AQ141" i="6" s="1"/>
  <c r="CB75" i="6"/>
  <c r="X76" i="6" s="1"/>
  <c r="BF75" i="6"/>
  <c r="BK75" i="6" s="1"/>
  <c r="BQ75" i="6" s="1"/>
  <c r="BA75" i="6"/>
  <c r="BD75" i="6"/>
  <c r="F77" i="5"/>
  <c r="I77" i="5" s="1"/>
  <c r="Q77" i="4"/>
  <c r="S77" i="4" s="1"/>
  <c r="FC225" i="6"/>
  <c r="FB225" i="6"/>
  <c r="M80" i="4"/>
  <c r="BP74" i="6"/>
  <c r="BR74" i="6" s="1"/>
  <c r="DX74" i="6" s="1"/>
  <c r="O79" i="4"/>
  <c r="E79" i="5" s="1"/>
  <c r="CN233" i="6"/>
  <c r="AJ234" i="6" s="1"/>
  <c r="CV233" i="6"/>
  <c r="AR234" i="6" s="1"/>
  <c r="CW233" i="6"/>
  <c r="AS234" i="6" s="1"/>
  <c r="EJ234" i="6" s="1"/>
  <c r="BL234" i="6" s="1"/>
  <c r="CY233" i="6"/>
  <c r="AU234" i="6" s="1"/>
  <c r="EI234" i="6" s="1"/>
  <c r="CX233" i="6"/>
  <c r="AT234" i="6" s="1"/>
  <c r="BV74" i="6" l="1"/>
  <c r="P80" i="5"/>
  <c r="R80" i="5" s="1"/>
  <c r="CU141" i="6"/>
  <c r="AQ142" i="6" s="1"/>
  <c r="CT141" i="6"/>
  <c r="AP142" i="6" s="1"/>
  <c r="CX234" i="6"/>
  <c r="AT235" i="6" s="1"/>
  <c r="CW234" i="6"/>
  <c r="AS235" i="6" s="1"/>
  <c r="EJ235" i="6" s="1"/>
  <c r="BL235" i="6" s="1"/>
  <c r="CV234" i="6"/>
  <c r="AR235" i="6" s="1"/>
  <c r="CN234" i="6"/>
  <c r="AJ235" i="6" s="1"/>
  <c r="CY234" i="6"/>
  <c r="AU235" i="6" s="1"/>
  <c r="EI235" i="6" s="1"/>
  <c r="CB76" i="6"/>
  <c r="X77" i="6" s="1"/>
  <c r="BF76" i="6"/>
  <c r="BK76" i="6" s="1"/>
  <c r="BQ76" i="6" s="1"/>
  <c r="BA76" i="6"/>
  <c r="BD76" i="6"/>
  <c r="FD141" i="6"/>
  <c r="Q65" i="4"/>
  <c r="S65" i="4" s="1"/>
  <c r="E65" i="5"/>
  <c r="I65" i="5" s="1"/>
  <c r="P79" i="5"/>
  <c r="R79" i="5" s="1"/>
  <c r="BV73" i="6"/>
  <c r="BC87" i="6"/>
  <c r="DR87" i="6"/>
  <c r="BO87" i="6"/>
  <c r="J77" i="5"/>
  <c r="K77" i="5" s="1"/>
  <c r="DN60" i="6"/>
  <c r="DJ61" i="6" s="1"/>
  <c r="DQ60" i="6"/>
  <c r="DM61" i="6" s="1"/>
  <c r="DO60" i="6"/>
  <c r="DK61" i="6" s="1"/>
  <c r="DP60" i="6"/>
  <c r="DL61" i="6" s="1"/>
  <c r="DR80" i="6"/>
  <c r="DV80" i="6"/>
  <c r="FB226" i="6"/>
  <c r="FC226" i="6"/>
  <c r="ET87" i="6"/>
  <c r="EP88" i="6" s="1"/>
  <c r="EQ87" i="6"/>
  <c r="CG142" i="6"/>
  <c r="AC143" i="6" s="1"/>
  <c r="DW60" i="6"/>
  <c r="BU60" i="6" s="1"/>
  <c r="BR60" i="6"/>
  <c r="DX60" i="6" s="1"/>
  <c r="M81" i="4"/>
  <c r="BP75" i="6"/>
  <c r="BR75" i="6" s="1"/>
  <c r="DX75" i="6" s="1"/>
  <c r="BV75" i="6" s="1"/>
  <c r="P81" i="4" s="1"/>
  <c r="F81" i="5" s="1"/>
  <c r="DW75" i="6"/>
  <c r="T78" i="4"/>
  <c r="BY72" i="6"/>
  <c r="BG72" i="6"/>
  <c r="BB72" i="6"/>
  <c r="BN72" i="6" s="1"/>
  <c r="BC72" i="6"/>
  <c r="BO72" i="6" s="1"/>
  <c r="O80" i="4"/>
  <c r="E80" i="5" s="1"/>
  <c r="BW74" i="6"/>
  <c r="DQ87" i="6" l="1"/>
  <c r="DM88" i="6" s="1"/>
  <c r="DO87" i="6"/>
  <c r="DK88" i="6" s="1"/>
  <c r="DN87" i="6"/>
  <c r="DJ88" i="6" s="1"/>
  <c r="DP87" i="6"/>
  <c r="DL88" i="6" s="1"/>
  <c r="M82" i="4"/>
  <c r="BP76" i="6"/>
  <c r="P79" i="4"/>
  <c r="Q79" i="5"/>
  <c r="S79" i="5" s="1"/>
  <c r="EU73" i="6"/>
  <c r="BW73" i="6"/>
  <c r="BU75" i="6"/>
  <c r="P81" i="5"/>
  <c r="R81" i="5" s="1"/>
  <c r="DQ80" i="6"/>
  <c r="DM81" i="6" s="1"/>
  <c r="DN80" i="6"/>
  <c r="DJ81" i="6" s="1"/>
  <c r="DO80" i="6"/>
  <c r="DK81" i="6" s="1"/>
  <c r="DP80" i="6"/>
  <c r="DL81" i="6" s="1"/>
  <c r="DW76" i="6"/>
  <c r="BR76" i="6"/>
  <c r="DX76" i="6" s="1"/>
  <c r="BV76" i="6" s="1"/>
  <c r="P82" i="4" s="1"/>
  <c r="F82" i="5" s="1"/>
  <c r="CB77" i="6"/>
  <c r="X78" i="6" s="1"/>
  <c r="BF77" i="6"/>
  <c r="BK77" i="6" s="1"/>
  <c r="BQ77" i="6" s="1"/>
  <c r="BA77" i="6"/>
  <c r="BD77" i="6"/>
  <c r="DI61" i="6"/>
  <c r="CN235" i="6"/>
  <c r="AJ236" i="6" s="1"/>
  <c r="CV235" i="6"/>
  <c r="AR236" i="6" s="1"/>
  <c r="CW235" i="6"/>
  <c r="AS236" i="6" s="1"/>
  <c r="EJ236" i="6" s="1"/>
  <c r="BL236" i="6" s="1"/>
  <c r="CY235" i="6"/>
  <c r="AU236" i="6" s="1"/>
  <c r="EI236" i="6" s="1"/>
  <c r="CX235" i="6"/>
  <c r="AT236" i="6" s="1"/>
  <c r="J65" i="5"/>
  <c r="K65" i="5" s="1"/>
  <c r="FD142" i="6"/>
  <c r="EV87" i="6"/>
  <c r="EW87" i="6" s="1"/>
  <c r="ES87" i="6"/>
  <c r="W93" i="5" s="1"/>
  <c r="ER87" i="6"/>
  <c r="U93" i="5"/>
  <c r="L77" i="5"/>
  <c r="M77" i="5" s="1"/>
  <c r="O66" i="4"/>
  <c r="E66" i="5" s="1"/>
  <c r="BQ72" i="6"/>
  <c r="DW72" i="6" s="1"/>
  <c r="BU72" i="6" s="1"/>
  <c r="N78" i="4"/>
  <c r="CU142" i="6"/>
  <c r="AQ143" i="6" s="1"/>
  <c r="CT142" i="6"/>
  <c r="AP143" i="6" s="1"/>
  <c r="P66" i="5"/>
  <c r="R66" i="5" s="1"/>
  <c r="BV60" i="6"/>
  <c r="BW60" i="6" s="1"/>
  <c r="CG143" i="6"/>
  <c r="AC144" i="6" s="1"/>
  <c r="ET88" i="6"/>
  <c r="EP89" i="6" s="1"/>
  <c r="EQ88" i="6"/>
  <c r="U73" i="6"/>
  <c r="W73" i="6"/>
  <c r="CA73" i="6" s="1"/>
  <c r="FB227" i="6"/>
  <c r="FC227" i="6"/>
  <c r="P80" i="4"/>
  <c r="Q80" i="5"/>
  <c r="S80" i="5" s="1"/>
  <c r="EU74" i="6"/>
  <c r="CU143" i="6" l="1"/>
  <c r="AQ144" i="6" s="1"/>
  <c r="CT143" i="6"/>
  <c r="AP144" i="6" s="1"/>
  <c r="CN236" i="6"/>
  <c r="AJ237" i="6" s="1"/>
  <c r="CY236" i="6"/>
  <c r="AU237" i="6" s="1"/>
  <c r="EI237" i="6" s="1"/>
  <c r="CX236" i="6"/>
  <c r="AT237" i="6" s="1"/>
  <c r="CW236" i="6"/>
  <c r="AS237" i="6" s="1"/>
  <c r="EJ237" i="6" s="1"/>
  <c r="BL237" i="6" s="1"/>
  <c r="CV236" i="6"/>
  <c r="AR237" i="6" s="1"/>
  <c r="DR61" i="6"/>
  <c r="BD61" i="6"/>
  <c r="BC61" i="6"/>
  <c r="BO61" i="6" s="1"/>
  <c r="BQ61" i="6" s="1"/>
  <c r="DV61" i="6"/>
  <c r="FC228" i="6"/>
  <c r="FB228" i="6"/>
  <c r="BR72" i="6"/>
  <c r="DX72" i="6" s="1"/>
  <c r="FD143" i="6"/>
  <c r="Q81" i="5"/>
  <c r="S81" i="5" s="1"/>
  <c r="O81" i="4"/>
  <c r="EU75" i="6"/>
  <c r="BW75" i="6"/>
  <c r="M83" i="4"/>
  <c r="BP77" i="6"/>
  <c r="BT77" i="6" s="1"/>
  <c r="P66" i="4"/>
  <c r="Q66" i="5"/>
  <c r="S66" i="5" s="1"/>
  <c r="EU60" i="6"/>
  <c r="EV88" i="6"/>
  <c r="EW88" i="6" s="1"/>
  <c r="ES88" i="6"/>
  <c r="W94" i="5" s="1"/>
  <c r="ER88" i="6"/>
  <c r="V94" i="5" s="1"/>
  <c r="U94" i="5"/>
  <c r="L65" i="5"/>
  <c r="M65" i="5" s="1"/>
  <c r="DW77" i="6"/>
  <c r="BR77" i="6"/>
  <c r="DX77" i="6" s="1"/>
  <c r="O78" i="4"/>
  <c r="E78" i="5" s="1"/>
  <c r="T79" i="4"/>
  <c r="BY73" i="6"/>
  <c r="CB78" i="6"/>
  <c r="X79" i="6" s="1"/>
  <c r="BF78" i="6"/>
  <c r="BK78" i="6" s="1"/>
  <c r="BQ78" i="6" s="1"/>
  <c r="BA78" i="6"/>
  <c r="BD78" i="6"/>
  <c r="F79" i="5"/>
  <c r="I79" i="5" s="1"/>
  <c r="Q79" i="4"/>
  <c r="S79" i="4" s="1"/>
  <c r="ET89" i="6"/>
  <c r="EP90" i="6" s="1"/>
  <c r="EQ89" i="6"/>
  <c r="DI81" i="6"/>
  <c r="F80" i="5"/>
  <c r="I80" i="5" s="1"/>
  <c r="Q80" i="4"/>
  <c r="S80" i="4" s="1"/>
  <c r="CG144" i="6"/>
  <c r="AC145" i="6" s="1"/>
  <c r="V93" i="5"/>
  <c r="DV87" i="6"/>
  <c r="P82" i="5"/>
  <c r="R82" i="5" s="1"/>
  <c r="BU76" i="6"/>
  <c r="DI88" i="6"/>
  <c r="BV77" i="6" l="1"/>
  <c r="P83" i="4" s="1"/>
  <c r="F83" i="5" s="1"/>
  <c r="DW61" i="6"/>
  <c r="BU61" i="6" s="1"/>
  <c r="BR61" i="6"/>
  <c r="DX61" i="6" s="1"/>
  <c r="E81" i="5"/>
  <c r="I81" i="5" s="1"/>
  <c r="Q81" i="4"/>
  <c r="S81" i="4" s="1"/>
  <c r="DO61" i="6"/>
  <c r="DQ61" i="6"/>
  <c r="DN61" i="6"/>
  <c r="DP61" i="6"/>
  <c r="O82" i="4"/>
  <c r="Q82" i="5"/>
  <c r="S82" i="5" s="1"/>
  <c r="EU76" i="6"/>
  <c r="BW76" i="6"/>
  <c r="J79" i="5"/>
  <c r="K79" i="5" s="1"/>
  <c r="FD144" i="6"/>
  <c r="DW78" i="6"/>
  <c r="BU78" i="6" s="1"/>
  <c r="CB79" i="6"/>
  <c r="X80" i="6" s="1"/>
  <c r="BF79" i="6"/>
  <c r="BK79" i="6" s="1"/>
  <c r="BA79" i="6"/>
  <c r="BD79" i="6"/>
  <c r="CX237" i="6"/>
  <c r="AT238" i="6" s="1"/>
  <c r="CW237" i="6"/>
  <c r="AS238" i="6" s="1"/>
  <c r="EJ238" i="6" s="1"/>
  <c r="BL238" i="6" s="1"/>
  <c r="CV237" i="6"/>
  <c r="AR238" i="6" s="1"/>
  <c r="CN237" i="6"/>
  <c r="AJ238" i="6" s="1"/>
  <c r="CY237" i="6"/>
  <c r="AU238" i="6" s="1"/>
  <c r="EI238" i="6" s="1"/>
  <c r="P78" i="5"/>
  <c r="R78" i="5" s="1"/>
  <c r="BV72" i="6"/>
  <c r="CU144" i="6"/>
  <c r="AQ145" i="6" s="1"/>
  <c r="CT144" i="6"/>
  <c r="AP145" i="6" s="1"/>
  <c r="P83" i="5"/>
  <c r="R83" i="5" s="1"/>
  <c r="BU77" i="6"/>
  <c r="CG145" i="6"/>
  <c r="AC146" i="6" s="1"/>
  <c r="J80" i="5"/>
  <c r="K80" i="5" s="1"/>
  <c r="F66" i="5"/>
  <c r="I66" i="5" s="1"/>
  <c r="Q66" i="4"/>
  <c r="S66" i="4" s="1"/>
  <c r="FB229" i="6"/>
  <c r="FC229" i="6"/>
  <c r="EQ90" i="6"/>
  <c r="ET90" i="6"/>
  <c r="EP91" i="6" s="1"/>
  <c r="BP78" i="6"/>
  <c r="BR78" i="6" s="1"/>
  <c r="DX78" i="6" s="1"/>
  <c r="M84" i="4"/>
  <c r="BO88" i="6"/>
  <c r="DR88" i="6"/>
  <c r="BC88" i="6"/>
  <c r="DV88" i="6"/>
  <c r="W74" i="6"/>
  <c r="CA74" i="6" s="1"/>
  <c r="U74" i="6"/>
  <c r="DR81" i="6"/>
  <c r="BC81" i="6"/>
  <c r="BO81" i="6" s="1"/>
  <c r="DV81" i="6"/>
  <c r="BS81" i="6" s="1"/>
  <c r="EV89" i="6"/>
  <c r="EW89" i="6" s="1"/>
  <c r="ES89" i="6"/>
  <c r="W95" i="5" s="1"/>
  <c r="ER89" i="6"/>
  <c r="V95" i="5" s="1"/>
  <c r="U95" i="5"/>
  <c r="L80" i="5" l="1"/>
  <c r="M80" i="5" s="1"/>
  <c r="BV78" i="6"/>
  <c r="P84" i="5"/>
  <c r="R84" i="5" s="1"/>
  <c r="ET91" i="6"/>
  <c r="EP92" i="6" s="1"/>
  <c r="EQ91" i="6"/>
  <c r="CB80" i="6"/>
  <c r="X81" i="6" s="1"/>
  <c r="BF80" i="6"/>
  <c r="BK80" i="6" s="1"/>
  <c r="BG80" i="6"/>
  <c r="BA80" i="6"/>
  <c r="BD80" i="6"/>
  <c r="BO80" i="6" s="1"/>
  <c r="E82" i="5"/>
  <c r="I82" i="5" s="1"/>
  <c r="Q82" i="4"/>
  <c r="S82" i="4" s="1"/>
  <c r="CU145" i="6"/>
  <c r="AQ146" i="6" s="1"/>
  <c r="CT145" i="6"/>
  <c r="AP146" i="6" s="1"/>
  <c r="M85" i="4"/>
  <c r="BP79" i="6"/>
  <c r="ES90" i="6"/>
  <c r="W96" i="5" s="1"/>
  <c r="EV90" i="6"/>
  <c r="EW90" i="6" s="1"/>
  <c r="ER90" i="6"/>
  <c r="V96" i="5" s="1"/>
  <c r="U96" i="5"/>
  <c r="P78" i="4"/>
  <c r="Q78" i="5"/>
  <c r="S78" i="5" s="1"/>
  <c r="EU72" i="6"/>
  <c r="BW72" i="6"/>
  <c r="O84" i="4"/>
  <c r="E84" i="5" s="1"/>
  <c r="BW78" i="6"/>
  <c r="DQ81" i="6"/>
  <c r="DM82" i="6" s="1"/>
  <c r="DP81" i="6"/>
  <c r="DL82" i="6" s="1"/>
  <c r="DO81" i="6"/>
  <c r="DK82" i="6" s="1"/>
  <c r="DN81" i="6"/>
  <c r="DJ82" i="6" s="1"/>
  <c r="T80" i="4"/>
  <c r="BY74" i="6"/>
  <c r="FB230" i="6"/>
  <c r="FC230" i="6"/>
  <c r="J66" i="5"/>
  <c r="K66" i="5" s="1"/>
  <c r="L66" i="5"/>
  <c r="M66" i="5" s="1"/>
  <c r="CW238" i="6"/>
  <c r="AS239" i="6" s="1"/>
  <c r="EJ239" i="6" s="1"/>
  <c r="BL239" i="6" s="1"/>
  <c r="CX238" i="6"/>
  <c r="AT239" i="6" s="1"/>
  <c r="CV238" i="6"/>
  <c r="AR239" i="6" s="1"/>
  <c r="CY238" i="6"/>
  <c r="AU239" i="6" s="1"/>
  <c r="EI239" i="6" s="1"/>
  <c r="CN238" i="6"/>
  <c r="AJ239" i="6" s="1"/>
  <c r="FD145" i="6"/>
  <c r="J81" i="5"/>
  <c r="K81" i="5" s="1"/>
  <c r="BV61" i="6"/>
  <c r="P67" i="5"/>
  <c r="R67" i="5" s="1"/>
  <c r="CG146" i="6"/>
  <c r="AC147" i="6" s="1"/>
  <c r="BW77" i="6"/>
  <c r="O83" i="4"/>
  <c r="Q83" i="5"/>
  <c r="S83" i="5" s="1"/>
  <c r="EU77" i="6"/>
  <c r="DN88" i="6"/>
  <c r="DJ89" i="6" s="1"/>
  <c r="DO88" i="6"/>
  <c r="DK89" i="6" s="1"/>
  <c r="DQ88" i="6"/>
  <c r="DM89" i="6" s="1"/>
  <c r="DP88" i="6"/>
  <c r="DL89" i="6" s="1"/>
  <c r="L79" i="5"/>
  <c r="M79" i="5" s="1"/>
  <c r="O67" i="4"/>
  <c r="E67" i="5" s="1"/>
  <c r="P67" i="4" l="1"/>
  <c r="EU61" i="6"/>
  <c r="Q67" i="5"/>
  <c r="S67" i="5" s="1"/>
  <c r="CU146" i="6"/>
  <c r="AQ147" i="6" s="1"/>
  <c r="CT146" i="6"/>
  <c r="AP147" i="6" s="1"/>
  <c r="DI89" i="6"/>
  <c r="L81" i="5"/>
  <c r="M81" i="5" s="1"/>
  <c r="J82" i="5"/>
  <c r="K82" i="5" s="1"/>
  <c r="FD146" i="6"/>
  <c r="FB231" i="6"/>
  <c r="FC231" i="6"/>
  <c r="F78" i="5"/>
  <c r="I78" i="5" s="1"/>
  <c r="Q78" i="4"/>
  <c r="S78" i="4" s="1"/>
  <c r="BP80" i="6"/>
  <c r="M86" i="4"/>
  <c r="U75" i="6"/>
  <c r="W75" i="6"/>
  <c r="CA75" i="6" s="1"/>
  <c r="BQ80" i="6"/>
  <c r="DW80" i="6" s="1"/>
  <c r="BU80" i="6" s="1"/>
  <c r="N86" i="4"/>
  <c r="CB81" i="6"/>
  <c r="X82" i="6" s="1"/>
  <c r="BF81" i="6"/>
  <c r="BK81" i="6" s="1"/>
  <c r="BQ81" i="6" s="1"/>
  <c r="BA81" i="6"/>
  <c r="BD81" i="6"/>
  <c r="DI82" i="6"/>
  <c r="EV91" i="6"/>
  <c r="EW91" i="6" s="1"/>
  <c r="ES91" i="6"/>
  <c r="W97" i="5" s="1"/>
  <c r="ER91" i="6"/>
  <c r="V97" i="5" s="1"/>
  <c r="U97" i="5"/>
  <c r="EQ92" i="6"/>
  <c r="E83" i="5"/>
  <c r="I83" i="5" s="1"/>
  <c r="Q83" i="4"/>
  <c r="S83" i="4" s="1"/>
  <c r="CY239" i="6"/>
  <c r="AU240" i="6" s="1"/>
  <c r="EI240" i="6" s="1"/>
  <c r="CV239" i="6"/>
  <c r="AR240" i="6" s="1"/>
  <c r="CN239" i="6"/>
  <c r="AJ240" i="6" s="1"/>
  <c r="CX239" i="6"/>
  <c r="AT240" i="6" s="1"/>
  <c r="CW239" i="6"/>
  <c r="AS240" i="6" s="1"/>
  <c r="EJ240" i="6" s="1"/>
  <c r="BL240" i="6" s="1"/>
  <c r="CG147" i="6"/>
  <c r="AC148" i="6" s="1"/>
  <c r="BW61" i="6"/>
  <c r="P84" i="4"/>
  <c r="EU78" i="6"/>
  <c r="Q84" i="5"/>
  <c r="S84" i="5" s="1"/>
  <c r="BR80" i="6" l="1"/>
  <c r="DX80" i="6" s="1"/>
  <c r="P86" i="5" s="1"/>
  <c r="R86" i="5" s="1"/>
  <c r="BV80" i="6"/>
  <c r="DR82" i="6"/>
  <c r="BD82" i="6"/>
  <c r="BC82" i="6"/>
  <c r="BO82" i="6" s="1"/>
  <c r="DV82" i="6"/>
  <c r="BS82" i="6" s="1"/>
  <c r="L82" i="5"/>
  <c r="M82" i="5" s="1"/>
  <c r="DR89" i="6"/>
  <c r="BC89" i="6"/>
  <c r="BO89" i="6"/>
  <c r="DV89" i="6"/>
  <c r="M87" i="4"/>
  <c r="BP81" i="6"/>
  <c r="BT81" i="6" s="1"/>
  <c r="J78" i="5"/>
  <c r="K78" i="5" s="1"/>
  <c r="DW81" i="6"/>
  <c r="BU81" i="6" s="1"/>
  <c r="BR81" i="6"/>
  <c r="DX81" i="6" s="1"/>
  <c r="CY240" i="6"/>
  <c r="AU241" i="6" s="1"/>
  <c r="EI241" i="6" s="1"/>
  <c r="CN240" i="6"/>
  <c r="AJ241" i="6" s="1"/>
  <c r="CW240" i="6"/>
  <c r="AS241" i="6" s="1"/>
  <c r="EJ241" i="6" s="1"/>
  <c r="BL241" i="6" s="1"/>
  <c r="CV240" i="6"/>
  <c r="AR241" i="6" s="1"/>
  <c r="CX240" i="6"/>
  <c r="AT241" i="6" s="1"/>
  <c r="T81" i="4"/>
  <c r="BY75" i="6"/>
  <c r="CB82" i="6"/>
  <c r="X83" i="6" s="1"/>
  <c r="BF82" i="6"/>
  <c r="BK82" i="6" s="1"/>
  <c r="BA82" i="6"/>
  <c r="FC232" i="6"/>
  <c r="FB232" i="6"/>
  <c r="CU147" i="6"/>
  <c r="AQ148" i="6" s="1"/>
  <c r="CT147" i="6"/>
  <c r="AP148" i="6" s="1"/>
  <c r="CG148" i="6"/>
  <c r="AC149" i="6" s="1"/>
  <c r="FD147" i="6"/>
  <c r="J83" i="5"/>
  <c r="K83" i="5" s="1"/>
  <c r="L83" i="5"/>
  <c r="M83" i="5" s="1"/>
  <c r="F84" i="5"/>
  <c r="I84" i="5" s="1"/>
  <c r="Q84" i="4"/>
  <c r="S84" i="4" s="1"/>
  <c r="EV92" i="6"/>
  <c r="EW92" i="6" s="1"/>
  <c r="ES92" i="6"/>
  <c r="ER92" i="6"/>
  <c r="V98" i="5" s="1"/>
  <c r="U98" i="5"/>
  <c r="O86" i="4"/>
  <c r="E86" i="5" s="1"/>
  <c r="BW80" i="6"/>
  <c r="F67" i="5"/>
  <c r="I67" i="5" s="1"/>
  <c r="Q67" i="4"/>
  <c r="S67" i="4" s="1"/>
  <c r="W98" i="5" l="1"/>
  <c r="DX92" i="6"/>
  <c r="BV92" i="6" s="1"/>
  <c r="P98" i="4" s="1"/>
  <c r="F98" i="5" s="1"/>
  <c r="DW92" i="6"/>
  <c r="BU92" i="6" s="1"/>
  <c r="CX241" i="6"/>
  <c r="AT242" i="6" s="1"/>
  <c r="CV241" i="6"/>
  <c r="AR242" i="6" s="1"/>
  <c r="CN241" i="6"/>
  <c r="AJ242" i="6" s="1"/>
  <c r="CY241" i="6"/>
  <c r="AU242" i="6" s="1"/>
  <c r="EI242" i="6" s="1"/>
  <c r="CW241" i="6"/>
  <c r="AS242" i="6" s="1"/>
  <c r="EJ242" i="6" s="1"/>
  <c r="BL242" i="6" s="1"/>
  <c r="DO89" i="6"/>
  <c r="DK90" i="6" s="1"/>
  <c r="DP89" i="6"/>
  <c r="DL90" i="6" s="1"/>
  <c r="DQ89" i="6"/>
  <c r="DM90" i="6" s="1"/>
  <c r="DN89" i="6"/>
  <c r="DJ90" i="6" s="1"/>
  <c r="CU148" i="6"/>
  <c r="AQ149" i="6" s="1"/>
  <c r="CT148" i="6"/>
  <c r="AP149" i="6" s="1"/>
  <c r="CG149" i="6"/>
  <c r="AC150" i="6" s="1"/>
  <c r="FC233" i="6"/>
  <c r="FB233" i="6"/>
  <c r="BV81" i="6"/>
  <c r="BW81" i="6" s="1"/>
  <c r="P87" i="5"/>
  <c r="R87" i="5" s="1"/>
  <c r="BP82" i="6"/>
  <c r="BT82" i="6" s="1"/>
  <c r="M88" i="4"/>
  <c r="BQ82" i="6"/>
  <c r="L78" i="5"/>
  <c r="M78" i="5" s="1"/>
  <c r="DQ82" i="6"/>
  <c r="DM83" i="6" s="1"/>
  <c r="DP82" i="6"/>
  <c r="DL83" i="6" s="1"/>
  <c r="DN82" i="6"/>
  <c r="DJ83" i="6" s="1"/>
  <c r="DO82" i="6"/>
  <c r="DK83" i="6" s="1"/>
  <c r="J84" i="5"/>
  <c r="K84" i="5" s="1"/>
  <c r="O87" i="4"/>
  <c r="E87" i="5" s="1"/>
  <c r="FD148" i="6"/>
  <c r="CB83" i="6"/>
  <c r="X84" i="6" s="1"/>
  <c r="BF83" i="6"/>
  <c r="BK83" i="6" s="1"/>
  <c r="BA83" i="6"/>
  <c r="P86" i="4"/>
  <c r="EU80" i="6"/>
  <c r="Q86" i="5"/>
  <c r="S86" i="5" s="1"/>
  <c r="J67" i="5"/>
  <c r="K67" i="5" s="1"/>
  <c r="U76" i="6"/>
  <c r="W76" i="6"/>
  <c r="CA76" i="6" s="1"/>
  <c r="DI90" i="6" l="1"/>
  <c r="M89" i="4"/>
  <c r="BP83" i="6"/>
  <c r="DW82" i="6"/>
  <c r="BU82" i="6" s="1"/>
  <c r="BR82" i="6"/>
  <c r="DX82" i="6" s="1"/>
  <c r="T82" i="4"/>
  <c r="BY76" i="6"/>
  <c r="FD149" i="6"/>
  <c r="L67" i="5"/>
  <c r="M67" i="5" s="1"/>
  <c r="P87" i="4"/>
  <c r="Q87" i="5"/>
  <c r="S87" i="5" s="1"/>
  <c r="EU81" i="6"/>
  <c r="L84" i="5"/>
  <c r="M84" i="5" s="1"/>
  <c r="FB234" i="6"/>
  <c r="FC234" i="6"/>
  <c r="CN242" i="6"/>
  <c r="CY242" i="6"/>
  <c r="CW242" i="6"/>
  <c r="CX242" i="6"/>
  <c r="CV242" i="6"/>
  <c r="DI83" i="6"/>
  <c r="CG150" i="6"/>
  <c r="AC151" i="6" s="1"/>
  <c r="O98" i="4"/>
  <c r="E98" i="5" s="1"/>
  <c r="BW92" i="6"/>
  <c r="EU92" i="6" s="1"/>
  <c r="ET92" i="6" s="1"/>
  <c r="EP93" i="6" s="1"/>
  <c r="Q86" i="4"/>
  <c r="S86" i="4" s="1"/>
  <c r="F86" i="5"/>
  <c r="I86" i="5" s="1"/>
  <c r="BF84" i="6"/>
  <c r="BK84" i="6" s="1"/>
  <c r="BA84" i="6"/>
  <c r="CU149" i="6"/>
  <c r="AQ150" i="6" s="1"/>
  <c r="CT149" i="6"/>
  <c r="AP150" i="6" s="1"/>
  <c r="EQ93" i="6" l="1"/>
  <c r="U77" i="6"/>
  <c r="W77" i="6"/>
  <c r="CA77" i="6" s="1"/>
  <c r="FB235" i="6"/>
  <c r="FC235" i="6"/>
  <c r="BV82" i="6"/>
  <c r="BW82" i="6" s="1"/>
  <c r="P88" i="5"/>
  <c r="R88" i="5" s="1"/>
  <c r="CT150" i="6"/>
  <c r="AP151" i="6" s="1"/>
  <c r="CU150" i="6"/>
  <c r="AQ151" i="6" s="1"/>
  <c r="O88" i="4"/>
  <c r="E88" i="5" s="1"/>
  <c r="Q87" i="4"/>
  <c r="S87" i="4" s="1"/>
  <c r="F87" i="5"/>
  <c r="I87" i="5" s="1"/>
  <c r="BP84" i="6"/>
  <c r="M90" i="4"/>
  <c r="BC90" i="6"/>
  <c r="BO90" i="6" s="1"/>
  <c r="DR90" i="6"/>
  <c r="DV90" i="6"/>
  <c r="BS90" i="6" s="1"/>
  <c r="CG151" i="6"/>
  <c r="AC152" i="6" s="1"/>
  <c r="DR83" i="6"/>
  <c r="BD83" i="6"/>
  <c r="BC83" i="6"/>
  <c r="BO83" i="6" s="1"/>
  <c r="BQ83" i="6" s="1"/>
  <c r="DV83" i="6"/>
  <c r="BS83" i="6" s="1"/>
  <c r="BT83" i="6" s="1"/>
  <c r="J86" i="5"/>
  <c r="K86" i="5" s="1"/>
  <c r="FD150" i="6"/>
  <c r="FD151" i="6" l="1"/>
  <c r="DO83" i="6"/>
  <c r="DK84" i="6" s="1"/>
  <c r="DN83" i="6"/>
  <c r="DJ84" i="6" s="1"/>
  <c r="DP83" i="6"/>
  <c r="DL84" i="6" s="1"/>
  <c r="DQ83" i="6"/>
  <c r="DM84" i="6" s="1"/>
  <c r="CU151" i="6"/>
  <c r="AQ152" i="6" s="1"/>
  <c r="CT151" i="6"/>
  <c r="AP152" i="6" s="1"/>
  <c r="CG152" i="6"/>
  <c r="AC153" i="6" s="1"/>
  <c r="DN90" i="6"/>
  <c r="DJ91" i="6" s="1"/>
  <c r="DP90" i="6"/>
  <c r="DL91" i="6" s="1"/>
  <c r="DO90" i="6"/>
  <c r="DK91" i="6" s="1"/>
  <c r="DQ90" i="6"/>
  <c r="DM91" i="6" s="1"/>
  <c r="P88" i="4"/>
  <c r="Q88" i="5"/>
  <c r="S88" i="5" s="1"/>
  <c r="EU82" i="6"/>
  <c r="FB236" i="6"/>
  <c r="FC236" i="6"/>
  <c r="L86" i="5"/>
  <c r="M86" i="5" s="1"/>
  <c r="T83" i="4"/>
  <c r="BY77" i="6"/>
  <c r="J87" i="5"/>
  <c r="K87" i="5" s="1"/>
  <c r="L87" i="5"/>
  <c r="M87" i="5" s="1"/>
  <c r="EV93" i="6"/>
  <c r="EW93" i="6" s="1"/>
  <c r="ES93" i="6"/>
  <c r="ER93" i="6"/>
  <c r="V99" i="5" s="1"/>
  <c r="U99" i="5"/>
  <c r="DW83" i="6"/>
  <c r="BU83" i="6" s="1"/>
  <c r="BR83" i="6"/>
  <c r="DX83" i="6" s="1"/>
  <c r="O89" i="4" l="1"/>
  <c r="E89" i="5" s="1"/>
  <c r="F88" i="5"/>
  <c r="I88" i="5" s="1"/>
  <c r="Q88" i="4"/>
  <c r="S88" i="4" s="1"/>
  <c r="W99" i="5"/>
  <c r="DX93" i="6"/>
  <c r="BV93" i="6" s="1"/>
  <c r="P99" i="4" s="1"/>
  <c r="F99" i="5" s="1"/>
  <c r="DW93" i="6"/>
  <c r="BU93" i="6" s="1"/>
  <c r="P89" i="5"/>
  <c r="R89" i="5" s="1"/>
  <c r="BV83" i="6"/>
  <c r="BW83" i="6" s="1"/>
  <c r="FC237" i="6"/>
  <c r="FB237" i="6"/>
  <c r="CT152" i="6"/>
  <c r="AP153" i="6" s="1"/>
  <c r="CU152" i="6"/>
  <c r="AQ153" i="6" s="1"/>
  <c r="DI84" i="6"/>
  <c r="FD152" i="6"/>
  <c r="DI91" i="6"/>
  <c r="W78" i="6"/>
  <c r="CA78" i="6" s="1"/>
  <c r="U78" i="6"/>
  <c r="CG153" i="6"/>
  <c r="AC154" i="6" s="1"/>
  <c r="FB238" i="6" l="1"/>
  <c r="FC238" i="6"/>
  <c r="BW93" i="6"/>
  <c r="EU93" i="6" s="1"/>
  <c r="ET93" i="6" s="1"/>
  <c r="EP94" i="6" s="1"/>
  <c r="O99" i="4"/>
  <c r="E99" i="5" s="1"/>
  <c r="J88" i="5"/>
  <c r="K88" i="5" s="1"/>
  <c r="B5" i="5" s="1"/>
  <c r="L88" i="5"/>
  <c r="M88" i="5" s="1"/>
  <c r="FD153" i="6"/>
  <c r="CG154" i="6"/>
  <c r="AC155" i="6" s="1"/>
  <c r="BY78" i="6"/>
  <c r="T84" i="4"/>
  <c r="BD84" i="6"/>
  <c r="DR84" i="6"/>
  <c r="DV84" i="6"/>
  <c r="DR91" i="6"/>
  <c r="BO91" i="6"/>
  <c r="BC91" i="6"/>
  <c r="DV91" i="6"/>
  <c r="P89" i="4"/>
  <c r="Q89" i="5"/>
  <c r="S89" i="5" s="1"/>
  <c r="EU83" i="6"/>
  <c r="CU153" i="6"/>
  <c r="AQ154" i="6" s="1"/>
  <c r="CT153" i="6"/>
  <c r="AP154" i="6" s="1"/>
  <c r="DQ84" i="6" l="1"/>
  <c r="DM85" i="6" s="1"/>
  <c r="DP84" i="6"/>
  <c r="DL85" i="6" s="1"/>
  <c r="DO84" i="6"/>
  <c r="DK85" i="6" s="1"/>
  <c r="DN84" i="6"/>
  <c r="DJ85" i="6" s="1"/>
  <c r="F89" i="5"/>
  <c r="I89" i="5" s="1"/>
  <c r="Q89" i="4"/>
  <c r="S89" i="4" s="1"/>
  <c r="FD154" i="6"/>
  <c r="DN91" i="6"/>
  <c r="DJ92" i="6" s="1"/>
  <c r="DQ91" i="6"/>
  <c r="DM92" i="6" s="1"/>
  <c r="DO91" i="6"/>
  <c r="DK92" i="6" s="1"/>
  <c r="DP91" i="6"/>
  <c r="DL92" i="6" s="1"/>
  <c r="CG155" i="6"/>
  <c r="AC156" i="6" s="1"/>
  <c r="CT154" i="6"/>
  <c r="AP155" i="6" s="1"/>
  <c r="CU154" i="6"/>
  <c r="AQ155" i="6" s="1"/>
  <c r="EQ94" i="6"/>
  <c r="ET94" i="6"/>
  <c r="EP95" i="6" s="1"/>
  <c r="W79" i="6"/>
  <c r="CA79" i="6" s="1"/>
  <c r="V79" i="6"/>
  <c r="BZ79" i="6" s="1"/>
  <c r="V80" i="6" s="1"/>
  <c r="BZ80" i="6" s="1"/>
  <c r="V81" i="6" s="1"/>
  <c r="BZ81" i="6" s="1"/>
  <c r="V82" i="6" s="1"/>
  <c r="BZ82" i="6" s="1"/>
  <c r="V83" i="6" s="1"/>
  <c r="BZ83" i="6" s="1"/>
  <c r="V84" i="6" s="1"/>
  <c r="BZ84" i="6" s="1"/>
  <c r="V85" i="6" s="1"/>
  <c r="BZ85" i="6" s="1"/>
  <c r="V86" i="6" s="1"/>
  <c r="BZ86" i="6" s="1"/>
  <c r="V87" i="6" s="1"/>
  <c r="BZ87" i="6" s="1"/>
  <c r="V88" i="6" s="1"/>
  <c r="BZ88" i="6" s="1"/>
  <c r="V89" i="6" s="1"/>
  <c r="BZ89" i="6" s="1"/>
  <c r="V90" i="6" s="1"/>
  <c r="BZ90" i="6" s="1"/>
  <c r="V91" i="6" s="1"/>
  <c r="BZ91" i="6" s="1"/>
  <c r="U79" i="6"/>
  <c r="FC239" i="6"/>
  <c r="FB239" i="6"/>
  <c r="FD155" i="6" l="1"/>
  <c r="DI92" i="6"/>
  <c r="FC240" i="6"/>
  <c r="FB240" i="6"/>
  <c r="T85" i="4"/>
  <c r="BY79" i="6"/>
  <c r="EQ95" i="6"/>
  <c r="ES94" i="6"/>
  <c r="W100" i="5" s="1"/>
  <c r="EV94" i="6"/>
  <c r="EW94" i="6" s="1"/>
  <c r="ER94" i="6"/>
  <c r="V100" i="5" s="1"/>
  <c r="U100" i="5"/>
  <c r="CT155" i="6"/>
  <c r="AP156" i="6" s="1"/>
  <c r="CU155" i="6"/>
  <c r="AQ156" i="6" s="1"/>
  <c r="J89" i="5"/>
  <c r="K89" i="5" s="1"/>
  <c r="L89" i="5"/>
  <c r="M89" i="5" s="1"/>
  <c r="DI85" i="6"/>
  <c r="CG156" i="6"/>
  <c r="AC157" i="6" s="1"/>
  <c r="EV95" i="6" l="1"/>
  <c r="EW95" i="6" s="1"/>
  <c r="ES95" i="6"/>
  <c r="ER95" i="6"/>
  <c r="V101" i="5" s="1"/>
  <c r="U101" i="5"/>
  <c r="FC241" i="6"/>
  <c r="FB241" i="6"/>
  <c r="DR92" i="6"/>
  <c r="BC92" i="6"/>
  <c r="DV92" i="6"/>
  <c r="FD156" i="6"/>
  <c r="CU156" i="6"/>
  <c r="AQ157" i="6" s="1"/>
  <c r="CT156" i="6"/>
  <c r="AP157" i="6" s="1"/>
  <c r="W80" i="6"/>
  <c r="CA80" i="6" s="1"/>
  <c r="U80" i="6"/>
  <c r="CG157" i="6"/>
  <c r="AC158" i="6" s="1"/>
  <c r="DR85" i="6"/>
  <c r="DV85" i="6"/>
  <c r="DQ92" i="6" l="1"/>
  <c r="DM93" i="6" s="1"/>
  <c r="DN92" i="6"/>
  <c r="DJ93" i="6" s="1"/>
  <c r="DP92" i="6"/>
  <c r="DL93" i="6" s="1"/>
  <c r="DO92" i="6"/>
  <c r="DK93" i="6" s="1"/>
  <c r="T86" i="4"/>
  <c r="BY80" i="6"/>
  <c r="BC80" i="6"/>
  <c r="FC242" i="6"/>
  <c r="FB242" i="6"/>
  <c r="DP85" i="6"/>
  <c r="DO85" i="6"/>
  <c r="DQ85" i="6"/>
  <c r="DN85" i="6"/>
  <c r="CG158" i="6"/>
  <c r="AC159" i="6" s="1"/>
  <c r="W101" i="5"/>
  <c r="DX95" i="6"/>
  <c r="BV95" i="6" s="1"/>
  <c r="P101" i="4" s="1"/>
  <c r="F101" i="5" s="1"/>
  <c r="DW95" i="6"/>
  <c r="BU95" i="6" s="1"/>
  <c r="FD157" i="6"/>
  <c r="CT157" i="6"/>
  <c r="AP158" i="6" s="1"/>
  <c r="CU157" i="6"/>
  <c r="AQ158" i="6" s="1"/>
  <c r="CG159" i="6" l="1"/>
  <c r="AC160" i="6" s="1"/>
  <c r="CU158" i="6"/>
  <c r="AQ159" i="6" s="1"/>
  <c r="CT158" i="6"/>
  <c r="AP159" i="6" s="1"/>
  <c r="FD158" i="6"/>
  <c r="O101" i="4"/>
  <c r="E101" i="5" s="1"/>
  <c r="BW95" i="6"/>
  <c r="EU95" i="6" s="1"/>
  <c r="ET95" i="6" s="1"/>
  <c r="EP96" i="6" s="1"/>
  <c r="U81" i="6"/>
  <c r="W81" i="6"/>
  <c r="CA81" i="6" s="1"/>
  <c r="DI93" i="6"/>
  <c r="FD159" i="6" l="1"/>
  <c r="T87" i="4"/>
  <c r="BY81" i="6"/>
  <c r="CT159" i="6"/>
  <c r="AP160" i="6" s="1"/>
  <c r="CU159" i="6"/>
  <c r="AQ160" i="6" s="1"/>
  <c r="DR93" i="6"/>
  <c r="BC93" i="6"/>
  <c r="DV93" i="6"/>
  <c r="ET96" i="6"/>
  <c r="EP97" i="6" s="1"/>
  <c r="EQ96" i="6"/>
  <c r="CG160" i="6"/>
  <c r="AC161" i="6" s="1"/>
  <c r="DO93" i="6" l="1"/>
  <c r="DK94" i="6" s="1"/>
  <c r="DN93" i="6"/>
  <c r="DJ94" i="6" s="1"/>
  <c r="DP93" i="6"/>
  <c r="DL94" i="6" s="1"/>
  <c r="DQ93" i="6"/>
  <c r="DM94" i="6" s="1"/>
  <c r="CU160" i="6"/>
  <c r="AQ161" i="6" s="1"/>
  <c r="CT160" i="6"/>
  <c r="AP161" i="6" s="1"/>
  <c r="CG161" i="6"/>
  <c r="AC162" i="6" s="1"/>
  <c r="FD160" i="6"/>
  <c r="EV96" i="6"/>
  <c r="EW96" i="6" s="1"/>
  <c r="ES96" i="6"/>
  <c r="W102" i="5" s="1"/>
  <c r="ER96" i="6"/>
  <c r="V102" i="5" s="1"/>
  <c r="U102" i="5"/>
  <c r="W82" i="6"/>
  <c r="CA82" i="6" s="1"/>
  <c r="U82" i="6"/>
  <c r="ET97" i="6"/>
  <c r="EP98" i="6" s="1"/>
  <c r="EQ97" i="6"/>
  <c r="FD161" i="6" l="1"/>
  <c r="ER97" i="6"/>
  <c r="V103" i="5" s="1"/>
  <c r="EV97" i="6"/>
  <c r="EW97" i="6" s="1"/>
  <c r="ES97" i="6"/>
  <c r="W103" i="5" s="1"/>
  <c r="U103" i="5"/>
  <c r="EQ98" i="6"/>
  <c r="ET98" i="6"/>
  <c r="EP99" i="6" s="1"/>
  <c r="CG162" i="6"/>
  <c r="AC163" i="6" s="1"/>
  <c r="BY82" i="6"/>
  <c r="T88" i="4"/>
  <c r="CT161" i="6"/>
  <c r="AP162" i="6" s="1"/>
  <c r="CU161" i="6"/>
  <c r="AQ162" i="6" s="1"/>
  <c r="DI94" i="6"/>
  <c r="ET99" i="6" l="1"/>
  <c r="EP100" i="6" s="1"/>
  <c r="EQ99" i="6"/>
  <c r="CU162" i="6"/>
  <c r="AQ163" i="6" s="1"/>
  <c r="CT162" i="6"/>
  <c r="AP163" i="6" s="1"/>
  <c r="ES98" i="6"/>
  <c r="W104" i="5" s="1"/>
  <c r="EV98" i="6"/>
  <c r="EW98" i="6" s="1"/>
  <c r="ER98" i="6"/>
  <c r="V104" i="5" s="1"/>
  <c r="U104" i="5"/>
  <c r="BC94" i="6"/>
  <c r="DR94" i="6"/>
  <c r="DV94" i="6"/>
  <c r="CG163" i="6"/>
  <c r="AC164" i="6" s="1"/>
  <c r="FD162" i="6"/>
  <c r="U83" i="6"/>
  <c r="W83" i="6"/>
  <c r="CA83" i="6" s="1"/>
  <c r="DN94" i="6" l="1"/>
  <c r="DJ95" i="6" s="1"/>
  <c r="DQ94" i="6"/>
  <c r="DM95" i="6" s="1"/>
  <c r="DO94" i="6"/>
  <c r="DK95" i="6" s="1"/>
  <c r="DP94" i="6"/>
  <c r="DL95" i="6" s="1"/>
  <c r="T89" i="4"/>
  <c r="BY83" i="6"/>
  <c r="FD163" i="6"/>
  <c r="CT163" i="6"/>
  <c r="AP164" i="6" s="1"/>
  <c r="CU163" i="6"/>
  <c r="AQ164" i="6" s="1"/>
  <c r="EV99" i="6"/>
  <c r="EW99" i="6" s="1"/>
  <c r="ES99" i="6"/>
  <c r="W105" i="5" s="1"/>
  <c r="ER99" i="6"/>
  <c r="V105" i="5" s="1"/>
  <c r="U105" i="5"/>
  <c r="CG164" i="6"/>
  <c r="AC165" i="6" s="1"/>
  <c r="EQ100" i="6"/>
  <c r="ET100" i="6"/>
  <c r="EP101" i="6" s="1"/>
  <c r="CG165" i="6" l="1"/>
  <c r="AC166" i="6" s="1"/>
  <c r="FD164" i="6"/>
  <c r="ET101" i="6"/>
  <c r="EP102" i="6" s="1"/>
  <c r="EQ101" i="6"/>
  <c r="CU164" i="6"/>
  <c r="AQ165" i="6" s="1"/>
  <c r="CT164" i="6"/>
  <c r="AP165" i="6" s="1"/>
  <c r="ES100" i="6"/>
  <c r="W106" i="5" s="1"/>
  <c r="ER100" i="6"/>
  <c r="V106" i="5" s="1"/>
  <c r="EV100" i="6"/>
  <c r="EW100" i="6" s="1"/>
  <c r="U106" i="5"/>
  <c r="W84" i="6"/>
  <c r="CA84" i="6" s="1"/>
  <c r="U84" i="6"/>
  <c r="DI95" i="6"/>
  <c r="CU165" i="6" l="1"/>
  <c r="AQ166" i="6" s="1"/>
  <c r="CT165" i="6"/>
  <c r="AP166" i="6" s="1"/>
  <c r="EQ102" i="6"/>
  <c r="ET102" i="6"/>
  <c r="EP103" i="6" s="1"/>
  <c r="T90" i="4"/>
  <c r="BY84" i="6"/>
  <c r="CB84" i="6"/>
  <c r="X85" i="6" s="1"/>
  <c r="BC84" i="6"/>
  <c r="ER101" i="6"/>
  <c r="V107" i="5" s="1"/>
  <c r="EV101" i="6"/>
  <c r="EW101" i="6" s="1"/>
  <c r="ES101" i="6"/>
  <c r="W107" i="5" s="1"/>
  <c r="U107" i="5"/>
  <c r="DR95" i="6"/>
  <c r="BC95" i="6"/>
  <c r="DV95" i="6"/>
  <c r="FD165" i="6"/>
  <c r="DL100" i="6"/>
  <c r="DJ100" i="6"/>
  <c r="DK100" i="6"/>
  <c r="DM100" i="6"/>
  <c r="CG166" i="6"/>
  <c r="AC167" i="6" s="1"/>
  <c r="DI100" i="6" l="1"/>
  <c r="CB85" i="6"/>
  <c r="X86" i="6" s="1"/>
  <c r="BF85" i="6"/>
  <c r="BK85" i="6" s="1"/>
  <c r="BA85" i="6"/>
  <c r="BD85" i="6"/>
  <c r="U85" i="6"/>
  <c r="W85" i="6"/>
  <c r="CA85" i="6" s="1"/>
  <c r="FD166" i="6"/>
  <c r="ET103" i="6"/>
  <c r="EP104" i="6" s="1"/>
  <c r="EQ103" i="6"/>
  <c r="ES102" i="6"/>
  <c r="W108" i="5" s="1"/>
  <c r="EV102" i="6"/>
  <c r="EW102" i="6" s="1"/>
  <c r="ER102" i="6"/>
  <c r="V108" i="5" s="1"/>
  <c r="U108" i="5"/>
  <c r="CG167" i="6"/>
  <c r="AC168" i="6" s="1"/>
  <c r="DP95" i="6"/>
  <c r="DL96" i="6" s="1"/>
  <c r="DO95" i="6"/>
  <c r="DK96" i="6" s="1"/>
  <c r="DQ95" i="6"/>
  <c r="DM96" i="6" s="1"/>
  <c r="DN95" i="6"/>
  <c r="DJ96" i="6" s="1"/>
  <c r="CU166" i="6"/>
  <c r="AQ167" i="6" s="1"/>
  <c r="CT166" i="6"/>
  <c r="AP167" i="6" s="1"/>
  <c r="CG168" i="6" l="1"/>
  <c r="AC169" i="6" s="1"/>
  <c r="T91" i="4"/>
  <c r="BG85" i="6"/>
  <c r="BY85" i="6"/>
  <c r="BB85" i="6"/>
  <c r="BN85" i="6" s="1"/>
  <c r="BC85" i="6"/>
  <c r="BO85" i="6" s="1"/>
  <c r="EV103" i="6"/>
  <c r="EW103" i="6" s="1"/>
  <c r="ES103" i="6"/>
  <c r="W109" i="5" s="1"/>
  <c r="ER103" i="6"/>
  <c r="V109" i="5" s="1"/>
  <c r="U109" i="5"/>
  <c r="M91" i="4"/>
  <c r="BP85" i="6"/>
  <c r="CT167" i="6"/>
  <c r="AP168" i="6" s="1"/>
  <c r="CU167" i="6"/>
  <c r="AQ168" i="6" s="1"/>
  <c r="CB86" i="6"/>
  <c r="X87" i="6" s="1"/>
  <c r="BF86" i="6"/>
  <c r="BK86" i="6" s="1"/>
  <c r="BD86" i="6"/>
  <c r="BA86" i="6"/>
  <c r="EQ104" i="6"/>
  <c r="ET104" i="6"/>
  <c r="EP105" i="6" s="1"/>
  <c r="FD167" i="6"/>
  <c r="DR100" i="6"/>
  <c r="BO100" i="6"/>
  <c r="BC100" i="6"/>
  <c r="DV100" i="6"/>
  <c r="DI96" i="6"/>
  <c r="BC96" i="6" l="1"/>
  <c r="BO96" i="6" s="1"/>
  <c r="DR96" i="6"/>
  <c r="DV96" i="6"/>
  <c r="BS96" i="6" s="1"/>
  <c r="ER104" i="6"/>
  <c r="V110" i="5" s="1"/>
  <c r="ES104" i="6"/>
  <c r="W110" i="5" s="1"/>
  <c r="EV104" i="6"/>
  <c r="EW104" i="6" s="1"/>
  <c r="U110" i="5"/>
  <c r="EQ105" i="6"/>
  <c r="M92" i="4"/>
  <c r="BP86" i="6"/>
  <c r="CB87" i="6"/>
  <c r="X88" i="6" s="1"/>
  <c r="BF87" i="6"/>
  <c r="BK87" i="6" s="1"/>
  <c r="BQ87" i="6" s="1"/>
  <c r="BA87" i="6"/>
  <c r="BD87" i="6"/>
  <c r="U86" i="6"/>
  <c r="W86" i="6"/>
  <c r="CA86" i="6" s="1"/>
  <c r="BQ85" i="6"/>
  <c r="DW85" i="6" s="1"/>
  <c r="BU85" i="6" s="1"/>
  <c r="N91" i="4"/>
  <c r="DQ100" i="6"/>
  <c r="DM101" i="6" s="1"/>
  <c r="DN100" i="6"/>
  <c r="DJ101" i="6" s="1"/>
  <c r="DP100" i="6"/>
  <c r="DL101" i="6" s="1"/>
  <c r="DO100" i="6"/>
  <c r="DK101" i="6" s="1"/>
  <c r="FD168" i="6"/>
  <c r="CT168" i="6"/>
  <c r="AP169" i="6" s="1"/>
  <c r="CU168" i="6"/>
  <c r="AQ169" i="6" s="1"/>
  <c r="CG169" i="6"/>
  <c r="AC170" i="6" s="1"/>
  <c r="DI101" i="6" l="1"/>
  <c r="ER105" i="6"/>
  <c r="V111" i="5" s="1"/>
  <c r="EV105" i="6"/>
  <c r="EW105" i="6" s="1"/>
  <c r="ES105" i="6"/>
  <c r="U111" i="5"/>
  <c r="O91" i="4"/>
  <c r="E91" i="5" s="1"/>
  <c r="CT169" i="6"/>
  <c r="AP170" i="6" s="1"/>
  <c r="CU169" i="6"/>
  <c r="AQ170" i="6" s="1"/>
  <c r="BR85" i="6"/>
  <c r="DX85" i="6" s="1"/>
  <c r="CG170" i="6"/>
  <c r="AC171" i="6" s="1"/>
  <c r="T92" i="4"/>
  <c r="BY86" i="6"/>
  <c r="M93" i="4"/>
  <c r="BP87" i="6"/>
  <c r="BR87" i="6" s="1"/>
  <c r="DX87" i="6" s="1"/>
  <c r="BV87" i="6" s="1"/>
  <c r="P93" i="4" s="1"/>
  <c r="F93" i="5" s="1"/>
  <c r="FD169" i="6"/>
  <c r="DW87" i="6"/>
  <c r="DP96" i="6"/>
  <c r="DL97" i="6" s="1"/>
  <c r="DN96" i="6"/>
  <c r="DJ97" i="6" s="1"/>
  <c r="DO96" i="6"/>
  <c r="DK97" i="6" s="1"/>
  <c r="DQ96" i="6"/>
  <c r="DM97" i="6" s="1"/>
  <c r="CB88" i="6"/>
  <c r="X89" i="6" s="1"/>
  <c r="BF88" i="6"/>
  <c r="BK88" i="6" s="1"/>
  <c r="BQ88" i="6" s="1"/>
  <c r="BA88" i="6"/>
  <c r="BD88" i="6"/>
  <c r="FD170" i="6" l="1"/>
  <c r="M94" i="4"/>
  <c r="BP88" i="6"/>
  <c r="BR88" i="6" s="1"/>
  <c r="DX88" i="6" s="1"/>
  <c r="BV88" i="6" s="1"/>
  <c r="P94" i="4" s="1"/>
  <c r="F94" i="5" s="1"/>
  <c r="CT170" i="6"/>
  <c r="AP171" i="6" s="1"/>
  <c r="CU170" i="6"/>
  <c r="AQ171" i="6" s="1"/>
  <c r="CB89" i="6"/>
  <c r="X90" i="6" s="1"/>
  <c r="BF89" i="6"/>
  <c r="BK89" i="6" s="1"/>
  <c r="BQ89" i="6" s="1"/>
  <c r="BA89" i="6"/>
  <c r="BD89" i="6"/>
  <c r="P91" i="5"/>
  <c r="R91" i="5" s="1"/>
  <c r="BV85" i="6"/>
  <c r="DW88" i="6"/>
  <c r="W111" i="5"/>
  <c r="DW105" i="6"/>
  <c r="BU105" i="6" s="1"/>
  <c r="DX105" i="6"/>
  <c r="BV105" i="6" s="1"/>
  <c r="P111" i="4" s="1"/>
  <c r="F111" i="5" s="1"/>
  <c r="DI97" i="6"/>
  <c r="U87" i="6"/>
  <c r="W87" i="6"/>
  <c r="CA87" i="6" s="1"/>
  <c r="DR101" i="6"/>
  <c r="BC101" i="6"/>
  <c r="BO101" i="6"/>
  <c r="DV101" i="6"/>
  <c r="P93" i="5"/>
  <c r="R93" i="5" s="1"/>
  <c r="BU87" i="6"/>
  <c r="CG171" i="6"/>
  <c r="AC172" i="6" s="1"/>
  <c r="T93" i="4" l="1"/>
  <c r="BY87" i="6"/>
  <c r="CB90" i="6"/>
  <c r="X91" i="6" s="1"/>
  <c r="BF90" i="6"/>
  <c r="BK90" i="6" s="1"/>
  <c r="BQ90" i="6" s="1"/>
  <c r="BA90" i="6"/>
  <c r="BD90" i="6"/>
  <c r="CG172" i="6"/>
  <c r="AC173" i="6" s="1"/>
  <c r="BC97" i="6"/>
  <c r="BO97" i="6" s="1"/>
  <c r="DR97" i="6"/>
  <c r="DV97" i="6"/>
  <c r="BS97" i="6" s="1"/>
  <c r="CT171" i="6"/>
  <c r="AP172" i="6" s="1"/>
  <c r="CU171" i="6"/>
  <c r="AQ172" i="6" s="1"/>
  <c r="M95" i="4"/>
  <c r="BP89" i="6"/>
  <c r="FD171" i="6"/>
  <c r="DW89" i="6"/>
  <c r="BR89" i="6"/>
  <c r="DX89" i="6" s="1"/>
  <c r="BV89" i="6" s="1"/>
  <c r="P95" i="4" s="1"/>
  <c r="F95" i="5" s="1"/>
  <c r="Q93" i="5"/>
  <c r="S93" i="5" s="1"/>
  <c r="O93" i="4"/>
  <c r="EU87" i="6"/>
  <c r="BW87" i="6"/>
  <c r="O111" i="4"/>
  <c r="E111" i="5" s="1"/>
  <c r="BW105" i="6"/>
  <c r="EU105" i="6" s="1"/>
  <c r="ET105" i="6" s="1"/>
  <c r="EP106" i="6" s="1"/>
  <c r="BU88" i="6"/>
  <c r="P94" i="5"/>
  <c r="R94" i="5" s="1"/>
  <c r="DP101" i="6"/>
  <c r="DL102" i="6" s="1"/>
  <c r="DQ101" i="6"/>
  <c r="DM102" i="6" s="1"/>
  <c r="DN101" i="6"/>
  <c r="DJ102" i="6" s="1"/>
  <c r="DO101" i="6"/>
  <c r="DK102" i="6" s="1"/>
  <c r="P91" i="4"/>
  <c r="Q91" i="5"/>
  <c r="S91" i="5" s="1"/>
  <c r="EU85" i="6"/>
  <c r="BW85" i="6"/>
  <c r="DI102" i="6" l="1"/>
  <c r="FD172" i="6"/>
  <c r="CG173" i="6"/>
  <c r="AC174" i="6" s="1"/>
  <c r="E93" i="5"/>
  <c r="I93" i="5" s="1"/>
  <c r="Q93" i="4"/>
  <c r="S93" i="4" s="1"/>
  <c r="M96" i="4"/>
  <c r="BP90" i="6"/>
  <c r="BT90" i="6" s="1"/>
  <c r="ET106" i="6"/>
  <c r="EP107" i="6" s="1"/>
  <c r="EQ106" i="6"/>
  <c r="DW90" i="6"/>
  <c r="BR90" i="6"/>
  <c r="DX90" i="6" s="1"/>
  <c r="BV90" i="6" s="1"/>
  <c r="P96" i="4" s="1"/>
  <c r="F96" i="5" s="1"/>
  <c r="F91" i="5"/>
  <c r="I91" i="5" s="1"/>
  <c r="Q91" i="4"/>
  <c r="S91" i="4" s="1"/>
  <c r="DP97" i="6"/>
  <c r="DL98" i="6" s="1"/>
  <c r="DQ97" i="6"/>
  <c r="DM98" i="6" s="1"/>
  <c r="DO97" i="6"/>
  <c r="DK98" i="6" s="1"/>
  <c r="DN97" i="6"/>
  <c r="DJ98" i="6" s="1"/>
  <c r="P95" i="5"/>
  <c r="R95" i="5" s="1"/>
  <c r="BU89" i="6"/>
  <c r="CB91" i="6"/>
  <c r="X92" i="6" s="1"/>
  <c r="BF91" i="6"/>
  <c r="BK91" i="6" s="1"/>
  <c r="BQ91" i="6" s="1"/>
  <c r="BA91" i="6"/>
  <c r="BD91" i="6"/>
  <c r="Q94" i="5"/>
  <c r="S94" i="5" s="1"/>
  <c r="O94" i="4"/>
  <c r="EU88" i="6"/>
  <c r="BW88" i="6"/>
  <c r="CT172" i="6"/>
  <c r="AP173" i="6" s="1"/>
  <c r="CU172" i="6"/>
  <c r="AQ173" i="6" s="1"/>
  <c r="W88" i="6"/>
  <c r="CA88" i="6" s="1"/>
  <c r="U88" i="6"/>
  <c r="Q94" i="4" l="1"/>
  <c r="S94" i="4" s="1"/>
  <c r="E94" i="5"/>
  <c r="I94" i="5" s="1"/>
  <c r="CG174" i="6"/>
  <c r="AC175" i="6" s="1"/>
  <c r="J93" i="5"/>
  <c r="K93" i="5" s="1"/>
  <c r="J91" i="5"/>
  <c r="K91" i="5" s="1"/>
  <c r="M97" i="4"/>
  <c r="BP91" i="6"/>
  <c r="BR91" i="6" s="1"/>
  <c r="DX91" i="6" s="1"/>
  <c r="BV91" i="6" s="1"/>
  <c r="P97" i="4" s="1"/>
  <c r="F97" i="5" s="1"/>
  <c r="DW91" i="6"/>
  <c r="BU90" i="6"/>
  <c r="P96" i="5"/>
  <c r="R96" i="5" s="1"/>
  <c r="FD173" i="6"/>
  <c r="T94" i="4"/>
  <c r="BY88" i="6"/>
  <c r="CB92" i="6"/>
  <c r="X93" i="6" s="1"/>
  <c r="BF92" i="6"/>
  <c r="BK92" i="6" s="1"/>
  <c r="BA92" i="6"/>
  <c r="BD92" i="6"/>
  <c r="BO92" i="6" s="1"/>
  <c r="EV106" i="6"/>
  <c r="EW106" i="6" s="1"/>
  <c r="ES106" i="6"/>
  <c r="W112" i="5" s="1"/>
  <c r="ER106" i="6"/>
  <c r="V112" i="5" s="1"/>
  <c r="U112" i="5"/>
  <c r="BW89" i="6"/>
  <c r="O95" i="4"/>
  <c r="Q95" i="5"/>
  <c r="S95" i="5" s="1"/>
  <c r="EU89" i="6"/>
  <c r="EQ107" i="6"/>
  <c r="ET107" i="6"/>
  <c r="EP108" i="6" s="1"/>
  <c r="CU173" i="6"/>
  <c r="AQ174" i="6" s="1"/>
  <c r="CT173" i="6"/>
  <c r="AP174" i="6" s="1"/>
  <c r="BC102" i="6"/>
  <c r="BO102" i="6" s="1"/>
  <c r="DR102" i="6"/>
  <c r="DV102" i="6"/>
  <c r="BS102" i="6" s="1"/>
  <c r="DI98" i="6"/>
  <c r="L93" i="5" l="1"/>
  <c r="M93" i="5" s="1"/>
  <c r="CB93" i="6"/>
  <c r="X94" i="6" s="1"/>
  <c r="BF93" i="6"/>
  <c r="BK93" i="6" s="1"/>
  <c r="BA93" i="6"/>
  <c r="BD93" i="6"/>
  <c r="ES107" i="6"/>
  <c r="W113" i="5" s="1"/>
  <c r="ER107" i="6"/>
  <c r="V113" i="5" s="1"/>
  <c r="EV107" i="6"/>
  <c r="EW107" i="6" s="1"/>
  <c r="U113" i="5"/>
  <c r="U89" i="6"/>
  <c r="W89" i="6"/>
  <c r="CA89" i="6" s="1"/>
  <c r="L91" i="5"/>
  <c r="M91" i="5" s="1"/>
  <c r="DR98" i="6"/>
  <c r="DV98" i="6"/>
  <c r="E95" i="5"/>
  <c r="I95" i="5" s="1"/>
  <c r="Q95" i="4"/>
  <c r="S95" i="4" s="1"/>
  <c r="DO102" i="6"/>
  <c r="DK103" i="6" s="1"/>
  <c r="DQ102" i="6"/>
  <c r="DM103" i="6" s="1"/>
  <c r="DP102" i="6"/>
  <c r="DL103" i="6" s="1"/>
  <c r="DN102" i="6"/>
  <c r="DJ103" i="6" s="1"/>
  <c r="FD174" i="6"/>
  <c r="O96" i="4"/>
  <c r="EU90" i="6"/>
  <c r="Q96" i="5"/>
  <c r="S96" i="5" s="1"/>
  <c r="BW90" i="6"/>
  <c r="CG175" i="6"/>
  <c r="AC176" i="6" s="1"/>
  <c r="M98" i="4"/>
  <c r="BP92" i="6"/>
  <c r="J94" i="5"/>
  <c r="K94" i="5" s="1"/>
  <c r="CT174" i="6"/>
  <c r="AP175" i="6" s="1"/>
  <c r="CU174" i="6"/>
  <c r="AQ175" i="6" s="1"/>
  <c r="EQ108" i="6"/>
  <c r="ET108" i="6"/>
  <c r="EP109" i="6" s="1"/>
  <c r="P97" i="5"/>
  <c r="R97" i="5" s="1"/>
  <c r="BU91" i="6"/>
  <c r="L94" i="5" l="1"/>
  <c r="M94" i="5" s="1"/>
  <c r="E96" i="5"/>
  <c r="I96" i="5" s="1"/>
  <c r="Q96" i="4"/>
  <c r="S96" i="4" s="1"/>
  <c r="T95" i="4"/>
  <c r="BY89" i="6"/>
  <c r="DI103" i="6"/>
  <c r="O97" i="4"/>
  <c r="Q97" i="5"/>
  <c r="S97" i="5" s="1"/>
  <c r="BW91" i="6"/>
  <c r="EU91" i="6"/>
  <c r="J95" i="5"/>
  <c r="K95" i="5" s="1"/>
  <c r="ET109" i="6"/>
  <c r="EP110" i="6" s="1"/>
  <c r="EQ109" i="6"/>
  <c r="EV108" i="6"/>
  <c r="EW108" i="6" s="1"/>
  <c r="ES108" i="6"/>
  <c r="W114" i="5" s="1"/>
  <c r="ER108" i="6"/>
  <c r="V114" i="5" s="1"/>
  <c r="U114" i="5"/>
  <c r="DQ98" i="6"/>
  <c r="DM99" i="6" s="1"/>
  <c r="DP98" i="6"/>
  <c r="DL99" i="6" s="1"/>
  <c r="DN98" i="6"/>
  <c r="DJ99" i="6" s="1"/>
  <c r="DO98" i="6"/>
  <c r="DK99" i="6" s="1"/>
  <c r="M99" i="4"/>
  <c r="BP93" i="6"/>
  <c r="CT175" i="6"/>
  <c r="AP176" i="6" s="1"/>
  <c r="CU175" i="6"/>
  <c r="AQ176" i="6" s="1"/>
  <c r="FD175" i="6"/>
  <c r="CG176" i="6"/>
  <c r="AC177" i="6" s="1"/>
  <c r="CB94" i="6"/>
  <c r="X95" i="6" s="1"/>
  <c r="BF94" i="6"/>
  <c r="BK94" i="6" s="1"/>
  <c r="BA94" i="6"/>
  <c r="BD94" i="6"/>
  <c r="BO94" i="6" s="1"/>
  <c r="BQ94" i="6" l="1"/>
  <c r="DI99" i="6"/>
  <c r="E97" i="5"/>
  <c r="I97" i="5" s="1"/>
  <c r="Q97" i="4"/>
  <c r="S97" i="4" s="1"/>
  <c r="CB95" i="6"/>
  <c r="X96" i="6" s="1"/>
  <c r="BF95" i="6"/>
  <c r="BK95" i="6" s="1"/>
  <c r="BA95" i="6"/>
  <c r="BD95" i="6"/>
  <c r="CG177" i="6"/>
  <c r="AC178" i="6" s="1"/>
  <c r="FD176" i="6"/>
  <c r="DW94" i="6"/>
  <c r="DR103" i="6"/>
  <c r="BC103" i="6"/>
  <c r="BO103" i="6"/>
  <c r="DV103" i="6"/>
  <c r="CT176" i="6"/>
  <c r="AP177" i="6" s="1"/>
  <c r="CU176" i="6"/>
  <c r="AQ177" i="6" s="1"/>
  <c r="ER109" i="6"/>
  <c r="V115" i="5" s="1"/>
  <c r="EV109" i="6"/>
  <c r="EW109" i="6" s="1"/>
  <c r="ES109" i="6"/>
  <c r="W115" i="5" s="1"/>
  <c r="U115" i="5"/>
  <c r="U90" i="6"/>
  <c r="W90" i="6"/>
  <c r="CA90" i="6" s="1"/>
  <c r="L95" i="5"/>
  <c r="M95" i="5" s="1"/>
  <c r="EQ110" i="6"/>
  <c r="M100" i="4"/>
  <c r="BP94" i="6"/>
  <c r="BR94" i="6" s="1"/>
  <c r="DX94" i="6" s="1"/>
  <c r="BV94" i="6" s="1"/>
  <c r="P100" i="4" s="1"/>
  <c r="F100" i="5" s="1"/>
  <c r="J96" i="5"/>
  <c r="K96" i="5" s="1"/>
  <c r="M101" i="4" l="1"/>
  <c r="BP95" i="6"/>
  <c r="DP103" i="6"/>
  <c r="DL104" i="6" s="1"/>
  <c r="DQ103" i="6"/>
  <c r="DM104" i="6" s="1"/>
  <c r="DO103" i="6"/>
  <c r="DK104" i="6" s="1"/>
  <c r="DN103" i="6"/>
  <c r="DJ104" i="6" s="1"/>
  <c r="CB96" i="6"/>
  <c r="X97" i="6" s="1"/>
  <c r="BF96" i="6"/>
  <c r="BK96" i="6" s="1"/>
  <c r="BQ96" i="6" s="1"/>
  <c r="BA96" i="6"/>
  <c r="BD96" i="6"/>
  <c r="CG178" i="6"/>
  <c r="AC179" i="6" s="1"/>
  <c r="BU94" i="6"/>
  <c r="P100" i="5"/>
  <c r="R100" i="5" s="1"/>
  <c r="J97" i="5"/>
  <c r="K97" i="5" s="1"/>
  <c r="L97" i="5"/>
  <c r="M97" i="5" s="1"/>
  <c r="EV110" i="6"/>
  <c r="EW110" i="6" s="1"/>
  <c r="ES110" i="6"/>
  <c r="ER110" i="6"/>
  <c r="V116" i="5" s="1"/>
  <c r="U116" i="5"/>
  <c r="T96" i="4"/>
  <c r="BY90" i="6"/>
  <c r="L96" i="5"/>
  <c r="M96" i="5" s="1"/>
  <c r="FD177" i="6"/>
  <c r="DR99" i="6"/>
  <c r="BC99" i="6"/>
  <c r="BO99" i="6"/>
  <c r="DV99" i="6"/>
  <c r="CU177" i="6"/>
  <c r="AQ178" i="6" s="1"/>
  <c r="CT177" i="6"/>
  <c r="AP178" i="6" s="1"/>
  <c r="CG179" i="6" l="1"/>
  <c r="AC180" i="6" s="1"/>
  <c r="CT178" i="6"/>
  <c r="AP179" i="6" s="1"/>
  <c r="CU178" i="6"/>
  <c r="AQ179" i="6" s="1"/>
  <c r="U91" i="6"/>
  <c r="W91" i="6"/>
  <c r="CA91" i="6" s="1"/>
  <c r="CB97" i="6"/>
  <c r="X98" i="6" s="1"/>
  <c r="BF97" i="6"/>
  <c r="BK97" i="6" s="1"/>
  <c r="BQ97" i="6" s="1"/>
  <c r="BA97" i="6"/>
  <c r="BD97" i="6"/>
  <c r="DI104" i="6"/>
  <c r="DQ99" i="6"/>
  <c r="DO99" i="6"/>
  <c r="DN99" i="6"/>
  <c r="DP99" i="6"/>
  <c r="M102" i="4"/>
  <c r="BP96" i="6"/>
  <c r="BT96" i="6" s="1"/>
  <c r="DW96" i="6"/>
  <c r="W116" i="5"/>
  <c r="DW110" i="6"/>
  <c r="BU110" i="6" s="1"/>
  <c r="DX110" i="6"/>
  <c r="BV110" i="6" s="1"/>
  <c r="P116" i="4" s="1"/>
  <c r="F116" i="5" s="1"/>
  <c r="FD178" i="6"/>
  <c r="O100" i="4"/>
  <c r="Q100" i="5"/>
  <c r="S100" i="5" s="1"/>
  <c r="EU94" i="6"/>
  <c r="BW94" i="6"/>
  <c r="M103" i="4" l="1"/>
  <c r="BP97" i="6"/>
  <c r="BT97" i="6" s="1"/>
  <c r="BR96" i="6"/>
  <c r="DX96" i="6" s="1"/>
  <c r="BV96" i="6" s="1"/>
  <c r="P102" i="4" s="1"/>
  <c r="F102" i="5" s="1"/>
  <c r="DW97" i="6"/>
  <c r="BU97" i="6" s="1"/>
  <c r="BR97" i="6"/>
  <c r="DX97" i="6" s="1"/>
  <c r="CB98" i="6"/>
  <c r="X99" i="6" s="1"/>
  <c r="BF98" i="6"/>
  <c r="BK98" i="6" s="1"/>
  <c r="BA98" i="6"/>
  <c r="BD98" i="6"/>
  <c r="T97" i="4"/>
  <c r="BY91" i="6"/>
  <c r="P102" i="5"/>
  <c r="R102" i="5" s="1"/>
  <c r="BU96" i="6"/>
  <c r="CT179" i="6"/>
  <c r="AP180" i="6" s="1"/>
  <c r="CU179" i="6"/>
  <c r="AQ180" i="6" s="1"/>
  <c r="DR104" i="6"/>
  <c r="BC104" i="6"/>
  <c r="BO104" i="6"/>
  <c r="DV104" i="6"/>
  <c r="Q100" i="4"/>
  <c r="S100" i="4" s="1"/>
  <c r="E100" i="5"/>
  <c r="I100" i="5" s="1"/>
  <c r="FD179" i="6"/>
  <c r="BW110" i="6"/>
  <c r="EU110" i="6" s="1"/>
  <c r="ET110" i="6" s="1"/>
  <c r="EP111" i="6" s="1"/>
  <c r="O116" i="4"/>
  <c r="E116" i="5" s="1"/>
  <c r="CG180" i="6"/>
  <c r="AC181" i="6" s="1"/>
  <c r="CG181" i="6" l="1"/>
  <c r="AC182" i="6" s="1"/>
  <c r="V92" i="6"/>
  <c r="BZ92" i="6" s="1"/>
  <c r="V93" i="6" s="1"/>
  <c r="BZ93" i="6" s="1"/>
  <c r="V94" i="6" s="1"/>
  <c r="BZ94" i="6" s="1"/>
  <c r="V95" i="6" s="1"/>
  <c r="BZ95" i="6" s="1"/>
  <c r="V96" i="6" s="1"/>
  <c r="BZ96" i="6" s="1"/>
  <c r="V97" i="6" s="1"/>
  <c r="BZ97" i="6" s="1"/>
  <c r="V98" i="6" s="1"/>
  <c r="BZ98" i="6" s="1"/>
  <c r="V99" i="6" s="1"/>
  <c r="BZ99" i="6" s="1"/>
  <c r="V100" i="6" s="1"/>
  <c r="BZ100" i="6" s="1"/>
  <c r="V101" i="6" s="1"/>
  <c r="BZ101" i="6" s="1"/>
  <c r="V102" i="6" s="1"/>
  <c r="BZ102" i="6" s="1"/>
  <c r="V103" i="6" s="1"/>
  <c r="BZ103" i="6" s="1"/>
  <c r="V104" i="6" s="1"/>
  <c r="BZ104" i="6" s="1"/>
  <c r="W92" i="6"/>
  <c r="U92" i="6"/>
  <c r="BP98" i="6"/>
  <c r="M104" i="4"/>
  <c r="J100" i="5"/>
  <c r="K100" i="5" s="1"/>
  <c r="CB99" i="6"/>
  <c r="X100" i="6" s="1"/>
  <c r="BF99" i="6"/>
  <c r="BK99" i="6" s="1"/>
  <c r="BQ99" i="6" s="1"/>
  <c r="BA99" i="6"/>
  <c r="BD99" i="6"/>
  <c r="DQ104" i="6"/>
  <c r="DM105" i="6" s="1"/>
  <c r="DP104" i="6"/>
  <c r="DL105" i="6" s="1"/>
  <c r="DN104" i="6"/>
  <c r="DJ105" i="6" s="1"/>
  <c r="DO104" i="6"/>
  <c r="DK105" i="6" s="1"/>
  <c r="O103" i="4"/>
  <c r="E103" i="5" s="1"/>
  <c r="BV97" i="6"/>
  <c r="P103" i="5"/>
  <c r="R103" i="5" s="1"/>
  <c r="EQ111" i="6"/>
  <c r="ET111" i="6"/>
  <c r="EP112" i="6" s="1"/>
  <c r="CU180" i="6"/>
  <c r="AQ181" i="6" s="1"/>
  <c r="CT180" i="6"/>
  <c r="AP181" i="6" s="1"/>
  <c r="FD180" i="6"/>
  <c r="O102" i="4"/>
  <c r="Q102" i="5"/>
  <c r="S102" i="5" s="1"/>
  <c r="EU96" i="6"/>
  <c r="BW96" i="6"/>
  <c r="CU181" i="6" l="1"/>
  <c r="AQ182" i="6" s="1"/>
  <c r="CT181" i="6"/>
  <c r="AP182" i="6" s="1"/>
  <c r="M105" i="4"/>
  <c r="BP99" i="6"/>
  <c r="DW99" i="6"/>
  <c r="BR99" i="6"/>
  <c r="DX99" i="6" s="1"/>
  <c r="BV99" i="6" s="1"/>
  <c r="P105" i="4" s="1"/>
  <c r="F105" i="5" s="1"/>
  <c r="L100" i="5"/>
  <c r="M100" i="5" s="1"/>
  <c r="CB100" i="6"/>
  <c r="X101" i="6" s="1"/>
  <c r="BF100" i="6"/>
  <c r="BK100" i="6" s="1"/>
  <c r="BQ100" i="6" s="1"/>
  <c r="BA100" i="6"/>
  <c r="BD100" i="6"/>
  <c r="P103" i="4"/>
  <c r="Q103" i="5"/>
  <c r="S103" i="5" s="1"/>
  <c r="EU97" i="6"/>
  <c r="BW97" i="6"/>
  <c r="FD181" i="6"/>
  <c r="EQ112" i="6"/>
  <c r="ET112" i="6"/>
  <c r="EP113" i="6" s="1"/>
  <c r="EV111" i="6"/>
  <c r="EW111" i="6" s="1"/>
  <c r="ES111" i="6"/>
  <c r="W117" i="5" s="1"/>
  <c r="ER111" i="6"/>
  <c r="V117" i="5" s="1"/>
  <c r="U117" i="5"/>
  <c r="E102" i="5"/>
  <c r="I102" i="5" s="1"/>
  <c r="Q102" i="4"/>
  <c r="S102" i="4" s="1"/>
  <c r="T98" i="4"/>
  <c r="BY92" i="6"/>
  <c r="CA92" i="6"/>
  <c r="DI105" i="6"/>
  <c r="CG182" i="6"/>
  <c r="AC183" i="6" s="1"/>
  <c r="M106" i="4" l="1"/>
  <c r="BP100" i="6"/>
  <c r="CG183" i="6"/>
  <c r="AC184" i="6" s="1"/>
  <c r="CB101" i="6"/>
  <c r="X102" i="6" s="1"/>
  <c r="BF101" i="6"/>
  <c r="BK101" i="6" s="1"/>
  <c r="BQ101" i="6" s="1"/>
  <c r="BA101" i="6"/>
  <c r="BD101" i="6"/>
  <c r="ET113" i="6"/>
  <c r="EP114" i="6" s="1"/>
  <c r="EQ113" i="6"/>
  <c r="FD182" i="6"/>
  <c r="BU99" i="6"/>
  <c r="P105" i="5"/>
  <c r="R105" i="5" s="1"/>
  <c r="U93" i="6"/>
  <c r="W93" i="6"/>
  <c r="CA93" i="6" s="1"/>
  <c r="DR105" i="6"/>
  <c r="BC105" i="6"/>
  <c r="DV105" i="6"/>
  <c r="ES112" i="6"/>
  <c r="W118" i="5" s="1"/>
  <c r="EV112" i="6"/>
  <c r="EW112" i="6" s="1"/>
  <c r="ER112" i="6"/>
  <c r="V118" i="5" s="1"/>
  <c r="U118" i="5"/>
  <c r="J102" i="5"/>
  <c r="K102" i="5" s="1"/>
  <c r="DW100" i="6"/>
  <c r="BR100" i="6"/>
  <c r="DX100" i="6" s="1"/>
  <c r="BV100" i="6" s="1"/>
  <c r="P106" i="4" s="1"/>
  <c r="F106" i="5" s="1"/>
  <c r="F103" i="5"/>
  <c r="I103" i="5" s="1"/>
  <c r="Q103" i="4"/>
  <c r="S103" i="4" s="1"/>
  <c r="CU182" i="6"/>
  <c r="AQ183" i="6" s="1"/>
  <c r="CT182" i="6"/>
  <c r="AP183" i="6" s="1"/>
  <c r="CT183" i="6" l="1"/>
  <c r="AP184" i="6" s="1"/>
  <c r="CU183" i="6"/>
  <c r="AQ184" i="6" s="1"/>
  <c r="ER113" i="6"/>
  <c r="V119" i="5" s="1"/>
  <c r="EV113" i="6"/>
  <c r="EW113" i="6" s="1"/>
  <c r="ES113" i="6"/>
  <c r="W119" i="5" s="1"/>
  <c r="U119" i="5"/>
  <c r="M107" i="4"/>
  <c r="BP101" i="6"/>
  <c r="BR101" i="6" s="1"/>
  <c r="DX101" i="6" s="1"/>
  <c r="BV101" i="6" s="1"/>
  <c r="P107" i="4" s="1"/>
  <c r="F107" i="5" s="1"/>
  <c r="DQ105" i="6"/>
  <c r="DM106" i="6" s="1"/>
  <c r="DP105" i="6"/>
  <c r="DL106" i="6" s="1"/>
  <c r="DN105" i="6"/>
  <c r="DJ106" i="6" s="1"/>
  <c r="DO105" i="6"/>
  <c r="DK106" i="6" s="1"/>
  <c r="DW101" i="6"/>
  <c r="CB102" i="6"/>
  <c r="X103" i="6" s="1"/>
  <c r="BF102" i="6"/>
  <c r="BK102" i="6" s="1"/>
  <c r="BQ102" i="6" s="1"/>
  <c r="BA102" i="6"/>
  <c r="BD102" i="6"/>
  <c r="ET114" i="6"/>
  <c r="EP115" i="6" s="1"/>
  <c r="EQ114" i="6"/>
  <c r="J103" i="5"/>
  <c r="K103" i="5" s="1"/>
  <c r="BU100" i="6"/>
  <c r="P106" i="5"/>
  <c r="R106" i="5" s="1"/>
  <c r="BW99" i="6"/>
  <c r="O105" i="4"/>
  <c r="Q105" i="5"/>
  <c r="S105" i="5" s="1"/>
  <c r="EU99" i="6"/>
  <c r="CG184" i="6"/>
  <c r="AC185" i="6" s="1"/>
  <c r="T99" i="4"/>
  <c r="BY93" i="6"/>
  <c r="L102" i="5"/>
  <c r="M102" i="5" s="1"/>
  <c r="FD183" i="6"/>
  <c r="DI106" i="6" l="1"/>
  <c r="W94" i="6"/>
  <c r="CA94" i="6" s="1"/>
  <c r="U94" i="6"/>
  <c r="EV114" i="6"/>
  <c r="EW114" i="6" s="1"/>
  <c r="ES114" i="6"/>
  <c r="W120" i="5" s="1"/>
  <c r="ER114" i="6"/>
  <c r="V120" i="5" s="1"/>
  <c r="U120" i="5"/>
  <c r="EQ115" i="6"/>
  <c r="ET115" i="6"/>
  <c r="EP116" i="6" s="1"/>
  <c r="Q106" i="5"/>
  <c r="S106" i="5" s="1"/>
  <c r="O106" i="4"/>
  <c r="EU100" i="6"/>
  <c r="BW100" i="6"/>
  <c r="FD184" i="6"/>
  <c r="L103" i="5"/>
  <c r="M103" i="5" s="1"/>
  <c r="DW102" i="6"/>
  <c r="DL113" i="6"/>
  <c r="DJ113" i="6"/>
  <c r="DK113" i="6"/>
  <c r="DM113" i="6"/>
  <c r="CG185" i="6"/>
  <c r="AC186" i="6" s="1"/>
  <c r="CB103" i="6"/>
  <c r="X104" i="6" s="1"/>
  <c r="BF103" i="6"/>
  <c r="BK103" i="6" s="1"/>
  <c r="BQ103" i="6" s="1"/>
  <c r="BA103" i="6"/>
  <c r="BD103" i="6"/>
  <c r="M108" i="4"/>
  <c r="BP102" i="6"/>
  <c r="BT102" i="6" s="1"/>
  <c r="E105" i="5"/>
  <c r="I105" i="5" s="1"/>
  <c r="Q105" i="4"/>
  <c r="S105" i="4" s="1"/>
  <c r="CU184" i="6"/>
  <c r="AQ185" i="6" s="1"/>
  <c r="CT184" i="6"/>
  <c r="AP185" i="6" s="1"/>
  <c r="BU101" i="6"/>
  <c r="P107" i="5"/>
  <c r="R107" i="5" s="1"/>
  <c r="BR102" i="6" l="1"/>
  <c r="DX102" i="6" s="1"/>
  <c r="BV102" i="6" s="1"/>
  <c r="P108" i="4" s="1"/>
  <c r="F108" i="5" s="1"/>
  <c r="EV115" i="6"/>
  <c r="EW115" i="6" s="1"/>
  <c r="ES115" i="6"/>
  <c r="W121" i="5" s="1"/>
  <c r="ER115" i="6"/>
  <c r="V121" i="5" s="1"/>
  <c r="U121" i="5"/>
  <c r="J105" i="5"/>
  <c r="K105" i="5" s="1"/>
  <c r="BU102" i="6"/>
  <c r="P108" i="5"/>
  <c r="R108" i="5" s="1"/>
  <c r="M109" i="4"/>
  <c r="BP103" i="6"/>
  <c r="BR103" i="6" s="1"/>
  <c r="DX103" i="6" s="1"/>
  <c r="BV103" i="6" s="1"/>
  <c r="P109" i="4" s="1"/>
  <c r="F109" i="5" s="1"/>
  <c r="FD185" i="6"/>
  <c r="DW103" i="6"/>
  <c r="CT185" i="6"/>
  <c r="AP186" i="6" s="1"/>
  <c r="CU185" i="6"/>
  <c r="AQ186" i="6" s="1"/>
  <c r="CB104" i="6"/>
  <c r="X105" i="6" s="1"/>
  <c r="BF104" i="6"/>
  <c r="BK104" i="6" s="1"/>
  <c r="BQ104" i="6" s="1"/>
  <c r="BA104" i="6"/>
  <c r="BD104" i="6"/>
  <c r="T100" i="4"/>
  <c r="BY94" i="6"/>
  <c r="O107" i="4"/>
  <c r="EU101" i="6"/>
  <c r="Q107" i="5"/>
  <c r="S107" i="5" s="1"/>
  <c r="BW101" i="6"/>
  <c r="CG186" i="6"/>
  <c r="AC187" i="6" s="1"/>
  <c r="DR106" i="6"/>
  <c r="BC106" i="6"/>
  <c r="BO106" i="6" s="1"/>
  <c r="DV106" i="6"/>
  <c r="E106" i="5"/>
  <c r="I106" i="5" s="1"/>
  <c r="Q106" i="4"/>
  <c r="S106" i="4" s="1"/>
  <c r="DI113" i="6"/>
  <c r="ET116" i="6"/>
  <c r="EP117" i="6" s="1"/>
  <c r="EQ116" i="6"/>
  <c r="M110" i="4" l="1"/>
  <c r="BP104" i="6"/>
  <c r="DO106" i="6"/>
  <c r="DK107" i="6" s="1"/>
  <c r="DN106" i="6"/>
  <c r="DJ107" i="6" s="1"/>
  <c r="DP106" i="6"/>
  <c r="DL107" i="6" s="1"/>
  <c r="DQ106" i="6"/>
  <c r="DM107" i="6" s="1"/>
  <c r="BW102" i="6"/>
  <c r="O108" i="4"/>
  <c r="Q108" i="5"/>
  <c r="S108" i="5" s="1"/>
  <c r="EU102" i="6"/>
  <c r="CT186" i="6"/>
  <c r="AP187" i="6" s="1"/>
  <c r="CU186" i="6"/>
  <c r="AQ187" i="6" s="1"/>
  <c r="L105" i="5"/>
  <c r="M105" i="5" s="1"/>
  <c r="CG187" i="6"/>
  <c r="AC188" i="6" s="1"/>
  <c r="CB105" i="6"/>
  <c r="X106" i="6" s="1"/>
  <c r="BF105" i="6"/>
  <c r="BK105" i="6" s="1"/>
  <c r="BA105" i="6"/>
  <c r="BD105" i="6"/>
  <c r="DR113" i="6"/>
  <c r="DV113" i="6"/>
  <c r="EQ117" i="6"/>
  <c r="ET117" i="6"/>
  <c r="EP118" i="6" s="1"/>
  <c r="BU103" i="6"/>
  <c r="P109" i="5"/>
  <c r="R109" i="5" s="1"/>
  <c r="DW104" i="6"/>
  <c r="BR104" i="6"/>
  <c r="DX104" i="6" s="1"/>
  <c r="BV104" i="6" s="1"/>
  <c r="P110" i="4" s="1"/>
  <c r="F110" i="5" s="1"/>
  <c r="ES116" i="6"/>
  <c r="W122" i="5" s="1"/>
  <c r="ER116" i="6"/>
  <c r="V122" i="5" s="1"/>
  <c r="EV116" i="6"/>
  <c r="EW116" i="6" s="1"/>
  <c r="U122" i="5"/>
  <c r="J106" i="5"/>
  <c r="K106" i="5" s="1"/>
  <c r="E107" i="5"/>
  <c r="I107" i="5" s="1"/>
  <c r="Q107" i="4"/>
  <c r="S107" i="4" s="1"/>
  <c r="FD186" i="6"/>
  <c r="U95" i="6"/>
  <c r="W95" i="6"/>
  <c r="CA95" i="6" s="1"/>
  <c r="J107" i="5" l="1"/>
  <c r="K107" i="5" s="1"/>
  <c r="L107" i="5"/>
  <c r="M107" i="5" s="1"/>
  <c r="ER117" i="6"/>
  <c r="V123" i="5" s="1"/>
  <c r="EV117" i="6"/>
  <c r="EW117" i="6" s="1"/>
  <c r="ES117" i="6"/>
  <c r="W123" i="5" s="1"/>
  <c r="U123" i="5"/>
  <c r="L106" i="5"/>
  <c r="M106" i="5" s="1"/>
  <c r="CU187" i="6"/>
  <c r="AQ188" i="6" s="1"/>
  <c r="CT187" i="6"/>
  <c r="AP188" i="6" s="1"/>
  <c r="DO113" i="6"/>
  <c r="DK114" i="6" s="1"/>
  <c r="DN113" i="6"/>
  <c r="DJ114" i="6" s="1"/>
  <c r="DP113" i="6"/>
  <c r="DL114" i="6" s="1"/>
  <c r="DQ113" i="6"/>
  <c r="DM114" i="6" s="1"/>
  <c r="E108" i="5"/>
  <c r="I108" i="5" s="1"/>
  <c r="Q108" i="4"/>
  <c r="S108" i="4" s="1"/>
  <c r="DI107" i="6"/>
  <c r="FD187" i="6"/>
  <c r="BW103" i="6"/>
  <c r="O109" i="4"/>
  <c r="EU103" i="6"/>
  <c r="Q109" i="5"/>
  <c r="S109" i="5" s="1"/>
  <c r="CG188" i="6"/>
  <c r="AC189" i="6" s="1"/>
  <c r="T101" i="4"/>
  <c r="BY95" i="6"/>
  <c r="M111" i="4"/>
  <c r="BP105" i="6"/>
  <c r="BU104" i="6"/>
  <c r="P110" i="5"/>
  <c r="R110" i="5" s="1"/>
  <c r="CB106" i="6"/>
  <c r="X107" i="6" s="1"/>
  <c r="BF106" i="6"/>
  <c r="BK106" i="6" s="1"/>
  <c r="BQ106" i="6" s="1"/>
  <c r="BA106" i="6"/>
  <c r="BD106" i="6"/>
  <c r="ET118" i="6"/>
  <c r="EP119" i="6" s="1"/>
  <c r="EQ118" i="6"/>
  <c r="DI114" i="6" l="1"/>
  <c r="O110" i="4"/>
  <c r="Q110" i="5"/>
  <c r="S110" i="5" s="1"/>
  <c r="BW104" i="6"/>
  <c r="EU104" i="6"/>
  <c r="U96" i="6"/>
  <c r="W96" i="6"/>
  <c r="CA96" i="6" s="1"/>
  <c r="CU188" i="6"/>
  <c r="AQ189" i="6" s="1"/>
  <c r="CT188" i="6"/>
  <c r="AP189" i="6" s="1"/>
  <c r="CB107" i="6"/>
  <c r="X108" i="6" s="1"/>
  <c r="BF107" i="6"/>
  <c r="BK107" i="6" s="1"/>
  <c r="BA107" i="6"/>
  <c r="FD188" i="6"/>
  <c r="EV118" i="6"/>
  <c r="EW118" i="6" s="1"/>
  <c r="ER118" i="6"/>
  <c r="V124" i="5" s="1"/>
  <c r="ES118" i="6"/>
  <c r="W124" i="5" s="1"/>
  <c r="U124" i="5"/>
  <c r="EQ119" i="6"/>
  <c r="ET119" i="6"/>
  <c r="EP120" i="6" s="1"/>
  <c r="CG189" i="6"/>
  <c r="AC190" i="6" s="1"/>
  <c r="BC107" i="6"/>
  <c r="DR107" i="6"/>
  <c r="BD107" i="6"/>
  <c r="BO107" i="6" s="1"/>
  <c r="DV107" i="6"/>
  <c r="M112" i="4"/>
  <c r="BP106" i="6"/>
  <c r="DW106" i="6"/>
  <c r="BU106" i="6" s="1"/>
  <c r="BR106" i="6"/>
  <c r="DX106" i="6" s="1"/>
  <c r="E109" i="5"/>
  <c r="I109" i="5" s="1"/>
  <c r="Q109" i="4"/>
  <c r="S109" i="4" s="1"/>
  <c r="J108" i="5"/>
  <c r="K108" i="5" s="1"/>
  <c r="J109" i="5" l="1"/>
  <c r="K109" i="5" s="1"/>
  <c r="L109" i="5"/>
  <c r="M109" i="5" s="1"/>
  <c r="ES119" i="6"/>
  <c r="W125" i="5" s="1"/>
  <c r="ER119" i="6"/>
  <c r="V125" i="5" s="1"/>
  <c r="EV119" i="6"/>
  <c r="EW119" i="6" s="1"/>
  <c r="U125" i="5"/>
  <c r="CU189" i="6"/>
  <c r="AQ190" i="6" s="1"/>
  <c r="CT189" i="6"/>
  <c r="AP190" i="6" s="1"/>
  <c r="O112" i="4"/>
  <c r="E112" i="5" s="1"/>
  <c r="T102" i="4"/>
  <c r="BY96" i="6"/>
  <c r="FD189" i="6"/>
  <c r="DQ107" i="6"/>
  <c r="DM108" i="6" s="1"/>
  <c r="DP107" i="6"/>
  <c r="DL108" i="6" s="1"/>
  <c r="DN107" i="6"/>
  <c r="DJ108" i="6" s="1"/>
  <c r="DO107" i="6"/>
  <c r="DK108" i="6" s="1"/>
  <c r="E110" i="5"/>
  <c r="I110" i="5" s="1"/>
  <c r="Q110" i="4"/>
  <c r="S110" i="4" s="1"/>
  <c r="M113" i="4"/>
  <c r="BP107" i="6"/>
  <c r="DR114" i="6"/>
  <c r="DV114" i="6"/>
  <c r="L108" i="5"/>
  <c r="M108" i="5" s="1"/>
  <c r="CG190" i="6"/>
  <c r="AC191" i="6" s="1"/>
  <c r="BQ107" i="6"/>
  <c r="P112" i="5"/>
  <c r="R112" i="5" s="1"/>
  <c r="BV106" i="6"/>
  <c r="ET120" i="6"/>
  <c r="EP121" i="6" s="1"/>
  <c r="EQ120" i="6"/>
  <c r="CB108" i="6"/>
  <c r="X109" i="6" s="1"/>
  <c r="BF108" i="6"/>
  <c r="BK108" i="6" s="1"/>
  <c r="BA108" i="6"/>
  <c r="W97" i="6" l="1"/>
  <c r="CA97" i="6" s="1"/>
  <c r="U97" i="6"/>
  <c r="ES120" i="6"/>
  <c r="W126" i="5" s="1"/>
  <c r="ER120" i="6"/>
  <c r="V126" i="5" s="1"/>
  <c r="EV120" i="6"/>
  <c r="EW120" i="6" s="1"/>
  <c r="U126" i="5"/>
  <c r="P112" i="4"/>
  <c r="Q112" i="5"/>
  <c r="S112" i="5" s="1"/>
  <c r="EU106" i="6"/>
  <c r="EQ121" i="6"/>
  <c r="ET121" i="6"/>
  <c r="EP122" i="6" s="1"/>
  <c r="J110" i="5"/>
  <c r="K110" i="5" s="1"/>
  <c r="DI108" i="6"/>
  <c r="M114" i="4"/>
  <c r="BP108" i="6"/>
  <c r="DP114" i="6"/>
  <c r="DL115" i="6" s="1"/>
  <c r="DN114" i="6"/>
  <c r="DJ115" i="6" s="1"/>
  <c r="DQ114" i="6"/>
  <c r="DM115" i="6" s="1"/>
  <c r="DO114" i="6"/>
  <c r="DK115" i="6" s="1"/>
  <c r="BW106" i="6"/>
  <c r="DW107" i="6"/>
  <c r="BU107" i="6" s="1"/>
  <c r="BR107" i="6"/>
  <c r="DX107" i="6" s="1"/>
  <c r="CT190" i="6"/>
  <c r="AP191" i="6" s="1"/>
  <c r="CU190" i="6"/>
  <c r="AQ191" i="6" s="1"/>
  <c r="CG191" i="6"/>
  <c r="AC192" i="6" s="1"/>
  <c r="CB109" i="6"/>
  <c r="X110" i="6" s="1"/>
  <c r="BF109" i="6"/>
  <c r="BK109" i="6" s="1"/>
  <c r="BA109" i="6"/>
  <c r="FD190" i="6"/>
  <c r="L110" i="5" l="1"/>
  <c r="M110" i="5" s="1"/>
  <c r="ER121" i="6"/>
  <c r="V127" i="5" s="1"/>
  <c r="EV121" i="6"/>
  <c r="EW121" i="6" s="1"/>
  <c r="ES121" i="6"/>
  <c r="W127" i="5" s="1"/>
  <c r="U127" i="5"/>
  <c r="FD191" i="6"/>
  <c r="M115" i="4"/>
  <c r="BP109" i="6"/>
  <c r="F112" i="5"/>
  <c r="I112" i="5" s="1"/>
  <c r="Q112" i="4"/>
  <c r="S112" i="4" s="1"/>
  <c r="DI115" i="6"/>
  <c r="CG192" i="6"/>
  <c r="AC193" i="6" s="1"/>
  <c r="O113" i="4"/>
  <c r="E113" i="5" s="1"/>
  <c r="CB110" i="6"/>
  <c r="X111" i="6" s="1"/>
  <c r="BF110" i="6"/>
  <c r="BK110" i="6" s="1"/>
  <c r="BA110" i="6"/>
  <c r="BC108" i="6"/>
  <c r="BO108" i="6" s="1"/>
  <c r="BQ108" i="6" s="1"/>
  <c r="BD108" i="6"/>
  <c r="DR108" i="6"/>
  <c r="DV108" i="6"/>
  <c r="BS108" i="6" s="1"/>
  <c r="BT108" i="6" s="1"/>
  <c r="ET122" i="6"/>
  <c r="EP123" i="6" s="1"/>
  <c r="EQ122" i="6"/>
  <c r="CT191" i="6"/>
  <c r="AP192" i="6" s="1"/>
  <c r="CU191" i="6"/>
  <c r="AQ192" i="6" s="1"/>
  <c r="P113" i="5"/>
  <c r="R113" i="5" s="1"/>
  <c r="BV107" i="6"/>
  <c r="T103" i="4"/>
  <c r="BY97" i="6"/>
  <c r="M116" i="4" l="1"/>
  <c r="BP110" i="6"/>
  <c r="P113" i="4"/>
  <c r="Q113" i="5"/>
  <c r="S113" i="5" s="1"/>
  <c r="EU107" i="6"/>
  <c r="CB111" i="6"/>
  <c r="X112" i="6" s="1"/>
  <c r="BG111" i="6"/>
  <c r="BF111" i="6"/>
  <c r="BK111" i="6" s="1"/>
  <c r="BA111" i="6"/>
  <c r="ER122" i="6"/>
  <c r="V128" i="5" s="1"/>
  <c r="ES122" i="6"/>
  <c r="W128" i="5" s="1"/>
  <c r="EV122" i="6"/>
  <c r="EW122" i="6" s="1"/>
  <c r="U128" i="5"/>
  <c r="FD192" i="6"/>
  <c r="CG193" i="6"/>
  <c r="AC194" i="6" s="1"/>
  <c r="CT192" i="6"/>
  <c r="AP193" i="6" s="1"/>
  <c r="CU192" i="6"/>
  <c r="AQ193" i="6" s="1"/>
  <c r="DR115" i="6"/>
  <c r="BC115" i="6"/>
  <c r="DV115" i="6"/>
  <c r="EQ123" i="6"/>
  <c r="ET123" i="6"/>
  <c r="EP124" i="6" s="1"/>
  <c r="BW107" i="6"/>
  <c r="DO108" i="6"/>
  <c r="DK109" i="6" s="1"/>
  <c r="DN108" i="6"/>
  <c r="DJ109" i="6" s="1"/>
  <c r="DQ108" i="6"/>
  <c r="DM109" i="6" s="1"/>
  <c r="DP108" i="6"/>
  <c r="DL109" i="6" s="1"/>
  <c r="DW108" i="6"/>
  <c r="BU108" i="6" s="1"/>
  <c r="BR108" i="6"/>
  <c r="DX108" i="6" s="1"/>
  <c r="U98" i="6"/>
  <c r="W98" i="6"/>
  <c r="CA98" i="6" s="1"/>
  <c r="J112" i="5"/>
  <c r="K112" i="5" s="1"/>
  <c r="BV108" i="6" l="1"/>
  <c r="P114" i="5"/>
  <c r="R114" i="5" s="1"/>
  <c r="DQ115" i="6"/>
  <c r="DM116" i="6" s="1"/>
  <c r="DN115" i="6"/>
  <c r="DJ116" i="6" s="1"/>
  <c r="DO115" i="6"/>
  <c r="DK116" i="6" s="1"/>
  <c r="DP115" i="6"/>
  <c r="DL116" i="6" s="1"/>
  <c r="CT193" i="6"/>
  <c r="AP194" i="6" s="1"/>
  <c r="CU193" i="6"/>
  <c r="AQ194" i="6" s="1"/>
  <c r="N117" i="4"/>
  <c r="T104" i="4"/>
  <c r="BG98" i="6"/>
  <c r="BY98" i="6"/>
  <c r="BB98" i="6"/>
  <c r="BN98" i="6" s="1"/>
  <c r="BC98" i="6"/>
  <c r="BO98" i="6" s="1"/>
  <c r="O114" i="4"/>
  <c r="E114" i="5" s="1"/>
  <c r="BW108" i="6"/>
  <c r="CB112" i="6"/>
  <c r="X113" i="6" s="1"/>
  <c r="BF112" i="6"/>
  <c r="BK112" i="6" s="1"/>
  <c r="BA112" i="6"/>
  <c r="DI109" i="6"/>
  <c r="CG194" i="6"/>
  <c r="AC195" i="6" s="1"/>
  <c r="ET124" i="6"/>
  <c r="EP125" i="6" s="1"/>
  <c r="EQ124" i="6"/>
  <c r="FD193" i="6"/>
  <c r="F113" i="5"/>
  <c r="I113" i="5" s="1"/>
  <c r="Q113" i="4"/>
  <c r="S113" i="4" s="1"/>
  <c r="L112" i="5"/>
  <c r="M112" i="5" s="1"/>
  <c r="ER123" i="6"/>
  <c r="V129" i="5" s="1"/>
  <c r="ES123" i="6"/>
  <c r="W129" i="5" s="1"/>
  <c r="EV123" i="6"/>
  <c r="EW123" i="6" s="1"/>
  <c r="U129" i="5"/>
  <c r="M117" i="4"/>
  <c r="BP111" i="6"/>
  <c r="ER124" i="6" l="1"/>
  <c r="V130" i="5" s="1"/>
  <c r="EV124" i="6"/>
  <c r="EW124" i="6" s="1"/>
  <c r="ES124" i="6"/>
  <c r="W130" i="5" s="1"/>
  <c r="U130" i="5"/>
  <c r="EQ125" i="6"/>
  <c r="ET125" i="6"/>
  <c r="EP126" i="6" s="1"/>
  <c r="BC109" i="6"/>
  <c r="DR109" i="6"/>
  <c r="BO109" i="6"/>
  <c r="BQ109" i="6" s="1"/>
  <c r="BD109" i="6"/>
  <c r="DV109" i="6"/>
  <c r="J113" i="5"/>
  <c r="K113" i="5" s="1"/>
  <c r="FD194" i="6"/>
  <c r="CT194" i="6"/>
  <c r="AP195" i="6" s="1"/>
  <c r="CU194" i="6"/>
  <c r="AQ195" i="6" s="1"/>
  <c r="M118" i="4"/>
  <c r="BP112" i="6"/>
  <c r="CB113" i="6"/>
  <c r="X114" i="6" s="1"/>
  <c r="BF113" i="6"/>
  <c r="BK113" i="6" s="1"/>
  <c r="BQ113" i="6" s="1"/>
  <c r="BA113" i="6"/>
  <c r="BD113" i="6"/>
  <c r="DI116" i="6"/>
  <c r="CG195" i="6"/>
  <c r="AC196" i="6" s="1"/>
  <c r="U99" i="6"/>
  <c r="W99" i="6"/>
  <c r="CA99" i="6" s="1"/>
  <c r="BQ98" i="6"/>
  <c r="DW98" i="6" s="1"/>
  <c r="BU98" i="6" s="1"/>
  <c r="N104" i="4"/>
  <c r="P114" i="4"/>
  <c r="Q114" i="5"/>
  <c r="S114" i="5" s="1"/>
  <c r="EU108" i="6"/>
  <c r="DW109" i="6" l="1"/>
  <c r="BR109" i="6"/>
  <c r="DX109" i="6" s="1"/>
  <c r="BV109" i="6" s="1"/>
  <c r="P115" i="4" s="1"/>
  <c r="F115" i="5" s="1"/>
  <c r="DP109" i="6"/>
  <c r="DL110" i="6" s="1"/>
  <c r="DQ109" i="6"/>
  <c r="DM110" i="6" s="1"/>
  <c r="DO109" i="6"/>
  <c r="DK110" i="6" s="1"/>
  <c r="DN109" i="6"/>
  <c r="DJ110" i="6" s="1"/>
  <c r="O104" i="4"/>
  <c r="E104" i="5" s="1"/>
  <c r="CG196" i="6"/>
  <c r="AC197" i="6" s="1"/>
  <c r="ET126" i="6"/>
  <c r="EP127" i="6" s="1"/>
  <c r="EQ126" i="6"/>
  <c r="CU195" i="6"/>
  <c r="AQ196" i="6" s="1"/>
  <c r="CT195" i="6"/>
  <c r="AP196" i="6" s="1"/>
  <c r="DR116" i="6"/>
  <c r="DV116" i="6"/>
  <c r="ES125" i="6"/>
  <c r="W131" i="5" s="1"/>
  <c r="EV125" i="6"/>
  <c r="EW125" i="6" s="1"/>
  <c r="ER125" i="6"/>
  <c r="V131" i="5" s="1"/>
  <c r="U131" i="5"/>
  <c r="DW113" i="6"/>
  <c r="BU113" i="6" s="1"/>
  <c r="CB114" i="6"/>
  <c r="X115" i="6" s="1"/>
  <c r="BF114" i="6"/>
  <c r="BK114" i="6" s="1"/>
  <c r="BQ114" i="6" s="1"/>
  <c r="BA114" i="6"/>
  <c r="BD114" i="6"/>
  <c r="T105" i="4"/>
  <c r="BY99" i="6"/>
  <c r="F114" i="5"/>
  <c r="I114" i="5" s="1"/>
  <c r="Q114" i="4"/>
  <c r="S114" i="4" s="1"/>
  <c r="FD195" i="6"/>
  <c r="BR98" i="6"/>
  <c r="DX98" i="6" s="1"/>
  <c r="M119" i="4"/>
  <c r="BP113" i="6"/>
  <c r="BR113" i="6" s="1"/>
  <c r="DX113" i="6" s="1"/>
  <c r="L113" i="5"/>
  <c r="M113" i="5" s="1"/>
  <c r="P119" i="5" l="1"/>
  <c r="R119" i="5" s="1"/>
  <c r="BV113" i="6"/>
  <c r="BW113" i="6" s="1"/>
  <c r="FD196" i="6"/>
  <c r="ER126" i="6"/>
  <c r="V132" i="5" s="1"/>
  <c r="EV126" i="6"/>
  <c r="EW126" i="6" s="1"/>
  <c r="ES126" i="6"/>
  <c r="W132" i="5" s="1"/>
  <c r="U132" i="5"/>
  <c r="EQ127" i="6"/>
  <c r="ET127" i="6"/>
  <c r="EP128" i="6" s="1"/>
  <c r="U100" i="6"/>
  <c r="W100" i="6"/>
  <c r="CA100" i="6" s="1"/>
  <c r="O119" i="4"/>
  <c r="E119" i="5" s="1"/>
  <c r="CG197" i="6"/>
  <c r="AC198" i="6" s="1"/>
  <c r="J114" i="5"/>
  <c r="K114" i="5" s="1"/>
  <c r="DI110" i="6"/>
  <c r="M120" i="4"/>
  <c r="BP114" i="6"/>
  <c r="DW114" i="6"/>
  <c r="BU114" i="6" s="1"/>
  <c r="BR114" i="6"/>
  <c r="DX114" i="6" s="1"/>
  <c r="DP116" i="6"/>
  <c r="DL117" i="6" s="1"/>
  <c r="DO116" i="6"/>
  <c r="DK117" i="6" s="1"/>
  <c r="DN116" i="6"/>
  <c r="DJ117" i="6" s="1"/>
  <c r="DQ116" i="6"/>
  <c r="DM117" i="6" s="1"/>
  <c r="BV98" i="6"/>
  <c r="P104" i="5"/>
  <c r="R104" i="5" s="1"/>
  <c r="CB115" i="6"/>
  <c r="X116" i="6" s="1"/>
  <c r="BF115" i="6"/>
  <c r="BK115" i="6" s="1"/>
  <c r="BQ115" i="6" s="1"/>
  <c r="BA115" i="6"/>
  <c r="BD115" i="6"/>
  <c r="CT196" i="6"/>
  <c r="AP197" i="6" s="1"/>
  <c r="CU196" i="6"/>
  <c r="AQ197" i="6" s="1"/>
  <c r="P115" i="5"/>
  <c r="R115" i="5" s="1"/>
  <c r="BU109" i="6"/>
  <c r="L114" i="5" l="1"/>
  <c r="M114" i="5" s="1"/>
  <c r="ET128" i="6"/>
  <c r="EP129" i="6" s="1"/>
  <c r="EQ128" i="6"/>
  <c r="DR110" i="6"/>
  <c r="BC110" i="6"/>
  <c r="BD110" i="6"/>
  <c r="BO110" i="6" s="1"/>
  <c r="DV110" i="6"/>
  <c r="EV127" i="6"/>
  <c r="EW127" i="6" s="1"/>
  <c r="ER127" i="6"/>
  <c r="V133" i="5" s="1"/>
  <c r="ES127" i="6"/>
  <c r="W133" i="5" s="1"/>
  <c r="U133" i="5"/>
  <c r="P104" i="4"/>
  <c r="Q104" i="5"/>
  <c r="S104" i="5" s="1"/>
  <c r="EU98" i="6"/>
  <c r="BW98" i="6"/>
  <c r="DI117" i="6"/>
  <c r="O115" i="4"/>
  <c r="Q115" i="5"/>
  <c r="S115" i="5" s="1"/>
  <c r="BW109" i="6"/>
  <c r="EU109" i="6"/>
  <c r="FD197" i="6"/>
  <c r="BV114" i="6"/>
  <c r="BW114" i="6" s="1"/>
  <c r="P120" i="5"/>
  <c r="R120" i="5" s="1"/>
  <c r="CG198" i="6"/>
  <c r="AC199" i="6" s="1"/>
  <c r="CU197" i="6"/>
  <c r="AQ198" i="6" s="1"/>
  <c r="CT197" i="6"/>
  <c r="AP198" i="6" s="1"/>
  <c r="O120" i="4"/>
  <c r="E120" i="5" s="1"/>
  <c r="P119" i="4"/>
  <c r="Q119" i="5"/>
  <c r="S119" i="5" s="1"/>
  <c r="EU113" i="6"/>
  <c r="CB116" i="6"/>
  <c r="X117" i="6" s="1"/>
  <c r="BF116" i="6"/>
  <c r="BK116" i="6" s="1"/>
  <c r="BQ116" i="6" s="1"/>
  <c r="BA116" i="6"/>
  <c r="BD116" i="6"/>
  <c r="M121" i="4"/>
  <c r="BP115" i="6"/>
  <c r="BR115" i="6" s="1"/>
  <c r="DX115" i="6" s="1"/>
  <c r="DW115" i="6"/>
  <c r="BU115" i="6" s="1"/>
  <c r="T106" i="4"/>
  <c r="BY100" i="6"/>
  <c r="P121" i="5" l="1"/>
  <c r="R121" i="5" s="1"/>
  <c r="BV115" i="6"/>
  <c r="F104" i="5"/>
  <c r="I104" i="5" s="1"/>
  <c r="Q104" i="4"/>
  <c r="S104" i="4" s="1"/>
  <c r="U101" i="6"/>
  <c r="W101" i="6"/>
  <c r="CA101" i="6" s="1"/>
  <c r="CT198" i="6"/>
  <c r="AP199" i="6" s="1"/>
  <c r="CU198" i="6"/>
  <c r="AQ199" i="6" s="1"/>
  <c r="F119" i="5"/>
  <c r="I119" i="5" s="1"/>
  <c r="Q119" i="4"/>
  <c r="S119" i="4" s="1"/>
  <c r="E115" i="5"/>
  <c r="I115" i="5" s="1"/>
  <c r="Q115" i="4"/>
  <c r="S115" i="4" s="1"/>
  <c r="O121" i="4"/>
  <c r="E121" i="5" s="1"/>
  <c r="BW115" i="6"/>
  <c r="CG199" i="6"/>
  <c r="AC200" i="6" s="1"/>
  <c r="M122" i="4"/>
  <c r="BP116" i="6"/>
  <c r="BD117" i="6"/>
  <c r="DR117" i="6"/>
  <c r="DV117" i="6"/>
  <c r="CB117" i="6"/>
  <c r="X118" i="6" s="1"/>
  <c r="BF117" i="6"/>
  <c r="BK117" i="6" s="1"/>
  <c r="BQ117" i="6" s="1"/>
  <c r="BA117" i="6"/>
  <c r="P120" i="4"/>
  <c r="Q120" i="5"/>
  <c r="S120" i="5" s="1"/>
  <c r="EU114" i="6"/>
  <c r="DP110" i="6"/>
  <c r="DL111" i="6" s="1"/>
  <c r="DN110" i="6"/>
  <c r="DJ111" i="6" s="1"/>
  <c r="DO110" i="6"/>
  <c r="DK111" i="6" s="1"/>
  <c r="DQ110" i="6"/>
  <c r="DM111" i="6" s="1"/>
  <c r="FD198" i="6"/>
  <c r="ES128" i="6"/>
  <c r="W134" i="5" s="1"/>
  <c r="ER128" i="6"/>
  <c r="V134" i="5" s="1"/>
  <c r="EV128" i="6"/>
  <c r="EW128" i="6" s="1"/>
  <c r="U134" i="5"/>
  <c r="DW116" i="6"/>
  <c r="BU116" i="6" s="1"/>
  <c r="BR116" i="6"/>
  <c r="DX116" i="6" s="1"/>
  <c r="EQ129" i="6"/>
  <c r="ET129" i="6"/>
  <c r="EP130" i="6" s="1"/>
  <c r="DW117" i="6" l="1"/>
  <c r="BU117" i="6" s="1"/>
  <c r="CB118" i="6"/>
  <c r="X119" i="6" s="1"/>
  <c r="BF118" i="6"/>
  <c r="BK118" i="6" s="1"/>
  <c r="BQ118" i="6" s="1"/>
  <c r="BA118" i="6"/>
  <c r="J115" i="5"/>
  <c r="K115" i="5" s="1"/>
  <c r="ET130" i="6"/>
  <c r="EP131" i="6" s="1"/>
  <c r="EQ130" i="6"/>
  <c r="FD199" i="6"/>
  <c r="DN117" i="6"/>
  <c r="DJ118" i="6" s="1"/>
  <c r="DQ117" i="6"/>
  <c r="DM118" i="6" s="1"/>
  <c r="DP117" i="6"/>
  <c r="DL118" i="6" s="1"/>
  <c r="DO117" i="6"/>
  <c r="DK118" i="6" s="1"/>
  <c r="J119" i="5"/>
  <c r="K119" i="5" s="1"/>
  <c r="CU199" i="6"/>
  <c r="AQ200" i="6" s="1"/>
  <c r="CT199" i="6"/>
  <c r="AP200" i="6" s="1"/>
  <c r="T107" i="4"/>
  <c r="BY101" i="6"/>
  <c r="BV116" i="6"/>
  <c r="BW116" i="6" s="1"/>
  <c r="P122" i="5"/>
  <c r="R122" i="5" s="1"/>
  <c r="EV129" i="6"/>
  <c r="EW129" i="6" s="1"/>
  <c r="ER129" i="6"/>
  <c r="V135" i="5" s="1"/>
  <c r="ES129" i="6"/>
  <c r="W135" i="5" s="1"/>
  <c r="U135" i="5"/>
  <c r="O122" i="4"/>
  <c r="E122" i="5" s="1"/>
  <c r="CG200" i="6"/>
  <c r="AC201" i="6" s="1"/>
  <c r="J104" i="5"/>
  <c r="K104" i="5" s="1"/>
  <c r="DI111" i="6"/>
  <c r="F120" i="5"/>
  <c r="I120" i="5" s="1"/>
  <c r="Q120" i="4"/>
  <c r="S120" i="4" s="1"/>
  <c r="P121" i="4"/>
  <c r="Q121" i="5"/>
  <c r="S121" i="5" s="1"/>
  <c r="EU115" i="6"/>
  <c r="M123" i="4"/>
  <c r="BP117" i="6"/>
  <c r="BR117" i="6" s="1"/>
  <c r="DX117" i="6" s="1"/>
  <c r="L119" i="5" l="1"/>
  <c r="M119" i="5" s="1"/>
  <c r="P123" i="5"/>
  <c r="R123" i="5" s="1"/>
  <c r="BV117" i="6"/>
  <c r="CG201" i="6"/>
  <c r="AC202" i="6" s="1"/>
  <c r="ER130" i="6"/>
  <c r="ES130" i="6"/>
  <c r="EV130" i="6"/>
  <c r="EW130" i="6" s="1"/>
  <c r="U136" i="5"/>
  <c r="CT200" i="6"/>
  <c r="AP201" i="6" s="1"/>
  <c r="CU200" i="6"/>
  <c r="AQ201" i="6" s="1"/>
  <c r="EQ131" i="6"/>
  <c r="ET131" i="6"/>
  <c r="EP132" i="6" s="1"/>
  <c r="F121" i="5"/>
  <c r="I121" i="5" s="1"/>
  <c r="Q121" i="4"/>
  <c r="S121" i="4" s="1"/>
  <c r="L115" i="5"/>
  <c r="M115" i="5" s="1"/>
  <c r="M124" i="4"/>
  <c r="BP118" i="6"/>
  <c r="DW118" i="6"/>
  <c r="BU118" i="6" s="1"/>
  <c r="BR118" i="6"/>
  <c r="DX118" i="6" s="1"/>
  <c r="CB119" i="6"/>
  <c r="X120" i="6" s="1"/>
  <c r="BF119" i="6"/>
  <c r="BK119" i="6" s="1"/>
  <c r="BQ119" i="6" s="1"/>
  <c r="BA119" i="6"/>
  <c r="DI118" i="6"/>
  <c r="J120" i="5"/>
  <c r="K120" i="5" s="1"/>
  <c r="BD111" i="6"/>
  <c r="BO111" i="6" s="1"/>
  <c r="BQ111" i="6" s="1"/>
  <c r="DR111" i="6"/>
  <c r="DV111" i="6"/>
  <c r="P122" i="4"/>
  <c r="Q122" i="5"/>
  <c r="S122" i="5" s="1"/>
  <c r="EU116" i="6"/>
  <c r="L104" i="5"/>
  <c r="M104" i="5" s="1"/>
  <c r="U102" i="6"/>
  <c r="W102" i="6"/>
  <c r="CA102" i="6" s="1"/>
  <c r="FD200" i="6"/>
  <c r="O123" i="4"/>
  <c r="E123" i="5" s="1"/>
  <c r="BW117" i="6"/>
  <c r="DW119" i="6" l="1"/>
  <c r="ET132" i="6"/>
  <c r="EP133" i="6" s="1"/>
  <c r="EQ132" i="6"/>
  <c r="CU201" i="6"/>
  <c r="AQ202" i="6" s="1"/>
  <c r="CT201" i="6"/>
  <c r="AP202" i="6" s="1"/>
  <c r="Q122" i="4"/>
  <c r="S122" i="4" s="1"/>
  <c r="F122" i="5"/>
  <c r="I122" i="5" s="1"/>
  <c r="BV118" i="6"/>
  <c r="P124" i="5"/>
  <c r="R124" i="5" s="1"/>
  <c r="EV131" i="6"/>
  <c r="EW131" i="6" s="1"/>
  <c r="ES131" i="6"/>
  <c r="ER131" i="6"/>
  <c r="U137" i="5"/>
  <c r="DQ111" i="6"/>
  <c r="DM112" i="6" s="1"/>
  <c r="DN111" i="6"/>
  <c r="DJ112" i="6" s="1"/>
  <c r="DP111" i="6"/>
  <c r="DL112" i="6" s="1"/>
  <c r="DO111" i="6"/>
  <c r="DK112" i="6" s="1"/>
  <c r="FD201" i="6"/>
  <c r="DX130" i="6"/>
  <c r="DW130" i="6"/>
  <c r="W136" i="5"/>
  <c r="CB120" i="6"/>
  <c r="X121" i="6" s="1"/>
  <c r="BF120" i="6"/>
  <c r="BK120" i="6" s="1"/>
  <c r="BQ120" i="6" s="1"/>
  <c r="BA120" i="6"/>
  <c r="O124" i="4"/>
  <c r="E124" i="5" s="1"/>
  <c r="V136" i="5"/>
  <c r="DV130" i="6"/>
  <c r="DW111" i="6"/>
  <c r="BU111" i="6" s="1"/>
  <c r="BR111" i="6"/>
  <c r="DX111" i="6" s="1"/>
  <c r="L120" i="5"/>
  <c r="M120" i="5" s="1"/>
  <c r="CG202" i="6"/>
  <c r="AC203" i="6" s="1"/>
  <c r="BD118" i="6"/>
  <c r="DR118" i="6"/>
  <c r="DV118" i="6"/>
  <c r="T108" i="4"/>
  <c r="BY102" i="6"/>
  <c r="P123" i="4"/>
  <c r="Q123" i="5"/>
  <c r="S123" i="5" s="1"/>
  <c r="EU117" i="6"/>
  <c r="M125" i="4"/>
  <c r="BP119" i="6"/>
  <c r="BR119" i="6" s="1"/>
  <c r="DX119" i="6" s="1"/>
  <c r="BV119" i="6" s="1"/>
  <c r="P125" i="4" s="1"/>
  <c r="F125" i="5" s="1"/>
  <c r="J121" i="5"/>
  <c r="K121" i="5" s="1"/>
  <c r="M126" i="4" l="1"/>
  <c r="BP120" i="6"/>
  <c r="CG203" i="6"/>
  <c r="AC204" i="6" s="1"/>
  <c r="W137" i="5"/>
  <c r="DX131" i="6"/>
  <c r="DW131" i="6"/>
  <c r="P124" i="4"/>
  <c r="Q124" i="5"/>
  <c r="S124" i="5" s="1"/>
  <c r="EU118" i="6"/>
  <c r="FD202" i="6"/>
  <c r="O117" i="4"/>
  <c r="E117" i="5" s="1"/>
  <c r="Q123" i="4"/>
  <c r="S123" i="4" s="1"/>
  <c r="F123" i="5"/>
  <c r="I123" i="5" s="1"/>
  <c r="J122" i="5"/>
  <c r="K122" i="5" s="1"/>
  <c r="P117" i="5"/>
  <c r="R117" i="5" s="1"/>
  <c r="BV111" i="6"/>
  <c r="W103" i="6"/>
  <c r="CA103" i="6" s="1"/>
  <c r="U103" i="6"/>
  <c r="DI112" i="6"/>
  <c r="CU202" i="6"/>
  <c r="AQ203" i="6" s="1"/>
  <c r="CT202" i="6"/>
  <c r="AP203" i="6" s="1"/>
  <c r="ES132" i="6"/>
  <c r="ER132" i="6"/>
  <c r="EV132" i="6"/>
  <c r="EW132" i="6" s="1"/>
  <c r="U138" i="5"/>
  <c r="ET133" i="6"/>
  <c r="EP134" i="6" s="1"/>
  <c r="EQ133" i="6"/>
  <c r="BW118" i="6"/>
  <c r="DN118" i="6"/>
  <c r="DJ119" i="6" s="1"/>
  <c r="DO118" i="6"/>
  <c r="DK119" i="6" s="1"/>
  <c r="DP118" i="6"/>
  <c r="DL119" i="6" s="1"/>
  <c r="DQ118" i="6"/>
  <c r="DM119" i="6" s="1"/>
  <c r="CB121" i="6"/>
  <c r="X122" i="6" s="1"/>
  <c r="BF121" i="6"/>
  <c r="BK121" i="6" s="1"/>
  <c r="BQ121" i="6" s="1"/>
  <c r="BA121" i="6"/>
  <c r="DW120" i="6"/>
  <c r="BU120" i="6" s="1"/>
  <c r="BR120" i="6"/>
  <c r="DX120" i="6" s="1"/>
  <c r="L121" i="5"/>
  <c r="M121" i="5" s="1"/>
  <c r="V137" i="5"/>
  <c r="DV131" i="6"/>
  <c r="P125" i="5"/>
  <c r="R125" i="5" s="1"/>
  <c r="BU119" i="6"/>
  <c r="ET134" i="6" l="1"/>
  <c r="EP135" i="6" s="1"/>
  <c r="EQ134" i="6"/>
  <c r="O126" i="4"/>
  <c r="E126" i="5" s="1"/>
  <c r="Q117" i="5"/>
  <c r="S117" i="5" s="1"/>
  <c r="P117" i="4"/>
  <c r="EU111" i="6"/>
  <c r="DW121" i="6"/>
  <c r="BU121" i="6" s="1"/>
  <c r="V138" i="5"/>
  <c r="DV132" i="6"/>
  <c r="L122" i="5"/>
  <c r="M122" i="5" s="1"/>
  <c r="F124" i="5"/>
  <c r="I124" i="5" s="1"/>
  <c r="Q124" i="4"/>
  <c r="S124" i="4" s="1"/>
  <c r="M127" i="4"/>
  <c r="BP121" i="6"/>
  <c r="BR121" i="6" s="1"/>
  <c r="DX121" i="6" s="1"/>
  <c r="CB122" i="6"/>
  <c r="X123" i="6" s="1"/>
  <c r="BF122" i="6"/>
  <c r="BK122" i="6" s="1"/>
  <c r="BQ122" i="6" s="1"/>
  <c r="BA122" i="6"/>
  <c r="J123" i="5"/>
  <c r="K123" i="5" s="1"/>
  <c r="L123" i="5"/>
  <c r="M123" i="5" s="1"/>
  <c r="T109" i="4"/>
  <c r="BY103" i="6"/>
  <c r="CU203" i="6"/>
  <c r="AQ204" i="6" s="1"/>
  <c r="CT203" i="6"/>
  <c r="AP204" i="6" s="1"/>
  <c r="BW111" i="6"/>
  <c r="CG204" i="6"/>
  <c r="AC205" i="6" s="1"/>
  <c r="DI119" i="6"/>
  <c r="DR112" i="6"/>
  <c r="BD112" i="6"/>
  <c r="BC112" i="6"/>
  <c r="BO112" i="6" s="1"/>
  <c r="BQ112" i="6" s="1"/>
  <c r="DV112" i="6"/>
  <c r="BS112" i="6" s="1"/>
  <c r="BT112" i="6" s="1"/>
  <c r="FD203" i="6"/>
  <c r="BV120" i="6"/>
  <c r="P126" i="5"/>
  <c r="R126" i="5" s="1"/>
  <c r="W138" i="5"/>
  <c r="DW132" i="6"/>
  <c r="DX132" i="6"/>
  <c r="O125" i="4"/>
  <c r="Q125" i="5"/>
  <c r="S125" i="5" s="1"/>
  <c r="BW119" i="6"/>
  <c r="EU119" i="6"/>
  <c r="ER133" i="6"/>
  <c r="ES133" i="6"/>
  <c r="EV133" i="6"/>
  <c r="EW133" i="6" s="1"/>
  <c r="U139" i="5"/>
  <c r="BV121" i="6" l="1"/>
  <c r="P127" i="5"/>
  <c r="R127" i="5" s="1"/>
  <c r="E125" i="5"/>
  <c r="I125" i="5" s="1"/>
  <c r="Q125" i="4"/>
  <c r="S125" i="4" s="1"/>
  <c r="BD119" i="6"/>
  <c r="BC119" i="6"/>
  <c r="DR119" i="6"/>
  <c r="DV119" i="6"/>
  <c r="DO112" i="6"/>
  <c r="DQ112" i="6"/>
  <c r="DP112" i="6"/>
  <c r="DN112" i="6"/>
  <c r="BW121" i="6"/>
  <c r="O127" i="4"/>
  <c r="E127" i="5" s="1"/>
  <c r="BP122" i="6"/>
  <c r="M128" i="4"/>
  <c r="CG205" i="6"/>
  <c r="AC206" i="6" s="1"/>
  <c r="DW122" i="6"/>
  <c r="BU122" i="6" s="1"/>
  <c r="BR122" i="6"/>
  <c r="DX122" i="6" s="1"/>
  <c r="F117" i="5"/>
  <c r="I117" i="5" s="1"/>
  <c r="Q117" i="4"/>
  <c r="S117" i="4" s="1"/>
  <c r="CB123" i="6"/>
  <c r="X124" i="6" s="1"/>
  <c r="BF123" i="6"/>
  <c r="BK123" i="6" s="1"/>
  <c r="BQ123" i="6" s="1"/>
  <c r="BA123" i="6"/>
  <c r="P126" i="4"/>
  <c r="Q126" i="5"/>
  <c r="S126" i="5" s="1"/>
  <c r="EU120" i="6"/>
  <c r="W139" i="5"/>
  <c r="DX133" i="6"/>
  <c r="DW133" i="6"/>
  <c r="FD204" i="6"/>
  <c r="V139" i="5"/>
  <c r="DV133" i="6"/>
  <c r="BW120" i="6"/>
  <c r="DW112" i="6"/>
  <c r="BR112" i="6"/>
  <c r="DX112" i="6" s="1"/>
  <c r="BV112" i="6" s="1"/>
  <c r="P118" i="4" s="1"/>
  <c r="F118" i="5" s="1"/>
  <c r="CT204" i="6"/>
  <c r="AP205" i="6" s="1"/>
  <c r="CU204" i="6"/>
  <c r="AQ205" i="6" s="1"/>
  <c r="ER134" i="6"/>
  <c r="ES134" i="6"/>
  <c r="EV134" i="6"/>
  <c r="EW134" i="6" s="1"/>
  <c r="U140" i="5"/>
  <c r="W104" i="6"/>
  <c r="CA104" i="6" s="1"/>
  <c r="U104" i="6"/>
  <c r="J124" i="5"/>
  <c r="K124" i="5" s="1"/>
  <c r="EQ135" i="6"/>
  <c r="ET135" i="6"/>
  <c r="EP136" i="6" s="1"/>
  <c r="T110" i="4" l="1"/>
  <c r="BY104" i="6"/>
  <c r="DW123" i="6"/>
  <c r="BU123" i="6" s="1"/>
  <c r="CB124" i="6"/>
  <c r="X125" i="6" s="1"/>
  <c r="BF124" i="6"/>
  <c r="BK124" i="6" s="1"/>
  <c r="BQ124" i="6" s="1"/>
  <c r="BA124" i="6"/>
  <c r="J117" i="5"/>
  <c r="K117" i="5" s="1"/>
  <c r="W140" i="5"/>
  <c r="DX134" i="6"/>
  <c r="DW134" i="6"/>
  <c r="FD205" i="6"/>
  <c r="BV122" i="6"/>
  <c r="BW122" i="6" s="1"/>
  <c r="P128" i="5"/>
  <c r="R128" i="5" s="1"/>
  <c r="V140" i="5"/>
  <c r="DV134" i="6"/>
  <c r="O128" i="4"/>
  <c r="E128" i="5" s="1"/>
  <c r="DN119" i="6"/>
  <c r="DJ120" i="6" s="1"/>
  <c r="DQ119" i="6"/>
  <c r="DM120" i="6" s="1"/>
  <c r="DO119" i="6"/>
  <c r="DK120" i="6" s="1"/>
  <c r="DP119" i="6"/>
  <c r="DL120" i="6" s="1"/>
  <c r="CU205" i="6"/>
  <c r="AQ206" i="6" s="1"/>
  <c r="CT205" i="6"/>
  <c r="AP206" i="6" s="1"/>
  <c r="ET136" i="6"/>
  <c r="EP137" i="6" s="1"/>
  <c r="EQ136" i="6"/>
  <c r="BU112" i="6"/>
  <c r="P118" i="5"/>
  <c r="R118" i="5" s="1"/>
  <c r="J125" i="5"/>
  <c r="K125" i="5" s="1"/>
  <c r="L125" i="5"/>
  <c r="M125" i="5" s="1"/>
  <c r="CG206" i="6"/>
  <c r="AC207" i="6" s="1"/>
  <c r="EV135" i="6"/>
  <c r="EW135" i="6" s="1"/>
  <c r="ES135" i="6"/>
  <c r="ER135" i="6"/>
  <c r="U141" i="5"/>
  <c r="L124" i="5"/>
  <c r="M124" i="5" s="1"/>
  <c r="F126" i="5"/>
  <c r="I126" i="5" s="1"/>
  <c r="Q126" i="4"/>
  <c r="S126" i="4" s="1"/>
  <c r="M129" i="4"/>
  <c r="BP123" i="6"/>
  <c r="BR123" i="6" s="1"/>
  <c r="DX123" i="6" s="1"/>
  <c r="P127" i="4"/>
  <c r="EU121" i="6"/>
  <c r="Q127" i="5"/>
  <c r="S127" i="5" s="1"/>
  <c r="L117" i="5" l="1"/>
  <c r="M117" i="5" s="1"/>
  <c r="BV123" i="6"/>
  <c r="P129" i="5"/>
  <c r="R129" i="5" s="1"/>
  <c r="Q118" i="5"/>
  <c r="S118" i="5" s="1"/>
  <c r="O118" i="4"/>
  <c r="BW112" i="6"/>
  <c r="EU112" i="6"/>
  <c r="M130" i="4"/>
  <c r="BP124" i="6"/>
  <c r="BR124" i="6" s="1"/>
  <c r="DX124" i="6" s="1"/>
  <c r="W141" i="5"/>
  <c r="DW135" i="6"/>
  <c r="DX135" i="6"/>
  <c r="J126" i="5"/>
  <c r="K126" i="5" s="1"/>
  <c r="DW124" i="6"/>
  <c r="BU124" i="6" s="1"/>
  <c r="DI120" i="6"/>
  <c r="ER136" i="6"/>
  <c r="ES136" i="6"/>
  <c r="EV136" i="6"/>
  <c r="EW136" i="6" s="1"/>
  <c r="U142" i="5"/>
  <c r="CB125" i="6"/>
  <c r="X126" i="6" s="1"/>
  <c r="BF125" i="6"/>
  <c r="BK125" i="6" s="1"/>
  <c r="BQ125" i="6" s="1"/>
  <c r="BA125" i="6"/>
  <c r="CG207" i="6"/>
  <c r="AC208" i="6" s="1"/>
  <c r="F127" i="5"/>
  <c r="I127" i="5" s="1"/>
  <c r="Q127" i="4"/>
  <c r="S127" i="4" s="1"/>
  <c r="EQ137" i="6"/>
  <c r="ET137" i="6"/>
  <c r="EP138" i="6" s="1"/>
  <c r="P128" i="4"/>
  <c r="Q128" i="5"/>
  <c r="S128" i="5" s="1"/>
  <c r="EU122" i="6"/>
  <c r="FD206" i="6"/>
  <c r="V141" i="5"/>
  <c r="DV135" i="6"/>
  <c r="CU206" i="6"/>
  <c r="AQ207" i="6" s="1"/>
  <c r="CT206" i="6"/>
  <c r="AP207" i="6" s="1"/>
  <c r="O129" i="4"/>
  <c r="E129" i="5" s="1"/>
  <c r="BW123" i="6"/>
  <c r="W105" i="6"/>
  <c r="CA105" i="6" s="1"/>
  <c r="V105" i="6"/>
  <c r="BZ105" i="6" s="1"/>
  <c r="V106" i="6" s="1"/>
  <c r="BZ106" i="6" s="1"/>
  <c r="V107" i="6" s="1"/>
  <c r="BZ107" i="6" s="1"/>
  <c r="V108" i="6" s="1"/>
  <c r="BZ108" i="6" s="1"/>
  <c r="V109" i="6" s="1"/>
  <c r="BZ109" i="6" s="1"/>
  <c r="V110" i="6" s="1"/>
  <c r="BZ110" i="6" s="1"/>
  <c r="V111" i="6" s="1"/>
  <c r="BZ111" i="6" s="1"/>
  <c r="V112" i="6" s="1"/>
  <c r="BZ112" i="6" s="1"/>
  <c r="V113" i="6" s="1"/>
  <c r="BZ113" i="6" s="1"/>
  <c r="V114" i="6" s="1"/>
  <c r="BZ114" i="6" s="1"/>
  <c r="V115" i="6" s="1"/>
  <c r="BZ115" i="6" s="1"/>
  <c r="V116" i="6" s="1"/>
  <c r="BZ116" i="6" s="1"/>
  <c r="V117" i="6" s="1"/>
  <c r="BZ117" i="6" s="1"/>
  <c r="V118" i="6" s="1"/>
  <c r="BZ118" i="6" s="1"/>
  <c r="V119" i="6" s="1"/>
  <c r="BZ119" i="6" s="1"/>
  <c r="V120" i="6" s="1"/>
  <c r="BZ120" i="6" s="1"/>
  <c r="V121" i="6" s="1"/>
  <c r="BZ121" i="6" s="1"/>
  <c r="V122" i="6" s="1"/>
  <c r="BZ122" i="6" s="1"/>
  <c r="V123" i="6" s="1"/>
  <c r="BZ123" i="6" s="1"/>
  <c r="V124" i="6" s="1"/>
  <c r="BZ124" i="6" s="1"/>
  <c r="V125" i="6" s="1"/>
  <c r="BZ125" i="6" s="1"/>
  <c r="V126" i="6" s="1"/>
  <c r="BZ126" i="6" s="1"/>
  <c r="V127" i="6" s="1"/>
  <c r="BZ127" i="6" s="1"/>
  <c r="V128" i="6" s="1"/>
  <c r="BZ128" i="6" s="1"/>
  <c r="V129" i="6" s="1"/>
  <c r="BZ129" i="6" s="1"/>
  <c r="V130" i="6" s="1"/>
  <c r="BZ130" i="6" s="1"/>
  <c r="V131" i="6" s="1"/>
  <c r="BZ131" i="6" s="1"/>
  <c r="V132" i="6" s="1"/>
  <c r="BZ132" i="6" s="1"/>
  <c r="V133" i="6" s="1"/>
  <c r="BZ133" i="6" s="1"/>
  <c r="V134" i="6" s="1"/>
  <c r="BZ134" i="6" s="1"/>
  <c r="V135" i="6" s="1"/>
  <c r="BZ135" i="6" s="1"/>
  <c r="V136" i="6" s="1"/>
  <c r="BZ136" i="6" s="1"/>
  <c r="V137" i="6" s="1"/>
  <c r="BZ137" i="6" s="1"/>
  <c r="V138" i="6" s="1"/>
  <c r="BZ138" i="6" s="1"/>
  <c r="V139" i="6" s="1"/>
  <c r="BZ139" i="6" s="1"/>
  <c r="V140" i="6" s="1"/>
  <c r="BZ140" i="6" s="1"/>
  <c r="V141" i="6" s="1"/>
  <c r="BZ141" i="6" s="1"/>
  <c r="V142" i="6" s="1"/>
  <c r="BZ142" i="6" s="1"/>
  <c r="V143" i="6" s="1"/>
  <c r="BZ143" i="6" s="1"/>
  <c r="V144" i="6" s="1"/>
  <c r="BZ144" i="6" s="1"/>
  <c r="V145" i="6" s="1"/>
  <c r="BZ145" i="6" s="1"/>
  <c r="V146" i="6" s="1"/>
  <c r="BZ146" i="6" s="1"/>
  <c r="V147" i="6" s="1"/>
  <c r="BZ147" i="6" s="1"/>
  <c r="V148" i="6" s="1"/>
  <c r="BZ148" i="6" s="1"/>
  <c r="V149" i="6" s="1"/>
  <c r="BZ149" i="6" s="1"/>
  <c r="V150" i="6" s="1"/>
  <c r="BZ150" i="6" s="1"/>
  <c r="V151" i="6" s="1"/>
  <c r="BZ151" i="6" s="1"/>
  <c r="V152" i="6" s="1"/>
  <c r="BZ152" i="6" s="1"/>
  <c r="V153" i="6" s="1"/>
  <c r="BZ153" i="6" s="1"/>
  <c r="V154" i="6" s="1"/>
  <c r="BZ154" i="6" s="1"/>
  <c r="V155" i="6" s="1"/>
  <c r="BZ155" i="6" s="1"/>
  <c r="V156" i="6" s="1"/>
  <c r="BZ156" i="6" s="1"/>
  <c r="V157" i="6" s="1"/>
  <c r="BZ157" i="6" s="1"/>
  <c r="V158" i="6" s="1"/>
  <c r="BZ158" i="6" s="1"/>
  <c r="V159" i="6" s="1"/>
  <c r="BZ159" i="6" s="1"/>
  <c r="V160" i="6" s="1"/>
  <c r="BZ160" i="6" s="1"/>
  <c r="V161" i="6" s="1"/>
  <c r="BZ161" i="6" s="1"/>
  <c r="V162" i="6" s="1"/>
  <c r="BZ162" i="6" s="1"/>
  <c r="V163" i="6" s="1"/>
  <c r="BZ163" i="6" s="1"/>
  <c r="V164" i="6" s="1"/>
  <c r="BZ164" i="6" s="1"/>
  <c r="V165" i="6" s="1"/>
  <c r="BZ165" i="6" s="1"/>
  <c r="V166" i="6" s="1"/>
  <c r="BZ166" i="6" s="1"/>
  <c r="V167" i="6" s="1"/>
  <c r="BZ167" i="6" s="1"/>
  <c r="V168" i="6" s="1"/>
  <c r="BZ168" i="6" s="1"/>
  <c r="V169" i="6" s="1"/>
  <c r="BZ169" i="6" s="1"/>
  <c r="V170" i="6" s="1"/>
  <c r="BZ170" i="6" s="1"/>
  <c r="V171" i="6" s="1"/>
  <c r="BZ171" i="6" s="1"/>
  <c r="V172" i="6" s="1"/>
  <c r="BZ172" i="6" s="1"/>
  <c r="V173" i="6" s="1"/>
  <c r="BZ173" i="6" s="1"/>
  <c r="V174" i="6" s="1"/>
  <c r="BZ174" i="6" s="1"/>
  <c r="V175" i="6" s="1"/>
  <c r="BZ175" i="6" s="1"/>
  <c r="V176" i="6" s="1"/>
  <c r="BZ176" i="6" s="1"/>
  <c r="V177" i="6" s="1"/>
  <c r="BZ177" i="6" s="1"/>
  <c r="V178" i="6" s="1"/>
  <c r="BZ178" i="6" s="1"/>
  <c r="V179" i="6" s="1"/>
  <c r="BZ179" i="6" s="1"/>
  <c r="V180" i="6" s="1"/>
  <c r="BZ180" i="6" s="1"/>
  <c r="V181" i="6" s="1"/>
  <c r="BZ181" i="6" s="1"/>
  <c r="V182" i="6" s="1"/>
  <c r="BZ182" i="6" s="1"/>
  <c r="V183" i="6" s="1"/>
  <c r="BZ183" i="6" s="1"/>
  <c r="V184" i="6" s="1"/>
  <c r="BZ184" i="6" s="1"/>
  <c r="V185" i="6" s="1"/>
  <c r="BZ185" i="6" s="1"/>
  <c r="V186" i="6" s="1"/>
  <c r="BZ186" i="6" s="1"/>
  <c r="V187" i="6" s="1"/>
  <c r="BZ187" i="6" s="1"/>
  <c r="V188" i="6" s="1"/>
  <c r="BZ188" i="6" s="1"/>
  <c r="V189" i="6" s="1"/>
  <c r="BZ189" i="6" s="1"/>
  <c r="V190" i="6" s="1"/>
  <c r="BZ190" i="6" s="1"/>
  <c r="V191" i="6" s="1"/>
  <c r="BZ191" i="6" s="1"/>
  <c r="V192" i="6" s="1"/>
  <c r="BZ192" i="6" s="1"/>
  <c r="V193" i="6" s="1"/>
  <c r="BZ193" i="6" s="1"/>
  <c r="V194" i="6" s="1"/>
  <c r="BZ194" i="6" s="1"/>
  <c r="V195" i="6" s="1"/>
  <c r="BZ195" i="6" s="1"/>
  <c r="V196" i="6" s="1"/>
  <c r="BZ196" i="6" s="1"/>
  <c r="V197" i="6" s="1"/>
  <c r="BZ197" i="6" s="1"/>
  <c r="V198" i="6" s="1"/>
  <c r="BZ198" i="6" s="1"/>
  <c r="V199" i="6" s="1"/>
  <c r="BZ199" i="6" s="1"/>
  <c r="V200" i="6" s="1"/>
  <c r="BZ200" i="6" s="1"/>
  <c r="V201" i="6" s="1"/>
  <c r="BZ201" i="6" s="1"/>
  <c r="V202" i="6" s="1"/>
  <c r="BZ202" i="6" s="1"/>
  <c r="V203" i="6" s="1"/>
  <c r="BZ203" i="6" s="1"/>
  <c r="V204" i="6" s="1"/>
  <c r="BZ204" i="6" s="1"/>
  <c r="V205" i="6" s="1"/>
  <c r="BZ205" i="6" s="1"/>
  <c r="U105" i="6"/>
  <c r="BV124" i="6" l="1"/>
  <c r="P130" i="5"/>
  <c r="R130" i="5" s="1"/>
  <c r="T111" i="4"/>
  <c r="BY105" i="6"/>
  <c r="DW125" i="6"/>
  <c r="DX136" i="6"/>
  <c r="DW136" i="6"/>
  <c r="W142" i="5"/>
  <c r="CB126" i="6"/>
  <c r="X127" i="6" s="1"/>
  <c r="BF126" i="6"/>
  <c r="BK126" i="6" s="1"/>
  <c r="BQ126" i="6" s="1"/>
  <c r="BA126" i="6"/>
  <c r="V142" i="5"/>
  <c r="DV136" i="6"/>
  <c r="EV137" i="6"/>
  <c r="EW137" i="6" s="1"/>
  <c r="ES137" i="6"/>
  <c r="ER137" i="6"/>
  <c r="U143" i="5"/>
  <c r="BD120" i="6"/>
  <c r="DR120" i="6"/>
  <c r="DV120" i="6"/>
  <c r="F128" i="5"/>
  <c r="I128" i="5" s="1"/>
  <c r="Q128" i="4"/>
  <c r="S128" i="4" s="1"/>
  <c r="E118" i="5"/>
  <c r="I118" i="5" s="1"/>
  <c r="Q118" i="4"/>
  <c r="S118" i="4" s="1"/>
  <c r="J127" i="5"/>
  <c r="K127" i="5" s="1"/>
  <c r="ET138" i="6"/>
  <c r="EP139" i="6" s="1"/>
  <c r="EQ138" i="6"/>
  <c r="BW124" i="6"/>
  <c r="O130" i="4"/>
  <c r="E130" i="5" s="1"/>
  <c r="CT207" i="6"/>
  <c r="AP208" i="6" s="1"/>
  <c r="CU207" i="6"/>
  <c r="AQ208" i="6" s="1"/>
  <c r="FD207" i="6"/>
  <c r="V206" i="6"/>
  <c r="BZ206" i="6" s="1"/>
  <c r="CG208" i="6"/>
  <c r="AC209" i="6" s="1"/>
  <c r="M131" i="4"/>
  <c r="BP125" i="6"/>
  <c r="BR125" i="6" s="1"/>
  <c r="DX125" i="6" s="1"/>
  <c r="BV125" i="6" s="1"/>
  <c r="P131" i="4" s="1"/>
  <c r="F131" i="5" s="1"/>
  <c r="L126" i="5"/>
  <c r="M126" i="5" s="1"/>
  <c r="Q129" i="5"/>
  <c r="S129" i="5" s="1"/>
  <c r="P129" i="4"/>
  <c r="EU123" i="6"/>
  <c r="L127" i="5" l="1"/>
  <c r="M127" i="5" s="1"/>
  <c r="M132" i="4"/>
  <c r="BP126" i="6"/>
  <c r="V207" i="6"/>
  <c r="BZ207" i="6" s="1"/>
  <c r="FD208" i="6"/>
  <c r="J128" i="5"/>
  <c r="K128" i="5" s="1"/>
  <c r="DW126" i="6"/>
  <c r="BU126" i="6" s="1"/>
  <c r="BR126" i="6"/>
  <c r="DX126" i="6" s="1"/>
  <c r="BF127" i="6"/>
  <c r="BK127" i="6" s="1"/>
  <c r="BQ127" i="6" s="1"/>
  <c r="CB127" i="6"/>
  <c r="X128" i="6" s="1"/>
  <c r="BA127" i="6"/>
  <c r="Q129" i="4"/>
  <c r="S129" i="4" s="1"/>
  <c r="F129" i="5"/>
  <c r="I129" i="5" s="1"/>
  <c r="DO120" i="6"/>
  <c r="DK121" i="6" s="1"/>
  <c r="DQ120" i="6"/>
  <c r="DM121" i="6" s="1"/>
  <c r="DN120" i="6"/>
  <c r="DJ121" i="6" s="1"/>
  <c r="DP120" i="6"/>
  <c r="DL121" i="6" s="1"/>
  <c r="CT208" i="6"/>
  <c r="AP209" i="6" s="1"/>
  <c r="CU208" i="6"/>
  <c r="AQ209" i="6" s="1"/>
  <c r="EQ139" i="6"/>
  <c r="ET139" i="6"/>
  <c r="EP140" i="6" s="1"/>
  <c r="V143" i="5"/>
  <c r="DV137" i="6"/>
  <c r="P131" i="5"/>
  <c r="R131" i="5" s="1"/>
  <c r="BU125" i="6"/>
  <c r="W143" i="5"/>
  <c r="DW137" i="6"/>
  <c r="DX137" i="6"/>
  <c r="U106" i="6"/>
  <c r="W106" i="6"/>
  <c r="CA106" i="6" s="1"/>
  <c r="EV138" i="6"/>
  <c r="EW138" i="6" s="1"/>
  <c r="ES138" i="6"/>
  <c r="ER138" i="6"/>
  <c r="U144" i="5"/>
  <c r="CG209" i="6"/>
  <c r="AC210" i="6" s="1"/>
  <c r="J118" i="5"/>
  <c r="K118" i="5" s="1"/>
  <c r="Q130" i="5"/>
  <c r="S130" i="5" s="1"/>
  <c r="P130" i="4"/>
  <c r="EU124" i="6"/>
  <c r="CB128" i="6" l="1"/>
  <c r="X129" i="6" s="1"/>
  <c r="BF128" i="6"/>
  <c r="BK128" i="6" s="1"/>
  <c r="BQ128" i="6" s="1"/>
  <c r="BA128" i="6"/>
  <c r="V144" i="5"/>
  <c r="DV138" i="6"/>
  <c r="ET140" i="6"/>
  <c r="EP141" i="6" s="1"/>
  <c r="EQ140" i="6"/>
  <c r="DW127" i="6"/>
  <c r="BV126" i="6"/>
  <c r="P132" i="5"/>
  <c r="R132" i="5" s="1"/>
  <c r="CT209" i="6"/>
  <c r="AP210" i="6" s="1"/>
  <c r="CU209" i="6"/>
  <c r="AQ210" i="6" s="1"/>
  <c r="O132" i="4"/>
  <c r="E132" i="5" s="1"/>
  <c r="L128" i="5"/>
  <c r="M128" i="5" s="1"/>
  <c r="DI121" i="6"/>
  <c r="FD209" i="6"/>
  <c r="V208" i="6"/>
  <c r="BZ208" i="6" s="1"/>
  <c r="O131" i="4"/>
  <c r="Q131" i="5"/>
  <c r="S131" i="5" s="1"/>
  <c r="EU125" i="6"/>
  <c r="BW125" i="6"/>
  <c r="J129" i="5"/>
  <c r="K129" i="5" s="1"/>
  <c r="DX138" i="6"/>
  <c r="W144" i="5"/>
  <c r="DW138" i="6"/>
  <c r="T112" i="4"/>
  <c r="BY106" i="6"/>
  <c r="F130" i="5"/>
  <c r="I130" i="5" s="1"/>
  <c r="Q130" i="4"/>
  <c r="S130" i="4" s="1"/>
  <c r="L118" i="5"/>
  <c r="M118" i="5" s="1"/>
  <c r="EV139" i="6"/>
  <c r="EW139" i="6" s="1"/>
  <c r="ES139" i="6"/>
  <c r="ER139" i="6"/>
  <c r="U145" i="5"/>
  <c r="CG210" i="6"/>
  <c r="AC211" i="6" s="1"/>
  <c r="M133" i="4"/>
  <c r="BP127" i="6"/>
  <c r="BR127" i="6" s="1"/>
  <c r="DX127" i="6" s="1"/>
  <c r="BV127" i="6" s="1"/>
  <c r="P133" i="4" s="1"/>
  <c r="F133" i="5" s="1"/>
  <c r="P132" i="4" l="1"/>
  <c r="Q132" i="5"/>
  <c r="S132" i="5" s="1"/>
  <c r="EU126" i="6"/>
  <c r="V209" i="6"/>
  <c r="BZ209" i="6" s="1"/>
  <c r="FD210" i="6"/>
  <c r="CG211" i="6"/>
  <c r="AC212" i="6" s="1"/>
  <c r="P133" i="5"/>
  <c r="R133" i="5" s="1"/>
  <c r="BU127" i="6"/>
  <c r="L129" i="5"/>
  <c r="M129" i="5" s="1"/>
  <c r="DR121" i="6"/>
  <c r="BD121" i="6"/>
  <c r="DV121" i="6"/>
  <c r="EV140" i="6"/>
  <c r="EW140" i="6" s="1"/>
  <c r="ES140" i="6"/>
  <c r="ER140" i="6"/>
  <c r="U146" i="5"/>
  <c r="ET141" i="6"/>
  <c r="EP142" i="6" s="1"/>
  <c r="EQ141" i="6"/>
  <c r="W107" i="6"/>
  <c r="CA107" i="6" s="1"/>
  <c r="U107" i="6"/>
  <c r="V145" i="5"/>
  <c r="DV139" i="6"/>
  <c r="W145" i="5"/>
  <c r="DX139" i="6"/>
  <c r="DW139" i="6"/>
  <c r="M134" i="4"/>
  <c r="BP128" i="6"/>
  <c r="E131" i="5"/>
  <c r="I131" i="5" s="1"/>
  <c r="Q131" i="4"/>
  <c r="S131" i="4" s="1"/>
  <c r="BW126" i="6"/>
  <c r="DW128" i="6"/>
  <c r="BU128" i="6" s="1"/>
  <c r="BR128" i="6"/>
  <c r="DX128" i="6" s="1"/>
  <c r="J130" i="5"/>
  <c r="K130" i="5" s="1"/>
  <c r="CU210" i="6"/>
  <c r="AQ211" i="6" s="1"/>
  <c r="CT210" i="6"/>
  <c r="AP211" i="6" s="1"/>
  <c r="CB129" i="6"/>
  <c r="X130" i="6" s="1"/>
  <c r="BF129" i="6"/>
  <c r="BK129" i="6" s="1"/>
  <c r="BQ129" i="6" s="1"/>
  <c r="BA129" i="6"/>
  <c r="BV128" i="6" l="1"/>
  <c r="P134" i="5"/>
  <c r="R134" i="5" s="1"/>
  <c r="BW127" i="6"/>
  <c r="O133" i="4"/>
  <c r="Q133" i="5"/>
  <c r="S133" i="5" s="1"/>
  <c r="EU127" i="6"/>
  <c r="ET142" i="6"/>
  <c r="EP143" i="6" s="1"/>
  <c r="EQ142" i="6"/>
  <c r="T113" i="4"/>
  <c r="BY107" i="6"/>
  <c r="EV141" i="6"/>
  <c r="EW141" i="6" s="1"/>
  <c r="ER141" i="6"/>
  <c r="ES141" i="6"/>
  <c r="U147" i="5"/>
  <c r="J131" i="5"/>
  <c r="K131" i="5" s="1"/>
  <c r="CG212" i="6"/>
  <c r="AC213" i="6" s="1"/>
  <c r="DW129" i="6"/>
  <c r="BU129" i="6" s="1"/>
  <c r="W146" i="5"/>
  <c r="DX140" i="6"/>
  <c r="DW140" i="6"/>
  <c r="CB130" i="6"/>
  <c r="X131" i="6" s="1"/>
  <c r="BF130" i="6"/>
  <c r="M135" i="4"/>
  <c r="BP129" i="6"/>
  <c r="BR129" i="6" s="1"/>
  <c r="DX129" i="6" s="1"/>
  <c r="V146" i="5"/>
  <c r="DV140" i="6"/>
  <c r="V210" i="6"/>
  <c r="BZ210" i="6" s="1"/>
  <c r="FD211" i="6"/>
  <c r="BW128" i="6"/>
  <c r="O134" i="4"/>
  <c r="E134" i="5" s="1"/>
  <c r="CU211" i="6"/>
  <c r="AQ212" i="6" s="1"/>
  <c r="CT211" i="6"/>
  <c r="AP212" i="6" s="1"/>
  <c r="L130" i="5"/>
  <c r="M130" i="5" s="1"/>
  <c r="DO121" i="6"/>
  <c r="DK122" i="6" s="1"/>
  <c r="DP121" i="6"/>
  <c r="DL122" i="6" s="1"/>
  <c r="DN121" i="6"/>
  <c r="DJ122" i="6" s="1"/>
  <c r="DQ121" i="6"/>
  <c r="DM122" i="6" s="1"/>
  <c r="F132" i="5"/>
  <c r="I132" i="5" s="1"/>
  <c r="Q132" i="4"/>
  <c r="S132" i="4" s="1"/>
  <c r="BV129" i="6" l="1"/>
  <c r="BW129" i="6" s="1"/>
  <c r="P135" i="5"/>
  <c r="R135" i="5" s="1"/>
  <c r="CU212" i="6"/>
  <c r="AQ213" i="6" s="1"/>
  <c r="CT212" i="6"/>
  <c r="AP213" i="6" s="1"/>
  <c r="CB131" i="6"/>
  <c r="X132" i="6" s="1"/>
  <c r="BF131" i="6"/>
  <c r="V147" i="5"/>
  <c r="DV141" i="6"/>
  <c r="V211" i="6"/>
  <c r="BZ211" i="6" s="1"/>
  <c r="FD212" i="6"/>
  <c r="ES142" i="6"/>
  <c r="ER142" i="6"/>
  <c r="EV142" i="6"/>
  <c r="EW142" i="6" s="1"/>
  <c r="U148" i="5"/>
  <c r="O135" i="4"/>
  <c r="E135" i="5" s="1"/>
  <c r="EQ143" i="6"/>
  <c r="ET143" i="6"/>
  <c r="EP144" i="6" s="1"/>
  <c r="U108" i="6"/>
  <c r="W108" i="6"/>
  <c r="CA108" i="6" s="1"/>
  <c r="J132" i="5"/>
  <c r="K132" i="5" s="1"/>
  <c r="CG213" i="6"/>
  <c r="AC214" i="6" s="1"/>
  <c r="L131" i="5"/>
  <c r="M131" i="5" s="1"/>
  <c r="E133" i="5"/>
  <c r="I133" i="5" s="1"/>
  <c r="Q133" i="4"/>
  <c r="S133" i="4" s="1"/>
  <c r="DI122" i="6"/>
  <c r="W147" i="5"/>
  <c r="DX141" i="6"/>
  <c r="DW141" i="6"/>
  <c r="P134" i="4"/>
  <c r="Q134" i="5"/>
  <c r="S134" i="5" s="1"/>
  <c r="EU128" i="6"/>
  <c r="L132" i="5" l="1"/>
  <c r="M132" i="5" s="1"/>
  <c r="FD213" i="6"/>
  <c r="V212" i="6"/>
  <c r="BZ212" i="6" s="1"/>
  <c r="BD122" i="6"/>
  <c r="DR122" i="6"/>
  <c r="DV122" i="6"/>
  <c r="T114" i="4"/>
  <c r="BY108" i="6"/>
  <c r="ET144" i="6"/>
  <c r="EP145" i="6" s="1"/>
  <c r="EQ144" i="6"/>
  <c r="J133" i="5"/>
  <c r="K133" i="5" s="1"/>
  <c r="CB132" i="6"/>
  <c r="X133" i="6" s="1"/>
  <c r="BF132" i="6"/>
  <c r="EV143" i="6"/>
  <c r="EW143" i="6" s="1"/>
  <c r="ES143" i="6"/>
  <c r="ER143" i="6"/>
  <c r="U149" i="5"/>
  <c r="CT213" i="6"/>
  <c r="AP214" i="6" s="1"/>
  <c r="CU213" i="6"/>
  <c r="AQ214" i="6" s="1"/>
  <c r="CG214" i="6"/>
  <c r="AC215" i="6" s="1"/>
  <c r="V148" i="5"/>
  <c r="DV142" i="6"/>
  <c r="Q134" i="4"/>
  <c r="S134" i="4" s="1"/>
  <c r="F134" i="5"/>
  <c r="I134" i="5" s="1"/>
  <c r="W148" i="5"/>
  <c r="DX142" i="6"/>
  <c r="DW142" i="6"/>
  <c r="P135" i="4"/>
  <c r="Q135" i="5"/>
  <c r="S135" i="5" s="1"/>
  <c r="EU129" i="6"/>
  <c r="CU214" i="6" l="1"/>
  <c r="AQ215" i="6" s="1"/>
  <c r="CT214" i="6"/>
  <c r="AP215" i="6" s="1"/>
  <c r="W109" i="6"/>
  <c r="CA109" i="6" s="1"/>
  <c r="U109" i="6"/>
  <c r="ET145" i="6"/>
  <c r="EP146" i="6" s="1"/>
  <c r="EQ145" i="6"/>
  <c r="Q135" i="4"/>
  <c r="S135" i="4" s="1"/>
  <c r="F135" i="5"/>
  <c r="I135" i="5" s="1"/>
  <c r="V149" i="5"/>
  <c r="DV143" i="6"/>
  <c r="DQ122" i="6"/>
  <c r="DM123" i="6" s="1"/>
  <c r="DP122" i="6"/>
  <c r="DL123" i="6" s="1"/>
  <c r="DO122" i="6"/>
  <c r="DK123" i="6" s="1"/>
  <c r="DN122" i="6"/>
  <c r="DJ123" i="6" s="1"/>
  <c r="J134" i="5"/>
  <c r="K134" i="5" s="1"/>
  <c r="EV144" i="6"/>
  <c r="EW144" i="6" s="1"/>
  <c r="ER144" i="6"/>
  <c r="ES144" i="6"/>
  <c r="U150" i="5"/>
  <c r="CB133" i="6"/>
  <c r="X134" i="6" s="1"/>
  <c r="BF133" i="6"/>
  <c r="CG215" i="6"/>
  <c r="AC216" i="6" s="1"/>
  <c r="W149" i="5"/>
  <c r="DX143" i="6"/>
  <c r="DW143" i="6"/>
  <c r="L133" i="5"/>
  <c r="M133" i="5" s="1"/>
  <c r="V213" i="6"/>
  <c r="BZ213" i="6" s="1"/>
  <c r="FD214" i="6"/>
  <c r="CB134" i="6" l="1"/>
  <c r="X135" i="6" s="1"/>
  <c r="BF134" i="6"/>
  <c r="J135" i="5"/>
  <c r="K135" i="5" s="1"/>
  <c r="V214" i="6"/>
  <c r="BZ214" i="6" s="1"/>
  <c r="FD215" i="6"/>
  <c r="V150" i="5"/>
  <c r="DV144" i="6"/>
  <c r="EV145" i="6"/>
  <c r="EW145" i="6" s="1"/>
  <c r="ES145" i="6"/>
  <c r="ER145" i="6"/>
  <c r="U151" i="5"/>
  <c r="CG216" i="6"/>
  <c r="AC217" i="6" s="1"/>
  <c r="W150" i="5"/>
  <c r="DX144" i="6"/>
  <c r="DW144" i="6"/>
  <c r="ET146" i="6"/>
  <c r="EP147" i="6" s="1"/>
  <c r="EQ146" i="6"/>
  <c r="L134" i="5"/>
  <c r="M134" i="5" s="1"/>
  <c r="T115" i="4"/>
  <c r="BY109" i="6"/>
  <c r="DI123" i="6"/>
  <c r="CU215" i="6"/>
  <c r="AQ216" i="6" s="1"/>
  <c r="CT215" i="6"/>
  <c r="AP216" i="6" s="1"/>
  <c r="ES146" i="6" l="1"/>
  <c r="EV146" i="6"/>
  <c r="EW146" i="6" s="1"/>
  <c r="ER146" i="6"/>
  <c r="U152" i="5"/>
  <c r="V215" i="6"/>
  <c r="BZ215" i="6" s="1"/>
  <c r="FD216" i="6"/>
  <c r="EQ147" i="6"/>
  <c r="ET147" i="6"/>
  <c r="EP148" i="6" s="1"/>
  <c r="CU216" i="6"/>
  <c r="AQ217" i="6" s="1"/>
  <c r="CT216" i="6"/>
  <c r="AP217" i="6" s="1"/>
  <c r="CG217" i="6"/>
  <c r="AC218" i="6" s="1"/>
  <c r="L135" i="5"/>
  <c r="M135" i="5" s="1"/>
  <c r="BD123" i="6"/>
  <c r="BC123" i="6"/>
  <c r="DR123" i="6"/>
  <c r="DV123" i="6"/>
  <c r="V151" i="5"/>
  <c r="DV145" i="6"/>
  <c r="W110" i="6"/>
  <c r="CA110" i="6" s="1"/>
  <c r="U110" i="6"/>
  <c r="W151" i="5"/>
  <c r="DX145" i="6"/>
  <c r="DW145" i="6"/>
  <c r="CB135" i="6"/>
  <c r="X136" i="6" s="1"/>
  <c r="BF135" i="6"/>
  <c r="ET148" i="6" l="1"/>
  <c r="EP149" i="6" s="1"/>
  <c r="EQ148" i="6"/>
  <c r="EV147" i="6"/>
  <c r="EW147" i="6" s="1"/>
  <c r="ER147" i="6"/>
  <c r="ES147" i="6"/>
  <c r="U153" i="5"/>
  <c r="CU217" i="6"/>
  <c r="AQ218" i="6" s="1"/>
  <c r="CT217" i="6"/>
  <c r="AP218" i="6" s="1"/>
  <c r="V216" i="6"/>
  <c r="BZ216" i="6" s="1"/>
  <c r="FD217" i="6"/>
  <c r="DQ123" i="6"/>
  <c r="DM124" i="6" s="1"/>
  <c r="DN123" i="6"/>
  <c r="DJ124" i="6" s="1"/>
  <c r="DO123" i="6"/>
  <c r="DK124" i="6" s="1"/>
  <c r="DP123" i="6"/>
  <c r="DL124" i="6" s="1"/>
  <c r="T116" i="4"/>
  <c r="BY110" i="6"/>
  <c r="V152" i="5"/>
  <c r="DV146" i="6"/>
  <c r="CB136" i="6"/>
  <c r="X137" i="6" s="1"/>
  <c r="BF136" i="6"/>
  <c r="CG218" i="6"/>
  <c r="AC219" i="6" s="1"/>
  <c r="W152" i="5"/>
  <c r="DW146" i="6"/>
  <c r="DX146" i="6"/>
  <c r="W111" i="6" l="1"/>
  <c r="CA111" i="6" s="1"/>
  <c r="U111" i="6"/>
  <c r="CG219" i="6"/>
  <c r="AC220" i="6" s="1"/>
  <c r="FD218" i="6"/>
  <c r="V217" i="6"/>
  <c r="BZ217" i="6" s="1"/>
  <c r="CB137" i="6"/>
  <c r="X138" i="6" s="1"/>
  <c r="BF137" i="6"/>
  <c r="CU218" i="6"/>
  <c r="AQ219" i="6" s="1"/>
  <c r="CT218" i="6"/>
  <c r="AP219" i="6" s="1"/>
  <c r="W153" i="5"/>
  <c r="DW147" i="6"/>
  <c r="DX147" i="6"/>
  <c r="V153" i="5"/>
  <c r="DV147" i="6"/>
  <c r="DI124" i="6"/>
  <c r="EV148" i="6"/>
  <c r="EW148" i="6" s="1"/>
  <c r="ES148" i="6"/>
  <c r="ER148" i="6"/>
  <c r="U154" i="5"/>
  <c r="ET149" i="6"/>
  <c r="EP150" i="6" s="1"/>
  <c r="EQ149" i="6"/>
  <c r="V154" i="5" l="1"/>
  <c r="DV148" i="6"/>
  <c r="CB138" i="6"/>
  <c r="X139" i="6" s="1"/>
  <c r="BF138" i="6"/>
  <c r="W154" i="5"/>
  <c r="DW148" i="6"/>
  <c r="DX148" i="6"/>
  <c r="BD124" i="6"/>
  <c r="DR124" i="6"/>
  <c r="DV124" i="6"/>
  <c r="V218" i="6"/>
  <c r="BZ218" i="6" s="1"/>
  <c r="FD219" i="6"/>
  <c r="CT219" i="6"/>
  <c r="AP220" i="6" s="1"/>
  <c r="CU219" i="6"/>
  <c r="AQ220" i="6" s="1"/>
  <c r="CG220" i="6"/>
  <c r="AC221" i="6" s="1"/>
  <c r="EV149" i="6"/>
  <c r="EW149" i="6" s="1"/>
  <c r="ER149" i="6"/>
  <c r="ES149" i="6"/>
  <c r="U155" i="5"/>
  <c r="EQ150" i="6"/>
  <c r="ET150" i="6"/>
  <c r="EP151" i="6" s="1"/>
  <c r="T117" i="4"/>
  <c r="BY111" i="6"/>
  <c r="BC111" i="6"/>
  <c r="W155" i="5" l="1"/>
  <c r="DX149" i="6"/>
  <c r="DW149" i="6"/>
  <c r="DQ124" i="6"/>
  <c r="DM125" i="6" s="1"/>
  <c r="DP124" i="6"/>
  <c r="DL125" i="6" s="1"/>
  <c r="DO124" i="6"/>
  <c r="DK125" i="6" s="1"/>
  <c r="DN124" i="6"/>
  <c r="DJ125" i="6" s="1"/>
  <c r="ER150" i="6"/>
  <c r="EV150" i="6"/>
  <c r="EW150" i="6" s="1"/>
  <c r="ES150" i="6"/>
  <c r="U156" i="5"/>
  <c r="CG221" i="6"/>
  <c r="AC222" i="6" s="1"/>
  <c r="CU220" i="6"/>
  <c r="AQ221" i="6" s="1"/>
  <c r="CT220" i="6"/>
  <c r="AP221" i="6" s="1"/>
  <c r="V155" i="5"/>
  <c r="DV149" i="6"/>
  <c r="W112" i="6"/>
  <c r="CA112" i="6" s="1"/>
  <c r="U112" i="6"/>
  <c r="FD220" i="6"/>
  <c r="V219" i="6"/>
  <c r="BZ219" i="6" s="1"/>
  <c r="CB139" i="6"/>
  <c r="X140" i="6" s="1"/>
  <c r="BF139" i="6"/>
  <c r="ET151" i="6"/>
  <c r="EP152" i="6" s="1"/>
  <c r="EQ151" i="6"/>
  <c r="W156" i="5" l="1"/>
  <c r="DX150" i="6"/>
  <c r="DW150" i="6"/>
  <c r="V220" i="6"/>
  <c r="BZ220" i="6" s="1"/>
  <c r="FD221" i="6"/>
  <c r="V156" i="5"/>
  <c r="DV150" i="6"/>
  <c r="DI125" i="6"/>
  <c r="CG222" i="6"/>
  <c r="AC223" i="6" s="1"/>
  <c r="T118" i="4"/>
  <c r="BY112" i="6"/>
  <c r="EV151" i="6"/>
  <c r="EW151" i="6" s="1"/>
  <c r="ES151" i="6"/>
  <c r="ER151" i="6"/>
  <c r="U157" i="5"/>
  <c r="CT221" i="6"/>
  <c r="AP222" i="6" s="1"/>
  <c r="CU221" i="6"/>
  <c r="AQ222" i="6" s="1"/>
  <c r="CB140" i="6"/>
  <c r="X141" i="6" s="1"/>
  <c r="BF140" i="6"/>
  <c r="EQ152" i="6"/>
  <c r="ET152" i="6"/>
  <c r="EP153" i="6" s="1"/>
  <c r="CT222" i="6" l="1"/>
  <c r="AP223" i="6" s="1"/>
  <c r="CU222" i="6"/>
  <c r="AQ223" i="6" s="1"/>
  <c r="BC125" i="6"/>
  <c r="DR125" i="6"/>
  <c r="BD125" i="6"/>
  <c r="DV125" i="6"/>
  <c r="FD222" i="6"/>
  <c r="V221" i="6"/>
  <c r="BZ221" i="6" s="1"/>
  <c r="W113" i="6"/>
  <c r="CA113" i="6" s="1"/>
  <c r="U113" i="6"/>
  <c r="EQ153" i="6"/>
  <c r="ET153" i="6"/>
  <c r="EP154" i="6" s="1"/>
  <c r="CG223" i="6"/>
  <c r="AC224" i="6" s="1"/>
  <c r="V157" i="5"/>
  <c r="DV151" i="6"/>
  <c r="ES152" i="6"/>
  <c r="EV152" i="6"/>
  <c r="EW152" i="6" s="1"/>
  <c r="ER152" i="6"/>
  <c r="U158" i="5"/>
  <c r="W157" i="5"/>
  <c r="DX151" i="6"/>
  <c r="DW151" i="6"/>
  <c r="CB141" i="6"/>
  <c r="X142" i="6" s="1"/>
  <c r="BF141" i="6"/>
  <c r="T119" i="4" l="1"/>
  <c r="BY113" i="6"/>
  <c r="BC113" i="6"/>
  <c r="V158" i="5"/>
  <c r="DV152" i="6"/>
  <c r="DW152" i="6"/>
  <c r="W158" i="5"/>
  <c r="DX152" i="6"/>
  <c r="V222" i="6"/>
  <c r="BZ222" i="6" s="1"/>
  <c r="FD223" i="6"/>
  <c r="DP125" i="6"/>
  <c r="DL126" i="6" s="1"/>
  <c r="DQ125" i="6"/>
  <c r="DM126" i="6" s="1"/>
  <c r="DN125" i="6"/>
  <c r="DJ126" i="6" s="1"/>
  <c r="DO125" i="6"/>
  <c r="DK126" i="6" s="1"/>
  <c r="CB142" i="6"/>
  <c r="X143" i="6" s="1"/>
  <c r="BF142" i="6"/>
  <c r="CT223" i="6"/>
  <c r="AP224" i="6" s="1"/>
  <c r="CU223" i="6"/>
  <c r="AQ224" i="6" s="1"/>
  <c r="CG224" i="6"/>
  <c r="AC225" i="6" s="1"/>
  <c r="EQ154" i="6"/>
  <c r="ET154" i="6"/>
  <c r="EP155" i="6" s="1"/>
  <c r="EV153" i="6"/>
  <c r="EW153" i="6" s="1"/>
  <c r="ES153" i="6"/>
  <c r="ER153" i="6"/>
  <c r="U159" i="5"/>
  <c r="ET155" i="6" l="1"/>
  <c r="EP156" i="6" s="1"/>
  <c r="EQ155" i="6"/>
  <c r="CT224" i="6"/>
  <c r="AP225" i="6" s="1"/>
  <c r="CU224" i="6"/>
  <c r="AQ225" i="6" s="1"/>
  <c r="W159" i="5"/>
  <c r="DW153" i="6"/>
  <c r="DX153" i="6"/>
  <c r="CG225" i="6"/>
  <c r="AC226" i="6" s="1"/>
  <c r="V223" i="6"/>
  <c r="BZ223" i="6" s="1"/>
  <c r="FD224" i="6"/>
  <c r="ER154" i="6"/>
  <c r="ES154" i="6"/>
  <c r="EV154" i="6"/>
  <c r="EW154" i="6" s="1"/>
  <c r="U160" i="5"/>
  <c r="V159" i="5"/>
  <c r="DV153" i="6"/>
  <c r="CB143" i="6"/>
  <c r="X144" i="6" s="1"/>
  <c r="BF143" i="6"/>
  <c r="DI126" i="6"/>
  <c r="W114" i="6"/>
  <c r="CA114" i="6" s="1"/>
  <c r="U114" i="6"/>
  <c r="CG226" i="6" l="1"/>
  <c r="AC227" i="6" s="1"/>
  <c r="CT225" i="6"/>
  <c r="AP226" i="6" s="1"/>
  <c r="CU225" i="6"/>
  <c r="AQ226" i="6" s="1"/>
  <c r="W160" i="5"/>
  <c r="DX154" i="6"/>
  <c r="DW154" i="6"/>
  <c r="CB144" i="6"/>
  <c r="X145" i="6" s="1"/>
  <c r="BF144" i="6"/>
  <c r="T120" i="4"/>
  <c r="BY114" i="6"/>
  <c r="BC114" i="6"/>
  <c r="V160" i="5"/>
  <c r="DV154" i="6"/>
  <c r="V224" i="6"/>
  <c r="BZ224" i="6" s="1"/>
  <c r="FD225" i="6"/>
  <c r="EV155" i="6"/>
  <c r="EW155" i="6" s="1"/>
  <c r="ES155" i="6"/>
  <c r="ER155" i="6"/>
  <c r="U161" i="5"/>
  <c r="BD126" i="6"/>
  <c r="DR126" i="6"/>
  <c r="DV126" i="6"/>
  <c r="EQ156" i="6"/>
  <c r="ET156" i="6"/>
  <c r="EP157" i="6" s="1"/>
  <c r="U115" i="6" l="1"/>
  <c r="W115" i="6"/>
  <c r="CA115" i="6" s="1"/>
  <c r="V161" i="5"/>
  <c r="DV155" i="6"/>
  <c r="CB145" i="6"/>
  <c r="X146" i="6" s="1"/>
  <c r="BF145" i="6"/>
  <c r="V225" i="6"/>
  <c r="BZ225" i="6" s="1"/>
  <c r="FD226" i="6"/>
  <c r="W161" i="5"/>
  <c r="DW155" i="6"/>
  <c r="DX155" i="6"/>
  <c r="CT226" i="6"/>
  <c r="AP227" i="6" s="1"/>
  <c r="CU226" i="6"/>
  <c r="AQ227" i="6" s="1"/>
  <c r="ET157" i="6"/>
  <c r="EP158" i="6" s="1"/>
  <c r="EQ157" i="6"/>
  <c r="ES156" i="6"/>
  <c r="EV156" i="6"/>
  <c r="EW156" i="6" s="1"/>
  <c r="ER156" i="6"/>
  <c r="U162" i="5"/>
  <c r="DQ126" i="6"/>
  <c r="DM127" i="6" s="1"/>
  <c r="DP126" i="6"/>
  <c r="DL127" i="6" s="1"/>
  <c r="DN126" i="6"/>
  <c r="DJ127" i="6" s="1"/>
  <c r="DO126" i="6"/>
  <c r="DK127" i="6" s="1"/>
  <c r="CG227" i="6"/>
  <c r="AC228" i="6" s="1"/>
  <c r="V162" i="5" l="1"/>
  <c r="DV156" i="6"/>
  <c r="V226" i="6"/>
  <c r="BZ226" i="6" s="1"/>
  <c r="FD227" i="6"/>
  <c r="W162" i="5"/>
  <c r="DW156" i="6"/>
  <c r="DX156" i="6"/>
  <c r="EV157" i="6"/>
  <c r="EW157" i="6" s="1"/>
  <c r="ER157" i="6"/>
  <c r="ES157" i="6"/>
  <c r="U163" i="5"/>
  <c r="CB146" i="6"/>
  <c r="X147" i="6" s="1"/>
  <c r="BF146" i="6"/>
  <c r="CG228" i="6"/>
  <c r="AC229" i="6" s="1"/>
  <c r="EQ158" i="6"/>
  <c r="ET158" i="6"/>
  <c r="EP159" i="6" s="1"/>
  <c r="CU227" i="6"/>
  <c r="AQ228" i="6" s="1"/>
  <c r="CT227" i="6"/>
  <c r="AP228" i="6" s="1"/>
  <c r="DI127" i="6"/>
  <c r="T121" i="4"/>
  <c r="BY115" i="6"/>
  <c r="CT228" i="6" l="1"/>
  <c r="AP229" i="6" s="1"/>
  <c r="CU228" i="6"/>
  <c r="AQ229" i="6" s="1"/>
  <c r="CG229" i="6"/>
  <c r="AC230" i="6" s="1"/>
  <c r="V227" i="6"/>
  <c r="BZ227" i="6" s="1"/>
  <c r="FD228" i="6"/>
  <c r="ET159" i="6"/>
  <c r="EP160" i="6" s="1"/>
  <c r="EQ159" i="6"/>
  <c r="CB147" i="6"/>
  <c r="X148" i="6" s="1"/>
  <c r="BF147" i="6"/>
  <c r="EV158" i="6"/>
  <c r="EW158" i="6" s="1"/>
  <c r="ER158" i="6"/>
  <c r="ES158" i="6"/>
  <c r="U164" i="5"/>
  <c r="W116" i="6"/>
  <c r="CA116" i="6" s="1"/>
  <c r="U116" i="6"/>
  <c r="W163" i="5"/>
  <c r="DX157" i="6"/>
  <c r="DW157" i="6"/>
  <c r="BD127" i="6"/>
  <c r="BC127" i="6"/>
  <c r="DR127" i="6"/>
  <c r="DV127" i="6"/>
  <c r="V163" i="5"/>
  <c r="DV157" i="6"/>
  <c r="DP127" i="6" l="1"/>
  <c r="DL128" i="6" s="1"/>
  <c r="DO127" i="6"/>
  <c r="DK128" i="6" s="1"/>
  <c r="DQ127" i="6"/>
  <c r="DM128" i="6" s="1"/>
  <c r="DN127" i="6"/>
  <c r="DJ128" i="6" s="1"/>
  <c r="CB148" i="6"/>
  <c r="X149" i="6" s="1"/>
  <c r="BF148" i="6"/>
  <c r="EQ160" i="6"/>
  <c r="ET160" i="6"/>
  <c r="EP161" i="6" s="1"/>
  <c r="EV159" i="6"/>
  <c r="EW159" i="6" s="1"/>
  <c r="ES159" i="6"/>
  <c r="ER159" i="6"/>
  <c r="U165" i="5"/>
  <c r="V228" i="6"/>
  <c r="BZ228" i="6" s="1"/>
  <c r="FD229" i="6"/>
  <c r="T122" i="4"/>
  <c r="BY116" i="6"/>
  <c r="BC116" i="6"/>
  <c r="W164" i="5"/>
  <c r="DW158" i="6"/>
  <c r="DX158" i="6"/>
  <c r="CG230" i="6"/>
  <c r="AC231" i="6" s="1"/>
  <c r="CU229" i="6"/>
  <c r="AQ230" i="6" s="1"/>
  <c r="CT229" i="6"/>
  <c r="AP230" i="6" s="1"/>
  <c r="V164" i="5"/>
  <c r="DV158" i="6"/>
  <c r="CG231" i="6" l="1"/>
  <c r="AC232" i="6" s="1"/>
  <c r="V165" i="5"/>
  <c r="DV159" i="6"/>
  <c r="V229" i="6"/>
  <c r="BZ229" i="6" s="1"/>
  <c r="FD230" i="6"/>
  <c r="W165" i="5"/>
  <c r="DW159" i="6"/>
  <c r="DX159" i="6"/>
  <c r="CU230" i="6"/>
  <c r="AQ231" i="6" s="1"/>
  <c r="CT230" i="6"/>
  <c r="AP231" i="6" s="1"/>
  <c r="EQ161" i="6"/>
  <c r="ET161" i="6"/>
  <c r="EP162" i="6" s="1"/>
  <c r="ES160" i="6"/>
  <c r="EV160" i="6"/>
  <c r="EW160" i="6" s="1"/>
  <c r="ER160" i="6"/>
  <c r="U166" i="5"/>
  <c r="U117" i="6"/>
  <c r="W117" i="6"/>
  <c r="CA117" i="6" s="1"/>
  <c r="CB149" i="6"/>
  <c r="X150" i="6" s="1"/>
  <c r="BF149" i="6"/>
  <c r="DI128" i="6"/>
  <c r="CT231" i="6" l="1"/>
  <c r="AP232" i="6" s="1"/>
  <c r="CU231" i="6"/>
  <c r="AQ232" i="6" s="1"/>
  <c r="V166" i="5"/>
  <c r="DV160" i="6"/>
  <c r="CB150" i="6"/>
  <c r="X151" i="6" s="1"/>
  <c r="BF150" i="6"/>
  <c r="W166" i="5"/>
  <c r="DW160" i="6"/>
  <c r="DX160" i="6"/>
  <c r="T123" i="4"/>
  <c r="BY117" i="6"/>
  <c r="BC117" i="6"/>
  <c r="BD128" i="6"/>
  <c r="BC128" i="6"/>
  <c r="DR128" i="6"/>
  <c r="DV128" i="6"/>
  <c r="EV161" i="6"/>
  <c r="EW161" i="6" s="1"/>
  <c r="ER161" i="6"/>
  <c r="ES161" i="6"/>
  <c r="U167" i="5"/>
  <c r="V230" i="6"/>
  <c r="BZ230" i="6" s="1"/>
  <c r="FD231" i="6"/>
  <c r="ET162" i="6"/>
  <c r="EP163" i="6" s="1"/>
  <c r="EQ162" i="6"/>
  <c r="CG232" i="6"/>
  <c r="AC233" i="6" s="1"/>
  <c r="U118" i="6" l="1"/>
  <c r="W118" i="6"/>
  <c r="CA118" i="6" s="1"/>
  <c r="EV162" i="6"/>
  <c r="EW162" i="6" s="1"/>
  <c r="ER162" i="6"/>
  <c r="ES162" i="6"/>
  <c r="U168" i="5"/>
  <c r="W167" i="5"/>
  <c r="DW161" i="6"/>
  <c r="DX161" i="6"/>
  <c r="V167" i="5"/>
  <c r="DV161" i="6"/>
  <c r="CB151" i="6"/>
  <c r="X152" i="6" s="1"/>
  <c r="BF151" i="6"/>
  <c r="V231" i="6"/>
  <c r="BZ231" i="6" s="1"/>
  <c r="FD232" i="6"/>
  <c r="CG233" i="6"/>
  <c r="AC234" i="6" s="1"/>
  <c r="DQ128" i="6"/>
  <c r="DM129" i="6" s="1"/>
  <c r="DO128" i="6"/>
  <c r="DK129" i="6" s="1"/>
  <c r="DN128" i="6"/>
  <c r="DJ129" i="6" s="1"/>
  <c r="DP128" i="6"/>
  <c r="DL129" i="6" s="1"/>
  <c r="CU232" i="6"/>
  <c r="AQ233" i="6" s="1"/>
  <c r="CT232" i="6"/>
  <c r="AP233" i="6" s="1"/>
  <c r="EQ163" i="6"/>
  <c r="ET163" i="6"/>
  <c r="EP164" i="6" s="1"/>
  <c r="CB152" i="6" l="1"/>
  <c r="X153" i="6" s="1"/>
  <c r="BF152" i="6"/>
  <c r="DI129" i="6"/>
  <c r="CU233" i="6"/>
  <c r="AQ234" i="6" s="1"/>
  <c r="CT233" i="6"/>
  <c r="AP234" i="6" s="1"/>
  <c r="CG234" i="6"/>
  <c r="AC235" i="6" s="1"/>
  <c r="W168" i="5"/>
  <c r="DX162" i="6"/>
  <c r="DW162" i="6"/>
  <c r="V168" i="5"/>
  <c r="DV162" i="6"/>
  <c r="EQ164" i="6"/>
  <c r="ET164" i="6"/>
  <c r="EP165" i="6" s="1"/>
  <c r="V232" i="6"/>
  <c r="BZ232" i="6" s="1"/>
  <c r="FD233" i="6"/>
  <c r="EV163" i="6"/>
  <c r="EW163" i="6" s="1"/>
  <c r="ES163" i="6"/>
  <c r="ER163" i="6"/>
  <c r="U169" i="5"/>
  <c r="T124" i="4"/>
  <c r="BY118" i="6"/>
  <c r="BC118" i="6"/>
  <c r="V233" i="6" l="1"/>
  <c r="BZ233" i="6" s="1"/>
  <c r="FD234" i="6"/>
  <c r="CG235" i="6"/>
  <c r="AC236" i="6" s="1"/>
  <c r="CT234" i="6"/>
  <c r="AP235" i="6" s="1"/>
  <c r="CU234" i="6"/>
  <c r="AQ235" i="6" s="1"/>
  <c r="W119" i="6"/>
  <c r="CA119" i="6" s="1"/>
  <c r="U119" i="6"/>
  <c r="ES164" i="6"/>
  <c r="ER164" i="6"/>
  <c r="EV164" i="6"/>
  <c r="EW164" i="6" s="1"/>
  <c r="U170" i="5"/>
  <c r="ET165" i="6"/>
  <c r="EP166" i="6" s="1"/>
  <c r="EQ165" i="6"/>
  <c r="W169" i="5"/>
  <c r="DX163" i="6"/>
  <c r="DW163" i="6"/>
  <c r="DR129" i="6"/>
  <c r="BD129" i="6"/>
  <c r="DV129" i="6"/>
  <c r="V169" i="5"/>
  <c r="DV163" i="6"/>
  <c r="CB153" i="6"/>
  <c r="X154" i="6" s="1"/>
  <c r="BF153" i="6"/>
  <c r="CT235" i="6" l="1"/>
  <c r="AP236" i="6" s="1"/>
  <c r="CU235" i="6"/>
  <c r="AQ236" i="6" s="1"/>
  <c r="W170" i="5"/>
  <c r="DW164" i="6"/>
  <c r="DX164" i="6"/>
  <c r="DP129" i="6"/>
  <c r="DO129" i="6"/>
  <c r="DQ129" i="6"/>
  <c r="DN129" i="6"/>
  <c r="CG236" i="6"/>
  <c r="AC237" i="6" s="1"/>
  <c r="V170" i="5"/>
  <c r="DV164" i="6"/>
  <c r="T125" i="4"/>
  <c r="BY119" i="6"/>
  <c r="EV165" i="6"/>
  <c r="EW165" i="6" s="1"/>
  <c r="ES165" i="6"/>
  <c r="ER165" i="6"/>
  <c r="U171" i="5"/>
  <c r="FD235" i="6"/>
  <c r="V234" i="6"/>
  <c r="BZ234" i="6" s="1"/>
  <c r="ET166" i="6"/>
  <c r="EP167" i="6" s="1"/>
  <c r="EQ166" i="6"/>
  <c r="CB154" i="6"/>
  <c r="X155" i="6" s="1"/>
  <c r="BF154" i="6"/>
  <c r="EQ167" i="6" l="1"/>
  <c r="ET167" i="6"/>
  <c r="EP168" i="6" s="1"/>
  <c r="V235" i="6"/>
  <c r="BZ235" i="6" s="1"/>
  <c r="FD236" i="6"/>
  <c r="V171" i="5"/>
  <c r="DV165" i="6"/>
  <c r="W171" i="5"/>
  <c r="DX165" i="6"/>
  <c r="DW165" i="6"/>
  <c r="CG237" i="6"/>
  <c r="AC238" i="6" s="1"/>
  <c r="W120" i="6"/>
  <c r="CA120" i="6" s="1"/>
  <c r="U120" i="6"/>
  <c r="BF155" i="6"/>
  <c r="CB155" i="6"/>
  <c r="X156" i="6" s="1"/>
  <c r="CU236" i="6"/>
  <c r="AQ237" i="6" s="1"/>
  <c r="CT236" i="6"/>
  <c r="AP237" i="6" s="1"/>
  <c r="ES166" i="6"/>
  <c r="EV166" i="6"/>
  <c r="EW166" i="6" s="1"/>
  <c r="ER166" i="6"/>
  <c r="U172" i="5"/>
  <c r="CG238" i="6" l="1"/>
  <c r="AC239" i="6" s="1"/>
  <c r="W172" i="5"/>
  <c r="DW166" i="6"/>
  <c r="DX166" i="6"/>
  <c r="CU237" i="6"/>
  <c r="AQ238" i="6" s="1"/>
  <c r="CT237" i="6"/>
  <c r="AP238" i="6" s="1"/>
  <c r="V236" i="6"/>
  <c r="BZ236" i="6" s="1"/>
  <c r="FD237" i="6"/>
  <c r="V172" i="5"/>
  <c r="DV166" i="6"/>
  <c r="T126" i="4"/>
  <c r="BY120" i="6"/>
  <c r="BC120" i="6"/>
  <c r="ET168" i="6"/>
  <c r="EP169" i="6" s="1"/>
  <c r="EQ168" i="6"/>
  <c r="BF156" i="6"/>
  <c r="CB156" i="6"/>
  <c r="X157" i="6" s="1"/>
  <c r="EV167" i="6"/>
  <c r="EW167" i="6" s="1"/>
  <c r="ER167" i="6"/>
  <c r="ES167" i="6"/>
  <c r="U173" i="5"/>
  <c r="W173" i="5" l="1"/>
  <c r="DW167" i="6"/>
  <c r="DX167" i="6"/>
  <c r="V237" i="6"/>
  <c r="BZ237" i="6" s="1"/>
  <c r="FD238" i="6"/>
  <c r="CB157" i="6"/>
  <c r="X158" i="6" s="1"/>
  <c r="BF157" i="6"/>
  <c r="V173" i="5"/>
  <c r="DV167" i="6"/>
  <c r="CT238" i="6"/>
  <c r="AP239" i="6" s="1"/>
  <c r="CU238" i="6"/>
  <c r="AQ239" i="6" s="1"/>
  <c r="EQ169" i="6"/>
  <c r="ET169" i="6"/>
  <c r="EP170" i="6" s="1"/>
  <c r="ES168" i="6"/>
  <c r="EV168" i="6"/>
  <c r="EW168" i="6" s="1"/>
  <c r="ER168" i="6"/>
  <c r="U174" i="5"/>
  <c r="W121" i="6"/>
  <c r="CA121" i="6" s="1"/>
  <c r="U121" i="6"/>
  <c r="CG239" i="6"/>
  <c r="AC240" i="6" s="1"/>
  <c r="CB158" i="6" l="1"/>
  <c r="X159" i="6" s="1"/>
  <c r="BF158" i="6"/>
  <c r="CG240" i="6"/>
  <c r="AC241" i="6" s="1"/>
  <c r="V238" i="6"/>
  <c r="BZ238" i="6" s="1"/>
  <c r="FD239" i="6"/>
  <c r="W174" i="5"/>
  <c r="DW168" i="6"/>
  <c r="DX168" i="6"/>
  <c r="T127" i="4"/>
  <c r="BY121" i="6"/>
  <c r="BC121" i="6"/>
  <c r="ET170" i="6"/>
  <c r="EP171" i="6" s="1"/>
  <c r="EQ170" i="6"/>
  <c r="V174" i="5"/>
  <c r="DV168" i="6"/>
  <c r="EV169" i="6"/>
  <c r="EW169" i="6" s="1"/>
  <c r="ES169" i="6"/>
  <c r="ER169" i="6"/>
  <c r="U175" i="5"/>
  <c r="CU239" i="6"/>
  <c r="AQ240" i="6" s="1"/>
  <c r="CT239" i="6"/>
  <c r="AP240" i="6" s="1"/>
  <c r="V239" i="6" l="1"/>
  <c r="BZ239" i="6" s="1"/>
  <c r="FD240" i="6"/>
  <c r="V175" i="5"/>
  <c r="DV169" i="6"/>
  <c r="CT240" i="6"/>
  <c r="AP241" i="6" s="1"/>
  <c r="CU240" i="6"/>
  <c r="AQ241" i="6" s="1"/>
  <c r="EV170" i="6"/>
  <c r="EW170" i="6" s="1"/>
  <c r="ES170" i="6"/>
  <c r="ER170" i="6"/>
  <c r="U176" i="5"/>
  <c r="W175" i="5"/>
  <c r="DX169" i="6"/>
  <c r="DW169" i="6"/>
  <c r="CG241" i="6"/>
  <c r="AC242" i="6" s="1"/>
  <c r="EQ171" i="6"/>
  <c r="ET171" i="6"/>
  <c r="EP172" i="6" s="1"/>
  <c r="W122" i="6"/>
  <c r="CA122" i="6" s="1"/>
  <c r="U122" i="6"/>
  <c r="CB159" i="6"/>
  <c r="X160" i="6" s="1"/>
  <c r="BF159" i="6"/>
  <c r="W176" i="5" l="1"/>
  <c r="DW170" i="6"/>
  <c r="DX170" i="6"/>
  <c r="CB160" i="6"/>
  <c r="X161" i="6" s="1"/>
  <c r="BF160" i="6"/>
  <c r="ET172" i="6"/>
  <c r="EP173" i="6" s="1"/>
  <c r="EQ172" i="6"/>
  <c r="V240" i="6"/>
  <c r="BZ240" i="6" s="1"/>
  <c r="FD241" i="6"/>
  <c r="V176" i="5"/>
  <c r="DV170" i="6"/>
  <c r="T128" i="4"/>
  <c r="BY122" i="6"/>
  <c r="BC122" i="6"/>
  <c r="CT241" i="6"/>
  <c r="AP242" i="6" s="1"/>
  <c r="CU241" i="6"/>
  <c r="AQ242" i="6" s="1"/>
  <c r="EV171" i="6"/>
  <c r="EW171" i="6" s="1"/>
  <c r="ES171" i="6"/>
  <c r="ER171" i="6"/>
  <c r="U177" i="5"/>
  <c r="CG242" i="6"/>
  <c r="FD242" i="6" l="1"/>
  <c r="V241" i="6"/>
  <c r="BZ241" i="6" s="1"/>
  <c r="V177" i="5"/>
  <c r="DV171" i="6"/>
  <c r="W177" i="5"/>
  <c r="DW171" i="6"/>
  <c r="DX171" i="6"/>
  <c r="ES172" i="6"/>
  <c r="EV172" i="6"/>
  <c r="EW172" i="6" s="1"/>
  <c r="ER172" i="6"/>
  <c r="U178" i="5"/>
  <c r="ET173" i="6"/>
  <c r="EP174" i="6" s="1"/>
  <c r="EQ173" i="6"/>
  <c r="CT242" i="6"/>
  <c r="CU242" i="6"/>
  <c r="CB161" i="6"/>
  <c r="X162" i="6" s="1"/>
  <c r="BF161" i="6"/>
  <c r="W123" i="6"/>
  <c r="CA123" i="6" s="1"/>
  <c r="U123" i="6"/>
  <c r="V178" i="5" l="1"/>
  <c r="DV172" i="6"/>
  <c r="BY123" i="6"/>
  <c r="T129" i="4"/>
  <c r="W178" i="5"/>
  <c r="DX172" i="6"/>
  <c r="DW172" i="6"/>
  <c r="EV173" i="6"/>
  <c r="EW173" i="6" s="1"/>
  <c r="ER173" i="6"/>
  <c r="ES173" i="6"/>
  <c r="U179" i="5"/>
  <c r="ET174" i="6"/>
  <c r="EP175" i="6" s="1"/>
  <c r="EQ174" i="6"/>
  <c r="CB162" i="6"/>
  <c r="X163" i="6" s="1"/>
  <c r="BF162" i="6"/>
  <c r="V242" i="6"/>
  <c r="BZ242" i="6" s="1"/>
  <c r="EQ175" i="6" l="1"/>
  <c r="ET175" i="6"/>
  <c r="EP176" i="6" s="1"/>
  <c r="W179" i="5"/>
  <c r="DX173" i="6"/>
  <c r="DW173" i="6"/>
  <c r="V179" i="5"/>
  <c r="DV173" i="6"/>
  <c r="W124" i="6"/>
  <c r="CA124" i="6" s="1"/>
  <c r="U124" i="6"/>
  <c r="CB163" i="6"/>
  <c r="X164" i="6" s="1"/>
  <c r="BF163" i="6"/>
  <c r="ER174" i="6"/>
  <c r="ES174" i="6"/>
  <c r="EV174" i="6"/>
  <c r="EW174" i="6" s="1"/>
  <c r="U180" i="5"/>
  <c r="BY124" i="6" l="1"/>
  <c r="T130" i="4"/>
  <c r="BC124" i="6"/>
  <c r="CB164" i="6"/>
  <c r="X165" i="6" s="1"/>
  <c r="BF164" i="6"/>
  <c r="ET176" i="6"/>
  <c r="EP177" i="6" s="1"/>
  <c r="EQ176" i="6"/>
  <c r="V180" i="5"/>
  <c r="DV174" i="6"/>
  <c r="W180" i="5"/>
  <c r="DW174" i="6"/>
  <c r="DX174" i="6"/>
  <c r="EV175" i="6"/>
  <c r="EW175" i="6" s="1"/>
  <c r="ES175" i="6"/>
  <c r="ER175" i="6"/>
  <c r="U181" i="5"/>
  <c r="EQ177" i="6" l="1"/>
  <c r="ET177" i="6"/>
  <c r="EP178" i="6" s="1"/>
  <c r="CB165" i="6"/>
  <c r="X166" i="6" s="1"/>
  <c r="BF165" i="6"/>
  <c r="ES176" i="6"/>
  <c r="ER176" i="6"/>
  <c r="EV176" i="6"/>
  <c r="EW176" i="6" s="1"/>
  <c r="U182" i="5"/>
  <c r="V181" i="5"/>
  <c r="DV175" i="6"/>
  <c r="W181" i="5"/>
  <c r="DW175" i="6"/>
  <c r="DX175" i="6"/>
  <c r="U125" i="6"/>
  <c r="W125" i="6"/>
  <c r="CA125" i="6" s="1"/>
  <c r="V182" i="5" l="1"/>
  <c r="DV176" i="6"/>
  <c r="CB166" i="6"/>
  <c r="X167" i="6" s="1"/>
  <c r="BF166" i="6"/>
  <c r="W182" i="5"/>
  <c r="DW176" i="6"/>
  <c r="DX176" i="6"/>
  <c r="ET178" i="6"/>
  <c r="EP179" i="6" s="1"/>
  <c r="EQ178" i="6"/>
  <c r="T131" i="4"/>
  <c r="BY125" i="6"/>
  <c r="ES177" i="6"/>
  <c r="ER177" i="6"/>
  <c r="EV177" i="6"/>
  <c r="EW177" i="6" s="1"/>
  <c r="U183" i="5"/>
  <c r="U126" i="6" l="1"/>
  <c r="W126" i="6"/>
  <c r="CA126" i="6" s="1"/>
  <c r="EQ179" i="6"/>
  <c r="ET179" i="6"/>
  <c r="EP180" i="6" s="1"/>
  <c r="CB167" i="6"/>
  <c r="X168" i="6" s="1"/>
  <c r="BF167" i="6"/>
  <c r="W183" i="5"/>
  <c r="DX177" i="6"/>
  <c r="DW177" i="6"/>
  <c r="ER178" i="6"/>
  <c r="EV178" i="6"/>
  <c r="EW178" i="6" s="1"/>
  <c r="ES178" i="6"/>
  <c r="U184" i="5"/>
  <c r="V183" i="5"/>
  <c r="DV177" i="6"/>
  <c r="DX178" i="6" l="1"/>
  <c r="W184" i="5"/>
  <c r="DW178" i="6"/>
  <c r="V184" i="5"/>
  <c r="DV178" i="6"/>
  <c r="CB168" i="6"/>
  <c r="X169" i="6" s="1"/>
  <c r="BF168" i="6"/>
  <c r="ET180" i="6"/>
  <c r="EP181" i="6" s="1"/>
  <c r="EQ180" i="6"/>
  <c r="EV179" i="6"/>
  <c r="EW179" i="6" s="1"/>
  <c r="ES179" i="6"/>
  <c r="ER179" i="6"/>
  <c r="U185" i="5"/>
  <c r="T132" i="4"/>
  <c r="BY126" i="6"/>
  <c r="BC126" i="6"/>
  <c r="V185" i="5" l="1"/>
  <c r="DV179" i="6"/>
  <c r="W185" i="5"/>
  <c r="DW179" i="6"/>
  <c r="DX179" i="6"/>
  <c r="ES180" i="6"/>
  <c r="ER180" i="6"/>
  <c r="EV180" i="6"/>
  <c r="EW180" i="6" s="1"/>
  <c r="U186" i="5"/>
  <c r="CB169" i="6"/>
  <c r="X170" i="6" s="1"/>
  <c r="BF169" i="6"/>
  <c r="W127" i="6"/>
  <c r="CA127" i="6" s="1"/>
  <c r="U127" i="6"/>
  <c r="EQ181" i="6"/>
  <c r="ET181" i="6"/>
  <c r="EP182" i="6" s="1"/>
  <c r="V186" i="5" l="1"/>
  <c r="DV180" i="6"/>
  <c r="CB170" i="6"/>
  <c r="X171" i="6" s="1"/>
  <c r="BF170" i="6"/>
  <c r="EQ182" i="6"/>
  <c r="ET182" i="6"/>
  <c r="EP183" i="6" s="1"/>
  <c r="W186" i="5"/>
  <c r="DX180" i="6"/>
  <c r="DW180" i="6"/>
  <c r="EV181" i="6"/>
  <c r="EW181" i="6" s="1"/>
  <c r="ES181" i="6"/>
  <c r="ER181" i="6"/>
  <c r="U187" i="5"/>
  <c r="T133" i="4"/>
  <c r="BY127" i="6"/>
  <c r="V187" i="5" l="1"/>
  <c r="DV181" i="6"/>
  <c r="EQ183" i="6"/>
  <c r="ET183" i="6"/>
  <c r="EP184" i="6" s="1"/>
  <c r="EV182" i="6"/>
  <c r="EW182" i="6" s="1"/>
  <c r="ES182" i="6"/>
  <c r="ER182" i="6"/>
  <c r="U188" i="5"/>
  <c r="CB171" i="6"/>
  <c r="X172" i="6" s="1"/>
  <c r="BF171" i="6"/>
  <c r="W187" i="5"/>
  <c r="DW181" i="6"/>
  <c r="DX181" i="6"/>
  <c r="U128" i="6"/>
  <c r="W128" i="6"/>
  <c r="CA128" i="6" s="1"/>
  <c r="V188" i="5" l="1"/>
  <c r="DV182" i="6"/>
  <c r="W188" i="5"/>
  <c r="DX182" i="6"/>
  <c r="DW182" i="6"/>
  <c r="CB172" i="6"/>
  <c r="X173" i="6" s="1"/>
  <c r="BF172" i="6"/>
  <c r="ET184" i="6"/>
  <c r="EP185" i="6" s="1"/>
  <c r="EQ184" i="6"/>
  <c r="ES183" i="6"/>
  <c r="EV183" i="6"/>
  <c r="EW183" i="6" s="1"/>
  <c r="ER183" i="6"/>
  <c r="U189" i="5"/>
  <c r="T134" i="4"/>
  <c r="BY128" i="6"/>
  <c r="V189" i="5" l="1"/>
  <c r="DV183" i="6"/>
  <c r="CB173" i="6"/>
  <c r="X174" i="6" s="1"/>
  <c r="BF173" i="6"/>
  <c r="W189" i="5"/>
  <c r="DW183" i="6"/>
  <c r="DX183" i="6"/>
  <c r="ET185" i="6"/>
  <c r="EP186" i="6" s="1"/>
  <c r="EQ185" i="6"/>
  <c r="EV184" i="6"/>
  <c r="EW184" i="6" s="1"/>
  <c r="ES184" i="6"/>
  <c r="ER184" i="6"/>
  <c r="U190" i="5"/>
  <c r="W129" i="6"/>
  <c r="CA129" i="6" s="1"/>
  <c r="U129" i="6"/>
  <c r="V190" i="5" l="1"/>
  <c r="DV184" i="6"/>
  <c r="ES185" i="6"/>
  <c r="EV185" i="6"/>
  <c r="EW185" i="6" s="1"/>
  <c r="ER185" i="6"/>
  <c r="U191" i="5"/>
  <c r="W190" i="5"/>
  <c r="DX184" i="6"/>
  <c r="DW184" i="6"/>
  <c r="ET186" i="6"/>
  <c r="EP187" i="6" s="1"/>
  <c r="EQ186" i="6"/>
  <c r="CB174" i="6"/>
  <c r="X175" i="6" s="1"/>
  <c r="BF174" i="6"/>
  <c r="T135" i="4"/>
  <c r="BY129" i="6"/>
  <c r="BC129" i="6"/>
  <c r="EQ187" i="6" l="1"/>
  <c r="ET187" i="6"/>
  <c r="EP188" i="6" s="1"/>
  <c r="V191" i="5"/>
  <c r="DV185" i="6"/>
  <c r="CB175" i="6"/>
  <c r="X176" i="6" s="1"/>
  <c r="BF175" i="6"/>
  <c r="W191" i="5"/>
  <c r="DW185" i="6"/>
  <c r="DX185" i="6"/>
  <c r="EV186" i="6"/>
  <c r="EW186" i="6" s="1"/>
  <c r="ES186" i="6"/>
  <c r="ER186" i="6"/>
  <c r="U192" i="5"/>
  <c r="W130" i="6"/>
  <c r="CA130" i="6" s="1"/>
  <c r="U130" i="6"/>
  <c r="BY130" i="6" s="1"/>
  <c r="V192" i="5" l="1"/>
  <c r="DV186" i="6"/>
  <c r="CB176" i="6"/>
  <c r="X177" i="6" s="1"/>
  <c r="BF176" i="6"/>
  <c r="W131" i="6"/>
  <c r="CA131" i="6" s="1"/>
  <c r="U131" i="6"/>
  <c r="BY131" i="6" s="1"/>
  <c r="ET188" i="6"/>
  <c r="EP189" i="6" s="1"/>
  <c r="EQ188" i="6"/>
  <c r="DX186" i="6"/>
  <c r="W192" i="5"/>
  <c r="DW186" i="6"/>
  <c r="ES187" i="6"/>
  <c r="ER187" i="6"/>
  <c r="EV187" i="6"/>
  <c r="EW187" i="6" s="1"/>
  <c r="U193" i="5"/>
  <c r="W193" i="5" l="1"/>
  <c r="DW187" i="6"/>
  <c r="DX187" i="6"/>
  <c r="EV188" i="6"/>
  <c r="EW188" i="6" s="1"/>
  <c r="ES188" i="6"/>
  <c r="ER188" i="6"/>
  <c r="U194" i="5"/>
  <c r="W132" i="6"/>
  <c r="CA132" i="6" s="1"/>
  <c r="U132" i="6"/>
  <c r="BY132" i="6" s="1"/>
  <c r="CB177" i="6"/>
  <c r="X178" i="6" s="1"/>
  <c r="BF177" i="6"/>
  <c r="ET189" i="6"/>
  <c r="EP190" i="6" s="1"/>
  <c r="EQ189" i="6"/>
  <c r="V193" i="5"/>
  <c r="DV187" i="6"/>
  <c r="CB178" i="6" l="1"/>
  <c r="X179" i="6" s="1"/>
  <c r="BF178" i="6"/>
  <c r="V194" i="5"/>
  <c r="DV188" i="6"/>
  <c r="W194" i="5"/>
  <c r="DW188" i="6"/>
  <c r="DX188" i="6"/>
  <c r="ET190" i="6"/>
  <c r="EP191" i="6" s="1"/>
  <c r="EQ190" i="6"/>
  <c r="W133" i="6"/>
  <c r="CA133" i="6" s="1"/>
  <c r="U133" i="6"/>
  <c r="BY133" i="6" s="1"/>
  <c r="ES189" i="6"/>
  <c r="ER189" i="6"/>
  <c r="EV189" i="6"/>
  <c r="EW189" i="6" s="1"/>
  <c r="U195" i="5"/>
  <c r="W134" i="6" l="1"/>
  <c r="CA134" i="6" s="1"/>
  <c r="U134" i="6"/>
  <c r="BY134" i="6" s="1"/>
  <c r="W195" i="5"/>
  <c r="DX189" i="6"/>
  <c r="DW189" i="6"/>
  <c r="EQ191" i="6"/>
  <c r="ET191" i="6"/>
  <c r="EP192" i="6" s="1"/>
  <c r="EV190" i="6"/>
  <c r="EW190" i="6" s="1"/>
  <c r="ES190" i="6"/>
  <c r="ER190" i="6"/>
  <c r="U196" i="5"/>
  <c r="V195" i="5"/>
  <c r="DV189" i="6"/>
  <c r="CB179" i="6"/>
  <c r="X180" i="6" s="1"/>
  <c r="BF179" i="6"/>
  <c r="V196" i="5" l="1"/>
  <c r="DV190" i="6"/>
  <c r="W196" i="5"/>
  <c r="DX190" i="6"/>
  <c r="DW190" i="6"/>
  <c r="ES191" i="6"/>
  <c r="ER191" i="6"/>
  <c r="EV191" i="6"/>
  <c r="EW191" i="6" s="1"/>
  <c r="U197" i="5"/>
  <c r="ET192" i="6"/>
  <c r="EP193" i="6" s="1"/>
  <c r="EQ192" i="6"/>
  <c r="CB180" i="6"/>
  <c r="X181" i="6" s="1"/>
  <c r="BF180" i="6"/>
  <c r="U135" i="6"/>
  <c r="BY135" i="6" s="1"/>
  <c r="W135" i="6"/>
  <c r="CA135" i="6" s="1"/>
  <c r="ES192" i="6" l="1"/>
  <c r="EV192" i="6"/>
  <c r="EW192" i="6" s="1"/>
  <c r="ER192" i="6"/>
  <c r="U198" i="5"/>
  <c r="EQ193" i="6"/>
  <c r="ET193" i="6"/>
  <c r="EP194" i="6" s="1"/>
  <c r="V197" i="5"/>
  <c r="DV191" i="6"/>
  <c r="CB181" i="6"/>
  <c r="X182" i="6" s="1"/>
  <c r="BF181" i="6"/>
  <c r="U136" i="6"/>
  <c r="BY136" i="6" s="1"/>
  <c r="W136" i="6"/>
  <c r="CA136" i="6" s="1"/>
  <c r="W197" i="5"/>
  <c r="DX191" i="6"/>
  <c r="DW191" i="6"/>
  <c r="CB182" i="6" l="1"/>
  <c r="X183" i="6" s="1"/>
  <c r="BF182" i="6"/>
  <c r="EQ194" i="6"/>
  <c r="ET194" i="6"/>
  <c r="EP195" i="6" s="1"/>
  <c r="ES193" i="6"/>
  <c r="ER193" i="6"/>
  <c r="EV193" i="6"/>
  <c r="EW193" i="6" s="1"/>
  <c r="U199" i="5"/>
  <c r="W137" i="6"/>
  <c r="CA137" i="6" s="1"/>
  <c r="U137" i="6"/>
  <c r="BY137" i="6" s="1"/>
  <c r="V198" i="5"/>
  <c r="DV192" i="6"/>
  <c r="W198" i="5"/>
  <c r="DX192" i="6"/>
  <c r="DW192" i="6"/>
  <c r="V199" i="5" l="1"/>
  <c r="DV193" i="6"/>
  <c r="W199" i="5"/>
  <c r="DW193" i="6"/>
  <c r="DX193" i="6"/>
  <c r="ET195" i="6"/>
  <c r="EP196" i="6" s="1"/>
  <c r="EQ195" i="6"/>
  <c r="EV194" i="6"/>
  <c r="EW194" i="6" s="1"/>
  <c r="ES194" i="6"/>
  <c r="ER194" i="6"/>
  <c r="U200" i="5"/>
  <c r="W138" i="6"/>
  <c r="CA138" i="6" s="1"/>
  <c r="U138" i="6"/>
  <c r="BY138" i="6" s="1"/>
  <c r="CB183" i="6"/>
  <c r="X184" i="6" s="1"/>
  <c r="BF183" i="6"/>
  <c r="EV195" i="6" l="1"/>
  <c r="EW195" i="6" s="1"/>
  <c r="ES195" i="6"/>
  <c r="ER195" i="6"/>
  <c r="U201" i="5"/>
  <c r="ET196" i="6"/>
  <c r="EP197" i="6" s="1"/>
  <c r="EQ196" i="6"/>
  <c r="W200" i="5"/>
  <c r="DX194" i="6"/>
  <c r="DW194" i="6"/>
  <c r="CB184" i="6"/>
  <c r="X185" i="6" s="1"/>
  <c r="BF184" i="6"/>
  <c r="V200" i="5"/>
  <c r="DV194" i="6"/>
  <c r="W139" i="6"/>
  <c r="CA139" i="6" s="1"/>
  <c r="U139" i="6"/>
  <c r="BY139" i="6" s="1"/>
  <c r="CB185" i="6" l="1"/>
  <c r="X186" i="6" s="1"/>
  <c r="BF185" i="6"/>
  <c r="EV196" i="6"/>
  <c r="EW196" i="6" s="1"/>
  <c r="ES196" i="6"/>
  <c r="ER196" i="6"/>
  <c r="U202" i="5"/>
  <c r="ET197" i="6"/>
  <c r="EP198" i="6" s="1"/>
  <c r="EQ197" i="6"/>
  <c r="W140" i="6"/>
  <c r="CA140" i="6" s="1"/>
  <c r="U140" i="6"/>
  <c r="BY140" i="6" s="1"/>
  <c r="V201" i="5"/>
  <c r="DV195" i="6"/>
  <c r="W201" i="5"/>
  <c r="DW195" i="6"/>
  <c r="DX195" i="6"/>
  <c r="U141" i="6" l="1"/>
  <c r="BY141" i="6" s="1"/>
  <c r="W141" i="6"/>
  <c r="CA141" i="6" s="1"/>
  <c r="ES197" i="6"/>
  <c r="ER197" i="6"/>
  <c r="EV197" i="6"/>
  <c r="EW197" i="6" s="1"/>
  <c r="U203" i="5"/>
  <c r="EQ198" i="6"/>
  <c r="ET198" i="6"/>
  <c r="EP199" i="6" s="1"/>
  <c r="V202" i="5"/>
  <c r="DV196" i="6"/>
  <c r="W202" i="5"/>
  <c r="DW196" i="6"/>
  <c r="DX196" i="6"/>
  <c r="CB186" i="6"/>
  <c r="X187" i="6" s="1"/>
  <c r="BF186" i="6"/>
  <c r="V203" i="5" l="1"/>
  <c r="DV197" i="6"/>
  <c r="ET199" i="6"/>
  <c r="EP200" i="6" s="1"/>
  <c r="EQ199" i="6"/>
  <c r="EV198" i="6"/>
  <c r="EW198" i="6" s="1"/>
  <c r="ES198" i="6"/>
  <c r="ER198" i="6"/>
  <c r="U204" i="5"/>
  <c r="W203" i="5"/>
  <c r="DW197" i="6"/>
  <c r="DX197" i="6"/>
  <c r="CB187" i="6"/>
  <c r="X188" i="6" s="1"/>
  <c r="BF187" i="6"/>
  <c r="U142" i="6"/>
  <c r="BY142" i="6" s="1"/>
  <c r="W142" i="6"/>
  <c r="CA142" i="6" s="1"/>
  <c r="CB188" i="6" l="1"/>
  <c r="X189" i="6" s="1"/>
  <c r="BF188" i="6"/>
  <c r="V204" i="5"/>
  <c r="DV198" i="6"/>
  <c r="W204" i="5"/>
  <c r="DW198" i="6"/>
  <c r="DX198" i="6"/>
  <c r="EV199" i="6"/>
  <c r="EW199" i="6" s="1"/>
  <c r="ES199" i="6"/>
  <c r="ER199" i="6"/>
  <c r="U205" i="5"/>
  <c r="ET200" i="6"/>
  <c r="EP201" i="6" s="1"/>
  <c r="EQ200" i="6"/>
  <c r="W143" i="6"/>
  <c r="CA143" i="6" s="1"/>
  <c r="U143" i="6"/>
  <c r="BY143" i="6" s="1"/>
  <c r="EQ201" i="6" l="1"/>
  <c r="ET201" i="6"/>
  <c r="EP202" i="6" s="1"/>
  <c r="W205" i="5"/>
  <c r="DW199" i="6"/>
  <c r="DX199" i="6"/>
  <c r="V205" i="5"/>
  <c r="DV199" i="6"/>
  <c r="W144" i="6"/>
  <c r="CA144" i="6" s="1"/>
  <c r="U144" i="6"/>
  <c r="BY144" i="6" s="1"/>
  <c r="EV200" i="6"/>
  <c r="EW200" i="6" s="1"/>
  <c r="ES200" i="6"/>
  <c r="ER200" i="6"/>
  <c r="U206" i="5"/>
  <c r="CB189" i="6"/>
  <c r="X190" i="6" s="1"/>
  <c r="BF189" i="6"/>
  <c r="U145" i="6" l="1"/>
  <c r="BY145" i="6" s="1"/>
  <c r="W145" i="6"/>
  <c r="CA145" i="6" s="1"/>
  <c r="V206" i="5"/>
  <c r="DV200" i="6"/>
  <c r="CB190" i="6"/>
  <c r="X191" i="6" s="1"/>
  <c r="BF190" i="6"/>
  <c r="ET202" i="6"/>
  <c r="EP203" i="6" s="1"/>
  <c r="EQ202" i="6"/>
  <c r="DX200" i="6"/>
  <c r="W206" i="5"/>
  <c r="DW200" i="6"/>
  <c r="ES201" i="6"/>
  <c r="ER201" i="6"/>
  <c r="EV201" i="6"/>
  <c r="EW201" i="6" s="1"/>
  <c r="U207" i="5"/>
  <c r="W207" i="5" l="1"/>
  <c r="DW201" i="6"/>
  <c r="DX201" i="6"/>
  <c r="ES202" i="6"/>
  <c r="EV202" i="6"/>
  <c r="EW202" i="6" s="1"/>
  <c r="ER202" i="6"/>
  <c r="U208" i="5"/>
  <c r="EQ203" i="6"/>
  <c r="ET203" i="6"/>
  <c r="EP204" i="6" s="1"/>
  <c r="CB191" i="6"/>
  <c r="X192" i="6" s="1"/>
  <c r="BF191" i="6"/>
  <c r="V207" i="5"/>
  <c r="DV201" i="6"/>
  <c r="W146" i="6"/>
  <c r="CA146" i="6" s="1"/>
  <c r="U146" i="6"/>
  <c r="BY146" i="6" s="1"/>
  <c r="ER203" i="6" l="1"/>
  <c r="EV203" i="6"/>
  <c r="EW203" i="6" s="1"/>
  <c r="ES203" i="6"/>
  <c r="U209" i="5"/>
  <c r="V208" i="5"/>
  <c r="DV202" i="6"/>
  <c r="CB192" i="6"/>
  <c r="X193" i="6" s="1"/>
  <c r="BF192" i="6"/>
  <c r="W208" i="5"/>
  <c r="DX202" i="6"/>
  <c r="DW202" i="6"/>
  <c r="U147" i="6"/>
  <c r="BY147" i="6" s="1"/>
  <c r="W147" i="6"/>
  <c r="CA147" i="6" s="1"/>
  <c r="ET204" i="6"/>
  <c r="EP205" i="6" s="1"/>
  <c r="EQ204" i="6"/>
  <c r="CB193" i="6" l="1"/>
  <c r="X194" i="6" s="1"/>
  <c r="BF193" i="6"/>
  <c r="U148" i="6"/>
  <c r="BY148" i="6" s="1"/>
  <c r="W148" i="6"/>
  <c r="CA148" i="6" s="1"/>
  <c r="EV204" i="6"/>
  <c r="EW204" i="6" s="1"/>
  <c r="ER204" i="6"/>
  <c r="ES204" i="6"/>
  <c r="U210" i="5"/>
  <c r="W209" i="5"/>
  <c r="DX203" i="6"/>
  <c r="DW203" i="6"/>
  <c r="EQ205" i="6"/>
  <c r="ET205" i="6"/>
  <c r="EP206" i="6" s="1"/>
  <c r="V209" i="5"/>
  <c r="DV203" i="6"/>
  <c r="ES205" i="6" l="1"/>
  <c r="EV205" i="6"/>
  <c r="EW205" i="6" s="1"/>
  <c r="ER205" i="6"/>
  <c r="U211" i="5"/>
  <c r="W210" i="5"/>
  <c r="DW204" i="6"/>
  <c r="DX204" i="6"/>
  <c r="V210" i="5"/>
  <c r="DV204" i="6"/>
  <c r="U149" i="6"/>
  <c r="BY149" i="6" s="1"/>
  <c r="W149" i="6"/>
  <c r="CA149" i="6" s="1"/>
  <c r="ET206" i="6"/>
  <c r="EP207" i="6" s="1"/>
  <c r="EQ206" i="6"/>
  <c r="CB194" i="6"/>
  <c r="X195" i="6" s="1"/>
  <c r="BF194" i="6"/>
  <c r="ET207" i="6" l="1"/>
  <c r="EP208" i="6" s="1"/>
  <c r="EQ207" i="6"/>
  <c r="W150" i="6"/>
  <c r="CA150" i="6" s="1"/>
  <c r="U150" i="6"/>
  <c r="BY150" i="6" s="1"/>
  <c r="V211" i="5"/>
  <c r="DV205" i="6"/>
  <c r="CB195" i="6"/>
  <c r="X196" i="6" s="1"/>
  <c r="BF195" i="6"/>
  <c r="ER206" i="6"/>
  <c r="EV206" i="6"/>
  <c r="EW206" i="6" s="1"/>
  <c r="ES206" i="6"/>
  <c r="U212" i="5"/>
  <c r="W211" i="5"/>
  <c r="DX205" i="6"/>
  <c r="DW205" i="6"/>
  <c r="CB196" i="6" l="1"/>
  <c r="X197" i="6" s="1"/>
  <c r="BF196" i="6"/>
  <c r="W151" i="6"/>
  <c r="CA151" i="6" s="1"/>
  <c r="U151" i="6"/>
  <c r="BY151" i="6" s="1"/>
  <c r="W212" i="5"/>
  <c r="DX206" i="6"/>
  <c r="DW206" i="6"/>
  <c r="V212" i="5"/>
  <c r="DV206" i="6"/>
  <c r="EV207" i="6"/>
  <c r="EW207" i="6" s="1"/>
  <c r="ES207" i="6"/>
  <c r="ER207" i="6"/>
  <c r="U213" i="5"/>
  <c r="ET208" i="6"/>
  <c r="EP209" i="6" s="1"/>
  <c r="EQ208" i="6"/>
  <c r="V213" i="5" l="1"/>
  <c r="DV207" i="6"/>
  <c r="W213" i="5"/>
  <c r="DX207" i="6"/>
  <c r="DW207" i="6"/>
  <c r="U152" i="6"/>
  <c r="BY152" i="6" s="1"/>
  <c r="W152" i="6"/>
  <c r="CA152" i="6" s="1"/>
  <c r="ES208" i="6"/>
  <c r="ER208" i="6"/>
  <c r="EV208" i="6"/>
  <c r="EW208" i="6" s="1"/>
  <c r="U214" i="5"/>
  <c r="ET209" i="6"/>
  <c r="EP210" i="6" s="1"/>
  <c r="EQ209" i="6"/>
  <c r="CB197" i="6"/>
  <c r="X198" i="6" s="1"/>
  <c r="BF197" i="6"/>
  <c r="ET210" i="6" l="1"/>
  <c r="EP211" i="6" s="1"/>
  <c r="EQ210" i="6"/>
  <c r="W153" i="6"/>
  <c r="CA153" i="6" s="1"/>
  <c r="U153" i="6"/>
  <c r="BY153" i="6" s="1"/>
  <c r="V214" i="5"/>
  <c r="DV208" i="6"/>
  <c r="CB198" i="6"/>
  <c r="X199" i="6" s="1"/>
  <c r="BF198" i="6"/>
  <c r="W214" i="5"/>
  <c r="DW208" i="6"/>
  <c r="DX208" i="6"/>
  <c r="EV209" i="6"/>
  <c r="EW209" i="6" s="1"/>
  <c r="ES209" i="6"/>
  <c r="ER209" i="6"/>
  <c r="U215" i="5"/>
  <c r="CB199" i="6" l="1"/>
  <c r="X200" i="6" s="1"/>
  <c r="BF199" i="6"/>
  <c r="W154" i="6"/>
  <c r="CA154" i="6" s="1"/>
  <c r="U154" i="6"/>
  <c r="BY154" i="6" s="1"/>
  <c r="V215" i="5"/>
  <c r="DV209" i="6"/>
  <c r="ER210" i="6"/>
  <c r="ES210" i="6"/>
  <c r="EV210" i="6"/>
  <c r="EW210" i="6" s="1"/>
  <c r="U216" i="5"/>
  <c r="W215" i="5"/>
  <c r="DX209" i="6"/>
  <c r="DW209" i="6"/>
  <c r="EQ211" i="6"/>
  <c r="ET211" i="6"/>
  <c r="EP212" i="6" s="1"/>
  <c r="W216" i="5" l="1"/>
  <c r="DW210" i="6"/>
  <c r="DX210" i="6"/>
  <c r="W155" i="6"/>
  <c r="CA155" i="6" s="1"/>
  <c r="U155" i="6"/>
  <c r="BY155" i="6" s="1"/>
  <c r="V216" i="5"/>
  <c r="DV210" i="6"/>
  <c r="EV211" i="6"/>
  <c r="EW211" i="6" s="1"/>
  <c r="ER211" i="6"/>
  <c r="ES211" i="6"/>
  <c r="U217" i="5"/>
  <c r="EQ212" i="6"/>
  <c r="ET212" i="6"/>
  <c r="EP213" i="6" s="1"/>
  <c r="CB200" i="6"/>
  <c r="X201" i="6" s="1"/>
  <c r="BF200" i="6"/>
  <c r="V217" i="5" l="1"/>
  <c r="DV211" i="6"/>
  <c r="W217" i="5"/>
  <c r="DX211" i="6"/>
  <c r="DW211" i="6"/>
  <c r="EV212" i="6"/>
  <c r="EW212" i="6" s="1"/>
  <c r="ES212" i="6"/>
  <c r="ER212" i="6"/>
  <c r="U218" i="5"/>
  <c r="U156" i="6"/>
  <c r="BY156" i="6" s="1"/>
  <c r="W156" i="6"/>
  <c r="CA156" i="6" s="1"/>
  <c r="CB201" i="6"/>
  <c r="X202" i="6" s="1"/>
  <c r="BF201" i="6"/>
  <c r="EQ213" i="6"/>
  <c r="ET213" i="6"/>
  <c r="EP214" i="6" s="1"/>
  <c r="CB202" i="6" l="1"/>
  <c r="X203" i="6" s="1"/>
  <c r="BF202" i="6"/>
  <c r="V218" i="5"/>
  <c r="DV212" i="6"/>
  <c r="W218" i="5"/>
  <c r="DX212" i="6"/>
  <c r="DW212" i="6"/>
  <c r="W157" i="6"/>
  <c r="CA157" i="6" s="1"/>
  <c r="U157" i="6"/>
  <c r="BY157" i="6" s="1"/>
  <c r="ET214" i="6"/>
  <c r="EP215" i="6" s="1"/>
  <c r="EQ214" i="6"/>
  <c r="EV213" i="6"/>
  <c r="EW213" i="6" s="1"/>
  <c r="ER213" i="6"/>
  <c r="ES213" i="6"/>
  <c r="U219" i="5"/>
  <c r="ES214" i="6" l="1"/>
  <c r="ER214" i="6"/>
  <c r="EV214" i="6"/>
  <c r="EW214" i="6" s="1"/>
  <c r="U220" i="5"/>
  <c r="EQ215" i="6"/>
  <c r="ET215" i="6"/>
  <c r="EP216" i="6" s="1"/>
  <c r="W158" i="6"/>
  <c r="CA158" i="6" s="1"/>
  <c r="U158" i="6"/>
  <c r="BY158" i="6" s="1"/>
  <c r="W219" i="5"/>
  <c r="DX213" i="6"/>
  <c r="DW213" i="6"/>
  <c r="V219" i="5"/>
  <c r="DV213" i="6"/>
  <c r="CB203" i="6"/>
  <c r="X204" i="6" s="1"/>
  <c r="BF203" i="6"/>
  <c r="U159" i="6" l="1"/>
  <c r="BY159" i="6" s="1"/>
  <c r="W159" i="6"/>
  <c r="CA159" i="6" s="1"/>
  <c r="ER215" i="6"/>
  <c r="EV215" i="6"/>
  <c r="EW215" i="6" s="1"/>
  <c r="ES215" i="6"/>
  <c r="U221" i="5"/>
  <c r="ET216" i="6"/>
  <c r="EP217" i="6" s="1"/>
  <c r="EQ216" i="6"/>
  <c r="CB204" i="6"/>
  <c r="X205" i="6" s="1"/>
  <c r="BF204" i="6"/>
  <c r="V220" i="5"/>
  <c r="DV214" i="6"/>
  <c r="W220" i="5"/>
  <c r="DW214" i="6"/>
  <c r="DX214" i="6"/>
  <c r="EV216" i="6" l="1"/>
  <c r="EW216" i="6" s="1"/>
  <c r="ES216" i="6"/>
  <c r="ER216" i="6"/>
  <c r="U222" i="5"/>
  <c r="W221" i="5"/>
  <c r="DX215" i="6"/>
  <c r="DW215" i="6"/>
  <c r="EQ217" i="6"/>
  <c r="ET217" i="6"/>
  <c r="EP218" i="6" s="1"/>
  <c r="V221" i="5"/>
  <c r="DV215" i="6"/>
  <c r="CB205" i="6"/>
  <c r="X206" i="6" s="1"/>
  <c r="BF205" i="6"/>
  <c r="U160" i="6"/>
  <c r="BY160" i="6" s="1"/>
  <c r="W160" i="6"/>
  <c r="CA160" i="6" s="1"/>
  <c r="ET218" i="6" l="1"/>
  <c r="EP219" i="6" s="1"/>
  <c r="EQ218" i="6"/>
  <c r="EV217" i="6"/>
  <c r="EW217" i="6" s="1"/>
  <c r="ES217" i="6"/>
  <c r="ER217" i="6"/>
  <c r="U223" i="5"/>
  <c r="V222" i="5"/>
  <c r="DV216" i="6"/>
  <c r="CB206" i="6"/>
  <c r="X207" i="6" s="1"/>
  <c r="BF206" i="6"/>
  <c r="DX216" i="6"/>
  <c r="DW216" i="6"/>
  <c r="W222" i="5"/>
  <c r="W161" i="6"/>
  <c r="CA161" i="6" s="1"/>
  <c r="U161" i="6"/>
  <c r="BY161" i="6" s="1"/>
  <c r="CB207" i="6" l="1"/>
  <c r="X208" i="6" s="1"/>
  <c r="BF207" i="6"/>
  <c r="W223" i="5"/>
  <c r="DX217" i="6"/>
  <c r="DW217" i="6"/>
  <c r="V223" i="5"/>
  <c r="DV217" i="6"/>
  <c r="W162" i="6"/>
  <c r="CA162" i="6" s="1"/>
  <c r="U162" i="6"/>
  <c r="BY162" i="6" s="1"/>
  <c r="ES218" i="6"/>
  <c r="ER218" i="6"/>
  <c r="EV218" i="6"/>
  <c r="EW218" i="6" s="1"/>
  <c r="U224" i="5"/>
  <c r="EQ219" i="6"/>
  <c r="ET219" i="6"/>
  <c r="EP220" i="6" s="1"/>
  <c r="U163" i="6" l="1"/>
  <c r="BY163" i="6" s="1"/>
  <c r="W163" i="6"/>
  <c r="CA163" i="6" s="1"/>
  <c r="V224" i="5"/>
  <c r="DV218" i="6"/>
  <c r="ET220" i="6"/>
  <c r="EP221" i="6" s="1"/>
  <c r="EQ220" i="6"/>
  <c r="ER219" i="6"/>
  <c r="EV219" i="6"/>
  <c r="EW219" i="6" s="1"/>
  <c r="ES219" i="6"/>
  <c r="U225" i="5"/>
  <c r="W224" i="5"/>
  <c r="DW218" i="6"/>
  <c r="DX218" i="6"/>
  <c r="CB208" i="6"/>
  <c r="X209" i="6" s="1"/>
  <c r="BF208" i="6"/>
  <c r="V225" i="5" l="1"/>
  <c r="DV219" i="6"/>
  <c r="EV220" i="6"/>
  <c r="EW220" i="6" s="1"/>
  <c r="ES220" i="6"/>
  <c r="ER220" i="6"/>
  <c r="U226" i="5"/>
  <c r="EQ221" i="6"/>
  <c r="ET221" i="6"/>
  <c r="EP222" i="6" s="1"/>
  <c r="W225" i="5"/>
  <c r="DX219" i="6"/>
  <c r="DW219" i="6"/>
  <c r="CB209" i="6"/>
  <c r="X210" i="6" s="1"/>
  <c r="BF209" i="6"/>
  <c r="U164" i="6"/>
  <c r="BY164" i="6" s="1"/>
  <c r="W164" i="6"/>
  <c r="CA164" i="6" s="1"/>
  <c r="CB210" i="6" l="1"/>
  <c r="X211" i="6" s="1"/>
  <c r="BF210" i="6"/>
  <c r="EV221" i="6"/>
  <c r="EW221" i="6" s="1"/>
  <c r="ES221" i="6"/>
  <c r="ER221" i="6"/>
  <c r="U227" i="5"/>
  <c r="V226" i="5"/>
  <c r="DV220" i="6"/>
  <c r="W226" i="5"/>
  <c r="DX220" i="6"/>
  <c r="DW220" i="6"/>
  <c r="ET222" i="6"/>
  <c r="EP223" i="6" s="1"/>
  <c r="EQ222" i="6"/>
  <c r="U165" i="6"/>
  <c r="BY165" i="6" s="1"/>
  <c r="W165" i="6"/>
  <c r="CA165" i="6" s="1"/>
  <c r="EQ223" i="6" l="1"/>
  <c r="ET223" i="6"/>
  <c r="EP224" i="6" s="1"/>
  <c r="W227" i="5"/>
  <c r="DX221" i="6"/>
  <c r="DW221" i="6"/>
  <c r="W166" i="6"/>
  <c r="CA166" i="6" s="1"/>
  <c r="U166" i="6"/>
  <c r="BY166" i="6" s="1"/>
  <c r="V227" i="5"/>
  <c r="DV221" i="6"/>
  <c r="ES222" i="6"/>
  <c r="ER222" i="6"/>
  <c r="EV222" i="6"/>
  <c r="EW222" i="6" s="1"/>
  <c r="U228" i="5"/>
  <c r="CB211" i="6"/>
  <c r="X212" i="6" s="1"/>
  <c r="BF211" i="6"/>
  <c r="V228" i="5" l="1"/>
  <c r="DV222" i="6"/>
  <c r="W167" i="6"/>
  <c r="CA167" i="6" s="1"/>
  <c r="U167" i="6"/>
  <c r="BY167" i="6" s="1"/>
  <c r="W228" i="5"/>
  <c r="DW222" i="6"/>
  <c r="DX222" i="6"/>
  <c r="EQ224" i="6"/>
  <c r="ET224" i="6"/>
  <c r="EP225" i="6" s="1"/>
  <c r="CB212" i="6"/>
  <c r="X213" i="6" s="1"/>
  <c r="BF212" i="6"/>
  <c r="ER223" i="6"/>
  <c r="EV223" i="6"/>
  <c r="EW223" i="6" s="1"/>
  <c r="ES223" i="6"/>
  <c r="U229" i="5"/>
  <c r="CB213" i="6" l="1"/>
  <c r="X214" i="6" s="1"/>
  <c r="BF213" i="6"/>
  <c r="V229" i="5"/>
  <c r="DV223" i="6"/>
  <c r="ET225" i="6"/>
  <c r="EP226" i="6" s="1"/>
  <c r="EQ225" i="6"/>
  <c r="W168" i="6"/>
  <c r="CA168" i="6" s="1"/>
  <c r="U168" i="6"/>
  <c r="BY168" i="6" s="1"/>
  <c r="W229" i="5"/>
  <c r="DW223" i="6"/>
  <c r="DX223" i="6"/>
  <c r="ER224" i="6"/>
  <c r="EV224" i="6"/>
  <c r="EW224" i="6" s="1"/>
  <c r="ES224" i="6"/>
  <c r="U230" i="5"/>
  <c r="ET226" i="6" l="1"/>
  <c r="EP227" i="6" s="1"/>
  <c r="EQ226" i="6"/>
  <c r="EV225" i="6"/>
  <c r="EW225" i="6" s="1"/>
  <c r="ES225" i="6"/>
  <c r="ER225" i="6"/>
  <c r="U231" i="5"/>
  <c r="V230" i="5"/>
  <c r="DV224" i="6"/>
  <c r="W169" i="6"/>
  <c r="CA169" i="6" s="1"/>
  <c r="U169" i="6"/>
  <c r="BY169" i="6" s="1"/>
  <c r="W230" i="5"/>
  <c r="DW224" i="6"/>
  <c r="DX224" i="6"/>
  <c r="CB214" i="6"/>
  <c r="X215" i="6" s="1"/>
  <c r="BF214" i="6"/>
  <c r="V231" i="5" l="1"/>
  <c r="DV225" i="6"/>
  <c r="W231" i="5"/>
  <c r="DX225" i="6"/>
  <c r="DW225" i="6"/>
  <c r="U170" i="6"/>
  <c r="BY170" i="6" s="1"/>
  <c r="W170" i="6"/>
  <c r="CA170" i="6" s="1"/>
  <c r="CB215" i="6"/>
  <c r="X216" i="6" s="1"/>
  <c r="BF215" i="6"/>
  <c r="EV226" i="6"/>
  <c r="EW226" i="6" s="1"/>
  <c r="ES226" i="6"/>
  <c r="ER226" i="6"/>
  <c r="U232" i="5"/>
  <c r="ET227" i="6"/>
  <c r="EP228" i="6" s="1"/>
  <c r="EQ227" i="6"/>
  <c r="V232" i="5" l="1"/>
  <c r="DV226" i="6"/>
  <c r="CB216" i="6"/>
  <c r="X217" i="6" s="1"/>
  <c r="BF216" i="6"/>
  <c r="U171" i="6"/>
  <c r="BY171" i="6" s="1"/>
  <c r="W171" i="6"/>
  <c r="CA171" i="6" s="1"/>
  <c r="W232" i="5"/>
  <c r="DW226" i="6"/>
  <c r="DX226" i="6"/>
  <c r="EV227" i="6"/>
  <c r="EW227" i="6" s="1"/>
  <c r="ES227" i="6"/>
  <c r="ER227" i="6"/>
  <c r="U233" i="5"/>
  <c r="EQ228" i="6"/>
  <c r="ET228" i="6"/>
  <c r="EP229" i="6" s="1"/>
  <c r="W233" i="5" l="1"/>
  <c r="DX227" i="6"/>
  <c r="DW227" i="6"/>
  <c r="U172" i="6"/>
  <c r="BY172" i="6" s="1"/>
  <c r="W172" i="6"/>
  <c r="CA172" i="6" s="1"/>
  <c r="V233" i="5"/>
  <c r="DV227" i="6"/>
  <c r="ET229" i="6"/>
  <c r="EP230" i="6" s="1"/>
  <c r="EQ229" i="6"/>
  <c r="CB217" i="6"/>
  <c r="X218" i="6" s="1"/>
  <c r="BF217" i="6"/>
  <c r="ES228" i="6"/>
  <c r="ER228" i="6"/>
  <c r="EV228" i="6"/>
  <c r="EW228" i="6" s="1"/>
  <c r="U234" i="5"/>
  <c r="W234" i="5" l="1"/>
  <c r="DX228" i="6"/>
  <c r="DW228" i="6"/>
  <c r="ES229" i="6"/>
  <c r="EV229" i="6"/>
  <c r="EW229" i="6" s="1"/>
  <c r="ER229" i="6"/>
  <c r="U235" i="5"/>
  <c r="U173" i="6"/>
  <c r="BY173" i="6" s="1"/>
  <c r="W173" i="6"/>
  <c r="CA173" i="6" s="1"/>
  <c r="EQ230" i="6"/>
  <c r="ET230" i="6"/>
  <c r="EP231" i="6" s="1"/>
  <c r="CB218" i="6"/>
  <c r="X219" i="6" s="1"/>
  <c r="BF218" i="6"/>
  <c r="V234" i="5"/>
  <c r="DV228" i="6"/>
  <c r="ER230" i="6" l="1"/>
  <c r="EV230" i="6"/>
  <c r="EW230" i="6" s="1"/>
  <c r="ES230" i="6"/>
  <c r="U236" i="5"/>
  <c r="ET231" i="6"/>
  <c r="EP232" i="6" s="1"/>
  <c r="EQ231" i="6"/>
  <c r="V235" i="5"/>
  <c r="DV229" i="6"/>
  <c r="W235" i="5"/>
  <c r="DW229" i="6"/>
  <c r="DX229" i="6"/>
  <c r="U174" i="6"/>
  <c r="BY174" i="6" s="1"/>
  <c r="W174" i="6"/>
  <c r="CA174" i="6" s="1"/>
  <c r="CB219" i="6"/>
  <c r="X220" i="6" s="1"/>
  <c r="BF219" i="6"/>
  <c r="U175" i="6" l="1"/>
  <c r="BY175" i="6" s="1"/>
  <c r="W175" i="6"/>
  <c r="CA175" i="6" s="1"/>
  <c r="EV231" i="6"/>
  <c r="EW231" i="6" s="1"/>
  <c r="ES231" i="6"/>
  <c r="ER231" i="6"/>
  <c r="U237" i="5"/>
  <c r="ET232" i="6"/>
  <c r="EP233" i="6" s="1"/>
  <c r="EQ232" i="6"/>
  <c r="W236" i="5"/>
  <c r="DX230" i="6"/>
  <c r="DW230" i="6"/>
  <c r="CB220" i="6"/>
  <c r="X221" i="6" s="1"/>
  <c r="BF220" i="6"/>
  <c r="V236" i="5"/>
  <c r="DV230" i="6"/>
  <c r="EV232" i="6" l="1"/>
  <c r="EW232" i="6" s="1"/>
  <c r="ES232" i="6"/>
  <c r="ER232" i="6"/>
  <c r="U238" i="5"/>
  <c r="CB221" i="6"/>
  <c r="X222" i="6" s="1"/>
  <c r="BF221" i="6"/>
  <c r="V237" i="5"/>
  <c r="DV231" i="6"/>
  <c r="W237" i="5"/>
  <c r="DW231" i="6"/>
  <c r="DX231" i="6"/>
  <c r="ET233" i="6"/>
  <c r="EP234" i="6" s="1"/>
  <c r="EQ233" i="6"/>
  <c r="W176" i="6"/>
  <c r="CA176" i="6" s="1"/>
  <c r="U176" i="6"/>
  <c r="BY176" i="6" s="1"/>
  <c r="EQ234" i="6" l="1"/>
  <c r="ET234" i="6"/>
  <c r="EP235" i="6" s="1"/>
  <c r="CB222" i="6"/>
  <c r="X223" i="6" s="1"/>
  <c r="BF222" i="6"/>
  <c r="W177" i="6"/>
  <c r="CA177" i="6" s="1"/>
  <c r="U177" i="6"/>
  <c r="BY177" i="6" s="1"/>
  <c r="V238" i="5"/>
  <c r="DV232" i="6"/>
  <c r="DW232" i="6"/>
  <c r="W238" i="5"/>
  <c r="DX232" i="6"/>
  <c r="EV233" i="6"/>
  <c r="EW233" i="6" s="1"/>
  <c r="ES233" i="6"/>
  <c r="ER233" i="6"/>
  <c r="U239" i="5"/>
  <c r="U178" i="6" l="1"/>
  <c r="BY178" i="6" s="1"/>
  <c r="W178" i="6"/>
  <c r="CA178" i="6" s="1"/>
  <c r="CB223" i="6"/>
  <c r="X224" i="6" s="1"/>
  <c r="BF223" i="6"/>
  <c r="V239" i="5"/>
  <c r="DV233" i="6"/>
  <c r="ET235" i="6"/>
  <c r="EP236" i="6" s="1"/>
  <c r="EQ235" i="6"/>
  <c r="W239" i="5"/>
  <c r="DX233" i="6"/>
  <c r="DW233" i="6"/>
  <c r="EV234" i="6"/>
  <c r="EW234" i="6" s="1"/>
  <c r="ES234" i="6"/>
  <c r="ER234" i="6"/>
  <c r="U240" i="5"/>
  <c r="ET236" i="6" l="1"/>
  <c r="EP237" i="6" s="1"/>
  <c r="EQ236" i="6"/>
  <c r="EV235" i="6"/>
  <c r="EW235" i="6" s="1"/>
  <c r="ES235" i="6"/>
  <c r="ER235" i="6"/>
  <c r="U241" i="5"/>
  <c r="CB224" i="6"/>
  <c r="X225" i="6" s="1"/>
  <c r="BF224" i="6"/>
  <c r="V240" i="5"/>
  <c r="DV234" i="6"/>
  <c r="W240" i="5"/>
  <c r="DX234" i="6"/>
  <c r="DW234" i="6"/>
  <c r="W179" i="6"/>
  <c r="CA179" i="6" s="1"/>
  <c r="U179" i="6"/>
  <c r="BY179" i="6" s="1"/>
  <c r="CB225" i="6" l="1"/>
  <c r="X226" i="6" s="1"/>
  <c r="BF225" i="6"/>
  <c r="V241" i="5"/>
  <c r="DV235" i="6"/>
  <c r="W241" i="5"/>
  <c r="DW235" i="6"/>
  <c r="DX235" i="6"/>
  <c r="U180" i="6"/>
  <c r="BY180" i="6" s="1"/>
  <c r="W180" i="6"/>
  <c r="CA180" i="6" s="1"/>
  <c r="EV236" i="6"/>
  <c r="EW236" i="6" s="1"/>
  <c r="ES236" i="6"/>
  <c r="ER236" i="6"/>
  <c r="U242" i="5"/>
  <c r="EQ237" i="6"/>
  <c r="ET237" i="6"/>
  <c r="EP238" i="6" s="1"/>
  <c r="DX236" i="6" l="1"/>
  <c r="W242" i="5"/>
  <c r="DW236" i="6"/>
  <c r="ET238" i="6"/>
  <c r="EP239" i="6" s="1"/>
  <c r="EQ238" i="6"/>
  <c r="V242" i="5"/>
  <c r="DV236" i="6"/>
  <c r="EV237" i="6"/>
  <c r="EW237" i="6" s="1"/>
  <c r="ES237" i="6"/>
  <c r="ER237" i="6"/>
  <c r="U243" i="5"/>
  <c r="W181" i="6"/>
  <c r="CA181" i="6" s="1"/>
  <c r="U181" i="6"/>
  <c r="BY181" i="6" s="1"/>
  <c r="CB226" i="6"/>
  <c r="X227" i="6" s="1"/>
  <c r="BF226" i="6"/>
  <c r="V243" i="5" l="1"/>
  <c r="DV237" i="6"/>
  <c r="ES238" i="6"/>
  <c r="EV238" i="6"/>
  <c r="EW238" i="6" s="1"/>
  <c r="ER238" i="6"/>
  <c r="U244" i="5"/>
  <c r="EQ239" i="6"/>
  <c r="ET239" i="6"/>
  <c r="EP240" i="6" s="1"/>
  <c r="CB227" i="6"/>
  <c r="X228" i="6" s="1"/>
  <c r="BF227" i="6"/>
  <c r="W243" i="5"/>
  <c r="DW237" i="6"/>
  <c r="DX237" i="6"/>
  <c r="U182" i="6"/>
  <c r="BY182" i="6" s="1"/>
  <c r="W182" i="6"/>
  <c r="CA182" i="6" s="1"/>
  <c r="CB228" i="6" l="1"/>
  <c r="X229" i="6" s="1"/>
  <c r="BF228" i="6"/>
  <c r="ET240" i="6"/>
  <c r="EP241" i="6" s="1"/>
  <c r="EQ240" i="6"/>
  <c r="V244" i="5"/>
  <c r="DV238" i="6"/>
  <c r="EV239" i="6"/>
  <c r="EW239" i="6" s="1"/>
  <c r="ES239" i="6"/>
  <c r="ER239" i="6"/>
  <c r="U245" i="5"/>
  <c r="W244" i="5"/>
  <c r="DX238" i="6"/>
  <c r="DW238" i="6"/>
  <c r="U183" i="6"/>
  <c r="BY183" i="6" s="1"/>
  <c r="W183" i="6"/>
  <c r="CA183" i="6" s="1"/>
  <c r="W245" i="5" l="1"/>
  <c r="DW239" i="6"/>
  <c r="DX239" i="6"/>
  <c r="V245" i="5"/>
  <c r="DV239" i="6"/>
  <c r="ES240" i="6"/>
  <c r="ER240" i="6"/>
  <c r="EV240" i="6"/>
  <c r="EW240" i="6" s="1"/>
  <c r="U246" i="5"/>
  <c r="ET241" i="6"/>
  <c r="EP242" i="6" s="1"/>
  <c r="EQ241" i="6"/>
  <c r="U184" i="6"/>
  <c r="BY184" i="6" s="1"/>
  <c r="W184" i="6"/>
  <c r="CA184" i="6" s="1"/>
  <c r="CB229" i="6"/>
  <c r="X230" i="6" s="1"/>
  <c r="BF229" i="6"/>
  <c r="U185" i="6" l="1"/>
  <c r="BY185" i="6" s="1"/>
  <c r="W185" i="6"/>
  <c r="CA185" i="6" s="1"/>
  <c r="V246" i="5"/>
  <c r="DV240" i="6"/>
  <c r="W246" i="5"/>
  <c r="DW240" i="6"/>
  <c r="DX240" i="6"/>
  <c r="ET242" i="6"/>
  <c r="EQ242" i="6"/>
  <c r="EV241" i="6"/>
  <c r="EW241" i="6" s="1"/>
  <c r="ER241" i="6"/>
  <c r="ES241" i="6"/>
  <c r="U247" i="5"/>
  <c r="CB230" i="6"/>
  <c r="X231" i="6" s="1"/>
  <c r="BF230" i="6"/>
  <c r="V247" i="5" l="1"/>
  <c r="DV241" i="6"/>
  <c r="ER242" i="6"/>
  <c r="ES242" i="6"/>
  <c r="EV242" i="6"/>
  <c r="EW242" i="6" s="1"/>
  <c r="U248" i="5"/>
  <c r="W247" i="5"/>
  <c r="DW241" i="6"/>
  <c r="DX241" i="6"/>
  <c r="CB231" i="6"/>
  <c r="X232" i="6" s="1"/>
  <c r="BF231" i="6"/>
  <c r="U186" i="6"/>
  <c r="BY186" i="6" s="1"/>
  <c r="W186" i="6"/>
  <c r="CA186" i="6" s="1"/>
  <c r="W248" i="5" l="1"/>
  <c r="DX242" i="6"/>
  <c r="DW242" i="6"/>
  <c r="U187" i="6"/>
  <c r="BY187" i="6" s="1"/>
  <c r="W187" i="6"/>
  <c r="CA187" i="6" s="1"/>
  <c r="V248" i="5"/>
  <c r="DV242" i="6"/>
  <c r="CB232" i="6"/>
  <c r="X233" i="6" s="1"/>
  <c r="BF232" i="6"/>
  <c r="CB233" i="6" l="1"/>
  <c r="X234" i="6" s="1"/>
  <c r="BF233" i="6"/>
  <c r="U188" i="6"/>
  <c r="BY188" i="6" s="1"/>
  <c r="W188" i="6"/>
  <c r="CA188" i="6" s="1"/>
  <c r="U189" i="6" l="1"/>
  <c r="BY189" i="6" s="1"/>
  <c r="W189" i="6"/>
  <c r="CA189" i="6" s="1"/>
  <c r="CB234" i="6"/>
  <c r="X235" i="6" s="1"/>
  <c r="BF234" i="6"/>
  <c r="CB235" i="6" l="1"/>
  <c r="X236" i="6" s="1"/>
  <c r="BF235" i="6"/>
  <c r="W190" i="6"/>
  <c r="CA190" i="6" s="1"/>
  <c r="U190" i="6"/>
  <c r="BY190" i="6" s="1"/>
  <c r="U191" i="6" l="1"/>
  <c r="BY191" i="6" s="1"/>
  <c r="W191" i="6"/>
  <c r="CA191" i="6" s="1"/>
  <c r="CB236" i="6"/>
  <c r="X237" i="6" s="1"/>
  <c r="BF236" i="6"/>
  <c r="CB237" i="6" l="1"/>
  <c r="X238" i="6" s="1"/>
  <c r="BF237" i="6"/>
  <c r="W192" i="6"/>
  <c r="CA192" i="6" s="1"/>
  <c r="U192" i="6"/>
  <c r="BY192" i="6" s="1"/>
  <c r="W193" i="6" l="1"/>
  <c r="CA193" i="6" s="1"/>
  <c r="U193" i="6"/>
  <c r="BY193" i="6" s="1"/>
  <c r="CB238" i="6"/>
  <c r="X239" i="6" s="1"/>
  <c r="BF238" i="6"/>
  <c r="CB239" i="6" l="1"/>
  <c r="X240" i="6" s="1"/>
  <c r="BF239" i="6"/>
  <c r="W194" i="6"/>
  <c r="CA194" i="6" s="1"/>
  <c r="U194" i="6"/>
  <c r="BY194" i="6" s="1"/>
  <c r="U195" i="6" l="1"/>
  <c r="BY195" i="6" s="1"/>
  <c r="W195" i="6"/>
  <c r="CA195" i="6" s="1"/>
  <c r="CB240" i="6"/>
  <c r="X241" i="6" s="1"/>
  <c r="BF240" i="6"/>
  <c r="CB241" i="6" l="1"/>
  <c r="X242" i="6" s="1"/>
  <c r="BF241" i="6"/>
  <c r="W196" i="6"/>
  <c r="CA196" i="6" s="1"/>
  <c r="U196" i="6"/>
  <c r="BY196" i="6" s="1"/>
  <c r="U197" i="6" l="1"/>
  <c r="BY197" i="6" s="1"/>
  <c r="W197" i="6"/>
  <c r="CA197" i="6" s="1"/>
  <c r="CB242" i="6"/>
  <c r="BF242" i="6"/>
  <c r="U198" i="6" l="1"/>
  <c r="BY198" i="6" s="1"/>
  <c r="W198" i="6"/>
  <c r="CA198" i="6" s="1"/>
  <c r="W199" i="6" l="1"/>
  <c r="CA199" i="6" s="1"/>
  <c r="U199" i="6"/>
  <c r="BY199" i="6" s="1"/>
  <c r="W200" i="6" l="1"/>
  <c r="CA200" i="6" s="1"/>
  <c r="U200" i="6"/>
  <c r="BY200" i="6" s="1"/>
  <c r="W201" i="6" l="1"/>
  <c r="CA201" i="6" s="1"/>
  <c r="U201" i="6"/>
  <c r="BY201" i="6" s="1"/>
  <c r="W202" i="6" l="1"/>
  <c r="CA202" i="6" s="1"/>
  <c r="U202" i="6"/>
  <c r="BY202" i="6" s="1"/>
  <c r="U203" i="6" l="1"/>
  <c r="BY203" i="6" s="1"/>
  <c r="W203" i="6"/>
  <c r="CA203" i="6" s="1"/>
  <c r="W204" i="6" l="1"/>
  <c r="CA204" i="6" s="1"/>
  <c r="U204" i="6"/>
  <c r="BY204" i="6" s="1"/>
  <c r="W205" i="6" l="1"/>
  <c r="CA205" i="6" s="1"/>
  <c r="U205" i="6"/>
  <c r="BY205" i="6" s="1"/>
  <c r="W206" i="6" l="1"/>
  <c r="CA206" i="6" s="1"/>
  <c r="U206" i="6"/>
  <c r="BY206" i="6" s="1"/>
  <c r="W207" i="6" l="1"/>
  <c r="CA207" i="6" s="1"/>
  <c r="U207" i="6"/>
  <c r="BY207" i="6" s="1"/>
  <c r="U208" i="6" l="1"/>
  <c r="BY208" i="6" s="1"/>
  <c r="W208" i="6"/>
  <c r="CA208" i="6" s="1"/>
  <c r="W209" i="6" l="1"/>
  <c r="CA209" i="6" s="1"/>
  <c r="U209" i="6"/>
  <c r="BY209" i="6" s="1"/>
  <c r="U210" i="6" l="1"/>
  <c r="BY210" i="6" s="1"/>
  <c r="W210" i="6"/>
  <c r="CA210" i="6" s="1"/>
  <c r="W211" i="6" l="1"/>
  <c r="CA211" i="6" s="1"/>
  <c r="U211" i="6"/>
  <c r="BY211" i="6" s="1"/>
  <c r="W212" i="6" l="1"/>
  <c r="CA212" i="6" s="1"/>
  <c r="U212" i="6"/>
  <c r="BY212" i="6" s="1"/>
  <c r="W213" i="6" l="1"/>
  <c r="CA213" i="6" s="1"/>
  <c r="U213" i="6"/>
  <c r="BY213" i="6" s="1"/>
  <c r="U214" i="6" l="1"/>
  <c r="BY214" i="6" s="1"/>
  <c r="W214" i="6"/>
  <c r="CA214" i="6" s="1"/>
  <c r="U215" i="6" l="1"/>
  <c r="BY215" i="6" s="1"/>
  <c r="W215" i="6"/>
  <c r="CA215" i="6" s="1"/>
  <c r="U216" i="6" l="1"/>
  <c r="BY216" i="6" s="1"/>
  <c r="W216" i="6"/>
  <c r="CA216" i="6" s="1"/>
  <c r="W217" i="6" l="1"/>
  <c r="CA217" i="6" s="1"/>
  <c r="U217" i="6"/>
  <c r="BY217" i="6" s="1"/>
  <c r="U218" i="6" l="1"/>
  <c r="BY218" i="6" s="1"/>
  <c r="W218" i="6"/>
  <c r="CA218" i="6" s="1"/>
  <c r="U219" i="6" l="1"/>
  <c r="BY219" i="6" s="1"/>
  <c r="W219" i="6"/>
  <c r="CA219" i="6" s="1"/>
  <c r="U220" i="6" l="1"/>
  <c r="BY220" i="6" s="1"/>
  <c r="W220" i="6"/>
  <c r="CA220" i="6" s="1"/>
  <c r="W221" i="6" l="1"/>
  <c r="CA221" i="6" s="1"/>
  <c r="U221" i="6"/>
  <c r="BY221" i="6" s="1"/>
  <c r="W222" i="6" l="1"/>
  <c r="CA222" i="6" s="1"/>
  <c r="U222" i="6"/>
  <c r="BY222" i="6" s="1"/>
  <c r="U223" i="6" l="1"/>
  <c r="BY223" i="6" s="1"/>
  <c r="W223" i="6"/>
  <c r="CA223" i="6" s="1"/>
  <c r="W224" i="6" l="1"/>
  <c r="CA224" i="6" s="1"/>
  <c r="U224" i="6"/>
  <c r="BY224" i="6" s="1"/>
  <c r="U225" i="6" l="1"/>
  <c r="BY225" i="6" s="1"/>
  <c r="W225" i="6"/>
  <c r="CA225" i="6" s="1"/>
  <c r="W226" i="6" l="1"/>
  <c r="CA226" i="6" s="1"/>
  <c r="U226" i="6"/>
  <c r="BY226" i="6" s="1"/>
  <c r="W227" i="6" l="1"/>
  <c r="CA227" i="6" s="1"/>
  <c r="U227" i="6"/>
  <c r="BY227" i="6" s="1"/>
  <c r="W228" i="6" l="1"/>
  <c r="CA228" i="6" s="1"/>
  <c r="U228" i="6"/>
  <c r="BY228" i="6" s="1"/>
  <c r="W229" i="6" l="1"/>
  <c r="CA229" i="6" s="1"/>
  <c r="U229" i="6"/>
  <c r="BY229" i="6" s="1"/>
  <c r="W230" i="6" l="1"/>
  <c r="CA230" i="6" s="1"/>
  <c r="U230" i="6"/>
  <c r="BY230" i="6" s="1"/>
  <c r="U231" i="6" l="1"/>
  <c r="BY231" i="6" s="1"/>
  <c r="W231" i="6"/>
  <c r="CA231" i="6" s="1"/>
  <c r="W232" i="6" l="1"/>
  <c r="CA232" i="6" s="1"/>
  <c r="U232" i="6"/>
  <c r="BY232" i="6" s="1"/>
  <c r="W233" i="6" l="1"/>
  <c r="CA233" i="6" s="1"/>
  <c r="U233" i="6"/>
  <c r="BY233" i="6" s="1"/>
  <c r="W234" i="6" l="1"/>
  <c r="CA234" i="6" s="1"/>
  <c r="U234" i="6"/>
  <c r="BY234" i="6" s="1"/>
  <c r="W235" i="6" l="1"/>
  <c r="CA235" i="6" s="1"/>
  <c r="U235" i="6"/>
  <c r="BY235" i="6" s="1"/>
  <c r="U236" i="6" l="1"/>
  <c r="BY236" i="6" s="1"/>
  <c r="W236" i="6"/>
  <c r="CA236" i="6" s="1"/>
  <c r="W237" i="6" l="1"/>
  <c r="CA237" i="6" s="1"/>
  <c r="U237" i="6"/>
  <c r="BY237" i="6" s="1"/>
  <c r="U238" i="6" l="1"/>
  <c r="BY238" i="6" s="1"/>
  <c r="W238" i="6"/>
  <c r="CA238" i="6" s="1"/>
  <c r="W239" i="6" l="1"/>
  <c r="CA239" i="6" s="1"/>
  <c r="U239" i="6"/>
  <c r="BY239" i="6" s="1"/>
  <c r="U240" i="6" l="1"/>
  <c r="BY240" i="6" s="1"/>
  <c r="W240" i="6"/>
  <c r="CA240" i="6" s="1"/>
  <c r="U241" i="6" l="1"/>
  <c r="BY241" i="6" s="1"/>
  <c r="W241" i="6"/>
  <c r="CA241" i="6" s="1"/>
  <c r="W242" i="6" l="1"/>
  <c r="CA242" i="6" s="1"/>
  <c r="U242" i="6"/>
  <c r="BY242" i="6" s="1"/>
</calcChain>
</file>

<file path=xl/sharedStrings.xml><?xml version="1.0" encoding="utf-8"?>
<sst xmlns="http://schemas.openxmlformats.org/spreadsheetml/2006/main" count="1530" uniqueCount="852">
  <si>
    <t>洞知队｜角色基础数值与入战面板</t>
  </si>
  <si>
    <t>角色</t>
  </si>
  <si>
    <t>灵感</t>
  </si>
  <si>
    <t>攻击</t>
  </si>
  <si>
    <t>生命</t>
  </si>
  <si>
    <t>现实防御</t>
  </si>
  <si>
    <t>精神防御</t>
  </si>
  <si>
    <t>暴击率</t>
  </si>
  <si>
    <t>暴击创伤</t>
  </si>
  <si>
    <t>创伤加成</t>
  </si>
  <si>
    <t>受创减免</t>
  </si>
  <si>
    <t>术法威力</t>
  </si>
  <si>
    <t>仪式威力</t>
  </si>
  <si>
    <t>伤害加成</t>
  </si>
  <si>
    <t>红弩箭</t>
  </si>
  <si>
    <t>星</t>
  </si>
  <si>
    <t>37</t>
  </si>
  <si>
    <t>小瑞安侬</t>
  </si>
  <si>
    <t>兽</t>
  </si>
  <si>
    <t>J</t>
  </si>
  <si>
    <t>入战加成｜已包含账号练度效果与本关场地Buff</t>
  </si>
  <si>
    <t>来源</t>
  </si>
  <si>
    <t>场地+37狂想IV+洞悉II+立于风暴脊A5</t>
  </si>
  <si>
    <t>场地+狂想IV+洞悉II+灵知当齐一A1</t>
  </si>
  <si>
    <t>全员场地术法减益+洞悉II+昨日雨声轻A5+37狂想IV</t>
  </si>
  <si>
    <t>全员场地术法减益+洞悉II+37狂想IV</t>
  </si>
  <si>
    <t>最终入战面板｜攻击、生命、双防向下取整</t>
  </si>
  <si>
    <t>账号</t>
  </si>
  <si>
    <t>红弩箭：2塑｜洞悉III 60｜共鸣13 希冀｜立于风暴脊 Lv60 A5</t>
  </si>
  <si>
    <t>37：0塑｜洞悉III 60｜共鸣10 恍然惊诧｜狂想IV｜灵知当齐一 Lv60 A1</t>
  </si>
  <si>
    <t>小瑞安侬：0塑｜洞悉III 60｜共鸣15 亢奋｜昨日雨声轻 Lv60 A5</t>
  </si>
  <si>
    <t>J：0塑｜洞悉III 60｜共鸣10 未调频｜狂想IV｜家庭指导员Lv60 A1。已确认1906攻击、12876生命、创伤加成2.5%来自装备心相后面板。心相360攻击、3000生命、双防160及16%生命不重复添加。</t>
  </si>
  <si>
    <t>场地</t>
  </si>
  <si>
    <t>星/岩：攻击、现实防御、精神防御、最大生命+20%；全员：术法威力−40%，全程生效。统一术法减益在Boss参数B58修改。</t>
  </si>
  <si>
    <t>说明</t>
  </si>
  <si>
    <t>黄色为可编辑输入；绿色为公式结果。基础面板直接使用游戏内显示值，避免重复叠加共鸣/调频/心相静态属性。</t>
  </si>
  <si>
    <t>技能数据库｜伤害倍率与核心机制</t>
  </si>
  <si>
    <t>选择键</t>
  </si>
  <si>
    <t>技能</t>
  </si>
  <si>
    <t>阶次</t>
  </si>
  <si>
    <t>类型</t>
  </si>
  <si>
    <t>创伤类型</t>
  </si>
  <si>
    <t>基础倍率</t>
  </si>
  <si>
    <t>本源倍率</t>
  </si>
  <si>
    <t>代码</t>
  </si>
  <si>
    <t>目标</t>
  </si>
  <si>
    <t>机制摘要</t>
  </si>
  <si>
    <t>来源URL</t>
  </si>
  <si>
    <t>系统｜进入弱点洞穿</t>
  </si>
  <si>
    <t>系统</t>
  </si>
  <si>
    <t>进入弱点洞穿</t>
  </si>
  <si>
    <t>无</t>
  </si>
  <si>
    <t>ENTER_INSIGHT</t>
  </si>
  <si>
    <t>手动插入；重置洞穿阶段计数</t>
  </si>
  <si>
    <t>https://res1999.huijiwiki.com/wiki/37</t>
  </si>
  <si>
    <t>红弩箭｜极限俯冲Ⅰ</t>
  </si>
  <si>
    <t>极限俯冲</t>
  </si>
  <si>
    <t>术法</t>
  </si>
  <si>
    <t>现实</t>
  </si>
  <si>
    <t>LILYA_DIVE</t>
  </si>
  <si>
    <t>单体</t>
  </si>
  <si>
    <t>2塑基础300%；吟诵追加倍率/伤害提升由后台计算</t>
  </si>
  <si>
    <t>https://res1999.huijiwiki.com/wiki/狩勋女巫红弩箭</t>
  </si>
  <si>
    <t>红弩箭｜极限俯冲Ⅱ</t>
  </si>
  <si>
    <t>2塑基础600%</t>
  </si>
  <si>
    <t>红弩箭｜极限俯冲Ⅲ</t>
  </si>
  <si>
    <t>2塑基础900%</t>
  </si>
  <si>
    <t>红弩箭｜眼镜蛇机动</t>
  </si>
  <si>
    <t>眼镜蛇机动</t>
  </si>
  <si>
    <t>增益</t>
  </si>
  <si>
    <t>LILYA_COBRA</t>
  </si>
  <si>
    <t>自身</t>
  </si>
  <si>
    <t>红弩箭｜试试杀手锏</t>
  </si>
  <si>
    <t>试试杀手锏</t>
  </si>
  <si>
    <t>仪式</t>
  </si>
  <si>
    <t>LILYA_ULT</t>
  </si>
  <si>
    <t>主目标</t>
  </si>
  <si>
    <t>2塑主目标1800%；弹药≥6再追加1800%并强化仪式/暴创/穿透</t>
  </si>
  <si>
    <t>红弩箭｜洞知咒语</t>
  </si>
  <si>
    <t>洞知咒语</t>
  </si>
  <si>
    <t>洞知</t>
  </si>
  <si>
    <t>LILYA_INSIGHT</t>
  </si>
  <si>
    <t>单体/强化群体</t>
  </si>
  <si>
    <t>1500%现实；普通洞知攻击时暴创+60%；自身每第三次强化3200%现实，攻击时暴创+80%。</t>
  </si>
  <si>
    <t>用户提供完整技能文字；开局13次主伤及4次附加精确</t>
  </si>
  <si>
    <t>红弩箭｜洞知终结</t>
  </si>
  <si>
    <t>洞知终结</t>
  </si>
  <si>
    <t>LILYA_FINISH</t>
  </si>
  <si>
    <t>群体</t>
  </si>
  <si>
    <t>5000%现实＋本阶段此前队伍每行动一次250%；攻击时暴创+100%；攻击后退出洞穿。</t>
  </si>
  <si>
    <t>用户提供完整技能文字；开局终结964769+385907精确</t>
  </si>
  <si>
    <t>37｜三角正论Ⅰ</t>
  </si>
  <si>
    <t>三角正论</t>
  </si>
  <si>
    <t>精神</t>
  </si>
  <si>
    <t>37_TRIANGLE</t>
  </si>
  <si>
    <t>狂想III：基础值额外100%，精神280%+本源80%；基础逐阶值为原玩家记录，狂想增加由游戏截图确认。</t>
  </si>
  <si>
    <t>https://bbs.4399.cn/thread-view-tid-44096347</t>
  </si>
  <si>
    <t>37｜三角正论Ⅱ</t>
  </si>
  <si>
    <t>狂想III：基础值额外100%，精神420%+本源120%；基础逐阶值为原玩家记录，狂想增加由游戏截图确认。</t>
  </si>
  <si>
    <t>37｜三角正论Ⅲ</t>
  </si>
  <si>
    <t>狂想III：基础值额外100%，精神700%+本源200%；基础逐阶值为原玩家记录，狂想增加由游戏截图确认。</t>
  </si>
  <si>
    <t>37｜曲线映射Ⅰ</t>
  </si>
  <si>
    <t>曲线映射</t>
  </si>
  <si>
    <t>37_CURVE</t>
  </si>
  <si>
    <t>2目标</t>
  </si>
  <si>
    <t>狂想III：基础值额外100%，精神140%+本源80%；基础逐阶值为原玩家记录，狂想增加由游戏截图确认。</t>
  </si>
  <si>
    <t>37｜曲线映射Ⅱ</t>
  </si>
  <si>
    <t>狂想III：基础值额外100%，精神210%+本源120%；基础逐阶值为原玩家记录，狂想增加由游戏截图确认。</t>
  </si>
  <si>
    <t>37｜曲线映射Ⅲ</t>
  </si>
  <si>
    <t>狂想III：基础值额外100%，精神350%+本源200%；基础逐阶值为原玩家记录，狂想增加由游戏截图确认。</t>
  </si>
  <si>
    <t>37｜补充算式</t>
  </si>
  <si>
    <t>补充算式</t>
  </si>
  <si>
    <t>额外行动</t>
  </si>
  <si>
    <t>37_FOLLOW</t>
  </si>
  <si>
    <t>用户确认：300%精神+100%本源；星系洞知点+1（每回合最多1次）</t>
  </si>
  <si>
    <t>用户提供当前游戏效果文字</t>
  </si>
  <si>
    <t>37｜数与几何的王国</t>
  </si>
  <si>
    <t>数与几何的王国</t>
  </si>
  <si>
    <t>37_ULT</t>
  </si>
  <si>
    <t>全体</t>
  </si>
  <si>
    <t>狂想IV：数维感知=37攻击×20%，上限500，持续2回合</t>
  </si>
  <si>
    <t>37｜洞知咒语</t>
  </si>
  <si>
    <t>37_INSIGHT</t>
  </si>
  <si>
    <t>用户确认归谬：800%精神；攻击后获得1层两分悖论；洞穿期间普通及洞知受创减免各降低40%</t>
  </si>
  <si>
    <t>小瑞安侬｜囫囵囵咒Ⅰ</t>
  </si>
  <si>
    <t>囫囵囵咒</t>
  </si>
  <si>
    <t>RHI_ATTACK</t>
  </si>
  <si>
    <t>用户确认升华Ⅰ：400%精神；攻击前消耗1默契、自身攻击+12%（3回合）；攻击后暴防−15%，每次受击按灵犀再−3%/层，最多另−15%。</t>
  </si>
  <si>
    <t>https://res1999.huijiwiki.com/wiki/小瑞安侬</t>
  </si>
  <si>
    <t>小瑞安侬｜囫囵囵咒Ⅱ</t>
  </si>
  <si>
    <t>Ⅱ阶升华仍按原表600%精神、攻击+13%推算；尚未收到当前完整Ⅱ阶文字。本轮仅使用Ⅰ阶。</t>
  </si>
  <si>
    <t>小瑞安侬｜囫囵囵咒Ⅲ</t>
  </si>
  <si>
    <t>Ⅲ阶升华仍按原表1000%精神、攻击+14%推算；尚未收到当前完整Ⅲ阶文字。本轮仅使用Ⅰ阶。</t>
  </si>
  <si>
    <t>小瑞安侬｜悄冥冥术阵</t>
  </si>
  <si>
    <t>悄冥冥术阵</t>
  </si>
  <si>
    <t>RHI_BUFF</t>
  </si>
  <si>
    <t>群鸟：术法/仪式威力各+30%（3回合）；升华术阵另授予15%+灵犀每层3%（至多再15%）创伤加成，攻击时重算</t>
  </si>
  <si>
    <t>小瑞安侬｜唱予无忧之诗</t>
  </si>
  <si>
    <t>唱予无忧之诗</t>
  </si>
  <si>
    <t>RHI_ULT</t>
  </si>
  <si>
    <t>尘酿鹰：小瑞攻击8%（上限250）、生命8%（上限1250）；加护：普通咒语升华且主动施放不消耗行动点</t>
  </si>
  <si>
    <t>小瑞安侬｜虫虫黑莓唤回术</t>
  </si>
  <si>
    <t>虫虫黑莓唤回术</t>
  </si>
  <si>
    <t>特殊</t>
  </si>
  <si>
    <t>RHI_BERRY</t>
  </si>
  <si>
    <t>J｜硬度测试Ⅰ</t>
  </si>
  <si>
    <t>硬度测试</t>
  </si>
  <si>
    <t>J_HARD</t>
  </si>
  <si>
    <t>主动普通咒语，另具有反击属性；适用主动攻击克制规则与反击后心相</t>
  </si>
  <si>
    <t>https://www.taptap.cn/moment/816407892969128552</t>
  </si>
  <si>
    <t>J｜硬度测试Ⅱ</t>
  </si>
  <si>
    <t>狂想II：540%；其余同一阶</t>
  </si>
  <si>
    <t>J｜硬度测试Ⅲ</t>
  </si>
  <si>
    <t>狂想II：900%；其余同一阶</t>
  </si>
  <si>
    <t>J｜热处理</t>
  </si>
  <si>
    <t>热处理</t>
  </si>
  <si>
    <t>反制</t>
  </si>
  <si>
    <t>J_HEAT</t>
  </si>
  <si>
    <t>热处理持盾队友受击后触发J反击。每层燃烧护盾系数+7%；本模型不模拟护盾量，不纳入伤害倍率。</t>
  </si>
  <si>
    <t>J｜高温回火</t>
  </si>
  <si>
    <t>高温回火</t>
  </si>
  <si>
    <t>反击</t>
  </si>
  <si>
    <t>J_COUNTER</t>
  </si>
  <si>
    <t>高温回火：300%现实；自身每层燃烧额外5%现实；命中敌方+2燃烧，自身同步+2。用户确认当前数值。</t>
  </si>
  <si>
    <t>J｜飞跃海特街</t>
  </si>
  <si>
    <t>飞跃海特街</t>
  </si>
  <si>
    <t>J_ULT</t>
  </si>
  <si>
    <t>系统｜Boss行动</t>
  </si>
  <si>
    <t>Boss行动</t>
  </si>
  <si>
    <t>BOSS_ACTION</t>
  </si>
  <si>
    <t>无反击时记录敌方行动开始；同阶段只记录一次，之后的J反击继续逐条填写</t>
  </si>
  <si>
    <t>Boss参数｜太阳的宠臣</t>
  </si>
  <si>
    <t>敌人</t>
  </si>
  <si>
    <t>抗暴率</t>
  </si>
  <si>
    <t>暴击防御</t>
  </si>
  <si>
    <t>受到伤害提升</t>
  </si>
  <si>
    <t>燃烧上限</t>
  </si>
  <si>
    <t>太阳的宠臣</t>
  </si>
  <si>
    <t>岩</t>
  </si>
  <si>
    <t>机制参数</t>
  </si>
  <si>
    <t>数值</t>
  </si>
  <si>
    <t>用途</t>
  </si>
  <si>
    <t>来源/说明</t>
  </si>
  <si>
    <t>基础克制伤害加成</t>
  </si>
  <si>
    <t>星→岩等基础克制</t>
  </si>
  <si>
    <t>游戏通用机制</t>
  </si>
  <si>
    <t>攻防项最低攻击比例</t>
  </si>
  <si>
    <t>MAX(攻击×10%, 攻击-防御)</t>
  </si>
  <si>
    <t>伤害公式参数</t>
  </si>
  <si>
    <t>创伤乘区最低值</t>
  </si>
  <si>
    <t>MAX(30%,1+加成-减免)</t>
  </si>
  <si>
    <t>归谬降低普通受创减免</t>
  </si>
  <si>
    <t>弱点洞穿期间敌方普通受创减免降低40%</t>
  </si>
  <si>
    <t>用户提供归谬完整效果</t>
  </si>
  <si>
    <t>昨日雨声轻A5-主动咒语伤害</t>
  </si>
  <si>
    <t>全队，最多6层，3回合</t>
  </si>
  <si>
    <t>https://wiki.biligame.com/reverse1999/昨日雨声轻</t>
  </si>
  <si>
    <t>昨日雨声轻A5-仪式暴创</t>
  </si>
  <si>
    <t>全队，3回合</t>
  </si>
  <si>
    <t>灵知当齐一A1-洞知创伤</t>
  </si>
  <si>
    <t>37额外行动后全队，最多4层，3回合</t>
  </si>
  <si>
    <t>立于风暴脊A5-洞知创伤</t>
  </si>
  <si>
    <t>任意己方洞知攻击后红弩箭叠加；退出洞穿清空</t>
  </si>
  <si>
    <t>https://www.taptap.cn/moment/852436614087970804</t>
  </si>
  <si>
    <t>家庭指导员A1-反击后仪式威力</t>
  </si>
  <si>
    <t>J，最多3层</t>
  </si>
  <si>
    <t>https://wiki.biligame.com/reverse1999/家庭指导员</t>
  </si>
  <si>
    <t>家庭指导员A1-每激情暴创</t>
  </si>
  <si>
    <t>全队，最多30层</t>
  </si>
  <si>
    <t>J每层燃烧攻击提升</t>
  </si>
  <si>
    <t>0塑狂想I：原0.5%提升100%，每层1%攻击</t>
  </si>
  <si>
    <t>小瑞安侬每层灵犀克制加成</t>
  </si>
  <si>
    <t>上限5层</t>
  </si>
  <si>
    <t>37数维感知攻击比例</t>
  </si>
  <si>
    <t>全队固定攻击增益</t>
  </si>
  <si>
    <t>37数维感知攻击上限</t>
  </si>
  <si>
    <t>持续2回合</t>
  </si>
  <si>
    <t>仰望每层威力降低</t>
  </si>
  <si>
    <t>分别扣术法威力、仪式威力</t>
  </si>
  <si>
    <t>用户补充</t>
  </si>
  <si>
    <t>仰望每层本源降低</t>
  </si>
  <si>
    <t>独立造成本源创伤项</t>
  </si>
  <si>
    <t>仰望上限</t>
  </si>
  <si>
    <t>叠加先限5，再移除攻击者2</t>
  </si>
  <si>
    <t>每非洞穿/目击回合减伤增长</t>
  </si>
  <si>
    <t>出牌后、敌方攻击前；普通/额外回合增加</t>
  </si>
  <si>
    <t>非克制额外暴击防御</t>
  </si>
  <si>
    <t>与F4基础暴防相加；默认追加100个百分点</t>
  </si>
  <si>
    <t>用户补充；若游戏是覆盖至100%需调整</t>
  </si>
  <si>
    <t>本源乘区最低值</t>
  </si>
  <si>
    <t>仰望造成本源创伤项最低值</t>
  </si>
  <si>
    <t>计算保护</t>
  </si>
  <si>
    <t>本源是否吃创伤/减伤</t>
  </si>
  <si>
    <t>0=保留原本源算法；1=同时应用BN创伤乘区</t>
  </si>
  <si>
    <t>待确认</t>
  </si>
  <si>
    <t>J反击燃烧增加</t>
  </si>
  <si>
    <t>命中后自身/敌方+2；实际时间仍需技能核对</t>
  </si>
  <si>
    <t>实战各回合燃烧快照闭合</t>
  </si>
  <si>
    <t>37追击是否吃术法威力</t>
  </si>
  <si>
    <t>1=补充算式使用术法威力；0=独立额外行动威力</t>
  </si>
  <si>
    <t>300%+100%已由用户确认；威力适用范围仍需机制核实</t>
  </si>
  <si>
    <t>主动攻击视为克制</t>
  </si>
  <si>
    <t>术法、攻击仪式、洞知/特殊；反击/额外行动另判</t>
  </si>
  <si>
    <t>本源是否吃术法威力</t>
  </si>
  <si>
    <t>0=保留独立本源倍率；1=本源也应用BO威力乘区</t>
  </si>
  <si>
    <t>参数依据</t>
  </si>
  <si>
    <t>现实1200、精神1000、基础暴防40%、基础受减40%已由用户确认；每回合5%在阶段表另算。</t>
  </si>
  <si>
    <t>J反击每层额外倍率</t>
  </si>
  <si>
    <t>高温回火300%基础＋攻击前自身燃烧×5%；按用户当前卡面文字</t>
  </si>
  <si>
    <t>用户再次确认当前300%＋每层燃烧5%</t>
  </si>
  <si>
    <t>J回合开始每层反击创伤</t>
  </si>
  <si>
    <t>仅回合开始燃烧≥Boss参数B59时授予，每层1%，持续本回合</t>
  </si>
  <si>
    <t>用户洞悉III完整文字</t>
  </si>
  <si>
    <t>J仪式每层团队伤害</t>
  </si>
  <si>
    <t>攻击后按自身燃烧，持续3回合</t>
  </si>
  <si>
    <t>狂想III；公开游戏截图</t>
  </si>
  <si>
    <t>启迪本源创伤提升</t>
  </si>
  <si>
    <t>咒语附加的本源伤害提高100%，生效后减少1层；与仰望在本源增减区相加</t>
  </si>
  <si>
    <t>J反击享受群鸟之歌术法</t>
  </si>
  <si>
    <t>默认1：反击既读取术法威力，就同时读取群鸟+30%、全员−40%、仰望减益；0仅用于比较</t>
  </si>
  <si>
    <t>用户群鸟完整文字无反击排除；撤销旧按接近实测而排除的假设</t>
  </si>
  <si>
    <t>J反击创伤与术法威力同区</t>
  </si>
  <si>
    <t>群鸟之歌术法/仪式威力</t>
  </si>
  <si>
    <t>术法威力+30%，仪式威力+30%</t>
  </si>
  <si>
    <t>用户确认</t>
  </si>
  <si>
    <t>尘酿鹰攻击比例</t>
  </si>
  <si>
    <t>施放时的小瑞有效攻击×8%；本段实测支持施放时快照</t>
  </si>
  <si>
    <t>用户确认比例；快照由实测支持</t>
  </si>
  <si>
    <t>尘酿鹰攻击上限</t>
  </si>
  <si>
    <t>最多250；再次仪式时刷新快照</t>
  </si>
  <si>
    <t>尘酿鹰最大生命比例</t>
  </si>
  <si>
    <t>获得小瑞最大生命×8%，最多1250；不参与伤害计算</t>
  </si>
  <si>
    <t>尘酿鹰最大生命上限</t>
  </si>
  <si>
    <t>本表生命比例仍使用实战记录输入</t>
  </si>
  <si>
    <t>每次默契消耗增加灵犀</t>
  </si>
  <si>
    <t>普通术法及回合末消耗均触发；额外消耗次数在行动AH输入</t>
  </si>
  <si>
    <t>用户确认：每次消耗获得2层灵犀，持续3回合</t>
  </si>
  <si>
    <t>仪式是否叠雨声伤害</t>
  </si>
  <si>
    <t>1=普通主动咒语及仪式均触发雨声；本次验证支持仪式触发。每层独立3回合，到期按专用计时回合计算。</t>
  </si>
  <si>
    <t>用户提出回合到期解释；恢复仪式触发后全41条伤害吻合</t>
  </si>
  <si>
    <t>Boss洞知基础受创减免</t>
  </si>
  <si>
    <t>用户确认无显示的相关词条，本表按0输入</t>
  </si>
  <si>
    <t>用户确认无相关词条；独立于普通40%</t>
  </si>
  <si>
    <t>归谬降低洞知受创减免</t>
  </si>
  <si>
    <t>弱点洞穿期间降低40%；与普通降低分开计算</t>
  </si>
  <si>
    <t>默契同调上限</t>
  </si>
  <si>
    <t>每回合开始+2；普通咒语消费1；回合末有余量则至多再消费1</t>
  </si>
  <si>
    <t>用户提供完整机制</t>
  </si>
  <si>
    <t>两分悖论稳态本源比例</t>
  </si>
  <si>
    <t>附加=floor(本次主伤害×40%)；五条实测独立吻合</t>
  </si>
  <si>
    <t>归谬攻击后获1层；比例由实测确认</t>
  </si>
  <si>
    <t>洞穿初始两分悖论</t>
  </si>
  <si>
    <t>本次进入洞穿前按0层；之后37攻击后每次+1</t>
  </si>
  <si>
    <t>本场时序；初始值可改</t>
  </si>
  <si>
    <t>全员场地术法威力</t>
  </si>
  <si>
    <t>所有角色全程生效；与星/岩攻防生命+20%的适用范围分开</t>
  </si>
  <si>
    <t>用户2026-10-06纠正适用范围</t>
  </si>
  <si>
    <t>J反击创伤触发燃烧门槛</t>
  </si>
  <si>
    <t>Boss生命状态来源</t>
  </si>
  <si>
    <t>1=核对实战，使用此前实测伤害；缺失用预测；0=纯模拟，只累计预测</t>
  </si>
  <si>
    <t>两种用途分开；不改变本次伤害为实测</t>
  </si>
  <si>
    <t>Boss生命段总数</t>
  </si>
  <si>
    <t>每段容量见B62；总生命=段数×容量</t>
  </si>
  <si>
    <t>Boss每段生命</t>
  </si>
  <si>
    <t>完整损失段=floor(累计损失生命/本值)</t>
  </si>
  <si>
    <t>Boss单次伤害段上限</t>
  </si>
  <si>
    <t>生命门槛一</t>
  </si>
  <si>
    <t>下一次行动生效</t>
  </si>
  <si>
    <t>用户暂定行动结束后更新</t>
  </si>
  <si>
    <t>生命门槛二</t>
  </si>
  <si>
    <t>下一次行动生效；效果提升1次</t>
  </si>
  <si>
    <t>生命门槛三</t>
  </si>
  <si>
    <t>下一次行动生效；效果提升2次</t>
  </si>
  <si>
    <t>本源减伤一</t>
  </si>
  <si>
    <t>从本源增减区扣减30个百分点</t>
  </si>
  <si>
    <t>第28事件本源7784精确支持</t>
  </si>
  <si>
    <t>本源减伤二</t>
  </si>
  <si>
    <t>达到40段使用；不与前一档叠加</t>
  </si>
  <si>
    <t>本源减伤三</t>
  </si>
  <si>
    <t>达到100段使用；不与前档叠加</t>
  </si>
  <si>
    <t>最终免伤一</t>
  </si>
  <si>
    <t>达到20段使用；主伤独立乘(1−免伤)</t>
  </si>
  <si>
    <t>第28事件精神4127精确支持</t>
  </si>
  <si>
    <t>最终免伤二</t>
  </si>
  <si>
    <t>达到40段使用；不与前档叠加</t>
  </si>
  <si>
    <t>最终免伤三</t>
  </si>
  <si>
    <t>达到100段使用；之后按每100段另加</t>
  </si>
  <si>
    <t>后续最终减伤段间隔</t>
  </si>
  <si>
    <t>200/300/400段起依次额外5%/10%/15%</t>
  </si>
  <si>
    <t>用户补充；100段档已经60%</t>
  </si>
  <si>
    <t>每额外间隔最终减伤</t>
  </si>
  <si>
    <t>叠加到60%；有效值最多100%</t>
  </si>
  <si>
    <t>记录开始前已损生命</t>
  </si>
  <si>
    <t>从开战记录为0；漏记伤害可有依据地补入</t>
  </si>
  <si>
    <t>当前未重建未记录的燃烧结算伤害</t>
  </si>
  <si>
    <t>直接本源是否再乘最终免伤</t>
  </si>
  <si>
    <t>默认0，第28事件两分段精确支持；1仅用于比较</t>
  </si>
  <si>
    <t>不是伤害反推补项；有明确分段证据</t>
  </si>
  <si>
    <t>合计伤害上限启用</t>
  </si>
  <si>
    <t>0=不限制主伤＋本源合计；本次按用户指定关闭合计300万封顶</t>
  </si>
  <si>
    <t>用户暂定合计；末次3877552与口径冲突</t>
  </si>
  <si>
    <t>门槛结算时点</t>
  </si>
  <si>
    <t>下一次行动</t>
  </si>
  <si>
    <t>同一行动所有分段均使用攻击前档位</t>
  </si>
  <si>
    <t>用户暂定口径</t>
  </si>
  <si>
    <t>J狂想固定反击创伤加成</t>
  </si>
  <si>
    <t>J本人的高温回火、硬度测试在普通创伤区加10%；不作用于仪式或其他角色</t>
  </si>
  <si>
    <t>用户找到狂想来源并确认10%</t>
  </si>
  <si>
    <t>红弩箭计算暴击创伤</t>
  </si>
  <si>
    <t>面板显示202.6%；按技巧贡献向下取整，实际计算使用202.5%</t>
  </si>
  <si>
    <t>用户指定计算口径</t>
  </si>
  <si>
    <t>J计算暴击创伤</t>
  </si>
  <si>
    <t>面板显示171.8%；实际计算使用171.7%；37和小瑞保持原值</t>
  </si>
  <si>
    <t>红普通洞知技能暴创</t>
  </si>
  <si>
    <t>攻击时额外增加60个百分点暴击创伤，加入BA</t>
  </si>
  <si>
    <t>用户完整技能文字；开局实测验证</t>
  </si>
  <si>
    <t>红强化洞知技能暴创</t>
  </si>
  <si>
    <t>自身每第三次洞知攻击增加80个百分点暴创</t>
  </si>
  <si>
    <t>红终结技能暴创</t>
  </si>
  <si>
    <t>洞知终结额外增加100个百分点暴创</t>
  </si>
  <si>
    <t>雨声单层持续回合数</t>
  </si>
  <si>
    <t>产生于计时回合t，t/t+1/t+2有效；t+3进入前移除</t>
  </si>
  <si>
    <t>心相完整文字：每层持续3回合</t>
  </si>
  <si>
    <t>洞知队伤害模拟器｜连续行动录入</t>
  </si>
  <si>
    <t>黄色 B:I 为录入区；绿色 J:U 自动计算。原记录到第57行结束，后续从第58行连续追加；不要留空行。</t>
  </si>
  <si>
    <t>事件</t>
  </si>
  <si>
    <t>阶段</t>
  </si>
  <si>
    <t>阶段内顺序</t>
  </si>
  <si>
    <t>技能选择（含阶次）</t>
  </si>
  <si>
    <t>是否暴击</t>
  </si>
  <si>
    <t>实测主伤</t>
  </si>
  <si>
    <t>实测直接本源</t>
  </si>
  <si>
    <t>实测稳态附加</t>
  </si>
  <si>
    <t>备注</t>
  </si>
  <si>
    <t>有效攻击</t>
  </si>
  <si>
    <t>有效暴击率</t>
  </si>
  <si>
    <t>己方暴击创伤</t>
  </si>
  <si>
    <t>有效倍率</t>
  </si>
  <si>
    <t>预测不暴击合计</t>
  </si>
  <si>
    <t>预测暴击合计</t>
  </si>
  <si>
    <t>对应预测</t>
  </si>
  <si>
    <t>实测合计</t>
  </si>
  <si>
    <t>预测－实测</t>
  </si>
  <si>
    <t>关键状态</t>
  </si>
  <si>
    <t>检查提示</t>
  </si>
  <si>
    <t>实测验证｜49个事件逐项比较</t>
  </si>
  <si>
    <t>指标</t>
  </si>
  <si>
    <t>已有实测数据行动数</t>
  </si>
  <si>
    <t>填写实测伤害后自动统计</t>
  </si>
  <si>
    <t>总绝对误差率</t>
  </si>
  <si>
    <t>SUM(|实测-预测|)/SUM(实测)</t>
  </si>
  <si>
    <t>按每个实测暴击判定比较预测，分列主伤害与本源/附加。Boss基础参数已确认；未解释的技能和行动类别差异见“核对说明”。</t>
  </si>
  <si>
    <t>回合</t>
  </si>
  <si>
    <t>位</t>
  </si>
  <si>
    <t>预测不暴击</t>
  </si>
  <si>
    <t>预测暴击</t>
  </si>
  <si>
    <t>实测伤害</t>
  </si>
  <si>
    <t>误差</t>
  </si>
  <si>
    <t>绝对误差</t>
  </si>
  <si>
    <t>误差率</t>
  </si>
  <si>
    <t>实测主伤害</t>
  </si>
  <si>
    <t>实测本源/附加</t>
  </si>
  <si>
    <t>预测主伤害</t>
  </si>
  <si>
    <t>预测本源/附加</t>
  </si>
  <si>
    <t>主伤害差</t>
  </si>
  <si>
    <t>本源/附加差</t>
  </si>
  <si>
    <t>附加关系</t>
  </si>
  <si>
    <t>Boss攻击前损失段</t>
  </si>
  <si>
    <t>本源减伤</t>
  </si>
  <si>
    <t>最终免伤</t>
  </si>
  <si>
    <t>生命状态来源</t>
  </si>
  <si>
    <t>实测超合计上限</t>
  </si>
  <si>
    <t>后台计算｜状态递推与伤害公式（普通使用无需编辑）</t>
  </si>
  <si>
    <t>J生命%</t>
  </si>
  <si>
    <t>J燃烧覆盖</t>
  </si>
  <si>
    <t>敌燃烧覆盖</t>
  </si>
  <si>
    <t>灵犀覆盖</t>
  </si>
  <si>
    <t>稳态本源比例</t>
  </si>
  <si>
    <t>手动伤加</t>
  </si>
  <si>
    <t>手动倍率</t>
  </si>
  <si>
    <t>红吟诵前</t>
  </si>
  <si>
    <t>极限剩余前</t>
  </si>
  <si>
    <t>增压前</t>
  </si>
  <si>
    <t>弹药前</t>
  </si>
  <si>
    <t>洞穿前</t>
  </si>
  <si>
    <t>洞穿行动前</t>
  </si>
  <si>
    <t>红洞知次数前</t>
  </si>
  <si>
    <t>37灵光前</t>
  </si>
  <si>
    <t>37启迪前</t>
  </si>
  <si>
    <t>J燃烧前</t>
  </si>
  <si>
    <t>敌燃烧前</t>
  </si>
  <si>
    <t>J团队伤加前</t>
  </si>
  <si>
    <t>J伤加到期前</t>
  </si>
  <si>
    <t>群鸟之歌到期前</t>
  </si>
  <si>
    <t>瑞仪式暴创到期前</t>
  </si>
  <si>
    <t>加护到期前</t>
  </si>
  <si>
    <t>尘酿鹰到期前</t>
  </si>
  <si>
    <t>J反击层前</t>
  </si>
  <si>
    <t>激情累计前</t>
  </si>
  <si>
    <t>37攻击Buff到期前</t>
  </si>
  <si>
    <t>红心相层前</t>
  </si>
  <si>
    <t>瑞攻击Buff前</t>
  </si>
  <si>
    <t>瑞攻击Buff到期前</t>
  </si>
  <si>
    <t>敌暴防降低前</t>
  </si>
  <si>
    <t>敌暴防降低到期前</t>
  </si>
  <si>
    <t>瑞创伤Buff前</t>
  </si>
  <si>
    <t>瑞创伤Buff到期前</t>
  </si>
  <si>
    <t>灵犀有效层数</t>
  </si>
  <si>
    <t>雨声伤加层数</t>
  </si>
  <si>
    <t>37心相层数</t>
  </si>
  <si>
    <t>有效暴击创伤</t>
  </si>
  <si>
    <t>总伤害加成</t>
  </si>
  <si>
    <t>洞知创伤</t>
  </si>
  <si>
    <t>穿透</t>
  </si>
  <si>
    <t>有效本源倍率</t>
  </si>
  <si>
    <t>克制乘区</t>
  </si>
  <si>
    <t>目标防御</t>
  </si>
  <si>
    <t>攻防项</t>
  </si>
  <si>
    <t>有效Boss暴击防御</t>
  </si>
  <si>
    <t>有效Boss受创减免</t>
  </si>
  <si>
    <t>创伤乘区</t>
  </si>
  <si>
    <t>威力乘区</t>
  </si>
  <si>
    <t>暴击倍率</t>
  </si>
  <si>
    <t>普通不暴</t>
  </si>
  <si>
    <t>普通暴击</t>
  </si>
  <si>
    <t>本源不暴</t>
  </si>
  <si>
    <t>本源暴击</t>
  </si>
  <si>
    <t>不暴击伤害</t>
  </si>
  <si>
    <t>暴击伤害</t>
  </si>
  <si>
    <t>期望伤害</t>
  </si>
  <si>
    <t>提示</t>
  </si>
  <si>
    <t>红吟诵后</t>
  </si>
  <si>
    <t>极限剩余后</t>
  </si>
  <si>
    <t>增压后</t>
  </si>
  <si>
    <t>弹药后</t>
  </si>
  <si>
    <t>洞穿后</t>
  </si>
  <si>
    <t>洞穿行动后</t>
  </si>
  <si>
    <t>红洞知次数后</t>
  </si>
  <si>
    <t>37灵光后</t>
  </si>
  <si>
    <t>37启迪后</t>
  </si>
  <si>
    <t>J燃烧后</t>
  </si>
  <si>
    <t>敌燃烧后</t>
  </si>
  <si>
    <t>J团队伤加后</t>
  </si>
  <si>
    <t>J伤加到期后</t>
  </si>
  <si>
    <t>群鸟之歌到期后</t>
  </si>
  <si>
    <t>瑞仪式暴创到期后</t>
  </si>
  <si>
    <t>加护到期后</t>
  </si>
  <si>
    <t>尘酿鹰到期后</t>
  </si>
  <si>
    <t>J反击层后</t>
  </si>
  <si>
    <t>激情累计后</t>
  </si>
  <si>
    <t>37攻击Buff到期后</t>
  </si>
  <si>
    <t>红心相层后</t>
  </si>
  <si>
    <t>瑞攻击Buff后</t>
  </si>
  <si>
    <t>瑞攻击Buff到期后</t>
  </si>
  <si>
    <t>敌暴防降低后</t>
  </si>
  <si>
    <t>敌暴防降低到期后</t>
  </si>
  <si>
    <t>瑞创伤Buff后</t>
  </si>
  <si>
    <t>瑞创伤Buff到期后</t>
  </si>
  <si>
    <t>回合标签</t>
  </si>
  <si>
    <t>仰望有效</t>
  </si>
  <si>
    <t>红仰望前</t>
  </si>
  <si>
    <t>37仰望前</t>
  </si>
  <si>
    <t>瑞仰望前</t>
  </si>
  <si>
    <t>J仰望前</t>
  </si>
  <si>
    <t>红仰望后</t>
  </si>
  <si>
    <t>37仰望后</t>
  </si>
  <si>
    <t>瑞仰望后</t>
  </si>
  <si>
    <t>J仰望后</t>
  </si>
  <si>
    <t>命中仰望触发</t>
  </si>
  <si>
    <t>主动攻击</t>
  </si>
  <si>
    <t>是否克制</t>
  </si>
  <si>
    <t>额外减伤</t>
  </si>
  <si>
    <t>本源乘区</t>
  </si>
  <si>
    <t>普通分段不暴</t>
  </si>
  <si>
    <t>普通分段暴击</t>
  </si>
  <si>
    <t>鹰攻击前快照</t>
  </si>
  <si>
    <t>鹰攻击后快照</t>
  </si>
  <si>
    <t>本源创伤修正</t>
  </si>
  <si>
    <t>额外默契消耗次数</t>
  </si>
  <si>
    <t>有效额外灵犀</t>
  </si>
  <si>
    <t>默契前</t>
  </si>
  <si>
    <t>普通咒语消耗</t>
  </si>
  <si>
    <t>回合末消耗</t>
  </si>
  <si>
    <t>默契后</t>
  </si>
  <si>
    <t>洞知有效受创减免</t>
  </si>
  <si>
    <t>瑞动态创伤加成</t>
  </si>
  <si>
    <t>动态降低暴防</t>
  </si>
  <si>
    <t>洞知威力区</t>
  </si>
  <si>
    <t>回合开始灵犀</t>
  </si>
  <si>
    <t>两分悖论前</t>
  </si>
  <si>
    <t>自动稳态比例</t>
  </si>
  <si>
    <t>两分悖论后</t>
  </si>
  <si>
    <t>Boss攻击前已损生命</t>
  </si>
  <si>
    <t>Boss攻击前已损段</t>
  </si>
  <si>
    <t>本源创伤减伤</t>
  </si>
  <si>
    <t>Boss攻击后已损生命</t>
  </si>
  <si>
    <t>本次采用预测总伤</t>
  </si>
  <si>
    <t>Boss效果提升次数</t>
  </si>
  <si>
    <t>Boss回合赋予仰望层</t>
  </si>
  <si>
    <t>雨声计时回合</t>
  </si>
  <si>
    <t>本次雨声新增层</t>
  </si>
  <si>
    <t>雨声伤后有效层</t>
  </si>
  <si>
    <t>阶段开始J燃烧（自动）</t>
  </si>
  <si>
    <t>阶段设置｜阶段计时与Boss观测</t>
  </si>
  <si>
    <t>Boss燃烧保留观测输入：敌方回合末结算仍未完整模拟。雨声计时用于验证后续特殊回合；其余状态按行动自动推演。</t>
  </si>
  <si>
    <t>阶段键</t>
  </si>
  <si>
    <t>普通回合号</t>
  </si>
  <si>
    <t>阶段类型</t>
  </si>
  <si>
    <t>出牌前Boss额外减伤（自动）</t>
  </si>
  <si>
    <t>阶段开始Boss燃烧（观测）</t>
  </si>
  <si>
    <t>普通</t>
  </si>
  <si>
    <t>洞穿</t>
  </si>
  <si>
    <t>小瑞安侬额外回合</t>
  </si>
  <si>
    <t>额外</t>
  </si>
  <si>
    <t>7（目击）</t>
  </si>
  <si>
    <t>目击</t>
  </si>
  <si>
    <t>洞知2</t>
  </si>
  <si>
    <t>第8回合出牌前</t>
  </si>
  <si>
    <t>伤害口径</t>
  </si>
  <si>
    <t>J狂想反击+10%；红/J暴创向下取整；激情暴创伤后；不设主伤+本源合计300万上限</t>
  </si>
  <si>
    <t>用户逐项确认的现行口径</t>
  </si>
  <si>
    <t>后续核对</t>
  </si>
  <si>
    <t>每段实测独立录入，优先定位第一个不吻合的行动</t>
  </si>
  <si>
    <t>避免用人为修正系数掩盖状态问题</t>
  </si>
  <si>
    <t>雨声逐层触发与到期</t>
  </si>
  <si>
    <t>普通咒语及仪式均在伤害后触发；每层独立持续3回合。洞穿使用雨声专用计时，不改变Boss回合计数。</t>
  </si>
  <si>
    <t>行动</t>
  </si>
  <si>
    <t>本次新增</t>
  </si>
  <si>
    <t>行动前有效层</t>
  </si>
  <si>
    <t>行动后有效层</t>
  </si>
  <si>
    <t>本次到期层</t>
  </si>
  <si>
    <t>自我吟诵，进入雷鸣引擎；已有雷鸣时获得1层弹药，已有极限时获得2层弹药。首次使用额外赋予5增压、6弹药及1激情。</t>
  </si>
  <si>
    <t>用户完整文本；保留原无阶次名称作为Ⅰ阶别名</t>
  </si>
  <si>
    <t>群体攻击，对敌方全体造成1500%的精神创伤，每拥有1层【灵犀】，额外造成150%的精神创伤，本次攻击任何灵感都视为克制</t>
  </si>
  <si>
    <t>用户提供完整技能文本：1500%＋每层灵犀150%；任何灵感均视为克制</t>
  </si>
  <si>
    <t>700%现实创伤；攻击前添加自身燃烧层数，J不获得燃烧。主目标每溢出1层，本表按额外100%现实创伤计算。伤后全队伤加每层燃烧＋2.5%，持续3回合。</t>
  </si>
  <si>
    <t>游戏文本为溢出每层50%；三次独立测试及原表两次仪式支持有效100%。怀疑游戏内bug或文本显示错误，具体原因未确认。</t>
  </si>
  <si>
    <t>红弩箭｜眼镜蛇机动Ⅰ</t>
  </si>
  <si>
    <t>Ⅰ阶：进入雷鸣；已有雷鸣时获得1弹药，已有极限时获得2弹药。</t>
  </si>
  <si>
    <t>用户完整文本</t>
  </si>
  <si>
    <t>红弩箭｜眼镜蛇机动Ⅱ</t>
  </si>
  <si>
    <t>Ⅱ阶：进入雷鸣；已有雷鸣时获得2弹药，已有极限时获得4弹药。</t>
  </si>
  <si>
    <t>系统｜回合结束</t>
  </si>
  <si>
    <t>回合结束</t>
  </si>
  <si>
    <t>END_TURN</t>
  </si>
  <si>
    <t>仅结算回合末与阶段收尾，不是Boss攻击；没有敌方实际行动的阶段在交界仍会刷新仰望。</t>
  </si>
  <si>
    <t>小瑞额外回合第68行；本场10个阶段开局仰望检验支持。</t>
  </si>
  <si>
    <t>系统｜Boss仪式·保守主义</t>
  </si>
  <si>
    <t>Boss仪式·保守主义</t>
  </si>
  <si>
    <t>BOSS_CONSERVATIVE</t>
  </si>
  <si>
    <t>施加保守主义：额外行动暴击率－50个百分点、暴击创伤－70个百分点，持续2回合</t>
  </si>
  <si>
    <t>第5回合仪式后立即生效，施加回合不扣持续时间；第6回合剩2、第7回合剩1；洞知按用户要求不受影响。</t>
  </si>
  <si>
    <t>红弩箭｜眼镜蛇机动Ⅲ</t>
  </si>
  <si>
    <t>Ⅲ阶：进入雷鸣；已有雷鸣时获得3弹药，已有极限时获得6弹药。</t>
  </si>
  <si>
    <t>J回合开始获得的反击创伤加成进入创伤加成区，威力区不再重复计入</t>
  </si>
  <si>
    <t>用户确认；第4～6回合12次反击试算吻合</t>
  </si>
  <si>
    <t>J仪式每层溢出倍率</t>
  </si>
  <si>
    <t>每溢出1层燃烧额外100%现实创伤</t>
  </si>
  <si>
    <t>文本50%；三次独立测试和两次原表记录支持有效100%，怀疑bug或文本显示错误</t>
  </si>
  <si>
    <t>回合开始J燃烧至少30层，反击创伤加成每层1%，持续1回合，进入创伤加成区</t>
  </si>
  <si>
    <t>用户确认；本场后续回合35层已触发</t>
  </si>
  <si>
    <t>仅保留上限候选参数；B77=0时主伤与本源合计不按300万限制</t>
  </si>
  <si>
    <t>当前采用用户要求及本场观测：本次合计不限制</t>
  </si>
  <si>
    <t>保守主义额外行动暴击率降低</t>
  </si>
  <si>
    <t>减少50个百分点，只影响额外行动的暴击率</t>
  </si>
  <si>
    <t>用户第5回合Boss仪式备注</t>
  </si>
  <si>
    <t>保守主义额外行动暴击创伤降低</t>
  </si>
  <si>
    <t>减少70个百分点；非暴击伤害与主动出牌不受影响</t>
  </si>
  <si>
    <t>保守主义持续普通回合数</t>
  </si>
  <si>
    <t>第5回合敌方阶段施加后立即生效，施加回合不扣持续时间；第6回合剩2，第7回合剩1，第8回合到期</t>
  </si>
  <si>
    <t>用户确认第6回合开局全队剩余2回合；第114行暴击1398验证第7回合仍有效；洞知咒语不受影响</t>
  </si>
  <si>
    <t>—</t>
  </si>
  <si>
    <t>是</t>
  </si>
  <si>
    <t>否</t>
  </si>
  <si>
    <t>回合末默契消耗按库存自动计算；发生于首次Boss反击前的时点由本场验证。</t>
  </si>
  <si>
    <t>稳态本源自动：先消耗已有两分悖论；37攻击后再获得1层。</t>
  </si>
  <si>
    <t>2阶，提供的弹药装填是1阶的2倍</t>
  </si>
  <si>
    <t>这个行动用来标记回合结束，本回合boss没有任何行动</t>
  </si>
  <si>
    <t>对我方全体施加“保守主义”：额外行动时，暴击降低50%，暴击创伤降低70%，持续2回合</t>
  </si>
  <si>
    <t>原G列数值属于稳态附加，移至H列；实测总伤不变</t>
  </si>
  <si>
    <t>保守主义到期普通回合</t>
  </si>
  <si>
    <t>本次额外行动受保守主义</t>
  </si>
  <si>
    <t>持续时间计时（洞穿不消耗）</t>
  </si>
  <si>
    <t>本阶段回合末结算事件</t>
  </si>
  <si>
    <t>已有伤害记录验证；雨声单层独立3回合</t>
  </si>
  <si>
    <t>后续阶段计时为本场已核对初值；记录Buff到期现象以核对</t>
  </si>
  <si>
    <t>用户确认：第4回合开始及J仪式前，Boss燃烧13层，J自身35层。</t>
  </si>
  <si>
    <t>后续阶段计时为待验证初值；记录Buff到期现象以核对</t>
  </si>
  <si>
    <t>本场实测验证最终版</t>
  </si>
  <si>
    <t>核对结果</t>
  </si>
  <si>
    <t>适用范围</t>
  </si>
  <si>
    <t>伤害</t>
  </si>
  <si>
    <t>104次有实测伤害的行动全部一致；主伤、直接本源、稳态分段均一致</t>
  </si>
  <si>
    <t>截至第二次洞穿结束、第8回合出牌前</t>
  </si>
  <si>
    <t>状态</t>
  </si>
  <si>
    <t>10组四人开局仰望全部一致；雨声、数维、保守主义计时按当前记录复现</t>
  </si>
  <si>
    <t>无Boss行动的交界刷新依据本场观察推导</t>
  </si>
  <si>
    <t>重要外部输入</t>
  </si>
  <si>
    <t>Boss各阶段燃烧快照及此前实测累计损血仍参与验算</t>
  </si>
  <si>
    <t>保留验证用途；参数收益预测使用另一个纯木桩文件</t>
  </si>
  <si>
    <t>模型边界</t>
  </si>
  <si>
    <t>当前配置：红弩箭2塑，37/小瑞/J为0塑，37/J狂想IV，原心相与增幅</t>
  </si>
  <si>
    <t>后方资料和研究过程用于追溯；现行规则以使用说明及本页最新结论为准</t>
  </si>
  <si>
    <t>额外回合行动7与第5回合行动6</t>
  </si>
  <si>
    <t>第64、90行已改二阶眼镜蛇机动</t>
  </si>
  <si>
    <t>沿用原装填基数，二阶乘2</t>
  </si>
  <si>
    <t>额外回合结束</t>
  </si>
  <si>
    <t>第68行已改为回合结束，无Boss行动</t>
  </si>
  <si>
    <t>仰望不重置；默契正常结算；计时仍按阶段设置</t>
  </si>
  <si>
    <t>第5回合Boss仪式</t>
  </si>
  <si>
    <t>第92行施加保守主义；之后额外行动暴击率－50pp、暴创－70pp</t>
  </si>
  <si>
    <t>覆盖J反击、37追击、黑莓追击；按用户指定，洞知咒语不受影响；特殊阶段到期仍待实测</t>
  </si>
  <si>
    <t>插入行后的关联</t>
  </si>
  <si>
    <t>补回第68行计算区；后台、行动模拟和验证表恢复逐行对应</t>
  </si>
  <si>
    <t>录入数据保持原位置，后续请直接使用已有空行，避免插入单独一张表的整行</t>
  </si>
  <si>
    <t>暴击统计修正</t>
  </si>
  <si>
    <t>实测合计恰好等于预测不暴击合计的20条均按非暴击；本次更正9条</t>
  </si>
  <si>
    <t>行动模拟行号：60、61、62、63、65、83、96、102、108</t>
  </si>
  <si>
    <t>引擎原已使用1500%＋每层灵犀150%，并判定任意灵感克制；本次补齐完整文本，数值规则保持一致</t>
  </si>
  <si>
    <t>J反击创伤</t>
  </si>
  <si>
    <t>回合开始触发的燃烧层数加成进入创伤加成区</t>
  </si>
  <si>
    <t>移除原威力区重复项</t>
  </si>
  <si>
    <t>黑莓</t>
  </si>
  <si>
    <t>加入术法威力区</t>
  </si>
  <si>
    <t>1500%＋每层灵犀150%，任意灵感克制</t>
  </si>
  <si>
    <t>数维计时</t>
  </si>
  <si>
    <t>第三回合及小瑞额外回合各消耗1回合；洞穿不消耗</t>
  </si>
  <si>
    <t>第4回合开始失效，第76行重新施放仪式后恢复</t>
  </si>
  <si>
    <t>红弩箭状态</t>
  </si>
  <si>
    <t>雷鸣回合末＋3增压；每阶段首次俯冲伤后＋2；满10于回合开始转极限2回合，到期清空增压</t>
  </si>
  <si>
    <t>眼镜蛇仅全场首次额外给5增压和6弹药，弹药上限20</t>
  </si>
  <si>
    <t>第4回合J仪式前</t>
  </si>
  <si>
    <t>Boss燃烧13，自身35</t>
  </si>
  <si>
    <t>用户确认；燃烧快照保持不变</t>
  </si>
  <si>
    <t>雷鸣引擎</t>
  </si>
  <si>
    <t>术法威力＋60%；回合结束获得3增压；回合开始增压达10层时变为极限速度，持续2回合</t>
  </si>
  <si>
    <t>用户补充确认：雷鸣期间每回合首次极限俯冲攻击后赋予自身2层增压</t>
  </si>
  <si>
    <t>增压</t>
  </si>
  <si>
    <t>每层术法威力＋6%，至多10层，不可驱散</t>
  </si>
  <si>
    <t>第一回合5＋2＋3＝10，第二回合开始转入极限速度</t>
  </si>
  <si>
    <t>极限速度</t>
  </si>
  <si>
    <t>术法威力＋120%，持续2回合</t>
  </si>
  <si>
    <t>洞穿不消耗阶段计时；极限到期清空增压</t>
  </si>
  <si>
    <t>弹药装填</t>
  </si>
  <si>
    <t>每层仪式威力＋2.5%，至多20层，不可驱散</t>
  </si>
  <si>
    <t>进入战斗后首次眼镜蛇额外＋6弹药及＋1激情；弱点洞穿阶段自身每行动1次＋1弹药</t>
  </si>
  <si>
    <t>J仪式溢出倍率</t>
  </si>
  <si>
    <t>每溢出1层燃烧，按额外100%现实创伤计算</t>
  </si>
  <si>
    <t>文本50%；怀疑bug或文本显示错误，原因未确认</t>
  </si>
  <si>
    <t>J仪式暴击标记</t>
  </si>
  <si>
    <t>第75、100行改为不暴击</t>
  </si>
  <si>
    <t>分别精确对应实测21612、54067</t>
  </si>
  <si>
    <t>全场核对</t>
  </si>
  <si>
    <t>104次伤害及10组开局仰望均吻合</t>
  </si>
  <si>
    <t>本场验证成立；不同配置、敌方燃烧和第8回合实际攻击仍不在验证范围</t>
  </si>
  <si>
    <t>第二次洞穿自动进入</t>
  </si>
  <si>
    <t>根据阶段切换自动激活弱点洞穿，重置本阶段计数和两分悖论</t>
  </si>
  <si>
    <t>无需补插系统行动，原行号及真实行动顺序保持</t>
  </si>
  <si>
    <t>保守主义持续</t>
  </si>
  <si>
    <t>第5回合敌方阶段施加即生效，本回合末不扣持续时间；第6回合剩2、第7回合剩1</t>
  </si>
  <si>
    <t>用户确认第6回合全队剩2；第7回合37补充算式暴击1398支持继续生效</t>
  </si>
  <si>
    <t>直接本源取整</t>
  </si>
  <si>
    <t>先对攻击×本源倍率向下取整，再计算本源增减及暴击，最后取整</t>
  </si>
  <si>
    <t>本场12笔非零直接本源全部吻合；第79行3344本源误差消除</t>
  </si>
  <si>
    <t>第7回合仰望</t>
  </si>
  <si>
    <t>红弩箭5、37为5、小瑞安侬5、J为0，与引擎一致</t>
  </si>
  <si>
    <t>用户提供开局状态；不代表所有阶段均已验证</t>
  </si>
  <si>
    <t>稳态录入列</t>
  </si>
  <si>
    <t>第122、126、130、132、134、135行的40%附加由G移至H</t>
  </si>
  <si>
    <t>实际伤害数值及合计未修改；G为直接本源，H为稳态附加</t>
  </si>
  <si>
    <t>全场验算</t>
  </si>
  <si>
    <t>104次有实测的伤害行动全部吻合；新增目击6次、第二洞穿17次均吻合</t>
  </si>
  <si>
    <t>第133行起Boss最终免伤65%，支持跨生命门槛后下一行动生效</t>
  </si>
  <si>
    <t>仰望重置时点</t>
  </si>
  <si>
    <t>实际Boss行动前重置；没有Boss实际行动也需在阶段交界处补一次重置</t>
  </si>
  <si>
    <t>第一洞穿沿用第3回合Boss行动后状态；小瑞额外回合及目击结束后的刷新位置由开局记录推导</t>
  </si>
  <si>
    <t>仰望赋予层数</t>
  </si>
  <si>
    <t>重置时移除旧层数；已损失不足40段赋1层，40至99段赋2层，100段及以上赋3层</t>
  </si>
  <si>
    <t>采用触发时已经损失的生命段数；不是每次玩家阶段切换都重置</t>
  </si>
  <si>
    <t>仰望受击触发</t>
  </si>
  <si>
    <t>攻击者攻击前有仰望才触发；先给我方全体加1并限5层，再移除攻击者2层，最低0</t>
  </si>
  <si>
    <t>没有仰望的攻击者不触发；无伤害的增强和吟诵不触发</t>
  </si>
  <si>
    <t>状态检查点</t>
  </si>
  <si>
    <t>用户提供10个阶段开局的四人仰望全部吻合</t>
  </si>
  <si>
    <t>第4回合及第二洞穿均为3/3/3/3；其余阶段原推演保持</t>
  </si>
  <si>
    <t>项目</t>
  </si>
  <si>
    <t>用法及制作思路</t>
  </si>
  <si>
    <t>适用范围与依据</t>
  </si>
  <si>
    <t>文件用途</t>
  </si>
  <si>
    <t>保存本次同副本、同配置、同完整行动记录的验算结果。104次伤害行动及10个阶段开局仰望均吻合。</t>
  </si>
  <si>
    <t>本场实测验证最终版。与另行制作的纯木桩配置对比器分别使用。</t>
  </si>
  <si>
    <t>记录范围</t>
  </si>
  <si>
    <t>行动模拟第9～135行为完整原记录。第136行以后为空白容量。验证终点为第二次洞穿结束、第8回合出牌前。</t>
  </si>
  <si>
    <t>前3回合、第一次洞穿、小瑞额外回合、4～6回合、7目击、第二次洞穿。</t>
  </si>
  <si>
    <t>录入列</t>
  </si>
  <si>
    <t>B阶段；C行动顺序；D技能及阶次；E是否暴击；F现实/精神主伤；G技能自带直接本源；H两分悖论稳态附加；I备注。</t>
  </si>
  <si>
    <t>每次追击或反击独占一行。原伤害记录保留，技能选择决定倍率及触发逻辑。</t>
  </si>
  <si>
    <t>暴击标记</t>
  </si>
  <si>
    <t>是/否。无伤害技能与系统事件用—。按用户约定，实测恰好等于不暴击预测的记录已经更正为否。</t>
  </si>
  <si>
    <t>这些是本场的条件伤害，不是按暴击概率加权的期望值。</t>
  </si>
  <si>
    <t>伤害分段</t>
  </si>
  <si>
    <t>主伤填F；37技能自带本源填G；两分悖论附加填H。两段本源计算和取整时点不同。</t>
  </si>
  <si>
    <t>第二洞穿原有6条稳态附加已从G移到H，实测合计保持不变。</t>
  </si>
  <si>
    <t>阶段顺序</t>
  </si>
  <si>
    <t>1、2、3、洞知、小瑞安侬额外回合、4、5、6、7（目击）、洞知2。</t>
  </si>
  <si>
    <t>阶段选项与回合状态对应。洞穿开始由阶段切换自动识别，无需另插进入事件。</t>
  </si>
  <si>
    <t>战斗引擎</t>
  </si>
  <si>
    <t>逐条读取动作，先确定攻击前面板、增益、减益、生命档位，再计算伤害，最后更新伤后触发和状态。</t>
  </si>
  <si>
    <t>灵犀、默契、仰望、红弩箭状态、J自身燃烧、雨声、稳态附加自动计算。</t>
  </si>
  <si>
    <t>独立计时</t>
  </si>
  <si>
    <t>雨声逐层持续3个专用计时回合。其他持续状态用另一计时轴，洞穿不消耗数维等状态的持续时间。</t>
  </si>
  <si>
    <t>回合状态D为雨声专用计时。不要把普通回合号、阶段号、两条状态时钟混用。</t>
  </si>
  <si>
    <t>Boss燃烧</t>
  </si>
  <si>
    <t>回合状态F保留各阶段开局观察到的Boss燃烧。战斗引擎没有完整模拟敌方回合末燃烧伤害及扣层。</t>
  </si>
  <si>
    <t>这是本场验算的重要外部输入。更换出牌顺序后，旧燃烧快照不再可靠。</t>
  </si>
  <si>
    <t>Boss生命档位</t>
  </si>
  <si>
    <t>默认通过此前实测合计重建损失生命段数。有实测则用实测，缺少实测时用预测累计。</t>
  </si>
  <si>
    <t>门槛在下一次行动生效；合计300万上限关闭。不能以这种实测校准模式宣称独立预测。</t>
  </si>
  <si>
    <t>仰望</t>
  </si>
  <si>
    <t>Boss实际行动前重置；没有Boss实际行动的特殊阶段，也在交界补一次重置。重置层数按已损失40/100段门槛为2/3层。</t>
  </si>
  <si>
    <t>攻击前持有仰望才触发：先全队+1并限5层，再移除攻击者2层。10组开局状态吻合，交界位置由本场记录推导。</t>
  </si>
  <si>
    <t>小瑞额外回合</t>
  </si>
  <si>
    <t>第68行为系统｜回合结束。Boss没有攻击，仅用于阶段收尾和持续状态结算。</t>
  </si>
  <si>
    <t>不触发J受击反击。不应改为实际Boss攻击。仰望在无敌方行动的交界仍需刷新。</t>
  </si>
  <si>
    <t>保守主义</t>
  </si>
  <si>
    <t>第5回合Boss仪式后立即生效，施加回合末不扣持续时间；第6回合剩2、第7回合剩1。</t>
  </si>
  <si>
    <t>额外行动暴击率−50个百分点、暴创−70个百分点；洞知不受影响。第8回合到期按现行口径，尚无该回合攻击实测。</t>
  </si>
  <si>
    <t>角色面板</t>
  </si>
  <si>
    <t>角色面板A4:M7是已装备当前心相后的战前面板。A11:M14记录入战效果，A18:M21为公式结果。</t>
  </si>
  <si>
    <t>共鸣、调频、装备固定属性不重复加。当前仅红弩箭2塑，其余0塑，37/J狂想IV。</t>
  </si>
  <si>
    <t>计算暴创</t>
  </si>
  <si>
    <t>显示面板保留202.6%和171.8%；实际伤害计算分别采用红弩箭202.5%、J171.7%。</t>
  </si>
  <si>
    <t>按用户指定的暴击技巧贡献向下取整解释。不同玩家需重新确认，不能照抄两项数值。</t>
  </si>
  <si>
    <t>J仪式</t>
  </si>
  <si>
    <t>700%基础现实，主目标每层溢出燃烧按额外100%现实倍率。先添加敌方燃烧再计算溢出。</t>
  </si>
  <si>
    <t>游戏文字写50%。三次独立测试及原战斗支持有效100%；是否bug或文本错误仍未确定。</t>
  </si>
  <si>
    <t>家庭指导员</t>
  </si>
  <si>
    <t>反击伤后累计仪式威力，硬度测试也按反击。当前仪式消耗激情增加的全队暴创在本次伤害后计入。</t>
  </si>
  <si>
    <t>A1仪式每层4%限3层，暴创每点0.4个百分点限30点。心相静态面板已包含。</t>
  </si>
  <si>
    <t>洞知公式</t>
  </si>
  <si>
    <t>现实/精神主伤使用独立洞知威力区，不额外乘普通术法威力区。两分悖论附加按结算主伤比例向下取整。</t>
  </si>
  <si>
    <t>红弩箭与37独立开局测试支持该口径；本场两次洞穿也复现。不能据此涵盖所有洞知角色。</t>
  </si>
  <si>
    <t>结果怎么看</t>
  </si>
  <si>
    <t>行动模拟绿色计算列列出不暴击、暴击、选定预测、实测合计和差异；验证表按分段核对。</t>
  </si>
  <si>
    <t>本场104笔合计和所有录入的主伤/本源分段零差异。修改输入后应重新看差异，旧验算结论不自动延续。</t>
  </si>
  <si>
    <t>可以修改什么</t>
  </si>
  <si>
    <t>纠正本场抄录：改阶段、技能阶次、暴击和伤害分段。查看后台计算可追踪每次行动前后的状态。</t>
  </si>
  <si>
    <t>改角色、塑造、心相、Boss、行动顺序属于新场景；应使用新的配置对比器或另留副本重新验算。</t>
  </si>
  <si>
    <t>本文件的边界</t>
  </si>
  <si>
    <t>它是本场战斗的验证档案，保留了实际Boss燃烧和损血路径等信息。</t>
  </si>
  <si>
    <t>不作为任意角色/任意Boss的通用精确伤害预测器。精确复现本组数据不等于游戏全部公式已唯一证明。</t>
  </si>
  <si>
    <t>版本及维护</t>
  </si>
  <si>
    <t>2026-10-07。后续游戏改版或新测试推翻规则时，另存新版本并说明变化。</t>
  </si>
  <si>
    <t>原实测验证文件保持保留。本文件已清理说明中的旧阶段待验证描述，计算引擎保持不变。</t>
  </si>
  <si>
    <t>本场实测伤害统计</t>
  </si>
  <si>
    <t>来源：行动模拟的实测合计（主伤＋直接本源＋稳态附加），截至第二次洞穿结束、第8回合出牌前。按实际发动角色/技能归属，不对辅助增益作伤害归因。不同阶次合并，洞知普通及第三次强化合并。</t>
  </si>
  <si>
    <t>实测总伤害</t>
  </si>
  <si>
    <t>主线7回合DPR</t>
  </si>
  <si>
    <t>计入额外回合的DPR</t>
  </si>
  <si>
    <t>伤害行动数</t>
  </si>
  <si>
    <t>原表行号</t>
  </si>
  <si>
    <t>技能（合并阶次）</t>
  </si>
  <si>
    <t>原阶段键</t>
  </si>
  <si>
    <t>主线回合</t>
  </si>
  <si>
    <t>有实测伤害</t>
  </si>
  <si>
    <t>全队占比</t>
  </si>
  <si>
    <t>伤害次数</t>
  </si>
  <si>
    <t>合计</t>
  </si>
  <si>
    <t>红弩箭各伤害技能占比</t>
  </si>
  <si>
    <t>37各伤害技能占比</t>
  </si>
  <si>
    <t>伤害技能</t>
  </si>
  <si>
    <t>角色内占比</t>
  </si>
  <si>
    <t>小瑞安侬各伤害技能占比</t>
  </si>
  <si>
    <t>J各伤害技能占比</t>
  </si>
  <si>
    <t>每个主线回合伤害：全队柱状，各角色折线</t>
  </si>
  <si>
    <t>全队总伤</t>
  </si>
  <si>
    <t>37伤害</t>
  </si>
  <si>
    <t>第1回合</t>
  </si>
  <si>
    <t>第2回合</t>
  </si>
  <si>
    <t>第3回合</t>
  </si>
  <si>
    <t>第4回合</t>
  </si>
  <si>
    <t>第5回合</t>
  </si>
  <si>
    <t>第6回合</t>
  </si>
  <si>
    <t>第7回合</t>
  </si>
  <si>
    <t>实测总伤</t>
  </si>
  <si>
    <t>计时8回合DPR</t>
  </si>
  <si>
    <t>DPR计算口径</t>
  </si>
  <si>
    <t>已完成主线回合数</t>
  </si>
  <si>
    <t>包括第7目击回合</t>
  </si>
  <si>
    <t>小瑞额外回合数</t>
  </si>
  <si>
    <t>本场共1次</t>
  </si>
  <si>
    <t>计时回合数</t>
  </si>
  <si>
    <t>洞穿不另计回合</t>
  </si>
  <si>
    <t>单独展示阶段数</t>
  </si>
  <si>
    <t>7主线＋1额外＋2洞穿</t>
  </si>
  <si>
    <t>全队</t>
  </si>
  <si>
    <t>DPR=总实测伤害÷回合数。主线口径包含额外与洞穿伤害。数据没有包含第8回合出牌或未记录的燃烧结算伤害。</t>
  </si>
  <si>
    <t>10个阶段的伤害明细</t>
  </si>
  <si>
    <t>主线归属</t>
  </si>
  <si>
    <t>占比的归属说明：J仪式增伤、小瑞增益、37数维等带来的队友伤害，仍归到实际发动伤害的队友。本页统计输出贡献，不估算增益贡献。主伤及两种本源均计入技能合计，避免重复统计。</t>
  </si>
  <si>
    <t>第一次洞穿</t>
  </si>
  <si>
    <t>汇总检查</t>
  </si>
  <si>
    <t>角色合计与全场差</t>
  </si>
  <si>
    <t>第7目击回合</t>
  </si>
  <si>
    <t>主线合计与全场差</t>
  </si>
  <si>
    <t>第二次洞穿</t>
  </si>
  <si>
    <t>阶段合计与全场差</t>
  </si>
  <si>
    <t>该回合全部主动、追击及反击实测伤害</t>
    <phoneticPr fontId="4" type="noConversion"/>
  </si>
  <si>
    <t>第3回合＋第一次洞穿＋小瑞安侬额外回合</t>
    <phoneticPr fontId="4" type="noConversion"/>
  </si>
  <si>
    <t>第7回合（目击）＋第二次洞穿</t>
    <phoneticPr fontId="4" type="noConversion"/>
  </si>
  <si>
    <t>阶段合并说明</t>
    <phoneticPr fontId="4" type="noConversion"/>
  </si>
  <si>
    <t>占比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</si>
</sst>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#,##0.0"/>
    <numFmt numFmtId="178" formatCode="0.000%"/>
  </numFmts>
  <fonts count="8">
    <font>
      <sz val="11"/>
      <name val="Carlito"/>
    </font>
    <font>
      <sz val="10"/>
      <color rgb="FF23354D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Microsoft YaHei"/>
      <family val="2"/>
      <charset val="134"/>
    </font>
    <font>
      <b/>
      <sz val="17"/>
      <color rgb="FFFFFFFF"/>
      <name val="Microsoft YaHei"/>
      <family val="2"/>
      <charset val="134"/>
    </font>
    <font>
      <b/>
      <sz val="20"/>
      <color rgb="FF203D62"/>
      <name val="Microsoft YaHei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rgb="FF203D62"/>
      </patternFill>
    </fill>
    <fill>
      <patternFill patternType="solid">
        <fgColor rgb="FFFFF2CC"/>
      </patternFill>
    </fill>
    <fill>
      <patternFill patternType="solid">
        <fgColor rgb="FFEAF5EE"/>
      </patternFill>
    </fill>
    <fill>
      <patternFill patternType="solid">
        <fgColor rgb="FFEAF5EE"/>
      </patternFill>
    </fill>
    <fill>
      <patternFill patternType="solid">
        <fgColor rgb="FF203D62"/>
      </patternFill>
    </fill>
    <fill>
      <patternFill patternType="solid">
        <fgColor rgb="FFFFF2CC"/>
      </patternFill>
    </fill>
    <fill>
      <patternFill patternType="solid">
        <fgColor rgb="FF203D62"/>
      </patternFill>
    </fill>
    <fill>
      <patternFill patternType="solid">
        <fgColor rgb="FF203D62"/>
      </patternFill>
    </fill>
    <fill>
      <patternFill patternType="solid">
        <fgColor rgb="FF203D62"/>
      </patternFill>
    </fill>
    <fill>
      <patternFill patternType="solid">
        <fgColor rgb="FFDFF1EB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A56CC1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 style="thin">
        <color rgb="FFD8E1ED"/>
      </left>
      <right style="thin">
        <color rgb="FFD8E1ED"/>
      </right>
      <top style="thin">
        <color rgb="FFD8E1ED"/>
      </top>
      <bottom style="thin">
        <color rgb="FFD8E1ED"/>
      </bottom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1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3" fontId="1" fillId="3" borderId="1" xfId="1" applyNumberFormat="1" applyFont="1" applyFill="1" applyBorder="1" applyAlignment="1">
      <alignment horizontal="center" vertical="center" wrapText="1"/>
    </xf>
    <xf numFmtId="3" fontId="1" fillId="4" borderId="1" xfId="1" applyNumberFormat="1" applyFont="1" applyFill="1" applyBorder="1" applyAlignment="1">
      <alignment horizontal="center" vertical="center" wrapText="1"/>
    </xf>
    <xf numFmtId="176" fontId="1" fillId="4" borderId="1" xfId="1" applyNumberFormat="1" applyFont="1" applyFill="1" applyBorder="1" applyAlignment="1">
      <alignment horizontal="center" vertical="center" wrapText="1"/>
    </xf>
    <xf numFmtId="9" fontId="1" fillId="4" borderId="1" xfId="1" applyNumberFormat="1" applyFont="1" applyFill="1" applyBorder="1" applyAlignment="1">
      <alignment horizontal="center" vertical="center" wrapText="1"/>
    </xf>
    <xf numFmtId="1" fontId="1" fillId="0" borderId="1" xfId="1" applyNumberFormat="1" applyFont="1" applyBorder="1" applyAlignment="1">
      <alignment horizontal="center" vertical="center" wrapText="1"/>
    </xf>
    <xf numFmtId="176" fontId="1" fillId="0" borderId="1" xfId="1" applyNumberFormat="1" applyFont="1" applyBorder="1" applyAlignment="1">
      <alignment horizontal="center" vertical="center" wrapText="1"/>
    </xf>
    <xf numFmtId="9" fontId="1" fillId="0" borderId="1" xfId="1" applyNumberFormat="1" applyFont="1" applyBorder="1" applyAlignment="1">
      <alignment horizontal="center" vertical="center" wrapText="1"/>
    </xf>
    <xf numFmtId="3" fontId="1" fillId="0" borderId="1" xfId="1" applyNumberFormat="1" applyFont="1" applyBorder="1" applyAlignment="1">
      <alignment horizontal="center" vertical="center" wrapText="1"/>
    </xf>
    <xf numFmtId="3" fontId="1" fillId="5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9" fontId="1" fillId="7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3" fontId="1" fillId="11" borderId="1" xfId="0" applyNumberFormat="1" applyFont="1" applyFill="1" applyBorder="1" applyAlignment="1">
      <alignment horizontal="center" vertical="center" wrapText="1"/>
    </xf>
    <xf numFmtId="10" fontId="1" fillId="11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1" fillId="11" borderId="1" xfId="0" applyNumberFormat="1" applyFont="1" applyFill="1" applyBorder="1" applyAlignment="1">
      <alignment horizontal="center" vertical="center" wrapText="1"/>
    </xf>
    <xf numFmtId="178" fontId="1" fillId="0" borderId="1" xfId="2" applyNumberFormat="1" applyFont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177" fontId="7" fillId="11" borderId="0" xfId="0" applyNumberFormat="1" applyFont="1" applyFill="1" applyAlignment="1">
      <alignment horizontal="center" vertical="center"/>
    </xf>
    <xf numFmtId="1" fontId="7" fillId="11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</cellXfs>
  <cellStyles count="3">
    <cellStyle name="Normal" xfId="1" xr:uid="{00000000-0005-0000-0000-000000000000}"/>
    <cellStyle name="百分比" xfId="2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1125">
                <a:latin typeface="Microsoft YaHei"/>
                <a:ea typeface="Microsoft YaHei"/>
                <a:cs typeface="Microsoft YaHei"/>
              </a:rPr>
              <a:t>队伍各角色伤害占比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实测伤害</c:v>
          </c:tx>
          <c:dPt>
            <c:idx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1-2742-4A24-AA13-B3E937B9383C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2742-4A24-AA13-B3E937B9383C}"/>
              </c:ext>
            </c:extLst>
          </c:dPt>
          <c:dPt>
            <c:idx val="2"/>
            <c:bubble3D val="0"/>
            <c:spPr>
              <a:solidFill>
                <a:srgbClr val="A56CC1"/>
              </a:solidFill>
            </c:spPr>
            <c:extLst>
              <c:ext xmlns:c16="http://schemas.microsoft.com/office/drawing/2014/chart" uri="{C3380CC4-5D6E-409C-BE32-E72D297353CC}">
                <c16:uniqueId val="{00000005-2742-4A24-AA13-B3E937B9383C}"/>
              </c:ext>
            </c:extLst>
          </c:dPt>
          <c:dPt>
            <c:idx val="3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7-2742-4A24-AA13-B3E937B9383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伤害统计!$A$11:$A$14</c:f>
              <c:strCache>
                <c:ptCount val="4"/>
                <c:pt idx="0">
                  <c:v>红弩箭</c:v>
                </c:pt>
                <c:pt idx="1">
                  <c:v>37</c:v>
                </c:pt>
                <c:pt idx="2">
                  <c:v>J</c:v>
                </c:pt>
                <c:pt idx="3">
                  <c:v>小瑞安侬</c:v>
                </c:pt>
              </c:strCache>
            </c:strRef>
          </c:cat>
          <c:val>
            <c:numRef>
              <c:f>伤害统计!$B$11:$B$14</c:f>
              <c:numCache>
                <c:formatCode>#,##0</c:formatCode>
                <c:ptCount val="4"/>
                <c:pt idx="0">
                  <c:v>21911267</c:v>
                </c:pt>
                <c:pt idx="1">
                  <c:v>917506</c:v>
                </c:pt>
                <c:pt idx="2">
                  <c:v>339268</c:v>
                </c:pt>
                <c:pt idx="3">
                  <c:v>42438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42-4A24-AA13-B3E937B9383C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1125">
                <a:latin typeface="Microsoft YaHei"/>
                <a:ea typeface="Microsoft YaHei"/>
                <a:cs typeface="Microsoft YaHei"/>
              </a:rPr>
              <a:t>红弩箭技能伤害占比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实测伤害</c:v>
          </c:tx>
          <c:dLbls>
            <c:numFmt formatCode="0.0%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伤害统计!$A$48:$A$51</c:f>
              <c:strCache>
                <c:ptCount val="4"/>
                <c:pt idx="0">
                  <c:v>洞知咒语</c:v>
                </c:pt>
                <c:pt idx="1">
                  <c:v>洞知终结</c:v>
                </c:pt>
                <c:pt idx="2">
                  <c:v>极限俯冲</c:v>
                </c:pt>
                <c:pt idx="3">
                  <c:v>试试杀手锏</c:v>
                </c:pt>
              </c:strCache>
            </c:strRef>
          </c:cat>
          <c:val>
            <c:numRef>
              <c:f>伤害统计!$B$48:$B$51</c:f>
              <c:numCache>
                <c:formatCode>#,##0</c:formatCode>
                <c:ptCount val="4"/>
                <c:pt idx="0">
                  <c:v>9967510</c:v>
                </c:pt>
                <c:pt idx="1">
                  <c:v>6642237</c:v>
                </c:pt>
                <c:pt idx="2">
                  <c:v>2880160</c:v>
                </c:pt>
                <c:pt idx="3">
                  <c:v>2421360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E-401A-816F-0269215EC6CE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altLang="zh-CN" sz="1125">
                <a:latin typeface="Microsoft YaHei"/>
                <a:ea typeface="Microsoft YaHei"/>
                <a:cs typeface="Microsoft YaHei"/>
              </a:rPr>
              <a:t>37</a:t>
            </a:r>
            <a:r>
              <a:rPr lang="zh-CN" altLang="en-US" sz="1125">
                <a:latin typeface="Microsoft YaHei"/>
                <a:ea typeface="Microsoft YaHei"/>
                <a:cs typeface="Microsoft YaHei"/>
              </a:rPr>
              <a:t>技能伤害占比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实测伤害</c:v>
          </c:tx>
          <c:dLbls>
            <c:numFmt formatCode="0.0%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伤害统计!$K$48:$K$51</c:f>
              <c:strCache>
                <c:ptCount val="4"/>
                <c:pt idx="0">
                  <c:v>洞知咒语</c:v>
                </c:pt>
                <c:pt idx="1">
                  <c:v>补充算式</c:v>
                </c:pt>
                <c:pt idx="2">
                  <c:v>三角正论</c:v>
                </c:pt>
                <c:pt idx="3">
                  <c:v>曲线映射</c:v>
                </c:pt>
              </c:strCache>
            </c:strRef>
          </c:cat>
          <c:val>
            <c:numRef>
              <c:f>伤害统计!$L$48:$L$51</c:f>
              <c:numCache>
                <c:formatCode>#,##0</c:formatCode>
                <c:ptCount val="4"/>
                <c:pt idx="0">
                  <c:v>751080</c:v>
                </c:pt>
                <c:pt idx="1">
                  <c:v>123097</c:v>
                </c:pt>
                <c:pt idx="2">
                  <c:v>29842</c:v>
                </c:pt>
                <c:pt idx="3">
                  <c:v>13487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7-4625-9CB6-0251718A2D7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1125">
                <a:latin typeface="Microsoft YaHei"/>
                <a:ea typeface="Microsoft YaHei"/>
                <a:cs typeface="Microsoft YaHei"/>
              </a:rPr>
              <a:t>小瑞安侬技能伤害占比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实测伤害</c:v>
          </c:tx>
          <c:dLbls>
            <c:numFmt formatCode="0.0%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伤害统计!$A$76:$A$77</c:f>
              <c:strCache>
                <c:ptCount val="2"/>
                <c:pt idx="0">
                  <c:v>囫囵囵咒</c:v>
                </c:pt>
                <c:pt idx="1">
                  <c:v>虫虫黑莓唤回术</c:v>
                </c:pt>
              </c:strCache>
            </c:strRef>
          </c:cat>
          <c:val>
            <c:numRef>
              <c:f>伤害统计!$B$76:$B$77</c:f>
              <c:numCache>
                <c:formatCode>#,##0</c:formatCode>
                <c:ptCount val="2"/>
                <c:pt idx="0">
                  <c:v>29943</c:v>
                </c:pt>
                <c:pt idx="1">
                  <c:v>12495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38F-8875-F207D296F3BE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125">
                <a:latin typeface="Microsoft YaHei"/>
                <a:ea typeface="Microsoft YaHei"/>
                <a:cs typeface="Microsoft YaHei"/>
              </a:rPr>
              <a:t>J</a:t>
            </a:r>
            <a:r>
              <a:rPr lang="zh-CN" altLang="en-US" sz="1125">
                <a:latin typeface="Microsoft YaHei"/>
                <a:ea typeface="Microsoft YaHei"/>
                <a:cs typeface="Microsoft YaHei"/>
              </a:rPr>
              <a:t>技能伤害占比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实测伤害</c:v>
          </c:tx>
          <c:dLbls>
            <c:numFmt formatCode="0.0%" sourceLinked="0"/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伤害统计!$K$76:$K$78</c:f>
              <c:strCache>
                <c:ptCount val="3"/>
                <c:pt idx="0">
                  <c:v>飞跃海特街</c:v>
                </c:pt>
                <c:pt idx="1">
                  <c:v>高温回火</c:v>
                </c:pt>
                <c:pt idx="2">
                  <c:v>硬度测试</c:v>
                </c:pt>
              </c:strCache>
            </c:strRef>
          </c:cat>
          <c:val>
            <c:numRef>
              <c:f>伤害统计!$L$76:$L$78</c:f>
              <c:numCache>
                <c:formatCode>#,##0</c:formatCode>
                <c:ptCount val="3"/>
                <c:pt idx="0">
                  <c:v>213052</c:v>
                </c:pt>
                <c:pt idx="1">
                  <c:v>108676</c:v>
                </c:pt>
                <c:pt idx="2">
                  <c:v>17540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8-47D0-8947-E089397518CE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overlay val="1"/>
      <c:txPr>
        <a:bodyPr anchorCtr="1"/>
        <a:lstStyle/>
        <a:p>
          <a:pPr>
            <a:defRPr sz="1125">
              <a:latin typeface="Microsoft YaHei"/>
              <a:ea typeface="Microsoft YaHei"/>
              <a:cs typeface="Microsoft YaHei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全队总伤</c:v>
          </c:tx>
          <c:spPr>
            <a:solidFill>
              <a:srgbClr val="D6E2F0"/>
            </a:solidFill>
          </c:spPr>
          <c:invertIfNegative val="1"/>
          <c:cat>
            <c:strRef>
              <c:f>伤害统计!$A$108:$A$114</c:f>
              <c:strCache>
                <c:ptCount val="7"/>
                <c:pt idx="0">
                  <c:v>第1回合</c:v>
                </c:pt>
                <c:pt idx="1">
                  <c:v>第2回合</c:v>
                </c:pt>
                <c:pt idx="2">
                  <c:v>第3回合</c:v>
                </c:pt>
                <c:pt idx="3">
                  <c:v>第4回合</c:v>
                </c:pt>
                <c:pt idx="4">
                  <c:v>第5回合</c:v>
                </c:pt>
                <c:pt idx="5">
                  <c:v>第6回合</c:v>
                </c:pt>
                <c:pt idx="6">
                  <c:v>第7回合</c:v>
                </c:pt>
              </c:strCache>
            </c:strRef>
          </c:cat>
          <c:val>
            <c:numRef>
              <c:f>伤害统计!$B$108:$B$114</c:f>
              <c:numCache>
                <c:formatCode>#,##0</c:formatCode>
                <c:ptCount val="7"/>
                <c:pt idx="0">
                  <c:v>88181</c:v>
                </c:pt>
                <c:pt idx="1">
                  <c:v>54628</c:v>
                </c:pt>
                <c:pt idx="2">
                  <c:v>13210508</c:v>
                </c:pt>
                <c:pt idx="3">
                  <c:v>200312</c:v>
                </c:pt>
                <c:pt idx="4">
                  <c:v>773399</c:v>
                </c:pt>
                <c:pt idx="5">
                  <c:v>702061</c:v>
                </c:pt>
                <c:pt idx="6">
                  <c:v>8181390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CF1-436E-AC39-A14D95279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lineChart>
        <c:grouping val="standard"/>
        <c:varyColors val="0"/>
        <c:ser>
          <c:idx val="1"/>
          <c:order val="1"/>
          <c:tx>
            <c:v>红弩箭</c:v>
          </c:tx>
          <c:spPr>
            <a:ln w="28575">
              <a:solidFill>
                <a:srgbClr val="4472C4"/>
              </a:solidFill>
            </a:ln>
          </c:spPr>
          <c:marker>
            <c:symbol val="circle"/>
            <c:size val="5"/>
          </c:marker>
          <c:cat>
            <c:strRef>
              <c:f>伤害统计!$A$108:$A$114</c:f>
              <c:strCache>
                <c:ptCount val="7"/>
                <c:pt idx="0">
                  <c:v>第1回合</c:v>
                </c:pt>
                <c:pt idx="1">
                  <c:v>第2回合</c:v>
                </c:pt>
                <c:pt idx="2">
                  <c:v>第3回合</c:v>
                </c:pt>
                <c:pt idx="3">
                  <c:v>第4回合</c:v>
                </c:pt>
                <c:pt idx="4">
                  <c:v>第5回合</c:v>
                </c:pt>
                <c:pt idx="5">
                  <c:v>第6回合</c:v>
                </c:pt>
                <c:pt idx="6">
                  <c:v>第7回合</c:v>
                </c:pt>
              </c:strCache>
            </c:strRef>
          </c:cat>
          <c:val>
            <c:numRef>
              <c:f>伤害统计!$C$108:$C$114</c:f>
              <c:numCache>
                <c:formatCode>#,##0</c:formatCode>
                <c:ptCount val="7"/>
                <c:pt idx="0">
                  <c:v>73241</c:v>
                </c:pt>
                <c:pt idx="1">
                  <c:v>0</c:v>
                </c:pt>
                <c:pt idx="2">
                  <c:v>12689682</c:v>
                </c:pt>
                <c:pt idx="3">
                  <c:v>124304</c:v>
                </c:pt>
                <c:pt idx="4">
                  <c:v>724133</c:v>
                </c:pt>
                <c:pt idx="5">
                  <c:v>615024</c:v>
                </c:pt>
                <c:pt idx="6">
                  <c:v>7684883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1-436E-AC39-A14D95279329}"/>
            </c:ext>
          </c:extLst>
        </c:ser>
        <c:ser>
          <c:idx val="2"/>
          <c:order val="2"/>
          <c:tx>
            <c:v>37伤害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伤害统计!$A$108:$A$114</c:f>
              <c:strCache>
                <c:ptCount val="7"/>
                <c:pt idx="0">
                  <c:v>第1回合</c:v>
                </c:pt>
                <c:pt idx="1">
                  <c:v>第2回合</c:v>
                </c:pt>
                <c:pt idx="2">
                  <c:v>第3回合</c:v>
                </c:pt>
                <c:pt idx="3">
                  <c:v>第4回合</c:v>
                </c:pt>
                <c:pt idx="4">
                  <c:v>第5回合</c:v>
                </c:pt>
                <c:pt idx="5">
                  <c:v>第6回合</c:v>
                </c:pt>
                <c:pt idx="6">
                  <c:v>第7回合</c:v>
                </c:pt>
              </c:strCache>
            </c:strRef>
          </c:cat>
          <c:val>
            <c:numRef>
              <c:f>伤害统计!$D$108:$D$114</c:f>
              <c:numCache>
                <c:formatCode>#,##0</c:formatCode>
                <c:ptCount val="7"/>
                <c:pt idx="0">
                  <c:v>8414</c:v>
                </c:pt>
                <c:pt idx="1">
                  <c:v>44065</c:v>
                </c:pt>
                <c:pt idx="2">
                  <c:v>424021</c:v>
                </c:pt>
                <c:pt idx="3">
                  <c:v>18277</c:v>
                </c:pt>
                <c:pt idx="4">
                  <c:v>27153</c:v>
                </c:pt>
                <c:pt idx="5">
                  <c:v>12343</c:v>
                </c:pt>
                <c:pt idx="6">
                  <c:v>383233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F1-436E-AC39-A14D95279329}"/>
            </c:ext>
          </c:extLst>
        </c:ser>
        <c:ser>
          <c:idx val="3"/>
          <c:order val="3"/>
          <c:tx>
            <c:v>小瑞安侬</c:v>
          </c:tx>
          <c:spPr>
            <a:ln w="28575">
              <a:solidFill>
                <a:srgbClr val="70AD47"/>
              </a:solidFill>
            </a:ln>
          </c:spPr>
          <c:marker>
            <c:symbol val="circle"/>
            <c:size val="5"/>
          </c:marker>
          <c:cat>
            <c:strRef>
              <c:f>伤害统计!$A$108:$A$114</c:f>
              <c:strCache>
                <c:ptCount val="7"/>
                <c:pt idx="0">
                  <c:v>第1回合</c:v>
                </c:pt>
                <c:pt idx="1">
                  <c:v>第2回合</c:v>
                </c:pt>
                <c:pt idx="2">
                  <c:v>第3回合</c:v>
                </c:pt>
                <c:pt idx="3">
                  <c:v>第4回合</c:v>
                </c:pt>
                <c:pt idx="4">
                  <c:v>第5回合</c:v>
                </c:pt>
                <c:pt idx="5">
                  <c:v>第6回合</c:v>
                </c:pt>
                <c:pt idx="6">
                  <c:v>第7回合</c:v>
                </c:pt>
              </c:strCache>
            </c:strRef>
          </c:cat>
          <c:val>
            <c:numRef>
              <c:f>伤害统计!$E$108:$E$114</c:f>
              <c:numCache>
                <c:formatCode>#,##0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28190</c:v>
                </c:pt>
                <c:pt idx="3">
                  <c:v>12427</c:v>
                </c:pt>
                <c:pt idx="4">
                  <c:v>0</c:v>
                </c:pt>
                <c:pt idx="5">
                  <c:v>0</c:v>
                </c:pt>
                <c:pt idx="6">
                  <c:v>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F1-436E-AC39-A14D95279329}"/>
            </c:ext>
          </c:extLst>
        </c:ser>
        <c:ser>
          <c:idx val="4"/>
          <c:order val="4"/>
          <c:tx>
            <c:v>J</c:v>
          </c:tx>
          <c:spPr>
            <a:ln w="28575">
              <a:solidFill>
                <a:srgbClr val="A56CC1"/>
              </a:solidFill>
            </a:ln>
          </c:spPr>
          <c:marker>
            <c:symbol val="circle"/>
            <c:size val="5"/>
          </c:marker>
          <c:cat>
            <c:strRef>
              <c:f>伤害统计!$A$108:$A$114</c:f>
              <c:strCache>
                <c:ptCount val="7"/>
                <c:pt idx="0">
                  <c:v>第1回合</c:v>
                </c:pt>
                <c:pt idx="1">
                  <c:v>第2回合</c:v>
                </c:pt>
                <c:pt idx="2">
                  <c:v>第3回合</c:v>
                </c:pt>
                <c:pt idx="3">
                  <c:v>第4回合</c:v>
                </c:pt>
                <c:pt idx="4">
                  <c:v>第5回合</c:v>
                </c:pt>
                <c:pt idx="5">
                  <c:v>第6回合</c:v>
                </c:pt>
                <c:pt idx="6">
                  <c:v>第7回合</c:v>
                </c:pt>
              </c:strCache>
            </c:strRef>
          </c:cat>
          <c:val>
            <c:numRef>
              <c:f>伤害统计!$F$108:$F$114</c:f>
              <c:numCache>
                <c:formatCode>#,##0</c:formatCode>
                <c:ptCount val="7"/>
                <c:pt idx="0">
                  <c:v>6526</c:v>
                </c:pt>
                <c:pt idx="1">
                  <c:v>10563</c:v>
                </c:pt>
                <c:pt idx="2">
                  <c:v>68615</c:v>
                </c:pt>
                <c:pt idx="3">
                  <c:v>45304</c:v>
                </c:pt>
                <c:pt idx="4">
                  <c:v>22113</c:v>
                </c:pt>
                <c:pt idx="5">
                  <c:v>74694</c:v>
                </c:pt>
                <c:pt idx="6">
                  <c:v>111453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F1-436E-AC39-A14D95279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27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0</xdr:rowOff>
    </xdr:from>
    <xdr:to>
      <xdr:col>9</xdr:col>
      <xdr:colOff>0</xdr:colOff>
      <xdr:row>73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55</xdr:row>
      <xdr:rowOff>0</xdr:rowOff>
    </xdr:from>
    <xdr:to>
      <xdr:col>18</xdr:col>
      <xdr:colOff>0</xdr:colOff>
      <xdr:row>73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18</xdr:col>
      <xdr:colOff>0</xdr:colOff>
      <xdr:row>104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9"/>
  <sheetViews>
    <sheetView workbookViewId="0">
      <pane xSplit="1" ySplit="17" topLeftCell="B18" activePane="bottomRight" state="frozen"/>
      <selection pane="topRight"/>
      <selection pane="bottomLeft"/>
      <selection pane="bottomRight" activeCell="A2" sqref="A2"/>
    </sheetView>
  </sheetViews>
  <sheetFormatPr defaultRowHeight="14.25"/>
  <cols>
    <col min="1" max="1" width="45" customWidth="1"/>
    <col min="2" max="2" width="55" customWidth="1"/>
    <col min="3" max="6" width="14" customWidth="1"/>
    <col min="7" max="7" width="21" customWidth="1"/>
    <col min="8" max="13" width="14" customWidth="1"/>
  </cols>
  <sheetData>
    <row r="1" spans="1:13" ht="38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8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8.1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</row>
    <row r="4" spans="1:13" ht="38.1" customHeight="1">
      <c r="A4" s="1" t="s">
        <v>14</v>
      </c>
      <c r="B4" s="1" t="s">
        <v>15</v>
      </c>
      <c r="C4" s="9">
        <v>2296</v>
      </c>
      <c r="D4" s="9">
        <v>9354</v>
      </c>
      <c r="E4" s="9">
        <v>797</v>
      </c>
      <c r="F4" s="9">
        <v>763</v>
      </c>
      <c r="G4" s="10">
        <v>0.7</v>
      </c>
      <c r="H4" s="10">
        <v>2.0259999999999998</v>
      </c>
      <c r="I4" s="10">
        <v>0.1</v>
      </c>
      <c r="J4" s="10">
        <v>7.0000000000000007E-2</v>
      </c>
      <c r="K4" s="10">
        <v>0</v>
      </c>
      <c r="L4" s="10">
        <v>0</v>
      </c>
      <c r="M4" s="10">
        <v>0</v>
      </c>
    </row>
    <row r="5" spans="1:13" ht="38.1" customHeight="1">
      <c r="A5" s="1" t="s">
        <v>16</v>
      </c>
      <c r="B5" s="1" t="s">
        <v>15</v>
      </c>
      <c r="C5" s="9">
        <v>2306</v>
      </c>
      <c r="D5" s="9">
        <v>11089</v>
      </c>
      <c r="E5" s="9">
        <v>760</v>
      </c>
      <c r="F5" s="9">
        <v>853</v>
      </c>
      <c r="G5" s="10">
        <v>0.46</v>
      </c>
      <c r="H5" s="10">
        <v>1.9279999999999999</v>
      </c>
      <c r="I5" s="10">
        <v>5.0000000000000001E-3</v>
      </c>
      <c r="J5" s="10">
        <v>0.01</v>
      </c>
      <c r="K5" s="10">
        <v>0</v>
      </c>
      <c r="L5" s="10">
        <v>0</v>
      </c>
      <c r="M5" s="10">
        <v>0</v>
      </c>
    </row>
    <row r="6" spans="1:13" ht="38.1" customHeight="1">
      <c r="A6" s="1" t="s">
        <v>17</v>
      </c>
      <c r="B6" s="1" t="s">
        <v>18</v>
      </c>
      <c r="C6" s="9">
        <v>2597</v>
      </c>
      <c r="D6" s="9">
        <v>12240</v>
      </c>
      <c r="E6" s="9">
        <v>818</v>
      </c>
      <c r="F6" s="9">
        <v>838</v>
      </c>
      <c r="G6" s="10">
        <v>0.255</v>
      </c>
      <c r="H6" s="10">
        <v>1.55</v>
      </c>
      <c r="I6" s="10">
        <v>3.5000000000000003E-2</v>
      </c>
      <c r="J6" s="10">
        <v>0.20499999999999999</v>
      </c>
      <c r="K6" s="10">
        <v>0</v>
      </c>
      <c r="L6" s="10">
        <v>0</v>
      </c>
      <c r="M6" s="10">
        <v>0</v>
      </c>
    </row>
    <row r="7" spans="1:13" ht="38.1" customHeight="1">
      <c r="A7" s="1" t="s">
        <v>19</v>
      </c>
      <c r="B7" s="1" t="s">
        <v>18</v>
      </c>
      <c r="C7" s="9">
        <v>1906</v>
      </c>
      <c r="D7" s="9">
        <v>12876</v>
      </c>
      <c r="E7" s="9">
        <v>942</v>
      </c>
      <c r="F7" s="9">
        <v>942</v>
      </c>
      <c r="G7" s="10">
        <v>0.36699999999999999</v>
      </c>
      <c r="H7" s="10">
        <v>1.718</v>
      </c>
      <c r="I7" s="10">
        <v>2.5000000000000001E-2</v>
      </c>
      <c r="J7" s="10">
        <v>0.06</v>
      </c>
      <c r="K7" s="10">
        <v>0</v>
      </c>
      <c r="L7" s="10">
        <v>0</v>
      </c>
      <c r="M7" s="10">
        <v>0</v>
      </c>
    </row>
    <row r="8" spans="1:13" ht="38.1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38.1" customHeight="1">
      <c r="A9" s="1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38.1" customHeight="1">
      <c r="A10" s="1" t="s">
        <v>1</v>
      </c>
      <c r="B10" s="1" t="s">
        <v>21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H10" s="1" t="s">
        <v>8</v>
      </c>
      <c r="I10" s="1" t="s">
        <v>9</v>
      </c>
      <c r="J10" s="1" t="s">
        <v>10</v>
      </c>
      <c r="K10" s="1" t="s">
        <v>11</v>
      </c>
      <c r="L10" s="1" t="s">
        <v>12</v>
      </c>
      <c r="M10" s="1" t="s">
        <v>13</v>
      </c>
    </row>
    <row r="11" spans="1:13" ht="38.1" customHeight="1">
      <c r="A11" s="1" t="s">
        <v>14</v>
      </c>
      <c r="B11" s="1" t="s">
        <v>22</v>
      </c>
      <c r="C11" s="10">
        <v>0.2</v>
      </c>
      <c r="D11" s="10">
        <v>0.2</v>
      </c>
      <c r="E11" s="10">
        <v>0.2</v>
      </c>
      <c r="F11" s="10">
        <v>0.2</v>
      </c>
      <c r="G11" s="10">
        <v>0.3</v>
      </c>
      <c r="H11" s="10">
        <v>0</v>
      </c>
      <c r="I11" s="10">
        <v>0</v>
      </c>
      <c r="J11" s="10">
        <v>0</v>
      </c>
      <c r="K11" s="10">
        <f>Boss参数!$B$58</f>
        <v>-0.4</v>
      </c>
      <c r="L11" s="10">
        <v>0</v>
      </c>
      <c r="M11" s="10">
        <v>0.24</v>
      </c>
    </row>
    <row r="12" spans="1:13" ht="38.1" customHeight="1">
      <c r="A12" s="1" t="s">
        <v>16</v>
      </c>
      <c r="B12" s="1" t="s">
        <v>23</v>
      </c>
      <c r="C12" s="10">
        <v>0.2</v>
      </c>
      <c r="D12" s="10">
        <v>0.2</v>
      </c>
      <c r="E12" s="10">
        <v>0.2</v>
      </c>
      <c r="F12" s="10">
        <v>0.2</v>
      </c>
      <c r="G12" s="10">
        <v>0.3</v>
      </c>
      <c r="H12" s="10">
        <v>0.27</v>
      </c>
      <c r="I12" s="10">
        <v>0</v>
      </c>
      <c r="J12" s="10">
        <v>0</v>
      </c>
      <c r="K12" s="10">
        <f>Boss参数!$B$58</f>
        <v>-0.4</v>
      </c>
      <c r="L12" s="10">
        <v>0</v>
      </c>
      <c r="M12" s="10">
        <v>0</v>
      </c>
    </row>
    <row r="13" spans="1:13" ht="38.1" customHeight="1">
      <c r="A13" s="1" t="s">
        <v>17</v>
      </c>
      <c r="B13" s="1" t="s">
        <v>24</v>
      </c>
      <c r="C13" s="10">
        <v>0.15</v>
      </c>
      <c r="D13" s="10">
        <v>0.1</v>
      </c>
      <c r="E13" s="10">
        <v>0</v>
      </c>
      <c r="F13" s="10">
        <v>0</v>
      </c>
      <c r="G13" s="10">
        <v>0.3</v>
      </c>
      <c r="H13" s="10">
        <v>0</v>
      </c>
      <c r="I13" s="10">
        <v>0</v>
      </c>
      <c r="J13" s="10">
        <v>0</v>
      </c>
      <c r="K13" s="10">
        <f>Boss参数!$B$58</f>
        <v>-0.4</v>
      </c>
      <c r="L13" s="10">
        <v>0</v>
      </c>
      <c r="M13" s="10">
        <v>0</v>
      </c>
    </row>
    <row r="14" spans="1:13" ht="38.1" customHeight="1">
      <c r="A14" s="1" t="s">
        <v>19</v>
      </c>
      <c r="B14" s="1" t="s">
        <v>25</v>
      </c>
      <c r="C14" s="10">
        <v>0</v>
      </c>
      <c r="D14" s="10">
        <v>0</v>
      </c>
      <c r="E14" s="10">
        <v>0</v>
      </c>
      <c r="F14" s="10">
        <v>0</v>
      </c>
      <c r="G14" s="10">
        <v>0.3</v>
      </c>
      <c r="H14" s="10">
        <v>0</v>
      </c>
      <c r="I14" s="10">
        <v>0</v>
      </c>
      <c r="J14" s="10">
        <v>0</v>
      </c>
      <c r="K14" s="10">
        <f>Boss参数!$B$58</f>
        <v>-0.4</v>
      </c>
      <c r="L14" s="10">
        <v>0</v>
      </c>
      <c r="M14" s="10">
        <v>0.08</v>
      </c>
    </row>
    <row r="15" spans="1:13" ht="38.1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38.1" customHeight="1">
      <c r="A16" s="1" t="s">
        <v>26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8.1" customHeight="1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</row>
    <row r="18" spans="1:13" ht="38.1" customHeight="1">
      <c r="A18" s="1" t="str">
        <f t="shared" ref="A18:B21" si="0">A4</f>
        <v>红弩箭</v>
      </c>
      <c r="B18" s="1" t="str">
        <f t="shared" si="0"/>
        <v>星</v>
      </c>
      <c r="C18" s="9">
        <f t="shared" ref="C18:F21" si="1">ROUNDDOWN(C4*(1+C11),0)</f>
        <v>2755</v>
      </c>
      <c r="D18" s="9">
        <f t="shared" si="1"/>
        <v>11224</v>
      </c>
      <c r="E18" s="9">
        <f t="shared" si="1"/>
        <v>956</v>
      </c>
      <c r="F18" s="9">
        <f t="shared" si="1"/>
        <v>915</v>
      </c>
      <c r="G18" s="10">
        <f t="shared" ref="G18:M21" si="2">G4+G11</f>
        <v>1</v>
      </c>
      <c r="H18" s="10">
        <f t="shared" si="2"/>
        <v>2.0259999999999998</v>
      </c>
      <c r="I18" s="10">
        <f t="shared" si="2"/>
        <v>0.1</v>
      </c>
      <c r="J18" s="10">
        <f t="shared" si="2"/>
        <v>7.0000000000000007E-2</v>
      </c>
      <c r="K18" s="10">
        <f t="shared" si="2"/>
        <v>-0.4</v>
      </c>
      <c r="L18" s="10">
        <f t="shared" si="2"/>
        <v>0</v>
      </c>
      <c r="M18" s="10">
        <f t="shared" si="2"/>
        <v>0.24</v>
      </c>
    </row>
    <row r="19" spans="1:13" ht="38.1" customHeight="1">
      <c r="A19" s="1" t="str">
        <f t="shared" si="0"/>
        <v>37</v>
      </c>
      <c r="B19" s="1" t="str">
        <f t="shared" si="0"/>
        <v>星</v>
      </c>
      <c r="C19" s="9">
        <f t="shared" si="1"/>
        <v>2767</v>
      </c>
      <c r="D19" s="9">
        <f t="shared" si="1"/>
        <v>13306</v>
      </c>
      <c r="E19" s="9">
        <f t="shared" si="1"/>
        <v>912</v>
      </c>
      <c r="F19" s="9">
        <f t="shared" si="1"/>
        <v>1023</v>
      </c>
      <c r="G19" s="10">
        <f t="shared" si="2"/>
        <v>0.76</v>
      </c>
      <c r="H19" s="10">
        <f t="shared" si="2"/>
        <v>2.198</v>
      </c>
      <c r="I19" s="10">
        <f t="shared" si="2"/>
        <v>5.0000000000000001E-3</v>
      </c>
      <c r="J19" s="10">
        <f t="shared" si="2"/>
        <v>0.01</v>
      </c>
      <c r="K19" s="10">
        <f t="shared" si="2"/>
        <v>-0.4</v>
      </c>
      <c r="L19" s="10">
        <f t="shared" si="2"/>
        <v>0</v>
      </c>
      <c r="M19" s="10">
        <f t="shared" si="2"/>
        <v>0</v>
      </c>
    </row>
    <row r="20" spans="1:13" ht="38.1" customHeight="1">
      <c r="A20" s="1" t="str">
        <f t="shared" si="0"/>
        <v>小瑞安侬</v>
      </c>
      <c r="B20" s="1" t="str">
        <f t="shared" si="0"/>
        <v>兽</v>
      </c>
      <c r="C20" s="9">
        <f t="shared" si="1"/>
        <v>2986</v>
      </c>
      <c r="D20" s="9">
        <f t="shared" si="1"/>
        <v>13464</v>
      </c>
      <c r="E20" s="9">
        <f t="shared" si="1"/>
        <v>818</v>
      </c>
      <c r="F20" s="9">
        <f t="shared" si="1"/>
        <v>838</v>
      </c>
      <c r="G20" s="10">
        <f t="shared" si="2"/>
        <v>0.55499999999999994</v>
      </c>
      <c r="H20" s="10">
        <f t="shared" si="2"/>
        <v>1.55</v>
      </c>
      <c r="I20" s="10">
        <f t="shared" si="2"/>
        <v>3.5000000000000003E-2</v>
      </c>
      <c r="J20" s="10">
        <f t="shared" si="2"/>
        <v>0.20499999999999999</v>
      </c>
      <c r="K20" s="10">
        <f t="shared" si="2"/>
        <v>-0.4</v>
      </c>
      <c r="L20" s="10">
        <f t="shared" si="2"/>
        <v>0</v>
      </c>
      <c r="M20" s="10">
        <f t="shared" si="2"/>
        <v>0</v>
      </c>
    </row>
    <row r="21" spans="1:13" ht="38.1" customHeight="1">
      <c r="A21" s="1" t="str">
        <f t="shared" si="0"/>
        <v>J</v>
      </c>
      <c r="B21" s="1" t="str">
        <f t="shared" si="0"/>
        <v>兽</v>
      </c>
      <c r="C21" s="9">
        <f t="shared" si="1"/>
        <v>1906</v>
      </c>
      <c r="D21" s="9">
        <f t="shared" si="1"/>
        <v>12876</v>
      </c>
      <c r="E21" s="9">
        <f t="shared" si="1"/>
        <v>942</v>
      </c>
      <c r="F21" s="9">
        <f t="shared" si="1"/>
        <v>942</v>
      </c>
      <c r="G21" s="10">
        <f t="shared" si="2"/>
        <v>0.66700000000000004</v>
      </c>
      <c r="H21" s="10">
        <f t="shared" si="2"/>
        <v>1.718</v>
      </c>
      <c r="I21" s="10">
        <f t="shared" si="2"/>
        <v>2.5000000000000001E-2</v>
      </c>
      <c r="J21" s="10">
        <f t="shared" si="2"/>
        <v>0.06</v>
      </c>
      <c r="K21" s="10">
        <f t="shared" si="2"/>
        <v>-0.4</v>
      </c>
      <c r="L21" s="10">
        <f t="shared" si="2"/>
        <v>0</v>
      </c>
      <c r="M21" s="10">
        <f t="shared" si="2"/>
        <v>0.08</v>
      </c>
    </row>
    <row r="22" spans="1:13" ht="38.1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38.1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50.1" customHeight="1">
      <c r="A24" s="1" t="s">
        <v>27</v>
      </c>
      <c r="B24" s="1" t="s">
        <v>28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50.1" customHeight="1">
      <c r="A25" s="1" t="s">
        <v>27</v>
      </c>
      <c r="B25" s="1" t="s">
        <v>29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50.1" customHeight="1">
      <c r="A26" s="1" t="s">
        <v>27</v>
      </c>
      <c r="B26" s="1" t="s">
        <v>30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87.95" customHeight="1">
      <c r="A27" s="1" t="s">
        <v>27</v>
      </c>
      <c r="B27" s="1" t="s">
        <v>31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69" customHeight="1">
      <c r="A28" s="1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50.1" customHeight="1">
      <c r="A29" s="1" t="s">
        <v>34</v>
      </c>
      <c r="B29" s="1" t="s">
        <v>35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</sheetData>
  <sheetProtection algorithmName="SHA-512" hashValue="zSyCMErku7bVF47MeEKKVFCC9paO2wB0kbHSSC4rj0jYYWnoT0dKvMVvtSmfWNSzLWeU0HLeC2qBRDRjYC/+1A==" saltValue="UTBKvbyC5AbnswfwL9GOFw==" spinCount="100000" sheet="1" objects="1" scenarios="1"/>
  <phoneticPr fontId="4" type="noConversion"/>
  <pageMargins left="0.7" right="0.7" top="0.75" bottom="0.75" header="0.3" footer="0.3"/>
  <pageSetup paperSize="9" scale="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8"/>
  <sheetViews>
    <sheetView workbookViewId="0">
      <pane xSplit="1" ySplit="3" topLeftCell="B4" activePane="bottomRight" state="frozen"/>
      <selection activeCell="B11" sqref="B11"/>
      <selection pane="topRight" activeCell="B11" sqref="B11"/>
      <selection pane="bottomLeft" activeCell="B11" sqref="B11"/>
      <selection pane="bottomRight" activeCell="C12" sqref="C12"/>
    </sheetView>
  </sheetViews>
  <sheetFormatPr defaultRowHeight="14.25"/>
  <cols>
    <col min="1" max="1" width="33" customWidth="1"/>
    <col min="2" max="2" width="14" customWidth="1"/>
    <col min="3" max="3" width="17" customWidth="1"/>
    <col min="4" max="8" width="14" customWidth="1"/>
    <col min="9" max="10" width="16" customWidth="1"/>
    <col min="11" max="12" width="55" customWidth="1"/>
  </cols>
  <sheetData>
    <row r="1" spans="1:12" ht="38.1" customHeight="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8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8.1" customHeight="1">
      <c r="A3" s="2" t="s">
        <v>37</v>
      </c>
      <c r="B3" s="2" t="s">
        <v>1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</row>
    <row r="4" spans="1:12" ht="38.1" customHeight="1">
      <c r="A4" s="1" t="s">
        <v>48</v>
      </c>
      <c r="B4" s="1" t="s">
        <v>49</v>
      </c>
      <c r="C4" s="1" t="s">
        <v>50</v>
      </c>
      <c r="D4" s="1">
        <v>0</v>
      </c>
      <c r="E4" s="1" t="s">
        <v>49</v>
      </c>
      <c r="F4" s="1" t="s">
        <v>51</v>
      </c>
      <c r="G4" s="10">
        <v>0</v>
      </c>
      <c r="H4" s="10">
        <v>0</v>
      </c>
      <c r="I4" s="1" t="s">
        <v>52</v>
      </c>
      <c r="J4" s="1" t="s">
        <v>49</v>
      </c>
      <c r="K4" s="1" t="s">
        <v>53</v>
      </c>
      <c r="L4" s="1" t="s">
        <v>54</v>
      </c>
    </row>
    <row r="5" spans="1:12" ht="38.1" customHeight="1">
      <c r="A5" s="1" t="s">
        <v>55</v>
      </c>
      <c r="B5" s="1" t="s">
        <v>14</v>
      </c>
      <c r="C5" s="1" t="s">
        <v>56</v>
      </c>
      <c r="D5" s="1">
        <v>1</v>
      </c>
      <c r="E5" s="1" t="s">
        <v>57</v>
      </c>
      <c r="F5" s="1" t="s">
        <v>58</v>
      </c>
      <c r="G5" s="10">
        <v>3</v>
      </c>
      <c r="H5" s="10">
        <v>0</v>
      </c>
      <c r="I5" s="1" t="s">
        <v>59</v>
      </c>
      <c r="J5" s="1" t="s">
        <v>60</v>
      </c>
      <c r="K5" s="1" t="s">
        <v>61</v>
      </c>
      <c r="L5" s="1" t="s">
        <v>62</v>
      </c>
    </row>
    <row r="6" spans="1:12" ht="38.1" customHeight="1">
      <c r="A6" s="1" t="s">
        <v>63</v>
      </c>
      <c r="B6" s="1" t="s">
        <v>14</v>
      </c>
      <c r="C6" s="1" t="s">
        <v>56</v>
      </c>
      <c r="D6" s="1">
        <v>2</v>
      </c>
      <c r="E6" s="1" t="s">
        <v>57</v>
      </c>
      <c r="F6" s="1" t="s">
        <v>58</v>
      </c>
      <c r="G6" s="10">
        <v>6</v>
      </c>
      <c r="H6" s="10">
        <v>0</v>
      </c>
      <c r="I6" s="1" t="s">
        <v>59</v>
      </c>
      <c r="J6" s="1" t="s">
        <v>60</v>
      </c>
      <c r="K6" s="1" t="s">
        <v>64</v>
      </c>
      <c r="L6" s="1" t="s">
        <v>62</v>
      </c>
    </row>
    <row r="7" spans="1:12" ht="38.1" customHeight="1">
      <c r="A7" s="1" t="s">
        <v>65</v>
      </c>
      <c r="B7" s="1" t="s">
        <v>14</v>
      </c>
      <c r="C7" s="1" t="s">
        <v>56</v>
      </c>
      <c r="D7" s="1">
        <v>3</v>
      </c>
      <c r="E7" s="1" t="s">
        <v>57</v>
      </c>
      <c r="F7" s="1" t="s">
        <v>58</v>
      </c>
      <c r="G7" s="10">
        <v>9</v>
      </c>
      <c r="H7" s="10">
        <v>0</v>
      </c>
      <c r="I7" s="1" t="s">
        <v>59</v>
      </c>
      <c r="J7" s="1" t="s">
        <v>60</v>
      </c>
      <c r="K7" s="1" t="s">
        <v>66</v>
      </c>
      <c r="L7" s="1" t="s">
        <v>62</v>
      </c>
    </row>
    <row r="8" spans="1:12" ht="84.95" customHeight="1">
      <c r="A8" s="1" t="s">
        <v>67</v>
      </c>
      <c r="B8" s="1" t="s">
        <v>14</v>
      </c>
      <c r="C8" s="1" t="s">
        <v>68</v>
      </c>
      <c r="D8" s="1">
        <v>0</v>
      </c>
      <c r="E8" s="1" t="s">
        <v>69</v>
      </c>
      <c r="F8" s="1" t="s">
        <v>51</v>
      </c>
      <c r="G8" s="10">
        <v>0</v>
      </c>
      <c r="H8" s="10">
        <v>0</v>
      </c>
      <c r="I8" s="1" t="s">
        <v>70</v>
      </c>
      <c r="J8" s="1" t="s">
        <v>71</v>
      </c>
      <c r="K8" s="17" t="s">
        <v>571</v>
      </c>
      <c r="L8" s="17" t="s">
        <v>572</v>
      </c>
    </row>
    <row r="9" spans="1:12" ht="50.1" customHeight="1">
      <c r="A9" s="1" t="s">
        <v>72</v>
      </c>
      <c r="B9" s="1" t="s">
        <v>14</v>
      </c>
      <c r="C9" s="1" t="s">
        <v>73</v>
      </c>
      <c r="D9" s="1">
        <v>0</v>
      </c>
      <c r="E9" s="1" t="s">
        <v>74</v>
      </c>
      <c r="F9" s="1" t="s">
        <v>58</v>
      </c>
      <c r="G9" s="10">
        <v>18</v>
      </c>
      <c r="H9" s="10">
        <v>0</v>
      </c>
      <c r="I9" s="1" t="s">
        <v>75</v>
      </c>
      <c r="J9" s="1" t="s">
        <v>76</v>
      </c>
      <c r="K9" s="1" t="s">
        <v>77</v>
      </c>
      <c r="L9" s="1" t="s">
        <v>62</v>
      </c>
    </row>
    <row r="10" spans="1:12" ht="50.1" customHeight="1">
      <c r="A10" s="1" t="s">
        <v>78</v>
      </c>
      <c r="B10" s="1" t="s">
        <v>14</v>
      </c>
      <c r="C10" s="1" t="s">
        <v>79</v>
      </c>
      <c r="D10" s="1">
        <v>0</v>
      </c>
      <c r="E10" s="1" t="s">
        <v>80</v>
      </c>
      <c r="F10" s="1" t="s">
        <v>58</v>
      </c>
      <c r="G10" s="10">
        <v>15</v>
      </c>
      <c r="H10" s="10">
        <v>0</v>
      </c>
      <c r="I10" s="1" t="s">
        <v>81</v>
      </c>
      <c r="J10" s="1" t="s">
        <v>82</v>
      </c>
      <c r="K10" s="1" t="s">
        <v>83</v>
      </c>
      <c r="L10" s="1" t="s">
        <v>84</v>
      </c>
    </row>
    <row r="11" spans="1:12" ht="50.1" customHeight="1">
      <c r="A11" s="1" t="s">
        <v>85</v>
      </c>
      <c r="B11" s="1" t="s">
        <v>14</v>
      </c>
      <c r="C11" s="1" t="s">
        <v>86</v>
      </c>
      <c r="D11" s="1">
        <v>0</v>
      </c>
      <c r="E11" s="1" t="s">
        <v>80</v>
      </c>
      <c r="F11" s="1" t="s">
        <v>58</v>
      </c>
      <c r="G11" s="10">
        <v>50</v>
      </c>
      <c r="H11" s="10">
        <v>0</v>
      </c>
      <c r="I11" s="1" t="s">
        <v>87</v>
      </c>
      <c r="J11" s="1" t="s">
        <v>88</v>
      </c>
      <c r="K11" s="1" t="s">
        <v>89</v>
      </c>
      <c r="L11" s="1" t="s">
        <v>90</v>
      </c>
    </row>
    <row r="12" spans="1:12" ht="50.1" customHeight="1">
      <c r="A12" s="1" t="s">
        <v>91</v>
      </c>
      <c r="B12" s="1" t="s">
        <v>16</v>
      </c>
      <c r="C12" s="1" t="s">
        <v>92</v>
      </c>
      <c r="D12" s="1">
        <v>1</v>
      </c>
      <c r="E12" s="1" t="s">
        <v>57</v>
      </c>
      <c r="F12" s="1" t="s">
        <v>93</v>
      </c>
      <c r="G12" s="10">
        <v>2.8</v>
      </c>
      <c r="H12" s="10">
        <v>0.8</v>
      </c>
      <c r="I12" s="1" t="s">
        <v>94</v>
      </c>
      <c r="J12" s="1" t="s">
        <v>60</v>
      </c>
      <c r="K12" s="1" t="s">
        <v>95</v>
      </c>
      <c r="L12" s="1" t="s">
        <v>96</v>
      </c>
    </row>
    <row r="13" spans="1:12" ht="50.1" customHeight="1">
      <c r="A13" s="1" t="s">
        <v>97</v>
      </c>
      <c r="B13" s="1" t="s">
        <v>16</v>
      </c>
      <c r="C13" s="1" t="s">
        <v>92</v>
      </c>
      <c r="D13" s="1">
        <v>2</v>
      </c>
      <c r="E13" s="1" t="s">
        <v>57</v>
      </c>
      <c r="F13" s="1" t="s">
        <v>93</v>
      </c>
      <c r="G13" s="10">
        <v>4.2</v>
      </c>
      <c r="H13" s="10">
        <v>1.2</v>
      </c>
      <c r="I13" s="1" t="s">
        <v>94</v>
      </c>
      <c r="J13" s="1" t="s">
        <v>60</v>
      </c>
      <c r="K13" s="1" t="s">
        <v>98</v>
      </c>
      <c r="L13" s="1" t="s">
        <v>96</v>
      </c>
    </row>
    <row r="14" spans="1:12" ht="50.1" customHeight="1">
      <c r="A14" s="1" t="s">
        <v>99</v>
      </c>
      <c r="B14" s="1" t="s">
        <v>16</v>
      </c>
      <c r="C14" s="1" t="s">
        <v>92</v>
      </c>
      <c r="D14" s="1">
        <v>3</v>
      </c>
      <c r="E14" s="1" t="s">
        <v>57</v>
      </c>
      <c r="F14" s="1" t="s">
        <v>93</v>
      </c>
      <c r="G14" s="10">
        <v>7</v>
      </c>
      <c r="H14" s="10">
        <v>2</v>
      </c>
      <c r="I14" s="1" t="s">
        <v>94</v>
      </c>
      <c r="J14" s="1" t="s">
        <v>60</v>
      </c>
      <c r="K14" s="1" t="s">
        <v>100</v>
      </c>
      <c r="L14" s="1" t="s">
        <v>96</v>
      </c>
    </row>
    <row r="15" spans="1:12" ht="50.1" customHeight="1">
      <c r="A15" s="1" t="s">
        <v>101</v>
      </c>
      <c r="B15" s="1" t="s">
        <v>16</v>
      </c>
      <c r="C15" s="1" t="s">
        <v>102</v>
      </c>
      <c r="D15" s="1">
        <v>1</v>
      </c>
      <c r="E15" s="1" t="s">
        <v>57</v>
      </c>
      <c r="F15" s="1" t="s">
        <v>93</v>
      </c>
      <c r="G15" s="10">
        <v>1.4</v>
      </c>
      <c r="H15" s="10">
        <v>0.8</v>
      </c>
      <c r="I15" s="1" t="s">
        <v>103</v>
      </c>
      <c r="J15" s="1" t="s">
        <v>104</v>
      </c>
      <c r="K15" s="1" t="s">
        <v>105</v>
      </c>
      <c r="L15" s="1" t="s">
        <v>96</v>
      </c>
    </row>
    <row r="16" spans="1:12" ht="50.1" customHeight="1">
      <c r="A16" s="1" t="s">
        <v>106</v>
      </c>
      <c r="B16" s="1" t="s">
        <v>16</v>
      </c>
      <c r="C16" s="1" t="s">
        <v>102</v>
      </c>
      <c r="D16" s="1">
        <v>2</v>
      </c>
      <c r="E16" s="1" t="s">
        <v>57</v>
      </c>
      <c r="F16" s="1" t="s">
        <v>93</v>
      </c>
      <c r="G16" s="10">
        <v>2.1</v>
      </c>
      <c r="H16" s="10">
        <v>1.2</v>
      </c>
      <c r="I16" s="1" t="s">
        <v>103</v>
      </c>
      <c r="J16" s="1" t="s">
        <v>104</v>
      </c>
      <c r="K16" s="1" t="s">
        <v>107</v>
      </c>
      <c r="L16" s="1" t="s">
        <v>96</v>
      </c>
    </row>
    <row r="17" spans="1:12" ht="50.1" customHeight="1">
      <c r="A17" s="1" t="s">
        <v>108</v>
      </c>
      <c r="B17" s="1" t="s">
        <v>16</v>
      </c>
      <c r="C17" s="1" t="s">
        <v>102</v>
      </c>
      <c r="D17" s="1">
        <v>3</v>
      </c>
      <c r="E17" s="1" t="s">
        <v>57</v>
      </c>
      <c r="F17" s="1" t="s">
        <v>93</v>
      </c>
      <c r="G17" s="10">
        <v>3.5</v>
      </c>
      <c r="H17" s="10">
        <v>2</v>
      </c>
      <c r="I17" s="1" t="s">
        <v>103</v>
      </c>
      <c r="J17" s="1" t="s">
        <v>104</v>
      </c>
      <c r="K17" s="1" t="s">
        <v>109</v>
      </c>
      <c r="L17" s="1" t="s">
        <v>96</v>
      </c>
    </row>
    <row r="18" spans="1:12" ht="50.1" customHeight="1">
      <c r="A18" s="1" t="s">
        <v>110</v>
      </c>
      <c r="B18" s="1" t="s">
        <v>16</v>
      </c>
      <c r="C18" s="1" t="s">
        <v>111</v>
      </c>
      <c r="D18" s="1">
        <v>0</v>
      </c>
      <c r="E18" s="1" t="s">
        <v>112</v>
      </c>
      <c r="F18" s="1" t="s">
        <v>93</v>
      </c>
      <c r="G18" s="10">
        <v>3</v>
      </c>
      <c r="H18" s="10">
        <v>1</v>
      </c>
      <c r="I18" s="1" t="s">
        <v>113</v>
      </c>
      <c r="J18" s="1" t="s">
        <v>88</v>
      </c>
      <c r="K18" s="1" t="s">
        <v>114</v>
      </c>
      <c r="L18" s="1" t="s">
        <v>115</v>
      </c>
    </row>
    <row r="19" spans="1:12" ht="38.1" customHeight="1">
      <c r="A19" s="1" t="s">
        <v>116</v>
      </c>
      <c r="B19" s="1" t="s">
        <v>16</v>
      </c>
      <c r="C19" s="1" t="s">
        <v>117</v>
      </c>
      <c r="D19" s="1">
        <v>0</v>
      </c>
      <c r="E19" s="1" t="s">
        <v>74</v>
      </c>
      <c r="F19" s="1" t="s">
        <v>51</v>
      </c>
      <c r="G19" s="10">
        <v>0</v>
      </c>
      <c r="H19" s="10">
        <v>0</v>
      </c>
      <c r="I19" s="1" t="s">
        <v>118</v>
      </c>
      <c r="J19" s="1" t="s">
        <v>119</v>
      </c>
      <c r="K19" s="1" t="s">
        <v>120</v>
      </c>
      <c r="L19" s="1" t="s">
        <v>54</v>
      </c>
    </row>
    <row r="20" spans="1:12" ht="50.1" customHeight="1">
      <c r="A20" s="1" t="s">
        <v>121</v>
      </c>
      <c r="B20" s="1" t="s">
        <v>16</v>
      </c>
      <c r="C20" s="1" t="s">
        <v>79</v>
      </c>
      <c r="D20" s="1">
        <v>0</v>
      </c>
      <c r="E20" s="1" t="s">
        <v>80</v>
      </c>
      <c r="F20" s="1" t="s">
        <v>93</v>
      </c>
      <c r="G20" s="10">
        <v>8</v>
      </c>
      <c r="H20" s="10">
        <v>0</v>
      </c>
      <c r="I20" s="1" t="s">
        <v>122</v>
      </c>
      <c r="J20" s="1" t="s">
        <v>60</v>
      </c>
      <c r="K20" s="1" t="s">
        <v>123</v>
      </c>
      <c r="L20" s="1" t="s">
        <v>115</v>
      </c>
    </row>
    <row r="21" spans="1:12" ht="69" customHeight="1">
      <c r="A21" s="1" t="s">
        <v>124</v>
      </c>
      <c r="B21" s="1" t="s">
        <v>17</v>
      </c>
      <c r="C21" s="1" t="s">
        <v>125</v>
      </c>
      <c r="D21" s="1">
        <v>1</v>
      </c>
      <c r="E21" s="1" t="s">
        <v>57</v>
      </c>
      <c r="F21" s="1" t="s">
        <v>93</v>
      </c>
      <c r="G21" s="10">
        <v>2</v>
      </c>
      <c r="H21" s="10">
        <v>0</v>
      </c>
      <c r="I21" s="1" t="s">
        <v>126</v>
      </c>
      <c r="J21" s="1" t="s">
        <v>88</v>
      </c>
      <c r="K21" s="1" t="s">
        <v>127</v>
      </c>
      <c r="L21" s="1" t="s">
        <v>128</v>
      </c>
    </row>
    <row r="22" spans="1:12" ht="50.1" customHeight="1">
      <c r="A22" s="1" t="s">
        <v>129</v>
      </c>
      <c r="B22" s="1" t="s">
        <v>17</v>
      </c>
      <c r="C22" s="1" t="s">
        <v>125</v>
      </c>
      <c r="D22" s="1">
        <v>2</v>
      </c>
      <c r="E22" s="1" t="s">
        <v>57</v>
      </c>
      <c r="F22" s="1" t="s">
        <v>93</v>
      </c>
      <c r="G22" s="10">
        <v>3</v>
      </c>
      <c r="H22" s="10">
        <v>0</v>
      </c>
      <c r="I22" s="1" t="s">
        <v>126</v>
      </c>
      <c r="J22" s="1" t="s">
        <v>88</v>
      </c>
      <c r="K22" s="1" t="s">
        <v>130</v>
      </c>
      <c r="L22" s="1" t="s">
        <v>128</v>
      </c>
    </row>
    <row r="23" spans="1:12" ht="50.1" customHeight="1">
      <c r="A23" s="1" t="s">
        <v>131</v>
      </c>
      <c r="B23" s="1" t="s">
        <v>17</v>
      </c>
      <c r="C23" s="1" t="s">
        <v>125</v>
      </c>
      <c r="D23" s="1">
        <v>3</v>
      </c>
      <c r="E23" s="1" t="s">
        <v>57</v>
      </c>
      <c r="F23" s="1" t="s">
        <v>93</v>
      </c>
      <c r="G23" s="10">
        <v>5</v>
      </c>
      <c r="H23" s="10">
        <v>0</v>
      </c>
      <c r="I23" s="1" t="s">
        <v>126</v>
      </c>
      <c r="J23" s="1" t="s">
        <v>88</v>
      </c>
      <c r="K23" s="1" t="s">
        <v>132</v>
      </c>
      <c r="L23" s="1" t="s">
        <v>128</v>
      </c>
    </row>
    <row r="24" spans="1:12" ht="50.1" customHeight="1">
      <c r="A24" s="1" t="s">
        <v>133</v>
      </c>
      <c r="B24" s="1" t="s">
        <v>17</v>
      </c>
      <c r="C24" s="1" t="s">
        <v>134</v>
      </c>
      <c r="D24" s="1">
        <v>0</v>
      </c>
      <c r="E24" s="1" t="s">
        <v>69</v>
      </c>
      <c r="F24" s="1" t="s">
        <v>51</v>
      </c>
      <c r="G24" s="10">
        <v>0</v>
      </c>
      <c r="H24" s="10">
        <v>0</v>
      </c>
      <c r="I24" s="1" t="s">
        <v>135</v>
      </c>
      <c r="J24" s="1" t="s">
        <v>119</v>
      </c>
      <c r="K24" s="1" t="s">
        <v>136</v>
      </c>
      <c r="L24" s="1" t="s">
        <v>115</v>
      </c>
    </row>
    <row r="25" spans="1:12" ht="50.1" customHeight="1">
      <c r="A25" s="1" t="s">
        <v>137</v>
      </c>
      <c r="B25" s="1" t="s">
        <v>17</v>
      </c>
      <c r="C25" s="1" t="s">
        <v>138</v>
      </c>
      <c r="D25" s="1">
        <v>0</v>
      </c>
      <c r="E25" s="1" t="s">
        <v>74</v>
      </c>
      <c r="F25" s="1" t="s">
        <v>51</v>
      </c>
      <c r="G25" s="10">
        <v>0</v>
      </c>
      <c r="H25" s="10">
        <v>0</v>
      </c>
      <c r="I25" s="1" t="s">
        <v>139</v>
      </c>
      <c r="J25" s="1" t="s">
        <v>119</v>
      </c>
      <c r="K25" s="1" t="s">
        <v>140</v>
      </c>
      <c r="L25" s="1" t="s">
        <v>115</v>
      </c>
    </row>
    <row r="26" spans="1:12" ht="105" customHeight="1">
      <c r="A26" s="1" t="s">
        <v>141</v>
      </c>
      <c r="B26" s="1" t="s">
        <v>17</v>
      </c>
      <c r="C26" s="1" t="s">
        <v>142</v>
      </c>
      <c r="D26" s="1">
        <v>0</v>
      </c>
      <c r="E26" s="1" t="s">
        <v>143</v>
      </c>
      <c r="F26" s="1" t="s">
        <v>93</v>
      </c>
      <c r="G26" s="10">
        <v>15</v>
      </c>
      <c r="H26" s="10">
        <v>0</v>
      </c>
      <c r="I26" s="1" t="s">
        <v>144</v>
      </c>
      <c r="J26" s="1" t="s">
        <v>88</v>
      </c>
      <c r="K26" s="17" t="s">
        <v>573</v>
      </c>
      <c r="L26" s="17" t="s">
        <v>574</v>
      </c>
    </row>
    <row r="27" spans="1:12" ht="50.1" customHeight="1">
      <c r="A27" s="1" t="s">
        <v>145</v>
      </c>
      <c r="B27" s="1" t="s">
        <v>19</v>
      </c>
      <c r="C27" s="1" t="s">
        <v>146</v>
      </c>
      <c r="D27" s="1">
        <v>1</v>
      </c>
      <c r="E27" s="1" t="s">
        <v>57</v>
      </c>
      <c r="F27" s="1" t="s">
        <v>58</v>
      </c>
      <c r="G27" s="10">
        <v>3.6</v>
      </c>
      <c r="H27" s="10">
        <v>0</v>
      </c>
      <c r="I27" s="1" t="s">
        <v>147</v>
      </c>
      <c r="J27" s="1" t="s">
        <v>60</v>
      </c>
      <c r="K27" s="1" t="s">
        <v>148</v>
      </c>
      <c r="L27" s="1" t="s">
        <v>149</v>
      </c>
    </row>
    <row r="28" spans="1:12" ht="38.1" customHeight="1">
      <c r="A28" s="1" t="s">
        <v>150</v>
      </c>
      <c r="B28" s="1" t="s">
        <v>19</v>
      </c>
      <c r="C28" s="1" t="s">
        <v>146</v>
      </c>
      <c r="D28" s="1">
        <v>2</v>
      </c>
      <c r="E28" s="1" t="s">
        <v>57</v>
      </c>
      <c r="F28" s="1" t="s">
        <v>58</v>
      </c>
      <c r="G28" s="10">
        <v>5.4</v>
      </c>
      <c r="H28" s="10">
        <v>0</v>
      </c>
      <c r="I28" s="1" t="s">
        <v>147</v>
      </c>
      <c r="J28" s="1" t="s">
        <v>60</v>
      </c>
      <c r="K28" s="1" t="s">
        <v>151</v>
      </c>
      <c r="L28" s="1" t="s">
        <v>149</v>
      </c>
    </row>
    <row r="29" spans="1:12" ht="38.1" customHeight="1">
      <c r="A29" s="1" t="s">
        <v>152</v>
      </c>
      <c r="B29" s="1" t="s">
        <v>19</v>
      </c>
      <c r="C29" s="1" t="s">
        <v>146</v>
      </c>
      <c r="D29" s="1">
        <v>3</v>
      </c>
      <c r="E29" s="1" t="s">
        <v>57</v>
      </c>
      <c r="F29" s="1" t="s">
        <v>58</v>
      </c>
      <c r="G29" s="10">
        <v>9</v>
      </c>
      <c r="H29" s="10">
        <v>0</v>
      </c>
      <c r="I29" s="1" t="s">
        <v>147</v>
      </c>
      <c r="J29" s="1" t="s">
        <v>60</v>
      </c>
      <c r="K29" s="1" t="s">
        <v>153</v>
      </c>
      <c r="L29" s="1" t="s">
        <v>149</v>
      </c>
    </row>
    <row r="30" spans="1:12" ht="50.1" customHeight="1">
      <c r="A30" s="1" t="s">
        <v>154</v>
      </c>
      <c r="B30" s="1" t="s">
        <v>19</v>
      </c>
      <c r="C30" s="1" t="s">
        <v>155</v>
      </c>
      <c r="D30" s="1">
        <v>0</v>
      </c>
      <c r="E30" s="1" t="s">
        <v>156</v>
      </c>
      <c r="F30" s="1" t="s">
        <v>51</v>
      </c>
      <c r="G30" s="10">
        <v>0</v>
      </c>
      <c r="H30" s="10">
        <v>0</v>
      </c>
      <c r="I30" s="1" t="s">
        <v>157</v>
      </c>
      <c r="J30" s="1" t="s">
        <v>119</v>
      </c>
      <c r="K30" s="1" t="s">
        <v>158</v>
      </c>
      <c r="L30" s="1" t="s">
        <v>149</v>
      </c>
    </row>
    <row r="31" spans="1:12" ht="50.1" customHeight="1">
      <c r="A31" s="1" t="s">
        <v>159</v>
      </c>
      <c r="B31" s="1" t="s">
        <v>19</v>
      </c>
      <c r="C31" s="1" t="s">
        <v>160</v>
      </c>
      <c r="D31" s="1">
        <v>0</v>
      </c>
      <c r="E31" s="1" t="s">
        <v>161</v>
      </c>
      <c r="F31" s="1" t="s">
        <v>58</v>
      </c>
      <c r="G31" s="10">
        <v>3</v>
      </c>
      <c r="H31" s="10">
        <v>0</v>
      </c>
      <c r="I31" s="1" t="s">
        <v>162</v>
      </c>
      <c r="J31" s="1" t="s">
        <v>88</v>
      </c>
      <c r="K31" s="1" t="s">
        <v>163</v>
      </c>
      <c r="L31" s="1" t="s">
        <v>149</v>
      </c>
    </row>
    <row r="32" spans="1:12" ht="150" customHeight="1">
      <c r="A32" s="1" t="s">
        <v>164</v>
      </c>
      <c r="B32" s="1" t="s">
        <v>19</v>
      </c>
      <c r="C32" s="1" t="s">
        <v>165</v>
      </c>
      <c r="D32" s="1">
        <v>0</v>
      </c>
      <c r="E32" s="1" t="s">
        <v>74</v>
      </c>
      <c r="F32" s="1" t="s">
        <v>58</v>
      </c>
      <c r="G32" s="10">
        <v>7</v>
      </c>
      <c r="H32" s="10">
        <v>0</v>
      </c>
      <c r="I32" s="1" t="s">
        <v>166</v>
      </c>
      <c r="J32" s="1" t="s">
        <v>76</v>
      </c>
      <c r="K32" s="17" t="s">
        <v>575</v>
      </c>
      <c r="L32" s="17" t="s">
        <v>576</v>
      </c>
    </row>
    <row r="33" spans="1:12" ht="50.1" customHeight="1">
      <c r="A33" s="1" t="s">
        <v>167</v>
      </c>
      <c r="B33" s="1" t="s">
        <v>49</v>
      </c>
      <c r="C33" s="1" t="s">
        <v>168</v>
      </c>
      <c r="D33" s="1">
        <v>0</v>
      </c>
      <c r="E33" s="1" t="s">
        <v>49</v>
      </c>
      <c r="F33" s="1" t="s">
        <v>51</v>
      </c>
      <c r="G33" s="1">
        <v>0</v>
      </c>
      <c r="H33" s="1">
        <v>0</v>
      </c>
      <c r="I33" s="1" t="s">
        <v>169</v>
      </c>
      <c r="J33" s="1">
        <v>0</v>
      </c>
      <c r="K33" s="1">
        <v>0</v>
      </c>
      <c r="L33" s="1" t="s">
        <v>170</v>
      </c>
    </row>
    <row r="34" spans="1:12" ht="84.95" customHeight="1">
      <c r="A34" s="17" t="s">
        <v>577</v>
      </c>
      <c r="B34" s="17" t="s">
        <v>14</v>
      </c>
      <c r="C34" s="17" t="s">
        <v>68</v>
      </c>
      <c r="D34" s="17">
        <v>1</v>
      </c>
      <c r="E34" s="17" t="s">
        <v>69</v>
      </c>
      <c r="F34" s="17" t="s">
        <v>51</v>
      </c>
      <c r="G34" s="17">
        <v>0</v>
      </c>
      <c r="H34" s="17">
        <v>0</v>
      </c>
      <c r="I34" s="17" t="s">
        <v>70</v>
      </c>
      <c r="J34" s="17" t="s">
        <v>71</v>
      </c>
      <c r="K34" s="17" t="s">
        <v>578</v>
      </c>
      <c r="L34" s="17" t="s">
        <v>579</v>
      </c>
    </row>
    <row r="35" spans="1:12" ht="84.95" customHeight="1">
      <c r="A35" s="17" t="s">
        <v>580</v>
      </c>
      <c r="B35" s="17" t="s">
        <v>14</v>
      </c>
      <c r="C35" s="17" t="s">
        <v>68</v>
      </c>
      <c r="D35" s="17">
        <v>2</v>
      </c>
      <c r="E35" s="17" t="s">
        <v>69</v>
      </c>
      <c r="F35" s="17" t="s">
        <v>51</v>
      </c>
      <c r="G35" s="17">
        <v>0</v>
      </c>
      <c r="H35" s="17">
        <v>0</v>
      </c>
      <c r="I35" s="17" t="s">
        <v>70</v>
      </c>
      <c r="J35" s="17" t="s">
        <v>71</v>
      </c>
      <c r="K35" s="17" t="s">
        <v>581</v>
      </c>
      <c r="L35" s="17" t="s">
        <v>579</v>
      </c>
    </row>
    <row r="36" spans="1:12" ht="95.1" customHeight="1">
      <c r="A36" s="17" t="s">
        <v>582</v>
      </c>
      <c r="B36" s="17" t="s">
        <v>49</v>
      </c>
      <c r="C36" s="17" t="s">
        <v>583</v>
      </c>
      <c r="D36" s="17">
        <v>0</v>
      </c>
      <c r="E36" s="17" t="s">
        <v>49</v>
      </c>
      <c r="F36" s="17" t="s">
        <v>51</v>
      </c>
      <c r="G36" s="17">
        <v>0</v>
      </c>
      <c r="H36" s="17">
        <v>0</v>
      </c>
      <c r="I36" s="17" t="s">
        <v>584</v>
      </c>
      <c r="J36" s="17" t="s">
        <v>49</v>
      </c>
      <c r="K36" s="17" t="s">
        <v>585</v>
      </c>
      <c r="L36" s="17" t="s">
        <v>586</v>
      </c>
    </row>
    <row r="37" spans="1:12" ht="95.1" customHeight="1">
      <c r="A37" s="17" t="s">
        <v>587</v>
      </c>
      <c r="B37" s="17" t="s">
        <v>49</v>
      </c>
      <c r="C37" s="17" t="s">
        <v>588</v>
      </c>
      <c r="D37" s="17">
        <v>0</v>
      </c>
      <c r="E37" s="17" t="s">
        <v>49</v>
      </c>
      <c r="F37" s="17" t="s">
        <v>51</v>
      </c>
      <c r="G37" s="17">
        <v>0</v>
      </c>
      <c r="H37" s="17">
        <v>0</v>
      </c>
      <c r="I37" s="17" t="s">
        <v>589</v>
      </c>
      <c r="J37" s="17" t="s">
        <v>49</v>
      </c>
      <c r="K37" s="17" t="s">
        <v>590</v>
      </c>
      <c r="L37" s="17" t="s">
        <v>591</v>
      </c>
    </row>
    <row r="38" spans="1:12" ht="84.95" customHeight="1">
      <c r="A38" s="17" t="s">
        <v>592</v>
      </c>
      <c r="B38" s="17" t="s">
        <v>14</v>
      </c>
      <c r="C38" s="17" t="s">
        <v>68</v>
      </c>
      <c r="D38" s="17">
        <v>3</v>
      </c>
      <c r="E38" s="17" t="s">
        <v>69</v>
      </c>
      <c r="F38" s="17" t="s">
        <v>51</v>
      </c>
      <c r="G38" s="17">
        <v>0</v>
      </c>
      <c r="H38" s="17">
        <v>0</v>
      </c>
      <c r="I38" s="17" t="s">
        <v>70</v>
      </c>
      <c r="J38" s="17" t="s">
        <v>71</v>
      </c>
      <c r="K38" s="17" t="s">
        <v>593</v>
      </c>
      <c r="L38" s="17" t="s">
        <v>579</v>
      </c>
    </row>
  </sheetData>
  <sheetProtection algorithmName="SHA-512" hashValue="hjqFfwyqICZh+cJAY8Nj3tyqLluefBR8ejMKbZLGr3do/udD8yO8DPW1Am8d8cYRfpoF6HXGBk9U7RSLNx9FDw==" saltValue="D4ycC/1CQISn61+29gZBFA==" spinCount="100000" sheet="1" objects="1" scenarios="1"/>
  <phoneticPr fontId="4" type="noConversion"/>
  <pageMargins left="0.7" right="0.7" top="0.75" bottom="0.75" header="0.3" footer="0.3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91"/>
  <sheetViews>
    <sheetView workbookViewId="0">
      <pane xSplit="1" ySplit="1" topLeftCell="B2" activePane="bottomRight" state="frozen"/>
      <selection activeCell="B11" sqref="B11"/>
      <selection pane="topRight" activeCell="B11" sqref="B11"/>
      <selection pane="bottomLeft" activeCell="B11" sqref="B11"/>
      <selection pane="bottomRight" activeCell="B3" sqref="B3"/>
    </sheetView>
  </sheetViews>
  <sheetFormatPr defaultRowHeight="14.25"/>
  <cols>
    <col min="1" max="1" width="30" customWidth="1"/>
    <col min="2" max="4" width="55" customWidth="1"/>
    <col min="5" max="7" width="14" customWidth="1"/>
    <col min="8" max="8" width="15" customWidth="1"/>
    <col min="9" max="9" width="14" customWidth="1"/>
  </cols>
  <sheetData>
    <row r="1" spans="1:9" ht="38.1" customHeight="1">
      <c r="A1" s="2" t="s">
        <v>171</v>
      </c>
      <c r="B1" s="2"/>
      <c r="C1" s="2"/>
      <c r="D1" s="2"/>
      <c r="E1" s="2"/>
      <c r="F1" s="2"/>
      <c r="G1" s="2"/>
      <c r="H1" s="2"/>
      <c r="I1" s="2"/>
    </row>
    <row r="2" spans="1:9" ht="38.1" customHeight="1">
      <c r="A2" s="1"/>
      <c r="B2" s="1"/>
      <c r="C2" s="1"/>
      <c r="D2" s="1"/>
      <c r="E2" s="1"/>
      <c r="F2" s="1"/>
      <c r="G2" s="1"/>
      <c r="H2" s="1"/>
      <c r="I2" s="1"/>
    </row>
    <row r="3" spans="1:9" ht="38.1" customHeight="1">
      <c r="A3" s="1" t="s">
        <v>172</v>
      </c>
      <c r="B3" s="1" t="s">
        <v>2</v>
      </c>
      <c r="C3" s="1" t="s">
        <v>5</v>
      </c>
      <c r="D3" s="1" t="s">
        <v>6</v>
      </c>
      <c r="E3" s="1" t="s">
        <v>173</v>
      </c>
      <c r="F3" s="1" t="s">
        <v>174</v>
      </c>
      <c r="G3" s="1" t="s">
        <v>10</v>
      </c>
      <c r="H3" s="1" t="s">
        <v>175</v>
      </c>
      <c r="I3" s="1" t="s">
        <v>176</v>
      </c>
    </row>
    <row r="4" spans="1:9" ht="38.1" customHeight="1">
      <c r="A4" s="1" t="s">
        <v>177</v>
      </c>
      <c r="B4" s="1" t="s">
        <v>178</v>
      </c>
      <c r="C4" s="9">
        <v>1200</v>
      </c>
      <c r="D4" s="9">
        <v>1000</v>
      </c>
      <c r="E4" s="10">
        <v>0</v>
      </c>
      <c r="F4" s="10">
        <v>0.4</v>
      </c>
      <c r="G4" s="10">
        <v>0.4</v>
      </c>
      <c r="H4" s="10">
        <v>0</v>
      </c>
      <c r="I4" s="9">
        <v>30</v>
      </c>
    </row>
    <row r="5" spans="1:9" ht="38.1" customHeight="1">
      <c r="A5" s="1"/>
      <c r="B5" s="1"/>
      <c r="C5" s="1"/>
      <c r="D5" s="1"/>
      <c r="E5" s="1"/>
      <c r="F5" s="1"/>
      <c r="G5" s="1"/>
      <c r="H5" s="1"/>
      <c r="I5" s="1"/>
    </row>
    <row r="6" spans="1:9" ht="38.1" customHeight="1">
      <c r="A6" s="1"/>
      <c r="B6" s="1"/>
      <c r="C6" s="1"/>
      <c r="D6" s="1"/>
      <c r="E6" s="1"/>
      <c r="F6" s="1"/>
      <c r="G6" s="1"/>
      <c r="H6" s="1"/>
      <c r="I6" s="1"/>
    </row>
    <row r="7" spans="1:9" ht="38.1" customHeight="1">
      <c r="A7" s="1" t="s">
        <v>179</v>
      </c>
      <c r="B7" s="1" t="s">
        <v>180</v>
      </c>
      <c r="C7" s="1" t="s">
        <v>181</v>
      </c>
      <c r="D7" s="1" t="s">
        <v>182</v>
      </c>
      <c r="E7" s="1"/>
      <c r="F7" s="1"/>
      <c r="G7" s="1"/>
      <c r="H7" s="1"/>
      <c r="I7" s="1"/>
    </row>
    <row r="8" spans="1:9" ht="38.1" customHeight="1">
      <c r="A8" s="1" t="s">
        <v>183</v>
      </c>
      <c r="B8" s="10">
        <v>0.3</v>
      </c>
      <c r="C8" s="1" t="s">
        <v>184</v>
      </c>
      <c r="D8" s="1" t="s">
        <v>185</v>
      </c>
      <c r="E8" s="1"/>
      <c r="F8" s="1"/>
      <c r="G8" s="1"/>
      <c r="H8" s="1"/>
      <c r="I8" s="1"/>
    </row>
    <row r="9" spans="1:9" ht="38.1" customHeight="1">
      <c r="A9" s="1" t="s">
        <v>186</v>
      </c>
      <c r="B9" s="10">
        <v>0.1</v>
      </c>
      <c r="C9" s="1" t="s">
        <v>187</v>
      </c>
      <c r="D9" s="1" t="s">
        <v>188</v>
      </c>
      <c r="E9" s="1"/>
      <c r="F9" s="1"/>
      <c r="G9" s="1"/>
      <c r="H9" s="1"/>
      <c r="I9" s="1"/>
    </row>
    <row r="10" spans="1:9" ht="38.1" customHeight="1">
      <c r="A10" s="1" t="s">
        <v>189</v>
      </c>
      <c r="B10" s="10">
        <v>0.3</v>
      </c>
      <c r="C10" s="1" t="s">
        <v>190</v>
      </c>
      <c r="D10" s="1" t="s">
        <v>188</v>
      </c>
      <c r="E10" s="1"/>
      <c r="F10" s="1"/>
      <c r="G10" s="1"/>
      <c r="H10" s="1"/>
      <c r="I10" s="1"/>
    </row>
    <row r="11" spans="1:9" ht="38.1" customHeight="1">
      <c r="A11" s="1" t="s">
        <v>191</v>
      </c>
      <c r="B11" s="10">
        <v>0.4</v>
      </c>
      <c r="C11" s="1" t="s">
        <v>192</v>
      </c>
      <c r="D11" s="1" t="s">
        <v>193</v>
      </c>
      <c r="E11" s="1"/>
      <c r="F11" s="1"/>
      <c r="G11" s="1"/>
      <c r="H11" s="1"/>
      <c r="I11" s="1"/>
    </row>
    <row r="12" spans="1:9" ht="38.1" customHeight="1">
      <c r="A12" s="1" t="s">
        <v>194</v>
      </c>
      <c r="B12" s="10">
        <v>0.02</v>
      </c>
      <c r="C12" s="1" t="s">
        <v>195</v>
      </c>
      <c r="D12" s="1" t="s">
        <v>196</v>
      </c>
      <c r="E12" s="1"/>
      <c r="F12" s="1"/>
      <c r="G12" s="1"/>
      <c r="H12" s="1"/>
      <c r="I12" s="1"/>
    </row>
    <row r="13" spans="1:9" ht="38.1" customHeight="1">
      <c r="A13" s="1" t="s">
        <v>197</v>
      </c>
      <c r="B13" s="10">
        <v>0.16</v>
      </c>
      <c r="C13" s="1" t="s">
        <v>198</v>
      </c>
      <c r="D13" s="1" t="s">
        <v>196</v>
      </c>
      <c r="E13" s="1"/>
      <c r="F13" s="1"/>
      <c r="G13" s="1"/>
      <c r="H13" s="1"/>
      <c r="I13" s="1"/>
    </row>
    <row r="14" spans="1:9" ht="38.1" customHeight="1">
      <c r="A14" s="1" t="s">
        <v>199</v>
      </c>
      <c r="B14" s="10">
        <v>0.04</v>
      </c>
      <c r="C14" s="1" t="s">
        <v>200</v>
      </c>
      <c r="D14" s="1" t="s">
        <v>54</v>
      </c>
      <c r="E14" s="1"/>
      <c r="F14" s="1"/>
      <c r="G14" s="1"/>
      <c r="H14" s="1"/>
      <c r="I14" s="1"/>
    </row>
    <row r="15" spans="1:9" ht="38.1" customHeight="1">
      <c r="A15" s="1" t="s">
        <v>201</v>
      </c>
      <c r="B15" s="10">
        <v>0.06</v>
      </c>
      <c r="C15" s="1" t="s">
        <v>202</v>
      </c>
      <c r="D15" s="1" t="s">
        <v>203</v>
      </c>
      <c r="E15" s="1"/>
      <c r="F15" s="1"/>
      <c r="G15" s="1"/>
      <c r="H15" s="1"/>
      <c r="I15" s="1"/>
    </row>
    <row r="16" spans="1:9" ht="38.1" customHeight="1">
      <c r="A16" s="1" t="s">
        <v>204</v>
      </c>
      <c r="B16" s="10">
        <v>0.04</v>
      </c>
      <c r="C16" s="1" t="s">
        <v>205</v>
      </c>
      <c r="D16" s="1" t="s">
        <v>206</v>
      </c>
      <c r="E16" s="1"/>
      <c r="F16" s="1"/>
      <c r="G16" s="1"/>
      <c r="H16" s="1"/>
      <c r="I16" s="1"/>
    </row>
    <row r="17" spans="1:9" ht="38.1" customHeight="1">
      <c r="A17" s="1" t="s">
        <v>207</v>
      </c>
      <c r="B17" s="10">
        <v>4.0000000000000001E-3</v>
      </c>
      <c r="C17" s="1" t="s">
        <v>208</v>
      </c>
      <c r="D17" s="1" t="s">
        <v>206</v>
      </c>
      <c r="E17" s="1"/>
      <c r="F17" s="1"/>
      <c r="G17" s="1"/>
      <c r="H17" s="1"/>
      <c r="I17" s="1"/>
    </row>
    <row r="18" spans="1:9" ht="38.1" customHeight="1">
      <c r="A18" s="1" t="s">
        <v>209</v>
      </c>
      <c r="B18" s="10">
        <v>0.01</v>
      </c>
      <c r="C18" s="1" t="s">
        <v>210</v>
      </c>
      <c r="D18" s="1" t="s">
        <v>149</v>
      </c>
      <c r="E18" s="1"/>
      <c r="F18" s="1"/>
      <c r="G18" s="1"/>
      <c r="H18" s="1"/>
      <c r="I18" s="1"/>
    </row>
    <row r="19" spans="1:9" ht="38.1" customHeight="1">
      <c r="A19" s="1" t="s">
        <v>211</v>
      </c>
      <c r="B19" s="10">
        <v>0.04</v>
      </c>
      <c r="C19" s="1" t="s">
        <v>212</v>
      </c>
      <c r="D19" s="1" t="s">
        <v>128</v>
      </c>
      <c r="E19" s="1"/>
      <c r="F19" s="1"/>
      <c r="G19" s="1"/>
      <c r="H19" s="1"/>
      <c r="I19" s="1"/>
    </row>
    <row r="20" spans="1:9" ht="38.1" customHeight="1">
      <c r="A20" s="1" t="s">
        <v>213</v>
      </c>
      <c r="B20" s="10">
        <v>0.2</v>
      </c>
      <c r="C20" s="1" t="s">
        <v>214</v>
      </c>
      <c r="D20" s="1" t="s">
        <v>54</v>
      </c>
      <c r="E20" s="1"/>
      <c r="F20" s="1"/>
      <c r="G20" s="1"/>
      <c r="H20" s="1"/>
      <c r="I20" s="1"/>
    </row>
    <row r="21" spans="1:9" ht="38.1" customHeight="1">
      <c r="A21" s="1" t="s">
        <v>215</v>
      </c>
      <c r="B21" s="9">
        <v>500</v>
      </c>
      <c r="C21" s="1" t="s">
        <v>216</v>
      </c>
      <c r="D21" s="1" t="s">
        <v>54</v>
      </c>
      <c r="E21" s="1"/>
      <c r="F21" s="1"/>
      <c r="G21" s="1"/>
      <c r="H21" s="1"/>
      <c r="I21" s="1"/>
    </row>
    <row r="22" spans="1:9" ht="38.1" customHeight="1">
      <c r="A22" s="1"/>
      <c r="B22" s="1"/>
      <c r="C22" s="1"/>
      <c r="D22" s="1"/>
      <c r="E22" s="1"/>
      <c r="F22" s="1"/>
      <c r="G22" s="1"/>
      <c r="H22" s="1"/>
      <c r="I22" s="1"/>
    </row>
    <row r="23" spans="1:9" ht="38.1" customHeight="1">
      <c r="A23" s="1" t="s">
        <v>217</v>
      </c>
      <c r="B23" s="11">
        <v>0.15</v>
      </c>
      <c r="C23" s="1" t="s">
        <v>218</v>
      </c>
      <c r="D23" s="1" t="s">
        <v>219</v>
      </c>
      <c r="E23" s="1"/>
      <c r="F23" s="1"/>
      <c r="G23" s="1"/>
      <c r="H23" s="1"/>
      <c r="I23" s="1"/>
    </row>
    <row r="24" spans="1:9" ht="38.1" customHeight="1">
      <c r="A24" s="1" t="s">
        <v>220</v>
      </c>
      <c r="B24" s="11">
        <v>0.15</v>
      </c>
      <c r="C24" s="1" t="s">
        <v>221</v>
      </c>
      <c r="D24" s="1" t="s">
        <v>219</v>
      </c>
      <c r="E24" s="1"/>
      <c r="F24" s="1"/>
      <c r="G24" s="1"/>
      <c r="H24" s="1"/>
      <c r="I24" s="1"/>
    </row>
    <row r="25" spans="1:9" ht="38.1" customHeight="1">
      <c r="A25" s="1" t="s">
        <v>222</v>
      </c>
      <c r="B25" s="1">
        <v>5</v>
      </c>
      <c r="C25" s="1" t="s">
        <v>223</v>
      </c>
      <c r="D25" s="1" t="s">
        <v>219</v>
      </c>
      <c r="E25" s="1"/>
      <c r="F25" s="1"/>
      <c r="G25" s="1"/>
      <c r="H25" s="1"/>
      <c r="I25" s="1"/>
    </row>
    <row r="26" spans="1:9" ht="38.1" customHeight="1">
      <c r="A26" s="1" t="s">
        <v>224</v>
      </c>
      <c r="B26" s="11">
        <v>0.05</v>
      </c>
      <c r="C26" s="1" t="s">
        <v>225</v>
      </c>
      <c r="D26" s="1" t="s">
        <v>219</v>
      </c>
      <c r="E26" s="1"/>
      <c r="F26" s="1"/>
      <c r="G26" s="1"/>
      <c r="H26" s="1"/>
      <c r="I26" s="1"/>
    </row>
    <row r="27" spans="1:9" ht="38.1" customHeight="1">
      <c r="A27" s="1" t="s">
        <v>226</v>
      </c>
      <c r="B27" s="11">
        <v>1</v>
      </c>
      <c r="C27" s="1" t="s">
        <v>227</v>
      </c>
      <c r="D27" s="1" t="s">
        <v>228</v>
      </c>
      <c r="E27" s="1"/>
      <c r="F27" s="1"/>
      <c r="G27" s="1"/>
      <c r="H27" s="1"/>
      <c r="I27" s="1"/>
    </row>
    <row r="28" spans="1:9" ht="38.1" customHeight="1">
      <c r="A28" s="1" t="s">
        <v>229</v>
      </c>
      <c r="B28" s="11">
        <v>0</v>
      </c>
      <c r="C28" s="1" t="s">
        <v>230</v>
      </c>
      <c r="D28" s="1" t="s">
        <v>231</v>
      </c>
      <c r="E28" s="1"/>
      <c r="F28" s="1"/>
      <c r="G28" s="1"/>
      <c r="H28" s="1"/>
      <c r="I28" s="1"/>
    </row>
    <row r="29" spans="1:9" ht="38.1" customHeight="1">
      <c r="A29" s="1" t="s">
        <v>232</v>
      </c>
      <c r="B29" s="1">
        <v>0</v>
      </c>
      <c r="C29" s="1" t="s">
        <v>233</v>
      </c>
      <c r="D29" s="1" t="s">
        <v>234</v>
      </c>
      <c r="E29" s="1"/>
      <c r="F29" s="1"/>
      <c r="G29" s="1"/>
      <c r="H29" s="1"/>
      <c r="I29" s="1"/>
    </row>
    <row r="30" spans="1:9" ht="38.1" customHeight="1">
      <c r="A30" s="1" t="s">
        <v>235</v>
      </c>
      <c r="B30" s="1">
        <v>2</v>
      </c>
      <c r="C30" s="1" t="s">
        <v>236</v>
      </c>
      <c r="D30" s="1" t="s">
        <v>237</v>
      </c>
      <c r="E30" s="1"/>
      <c r="F30" s="1"/>
      <c r="G30" s="1"/>
      <c r="H30" s="1"/>
      <c r="I30" s="1"/>
    </row>
    <row r="31" spans="1:9" ht="38.1" customHeight="1">
      <c r="A31" s="1" t="s">
        <v>238</v>
      </c>
      <c r="B31" s="1">
        <v>1</v>
      </c>
      <c r="C31" s="1" t="s">
        <v>239</v>
      </c>
      <c r="D31" s="1" t="s">
        <v>240</v>
      </c>
      <c r="E31" s="1"/>
      <c r="F31" s="1"/>
      <c r="G31" s="1"/>
      <c r="H31" s="1"/>
      <c r="I31" s="1"/>
    </row>
    <row r="32" spans="1:9" ht="38.1" customHeight="1">
      <c r="A32" s="1" t="s">
        <v>241</v>
      </c>
      <c r="B32" s="1">
        <v>1</v>
      </c>
      <c r="C32" s="1" t="s">
        <v>242</v>
      </c>
      <c r="D32" s="1" t="s">
        <v>219</v>
      </c>
      <c r="E32" s="1"/>
      <c r="F32" s="1"/>
      <c r="G32" s="1"/>
      <c r="H32" s="1"/>
      <c r="I32" s="1"/>
    </row>
    <row r="33" spans="1:9" ht="38.1" customHeight="1">
      <c r="A33" s="1" t="s">
        <v>243</v>
      </c>
      <c r="B33" s="1">
        <v>0</v>
      </c>
      <c r="C33" s="1" t="s">
        <v>244</v>
      </c>
      <c r="D33" s="1" t="s">
        <v>234</v>
      </c>
      <c r="E33" s="1"/>
      <c r="F33" s="1"/>
      <c r="G33" s="1"/>
      <c r="H33" s="1"/>
      <c r="I33" s="1"/>
    </row>
    <row r="34" spans="1:9" ht="38.1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50.1" customHeight="1">
      <c r="A35" s="1" t="s">
        <v>245</v>
      </c>
      <c r="B35" s="1" t="s">
        <v>246</v>
      </c>
      <c r="C35" s="1"/>
      <c r="D35" s="1"/>
      <c r="E35" s="1"/>
      <c r="F35" s="1"/>
      <c r="G35" s="1"/>
      <c r="H35" s="1"/>
      <c r="I35" s="1"/>
    </row>
    <row r="36" spans="1:9" ht="38.1" customHeight="1">
      <c r="A36" s="1"/>
      <c r="B36" s="1"/>
      <c r="C36" s="1"/>
      <c r="D36" s="1"/>
      <c r="E36" s="1"/>
      <c r="F36" s="1"/>
      <c r="G36" s="1"/>
      <c r="H36" s="1"/>
      <c r="I36" s="1"/>
    </row>
    <row r="37" spans="1:9" ht="38.1" customHeight="1">
      <c r="A37" s="1"/>
      <c r="B37" s="1"/>
      <c r="C37" s="1"/>
      <c r="D37" s="1"/>
      <c r="E37" s="1"/>
      <c r="F37" s="1"/>
      <c r="G37" s="1"/>
      <c r="H37" s="1"/>
      <c r="I37" s="1"/>
    </row>
    <row r="38" spans="1:9" ht="38.1" customHeight="1">
      <c r="A38" s="1"/>
      <c r="B38" s="1"/>
      <c r="C38" s="1"/>
      <c r="D38" s="1"/>
      <c r="E38" s="1"/>
      <c r="F38" s="1"/>
      <c r="G38" s="1"/>
      <c r="H38" s="1"/>
      <c r="I38" s="1"/>
    </row>
    <row r="39" spans="1:9" ht="50.1" customHeight="1">
      <c r="A39" s="1" t="s">
        <v>247</v>
      </c>
      <c r="B39" s="10">
        <v>0.05</v>
      </c>
      <c r="C39" s="1" t="s">
        <v>248</v>
      </c>
      <c r="D39" s="1" t="s">
        <v>249</v>
      </c>
      <c r="E39" s="1"/>
      <c r="F39" s="1"/>
      <c r="G39" s="1"/>
      <c r="H39" s="1"/>
      <c r="I39" s="1"/>
    </row>
    <row r="40" spans="1:9" ht="50.1" customHeight="1">
      <c r="A40" s="1" t="s">
        <v>250</v>
      </c>
      <c r="B40" s="10">
        <v>0.01</v>
      </c>
      <c r="C40" s="1" t="s">
        <v>251</v>
      </c>
      <c r="D40" s="1" t="s">
        <v>252</v>
      </c>
      <c r="E40" s="1"/>
      <c r="F40" s="1"/>
      <c r="G40" s="1"/>
      <c r="H40" s="1"/>
      <c r="I40" s="1"/>
    </row>
    <row r="41" spans="1:9" ht="38.1" customHeight="1">
      <c r="A41" s="1" t="s">
        <v>253</v>
      </c>
      <c r="B41" s="10">
        <v>2.5000000000000001E-2</v>
      </c>
      <c r="C41" s="1" t="s">
        <v>254</v>
      </c>
      <c r="D41" s="1" t="s">
        <v>255</v>
      </c>
      <c r="E41" s="1"/>
      <c r="F41" s="1"/>
      <c r="G41" s="1"/>
      <c r="H41" s="1"/>
      <c r="I41" s="1"/>
    </row>
    <row r="42" spans="1:9" ht="50.1" customHeight="1">
      <c r="A42" s="1" t="s">
        <v>256</v>
      </c>
      <c r="B42" s="11">
        <v>1</v>
      </c>
      <c r="C42" s="1" t="s">
        <v>257</v>
      </c>
      <c r="D42" s="1" t="s">
        <v>96</v>
      </c>
      <c r="E42" s="1"/>
      <c r="F42" s="1"/>
      <c r="G42" s="1"/>
      <c r="H42" s="1"/>
      <c r="I42" s="1"/>
    </row>
    <row r="43" spans="1:9" ht="50.1" customHeight="1">
      <c r="A43" s="1" t="s">
        <v>258</v>
      </c>
      <c r="B43" s="1">
        <v>1</v>
      </c>
      <c r="C43" s="1" t="s">
        <v>259</v>
      </c>
      <c r="D43" s="1" t="s">
        <v>260</v>
      </c>
      <c r="E43" s="1"/>
      <c r="F43" s="1"/>
      <c r="G43" s="1"/>
      <c r="H43" s="1"/>
      <c r="I43" s="1"/>
    </row>
    <row r="44" spans="1:9" ht="38.1" customHeight="1">
      <c r="A44" s="1" t="s">
        <v>261</v>
      </c>
      <c r="B44" s="1">
        <v>0</v>
      </c>
      <c r="C44" s="1" t="s">
        <v>594</v>
      </c>
      <c r="D44" s="1" t="s">
        <v>595</v>
      </c>
      <c r="E44" s="1"/>
      <c r="F44" s="1"/>
      <c r="G44" s="1"/>
      <c r="H44" s="1"/>
      <c r="I44" s="1"/>
    </row>
    <row r="45" spans="1:9" ht="38.1" customHeight="1">
      <c r="A45" s="1" t="s">
        <v>596</v>
      </c>
      <c r="B45" s="1">
        <v>1</v>
      </c>
      <c r="C45" s="1" t="s">
        <v>597</v>
      </c>
      <c r="D45" s="1" t="s">
        <v>598</v>
      </c>
      <c r="E45" s="1"/>
      <c r="F45" s="1"/>
      <c r="G45" s="1"/>
      <c r="H45" s="1"/>
      <c r="I45" s="1"/>
    </row>
    <row r="46" spans="1:9" ht="38.1" customHeight="1">
      <c r="A46" s="1" t="s">
        <v>262</v>
      </c>
      <c r="B46" s="11">
        <v>0.3</v>
      </c>
      <c r="C46" s="1" t="s">
        <v>263</v>
      </c>
      <c r="D46" s="1" t="s">
        <v>264</v>
      </c>
      <c r="E46" s="1"/>
      <c r="F46" s="1"/>
      <c r="G46" s="1"/>
      <c r="H46" s="1"/>
      <c r="I46" s="1"/>
    </row>
    <row r="47" spans="1:9" ht="38.1" customHeight="1">
      <c r="A47" s="1" t="s">
        <v>265</v>
      </c>
      <c r="B47" s="11">
        <v>0.08</v>
      </c>
      <c r="C47" s="1" t="s">
        <v>266</v>
      </c>
      <c r="D47" s="1" t="s">
        <v>267</v>
      </c>
      <c r="E47" s="1"/>
      <c r="F47" s="1"/>
      <c r="G47" s="1"/>
      <c r="H47" s="1"/>
      <c r="I47" s="1"/>
    </row>
    <row r="48" spans="1:9" ht="38.1" customHeight="1">
      <c r="A48" s="1" t="s">
        <v>268</v>
      </c>
      <c r="B48" s="1">
        <v>250</v>
      </c>
      <c r="C48" s="1" t="s">
        <v>269</v>
      </c>
      <c r="D48" s="1" t="s">
        <v>264</v>
      </c>
      <c r="E48" s="1"/>
      <c r="F48" s="1"/>
      <c r="G48" s="1"/>
      <c r="H48" s="1"/>
      <c r="I48" s="1"/>
    </row>
    <row r="49" spans="1:9" ht="38.1" customHeight="1">
      <c r="A49" s="1" t="s">
        <v>270</v>
      </c>
      <c r="B49" s="11">
        <v>0.08</v>
      </c>
      <c r="C49" s="1" t="s">
        <v>271</v>
      </c>
      <c r="D49" s="1" t="s">
        <v>264</v>
      </c>
      <c r="E49" s="1"/>
      <c r="F49" s="1"/>
      <c r="G49" s="1"/>
      <c r="H49" s="1"/>
      <c r="I49" s="1"/>
    </row>
    <row r="50" spans="1:9" ht="38.1" customHeight="1">
      <c r="A50" s="1" t="s">
        <v>272</v>
      </c>
      <c r="B50" s="1">
        <v>1250</v>
      </c>
      <c r="C50" s="1" t="s">
        <v>273</v>
      </c>
      <c r="D50" s="1" t="s">
        <v>264</v>
      </c>
      <c r="E50" s="1"/>
      <c r="F50" s="1"/>
      <c r="G50" s="1"/>
      <c r="H50" s="1"/>
      <c r="I50" s="1"/>
    </row>
    <row r="51" spans="1:9" ht="38.1" customHeight="1">
      <c r="A51" s="1" t="s">
        <v>274</v>
      </c>
      <c r="B51" s="1">
        <v>2</v>
      </c>
      <c r="C51" s="1" t="s">
        <v>275</v>
      </c>
      <c r="D51" s="1" t="s">
        <v>276</v>
      </c>
      <c r="E51" s="1"/>
      <c r="F51" s="1"/>
      <c r="G51" s="1"/>
      <c r="H51" s="1"/>
      <c r="I51" s="1"/>
    </row>
    <row r="52" spans="1:9" ht="50.1" customHeight="1">
      <c r="A52" s="1" t="s">
        <v>277</v>
      </c>
      <c r="B52" s="1">
        <v>1</v>
      </c>
      <c r="C52" s="1" t="s">
        <v>278</v>
      </c>
      <c r="D52" s="1" t="s">
        <v>279</v>
      </c>
      <c r="E52" s="1"/>
      <c r="F52" s="1"/>
      <c r="G52" s="1"/>
      <c r="H52" s="1"/>
      <c r="I52" s="1"/>
    </row>
    <row r="53" spans="1:9" ht="38.1" customHeight="1">
      <c r="A53" s="1" t="s">
        <v>280</v>
      </c>
      <c r="B53" s="11">
        <v>0</v>
      </c>
      <c r="C53" s="1" t="s">
        <v>281</v>
      </c>
      <c r="D53" s="1" t="s">
        <v>282</v>
      </c>
      <c r="E53" s="1"/>
      <c r="F53" s="1"/>
      <c r="G53" s="1"/>
      <c r="H53" s="1"/>
      <c r="I53" s="1"/>
    </row>
    <row r="54" spans="1:9" ht="38.1" customHeight="1">
      <c r="A54" s="1" t="s">
        <v>283</v>
      </c>
      <c r="B54" s="11">
        <v>0.4</v>
      </c>
      <c r="C54" s="1" t="s">
        <v>284</v>
      </c>
      <c r="D54" s="1" t="s">
        <v>193</v>
      </c>
      <c r="E54" s="1"/>
      <c r="F54" s="1"/>
      <c r="G54" s="1"/>
      <c r="H54" s="1"/>
      <c r="I54" s="1"/>
    </row>
    <row r="55" spans="1:9" ht="50.1" customHeight="1">
      <c r="A55" s="1" t="s">
        <v>285</v>
      </c>
      <c r="B55" s="1">
        <v>4</v>
      </c>
      <c r="C55" s="1" t="s">
        <v>286</v>
      </c>
      <c r="D55" s="1" t="s">
        <v>287</v>
      </c>
      <c r="E55" s="1"/>
      <c r="F55" s="1"/>
      <c r="G55" s="1"/>
      <c r="H55" s="1"/>
      <c r="I55" s="1"/>
    </row>
    <row r="56" spans="1:9" ht="38.1" customHeight="1">
      <c r="A56" s="1" t="s">
        <v>288</v>
      </c>
      <c r="B56" s="11">
        <v>0.4</v>
      </c>
      <c r="C56" s="1" t="s">
        <v>289</v>
      </c>
      <c r="D56" s="1" t="s">
        <v>290</v>
      </c>
      <c r="E56" s="1"/>
      <c r="F56" s="1"/>
      <c r="G56" s="1"/>
      <c r="H56" s="1"/>
      <c r="I56" s="1"/>
    </row>
    <row r="57" spans="1:9" ht="38.1" customHeight="1">
      <c r="A57" s="1" t="s">
        <v>291</v>
      </c>
      <c r="B57" s="1">
        <v>0</v>
      </c>
      <c r="C57" s="1" t="s">
        <v>292</v>
      </c>
      <c r="D57" s="1" t="s">
        <v>293</v>
      </c>
      <c r="E57" s="1"/>
      <c r="F57" s="1"/>
      <c r="G57" s="1"/>
      <c r="H57" s="1"/>
      <c r="I57" s="1"/>
    </row>
    <row r="58" spans="1:9" ht="38.1" customHeight="1">
      <c r="A58" s="1" t="s">
        <v>294</v>
      </c>
      <c r="B58" s="11">
        <v>-0.4</v>
      </c>
      <c r="C58" s="1" t="s">
        <v>295</v>
      </c>
      <c r="D58" s="1" t="s">
        <v>296</v>
      </c>
      <c r="E58" s="1"/>
      <c r="F58" s="1"/>
      <c r="G58" s="1"/>
      <c r="H58" s="1"/>
      <c r="I58" s="1"/>
    </row>
    <row r="59" spans="1:9" ht="38.1" customHeight="1">
      <c r="A59" s="1" t="s">
        <v>297</v>
      </c>
      <c r="B59" s="1">
        <v>30</v>
      </c>
      <c r="C59" s="1" t="s">
        <v>599</v>
      </c>
      <c r="D59" s="1" t="s">
        <v>600</v>
      </c>
      <c r="E59" s="1"/>
      <c r="F59" s="1"/>
      <c r="G59" s="1"/>
      <c r="H59" s="1"/>
      <c r="I59" s="1"/>
    </row>
    <row r="60" spans="1:9" ht="50.1" customHeight="1">
      <c r="A60" s="1" t="s">
        <v>298</v>
      </c>
      <c r="B60" s="1">
        <v>1</v>
      </c>
      <c r="C60" s="1" t="s">
        <v>299</v>
      </c>
      <c r="D60" s="1" t="s">
        <v>300</v>
      </c>
      <c r="E60" s="1"/>
      <c r="F60" s="1"/>
      <c r="G60" s="1"/>
      <c r="H60" s="1"/>
      <c r="I60" s="1"/>
    </row>
    <row r="61" spans="1:9" ht="38.1" customHeight="1">
      <c r="A61" s="1" t="s">
        <v>301</v>
      </c>
      <c r="B61" s="12">
        <v>1000</v>
      </c>
      <c r="C61" s="1" t="s">
        <v>302</v>
      </c>
      <c r="D61" s="1" t="s">
        <v>219</v>
      </c>
      <c r="E61" s="1"/>
      <c r="F61" s="1"/>
      <c r="G61" s="1"/>
      <c r="H61" s="1"/>
      <c r="I61" s="1"/>
    </row>
    <row r="62" spans="1:9" ht="38.1" customHeight="1">
      <c r="A62" s="1" t="s">
        <v>303</v>
      </c>
      <c r="B62" s="12">
        <v>100000</v>
      </c>
      <c r="C62" s="1" t="s">
        <v>304</v>
      </c>
      <c r="D62" s="1" t="s">
        <v>219</v>
      </c>
      <c r="E62" s="1"/>
      <c r="F62" s="1"/>
      <c r="G62" s="1"/>
      <c r="H62" s="1"/>
      <c r="I62" s="1"/>
    </row>
    <row r="63" spans="1:9" ht="50.1" customHeight="1">
      <c r="A63" s="1" t="s">
        <v>305</v>
      </c>
      <c r="B63" s="12">
        <v>30</v>
      </c>
      <c r="C63" s="1" t="s">
        <v>601</v>
      </c>
      <c r="D63" s="1" t="s">
        <v>602</v>
      </c>
      <c r="E63" s="1"/>
      <c r="F63" s="1"/>
      <c r="G63" s="1"/>
      <c r="H63" s="1"/>
      <c r="I63" s="1"/>
    </row>
    <row r="64" spans="1:9" ht="38.1" customHeight="1">
      <c r="A64" s="1" t="s">
        <v>306</v>
      </c>
      <c r="B64" s="12">
        <v>20</v>
      </c>
      <c r="C64" s="1" t="s">
        <v>307</v>
      </c>
      <c r="D64" s="1" t="s">
        <v>308</v>
      </c>
      <c r="E64" s="1"/>
      <c r="F64" s="1"/>
      <c r="G64" s="1"/>
      <c r="H64" s="1"/>
      <c r="I64" s="1"/>
    </row>
    <row r="65" spans="1:9" ht="38.1" customHeight="1">
      <c r="A65" s="1" t="s">
        <v>309</v>
      </c>
      <c r="B65" s="12">
        <v>40</v>
      </c>
      <c r="C65" s="1" t="s">
        <v>310</v>
      </c>
      <c r="D65" s="1" t="s">
        <v>219</v>
      </c>
      <c r="E65" s="1"/>
      <c r="F65" s="1"/>
      <c r="G65" s="1"/>
      <c r="H65" s="1"/>
      <c r="I65" s="1"/>
    </row>
    <row r="66" spans="1:9" ht="38.1" customHeight="1">
      <c r="A66" s="1" t="s">
        <v>311</v>
      </c>
      <c r="B66" s="12">
        <v>100</v>
      </c>
      <c r="C66" s="1" t="s">
        <v>312</v>
      </c>
      <c r="D66" s="1" t="s">
        <v>219</v>
      </c>
      <c r="E66" s="1"/>
      <c r="F66" s="1"/>
      <c r="G66" s="1"/>
      <c r="H66" s="1"/>
      <c r="I66" s="1"/>
    </row>
    <row r="67" spans="1:9" ht="38.1" customHeight="1">
      <c r="A67" s="1" t="s">
        <v>313</v>
      </c>
      <c r="B67" s="11">
        <v>0.3</v>
      </c>
      <c r="C67" s="1" t="s">
        <v>314</v>
      </c>
      <c r="D67" s="1" t="s">
        <v>315</v>
      </c>
      <c r="E67" s="1"/>
      <c r="F67" s="1"/>
      <c r="G67" s="1"/>
      <c r="H67" s="1"/>
      <c r="I67" s="1"/>
    </row>
    <row r="68" spans="1:9" ht="38.1" customHeight="1">
      <c r="A68" s="1" t="s">
        <v>316</v>
      </c>
      <c r="B68" s="11">
        <v>0.6</v>
      </c>
      <c r="C68" s="1" t="s">
        <v>317</v>
      </c>
      <c r="D68" s="1" t="s">
        <v>219</v>
      </c>
      <c r="E68" s="1"/>
      <c r="F68" s="1"/>
      <c r="G68" s="1"/>
      <c r="H68" s="1"/>
      <c r="I68" s="1"/>
    </row>
    <row r="69" spans="1:9" ht="38.1" customHeight="1">
      <c r="A69" s="1" t="s">
        <v>318</v>
      </c>
      <c r="B69" s="11">
        <v>0.9</v>
      </c>
      <c r="C69" s="1" t="s">
        <v>319</v>
      </c>
      <c r="D69" s="1" t="s">
        <v>219</v>
      </c>
      <c r="E69" s="1"/>
      <c r="F69" s="1"/>
      <c r="G69" s="1"/>
      <c r="H69" s="1"/>
      <c r="I69" s="1"/>
    </row>
    <row r="70" spans="1:9" ht="38.1" customHeight="1">
      <c r="A70" s="1" t="s">
        <v>320</v>
      </c>
      <c r="B70" s="11">
        <v>0.2</v>
      </c>
      <c r="C70" s="1" t="s">
        <v>321</v>
      </c>
      <c r="D70" s="1" t="s">
        <v>322</v>
      </c>
      <c r="E70" s="1"/>
      <c r="F70" s="1"/>
      <c r="G70" s="1"/>
      <c r="H70" s="1"/>
      <c r="I70" s="1"/>
    </row>
    <row r="71" spans="1:9" ht="38.1" customHeight="1">
      <c r="A71" s="1" t="s">
        <v>323</v>
      </c>
      <c r="B71" s="11">
        <v>0.4</v>
      </c>
      <c r="C71" s="1" t="s">
        <v>324</v>
      </c>
      <c r="D71" s="1" t="s">
        <v>219</v>
      </c>
      <c r="E71" s="1"/>
      <c r="F71" s="1"/>
      <c r="G71" s="1"/>
      <c r="H71" s="1"/>
      <c r="I71" s="1"/>
    </row>
    <row r="72" spans="1:9" ht="38.1" customHeight="1">
      <c r="A72" s="1" t="s">
        <v>325</v>
      </c>
      <c r="B72" s="11">
        <v>0.6</v>
      </c>
      <c r="C72" s="1" t="s">
        <v>326</v>
      </c>
      <c r="D72" s="1" t="s">
        <v>219</v>
      </c>
      <c r="E72" s="1"/>
      <c r="F72" s="1"/>
      <c r="G72" s="1"/>
      <c r="H72" s="1"/>
      <c r="I72" s="1"/>
    </row>
    <row r="73" spans="1:9" ht="38.1" customHeight="1">
      <c r="A73" s="1" t="s">
        <v>327</v>
      </c>
      <c r="B73" s="1">
        <v>100</v>
      </c>
      <c r="C73" s="1" t="s">
        <v>328</v>
      </c>
      <c r="D73" s="1" t="s">
        <v>329</v>
      </c>
      <c r="E73" s="1"/>
      <c r="F73" s="1"/>
      <c r="G73" s="1"/>
      <c r="H73" s="1"/>
      <c r="I73" s="1"/>
    </row>
    <row r="74" spans="1:9" ht="38.1" customHeight="1">
      <c r="A74" s="1" t="s">
        <v>330</v>
      </c>
      <c r="B74" s="11">
        <v>0.05</v>
      </c>
      <c r="C74" s="1" t="s">
        <v>331</v>
      </c>
      <c r="D74" s="1" t="s">
        <v>219</v>
      </c>
      <c r="E74" s="1"/>
      <c r="F74" s="1"/>
      <c r="G74" s="1"/>
      <c r="H74" s="1"/>
      <c r="I74" s="1"/>
    </row>
    <row r="75" spans="1:9" ht="38.1" customHeight="1">
      <c r="A75" s="1" t="s">
        <v>332</v>
      </c>
      <c r="B75" s="1">
        <v>0</v>
      </c>
      <c r="C75" s="1" t="s">
        <v>333</v>
      </c>
      <c r="D75" s="1" t="s">
        <v>334</v>
      </c>
      <c r="E75" s="1"/>
      <c r="F75" s="1"/>
      <c r="G75" s="1"/>
      <c r="H75" s="1"/>
      <c r="I75" s="1"/>
    </row>
    <row r="76" spans="1:9" ht="38.1" customHeight="1">
      <c r="A76" s="1" t="s">
        <v>335</v>
      </c>
      <c r="B76" s="1">
        <v>0</v>
      </c>
      <c r="C76" s="1" t="s">
        <v>336</v>
      </c>
      <c r="D76" s="1" t="s">
        <v>337</v>
      </c>
      <c r="E76" s="1"/>
      <c r="F76" s="1"/>
      <c r="G76" s="1"/>
      <c r="H76" s="1"/>
      <c r="I76" s="1"/>
    </row>
    <row r="77" spans="1:9" ht="50.1" customHeight="1">
      <c r="A77" s="1" t="s">
        <v>338</v>
      </c>
      <c r="B77" s="1">
        <v>0</v>
      </c>
      <c r="C77" s="1" t="s">
        <v>339</v>
      </c>
      <c r="D77" s="1" t="s">
        <v>340</v>
      </c>
      <c r="E77" s="1"/>
      <c r="F77" s="1"/>
      <c r="G77" s="1"/>
      <c r="H77" s="1"/>
      <c r="I77" s="1"/>
    </row>
    <row r="78" spans="1:9" ht="38.1" customHeight="1">
      <c r="A78" s="1" t="s">
        <v>341</v>
      </c>
      <c r="B78" s="1" t="s">
        <v>342</v>
      </c>
      <c r="C78" s="1" t="s">
        <v>343</v>
      </c>
      <c r="D78" s="1" t="s">
        <v>344</v>
      </c>
      <c r="E78" s="1"/>
      <c r="F78" s="1"/>
      <c r="G78" s="1"/>
      <c r="H78" s="1"/>
      <c r="I78" s="1"/>
    </row>
    <row r="79" spans="1:9" ht="50.1" customHeight="1">
      <c r="A79" s="1" t="s">
        <v>345</v>
      </c>
      <c r="B79" s="11">
        <v>0.1</v>
      </c>
      <c r="C79" s="1" t="s">
        <v>346</v>
      </c>
      <c r="D79" s="1" t="s">
        <v>347</v>
      </c>
      <c r="E79" s="1"/>
      <c r="F79" s="1"/>
      <c r="G79" s="1"/>
      <c r="H79" s="1"/>
      <c r="I79" s="1"/>
    </row>
    <row r="80" spans="1:9" ht="50.1" customHeight="1">
      <c r="A80" s="1" t="s">
        <v>348</v>
      </c>
      <c r="B80" s="10">
        <v>2.0249999999999999</v>
      </c>
      <c r="C80" s="1" t="s">
        <v>349</v>
      </c>
      <c r="D80" s="1" t="s">
        <v>350</v>
      </c>
      <c r="E80" s="1"/>
      <c r="F80" s="1"/>
      <c r="G80" s="1"/>
      <c r="H80" s="1"/>
      <c r="I80" s="1"/>
    </row>
    <row r="81" spans="1:9" ht="38.1" customHeight="1">
      <c r="A81" s="1" t="s">
        <v>351</v>
      </c>
      <c r="B81" s="10">
        <v>1.7170000000000001</v>
      </c>
      <c r="C81" s="1" t="s">
        <v>352</v>
      </c>
      <c r="D81" s="1" t="s">
        <v>350</v>
      </c>
      <c r="E81" s="1"/>
      <c r="F81" s="1"/>
      <c r="G81" s="1"/>
      <c r="H81" s="1"/>
      <c r="I81" s="1"/>
    </row>
    <row r="82" spans="1:9" ht="38.1" customHeight="1">
      <c r="A82" s="1" t="s">
        <v>353</v>
      </c>
      <c r="B82" s="11">
        <v>0.6</v>
      </c>
      <c r="C82" s="1" t="s">
        <v>354</v>
      </c>
      <c r="D82" s="1" t="s">
        <v>355</v>
      </c>
      <c r="E82" s="1"/>
      <c r="F82" s="1"/>
      <c r="G82" s="1"/>
      <c r="H82" s="1"/>
      <c r="I82" s="1"/>
    </row>
    <row r="83" spans="1:9" ht="38.1" customHeight="1">
      <c r="A83" s="1" t="s">
        <v>356</v>
      </c>
      <c r="B83" s="11">
        <v>0.8</v>
      </c>
      <c r="C83" s="1" t="s">
        <v>357</v>
      </c>
      <c r="D83" s="1" t="s">
        <v>355</v>
      </c>
      <c r="E83" s="1"/>
      <c r="F83" s="1"/>
      <c r="G83" s="1"/>
      <c r="H83" s="1"/>
      <c r="I83" s="1"/>
    </row>
    <row r="84" spans="1:9" ht="38.1" customHeight="1">
      <c r="A84" s="1" t="s">
        <v>358</v>
      </c>
      <c r="B84" s="11">
        <v>1</v>
      </c>
      <c r="C84" s="1" t="s">
        <v>359</v>
      </c>
      <c r="D84" s="1" t="s">
        <v>355</v>
      </c>
      <c r="E84" s="1"/>
      <c r="F84" s="1"/>
      <c r="G84" s="1"/>
      <c r="H84" s="1"/>
      <c r="I84" s="1"/>
    </row>
    <row r="85" spans="1:9" ht="38.1" customHeight="1">
      <c r="A85" s="1"/>
      <c r="B85" s="9"/>
      <c r="C85" s="1"/>
      <c r="D85" s="1"/>
      <c r="E85" s="1"/>
      <c r="F85" s="1"/>
      <c r="G85" s="1"/>
      <c r="H85" s="1"/>
      <c r="I85" s="1"/>
    </row>
    <row r="86" spans="1:9" ht="38.1" customHeight="1">
      <c r="A86" s="1"/>
      <c r="B86" s="9"/>
      <c r="C86" s="1"/>
      <c r="D86" s="1"/>
      <c r="E86" s="1"/>
      <c r="F86" s="1"/>
      <c r="G86" s="1"/>
      <c r="H86" s="1"/>
      <c r="I86" s="1"/>
    </row>
    <row r="87" spans="1:9" ht="38.1" customHeight="1">
      <c r="A87" s="1" t="s">
        <v>360</v>
      </c>
      <c r="B87" s="9">
        <v>3</v>
      </c>
      <c r="C87" s="1" t="s">
        <v>361</v>
      </c>
      <c r="D87" s="1" t="s">
        <v>362</v>
      </c>
      <c r="E87" s="1"/>
      <c r="F87" s="1"/>
      <c r="G87" s="1"/>
      <c r="H87" s="1"/>
      <c r="I87" s="1"/>
    </row>
    <row r="88" spans="1:9" ht="38.1" customHeight="1">
      <c r="A88" s="1"/>
      <c r="B88" s="9"/>
      <c r="C88" s="1"/>
      <c r="D88" s="1"/>
      <c r="E88" s="1"/>
      <c r="F88" s="1"/>
      <c r="G88" s="1"/>
      <c r="H88" s="1"/>
      <c r="I88" s="1"/>
    </row>
    <row r="89" spans="1:9" ht="69.95" customHeight="1">
      <c r="A89" s="17" t="s">
        <v>603</v>
      </c>
      <c r="B89" s="19">
        <v>0.5</v>
      </c>
      <c r="C89" s="17" t="s">
        <v>604</v>
      </c>
      <c r="D89" s="17" t="s">
        <v>605</v>
      </c>
    </row>
    <row r="90" spans="1:9" ht="69.95" customHeight="1">
      <c r="A90" s="17" t="s">
        <v>606</v>
      </c>
      <c r="B90" s="19">
        <v>0.7</v>
      </c>
      <c r="C90" s="17" t="s">
        <v>607</v>
      </c>
      <c r="D90" s="17" t="s">
        <v>605</v>
      </c>
    </row>
    <row r="91" spans="1:9" ht="99.95" customHeight="1">
      <c r="A91" s="17" t="s">
        <v>608</v>
      </c>
      <c r="B91" s="20">
        <v>2</v>
      </c>
      <c r="C91" s="17" t="s">
        <v>609</v>
      </c>
      <c r="D91" s="17" t="s">
        <v>610</v>
      </c>
    </row>
  </sheetData>
  <sheetProtection algorithmName="SHA-512" hashValue="HdJikdJvoLIwnw/bhXO1CLAYBTLYYPffbEDOwIN2QufOQCBK5YqMMpv/jgX2ZkOits3d9OLvTYs8UqXkx1oeTQ==" saltValue="mdHhZAoFSBkN9B9oHPct4g==" spinCount="100000" sheet="1" objects="1" scenarios="1"/>
  <phoneticPr fontId="4" type="noConversion"/>
  <pageMargins left="0.7" right="0.7" top="0.75" bottom="0.75" header="0.3" footer="0.3"/>
  <pageSetup paperSize="9" scale="3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49"/>
  <sheetViews>
    <sheetView workbookViewId="0">
      <pane xSplit="1" ySplit="8" topLeftCell="B15" activePane="bottomRight" state="frozen"/>
      <selection activeCell="B11" sqref="B11"/>
      <selection pane="topRight" activeCell="B11" sqref="B11"/>
      <selection pane="bottomLeft" activeCell="B11" sqref="B11"/>
      <selection pane="bottomRight" activeCell="E18" sqref="E18"/>
    </sheetView>
  </sheetViews>
  <sheetFormatPr defaultRowHeight="14.25"/>
  <cols>
    <col min="1" max="1" width="10" customWidth="1"/>
    <col min="2" max="2" width="24" customWidth="1"/>
    <col min="3" max="3" width="14" customWidth="1"/>
    <col min="4" max="4" width="34" customWidth="1"/>
    <col min="5" max="5" width="12" customWidth="1"/>
    <col min="6" max="8" width="17" customWidth="1"/>
    <col min="9" max="9" width="42" customWidth="1"/>
    <col min="10" max="11" width="18" customWidth="1"/>
    <col min="12" max="12" width="17" customWidth="1"/>
    <col min="13" max="13" width="19" customWidth="1"/>
    <col min="14" max="14" width="17" customWidth="1"/>
    <col min="15" max="19" width="19" customWidth="1"/>
    <col min="20" max="20" width="42" customWidth="1"/>
    <col min="21" max="21" width="35" customWidth="1"/>
  </cols>
  <sheetData>
    <row r="1" spans="1:21" ht="36" customHeight="1">
      <c r="A1" s="42" t="s">
        <v>363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spans="1:21" ht="65.099999999999994" customHeight="1">
      <c r="A2" s="42" t="s">
        <v>364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</row>
    <row r="3" spans="1:21" ht="38.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38.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8.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38.1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38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8.1" customHeight="1">
      <c r="A8" s="2" t="s">
        <v>365</v>
      </c>
      <c r="B8" s="2" t="s">
        <v>366</v>
      </c>
      <c r="C8" s="2" t="s">
        <v>367</v>
      </c>
      <c r="D8" s="2" t="s">
        <v>368</v>
      </c>
      <c r="E8" s="2" t="s">
        <v>369</v>
      </c>
      <c r="F8" s="2" t="s">
        <v>370</v>
      </c>
      <c r="G8" s="2" t="s">
        <v>371</v>
      </c>
      <c r="H8" s="2" t="s">
        <v>372</v>
      </c>
      <c r="I8" s="2" t="s">
        <v>373</v>
      </c>
      <c r="J8" s="2" t="s">
        <v>1</v>
      </c>
      <c r="K8" s="2" t="s">
        <v>374</v>
      </c>
      <c r="L8" s="2" t="s">
        <v>375</v>
      </c>
      <c r="M8" s="2" t="s">
        <v>376</v>
      </c>
      <c r="N8" s="2" t="s">
        <v>377</v>
      </c>
      <c r="O8" s="2" t="s">
        <v>378</v>
      </c>
      <c r="P8" s="2" t="s">
        <v>379</v>
      </c>
      <c r="Q8" s="2" t="s">
        <v>380</v>
      </c>
      <c r="R8" s="2" t="s">
        <v>381</v>
      </c>
      <c r="S8" s="2" t="s">
        <v>382</v>
      </c>
      <c r="T8" s="2" t="s">
        <v>383</v>
      </c>
      <c r="U8" s="2" t="s">
        <v>384</v>
      </c>
    </row>
    <row r="9" spans="1:21" ht="50.1" customHeight="1">
      <c r="A9" s="1">
        <f t="shared" ref="A9:A72" si="0">IF(D9="","",ROW()-8)</f>
        <v>1</v>
      </c>
      <c r="B9" s="3">
        <v>1</v>
      </c>
      <c r="C9" s="3">
        <v>1</v>
      </c>
      <c r="D9" s="3" t="s">
        <v>133</v>
      </c>
      <c r="E9" s="3" t="s">
        <v>611</v>
      </c>
      <c r="F9" s="5"/>
      <c r="G9" s="5"/>
      <c r="H9" s="5"/>
      <c r="I9" s="5"/>
      <c r="J9" s="6" t="str">
        <f>IF(D9="","",后台计算!E3)</f>
        <v>小瑞安侬</v>
      </c>
      <c r="K9" s="6">
        <f>IF(D9="","",后台计算!AY3)</f>
        <v>2986</v>
      </c>
      <c r="L9" s="7">
        <f>IF(D9="","",后台计算!AZ3)</f>
        <v>0.55499999999999994</v>
      </c>
      <c r="M9" s="7">
        <f>IF(D9="","",后台计算!BA3)</f>
        <v>1.55</v>
      </c>
      <c r="N9" s="4">
        <f>IF(D9="","",后台计算!BG3)</f>
        <v>0</v>
      </c>
      <c r="O9" s="6">
        <f>IF(D9="","",后台计算!BU3)</f>
        <v>0</v>
      </c>
      <c r="P9" s="6">
        <f>IF(D9="","",后台计算!BV3)</f>
        <v>0</v>
      </c>
      <c r="Q9" s="6" t="str">
        <f t="shared" ref="Q9:Q72" si="1">IF(D9="","",IF(E9="是",P9,IF(E9="否",O9,"")))</f>
        <v/>
      </c>
      <c r="R9" s="6" t="str">
        <f t="shared" ref="R9:R72" si="2">IF(COUNT(F9:H9)=0,"",SUM(F9:H9))</f>
        <v/>
      </c>
      <c r="S9" s="6" t="str">
        <f t="shared" ref="S9:S72" si="3">IF(AND(ISNUMBER(Q9),ISNUMBER(R9)),Q9-R9,"")</f>
        <v/>
      </c>
      <c r="T9" s="4" t="str">
        <f>IF(D9="","","红:"&amp;IF(后台计算!U3=0,"无",IF(后台计算!U3=1,"雷鸣","极限"))&amp;" 增压"&amp;TEXT(后台计算!W3,"0")&amp;" 弹药"&amp;TEXT(后台计算!X3,"0")&amp;"｜37灵光"&amp;TEXT(后台计算!AB3,"0")&amp;" 启迪"&amp;TEXT(后台计算!AC3,"0")&amp;"｜灵犀"&amp;TEXT(后台计算!AV3,"0")&amp;"｜J燃烧"&amp;TEXT(后台计算!AD3,"0")&amp;" 敌燃烧"&amp;TEXT(后台计算!AE3,"0"))</f>
        <v>红:无 增压0 弹药0｜37灵光0 启迪0｜灵犀3｜J燃烧0 敌燃烧0</v>
      </c>
      <c r="U9" s="4" t="str">
        <f>IF(D9="","",后台计算!BX3)</f>
        <v/>
      </c>
    </row>
    <row r="10" spans="1:21" ht="50.1" customHeight="1">
      <c r="A10" s="1">
        <f t="shared" si="0"/>
        <v>2</v>
      </c>
      <c r="B10" s="3">
        <v>1</v>
      </c>
      <c r="C10" s="3">
        <v>2</v>
      </c>
      <c r="D10" s="3" t="s">
        <v>154</v>
      </c>
      <c r="E10" s="3" t="s">
        <v>611</v>
      </c>
      <c r="F10" s="5"/>
      <c r="G10" s="5"/>
      <c r="H10" s="5"/>
      <c r="I10" s="5"/>
      <c r="J10" s="6" t="str">
        <f>IF(D10="","",后台计算!E4)</f>
        <v>J</v>
      </c>
      <c r="K10" s="6">
        <f>IF(D10="","",后台计算!AY4)</f>
        <v>1906</v>
      </c>
      <c r="L10" s="7">
        <f>IF(D10="","",后台计算!AZ4)</f>
        <v>0.66700000000000004</v>
      </c>
      <c r="M10" s="7">
        <f>IF(D10="","",后台计算!BA4)</f>
        <v>1.7170000000000001</v>
      </c>
      <c r="N10" s="4">
        <f>IF(D10="","",后台计算!BG4)</f>
        <v>0</v>
      </c>
      <c r="O10" s="6">
        <f>IF(D10="","",后台计算!BU4)</f>
        <v>0</v>
      </c>
      <c r="P10" s="6">
        <f>IF(D10="","",后台计算!BV4)</f>
        <v>0</v>
      </c>
      <c r="Q10" s="6" t="str">
        <f t="shared" si="1"/>
        <v/>
      </c>
      <c r="R10" s="6" t="str">
        <f t="shared" si="2"/>
        <v/>
      </c>
      <c r="S10" s="6" t="str">
        <f t="shared" si="3"/>
        <v/>
      </c>
      <c r="T10" s="4" t="str">
        <f>IF(D10="","","红:"&amp;IF(后台计算!U4=0,"无",IF(后台计算!U4=1,"雷鸣","极限"))&amp;" 增压"&amp;TEXT(后台计算!W4,"0")&amp;" 弹药"&amp;TEXT(后台计算!X4,"0")&amp;"｜37灵光"&amp;TEXT(后台计算!AB4,"0")&amp;" 启迪"&amp;TEXT(后台计算!AC4,"0")&amp;"｜灵犀"&amp;TEXT(后台计算!AV4,"0")&amp;"｜J燃烧"&amp;TEXT(后台计算!AD4,"0")&amp;" 敌燃烧"&amp;TEXT(后台计算!AE4,"0"))</f>
        <v>红:无 增压0 弹药0｜37灵光1 启迪0｜灵犀3｜J燃烧0 敌燃烧0</v>
      </c>
      <c r="U10" s="4" t="str">
        <f>IF(D10="","",后台计算!BX4)</f>
        <v/>
      </c>
    </row>
    <row r="11" spans="1:21" ht="50.1" customHeight="1">
      <c r="A11" s="1">
        <f t="shared" si="0"/>
        <v>3</v>
      </c>
      <c r="B11" s="3">
        <v>1</v>
      </c>
      <c r="C11" s="3">
        <v>3</v>
      </c>
      <c r="D11" s="3" t="s">
        <v>67</v>
      </c>
      <c r="E11" s="3" t="s">
        <v>611</v>
      </c>
      <c r="F11" s="5"/>
      <c r="G11" s="5"/>
      <c r="H11" s="5"/>
      <c r="I11" s="5"/>
      <c r="J11" s="6" t="str">
        <f>IF(D11="","",后台计算!E5)</f>
        <v>红弩箭</v>
      </c>
      <c r="K11" s="6">
        <f>IF(D11="","",后台计算!AY5)</f>
        <v>2755</v>
      </c>
      <c r="L11" s="7">
        <f>IF(D11="","",后台计算!AZ5)</f>
        <v>1</v>
      </c>
      <c r="M11" s="7">
        <f>IF(D11="","",后台计算!BA5)</f>
        <v>2.0249999999999999</v>
      </c>
      <c r="N11" s="4">
        <f>IF(D11="","",后台计算!BG5)</f>
        <v>0</v>
      </c>
      <c r="O11" s="6">
        <f>IF(D11="","",后台计算!BU5)</f>
        <v>0</v>
      </c>
      <c r="P11" s="6">
        <f>IF(D11="","",后台计算!BV5)</f>
        <v>0</v>
      </c>
      <c r="Q11" s="6" t="str">
        <f t="shared" si="1"/>
        <v/>
      </c>
      <c r="R11" s="6" t="str">
        <f t="shared" si="2"/>
        <v/>
      </c>
      <c r="S11" s="6" t="str">
        <f t="shared" si="3"/>
        <v/>
      </c>
      <c r="T11" s="4" t="str">
        <f>IF(D11="","","红:"&amp;IF(后台计算!U5=0,"无",IF(后台计算!U5=1,"雷鸣","极限"))&amp;" 增压"&amp;TEXT(后台计算!W5,"0")&amp;" 弹药"&amp;TEXT(后台计算!X5,"0")&amp;"｜37灵光"&amp;TEXT(后台计算!AB5,"0")&amp;" 启迪"&amp;TEXT(后台计算!AC5,"0")&amp;"｜灵犀"&amp;TEXT(后台计算!AV5,"0")&amp;"｜J燃烧"&amp;TEXT(后台计算!AD5,"0")&amp;" 敌燃烧"&amp;TEXT(后台计算!AE5,"0"))</f>
        <v>红:无 增压0 弹药0｜37灵光2 启迪0｜灵犀3｜J燃烧0 敌燃烧0</v>
      </c>
      <c r="U11" s="4" t="str">
        <f>IF(D11="","",后台计算!BX5)</f>
        <v/>
      </c>
    </row>
    <row r="12" spans="1:21" ht="50.1" customHeight="1">
      <c r="A12" s="1">
        <f t="shared" si="0"/>
        <v>4</v>
      </c>
      <c r="B12" s="3">
        <v>1</v>
      </c>
      <c r="C12" s="3">
        <v>4</v>
      </c>
      <c r="D12" s="3" t="s">
        <v>55</v>
      </c>
      <c r="E12" s="3" t="s">
        <v>612</v>
      </c>
      <c r="F12" s="5">
        <v>73241</v>
      </c>
      <c r="G12" s="5">
        <v>0</v>
      </c>
      <c r="H12" s="5"/>
      <c r="I12" s="5"/>
      <c r="J12" s="6" t="str">
        <f>IF(D12="","",后台计算!E6)</f>
        <v>红弩箭</v>
      </c>
      <c r="K12" s="6">
        <f>IF(D12="","",后台计算!AY6)</f>
        <v>2755</v>
      </c>
      <c r="L12" s="7">
        <f>IF(D12="","",后台计算!AZ6)</f>
        <v>1</v>
      </c>
      <c r="M12" s="7">
        <f>IF(D12="","",后台计算!BA6)</f>
        <v>2.0249999999999999</v>
      </c>
      <c r="N12" s="4">
        <f>IF(D12="","",后台计算!BG6)</f>
        <v>9</v>
      </c>
      <c r="O12" s="6">
        <f>IF(D12="","",后台计算!BU6)</f>
        <v>45071</v>
      </c>
      <c r="P12" s="6">
        <f>IF(D12="","",后台计算!BV6)</f>
        <v>73241</v>
      </c>
      <c r="Q12" s="6">
        <f t="shared" si="1"/>
        <v>73241</v>
      </c>
      <c r="R12" s="6">
        <f t="shared" si="2"/>
        <v>73241</v>
      </c>
      <c r="S12" s="6">
        <f t="shared" si="3"/>
        <v>0</v>
      </c>
      <c r="T12" s="4" t="str">
        <f>IF(D12="","","红:"&amp;IF(后台计算!U6=0,"无",IF(后台计算!U6=1,"雷鸣","极限"))&amp;" 增压"&amp;TEXT(后台计算!W6,"0")&amp;" 弹药"&amp;TEXT(后台计算!X6,"0")&amp;"｜37灵光"&amp;TEXT(后台计算!AB6,"0")&amp;" 启迪"&amp;TEXT(后台计算!AC6,"0")&amp;"｜灵犀"&amp;TEXT(后台计算!AV6,"0")&amp;"｜J燃烧"&amp;TEXT(后台计算!AD6,"0")&amp;" 敌燃烧"&amp;TEXT(后台计算!AE6,"0"))</f>
        <v>红:雷鸣 增压5 弹药6｜37灵光3 启迪0｜灵犀3｜J燃烧0 敌燃烧0</v>
      </c>
      <c r="U12" s="4" t="str">
        <f>IF(D12="","",后台计算!BX6)</f>
        <v/>
      </c>
    </row>
    <row r="13" spans="1:21" ht="50.1" customHeight="1">
      <c r="A13" s="1">
        <f t="shared" si="0"/>
        <v>5</v>
      </c>
      <c r="B13" s="3">
        <v>1</v>
      </c>
      <c r="C13" s="3">
        <v>5</v>
      </c>
      <c r="D13" s="3" t="s">
        <v>159</v>
      </c>
      <c r="E13" s="3" t="s">
        <v>613</v>
      </c>
      <c r="F13" s="5">
        <v>1231</v>
      </c>
      <c r="G13" s="5">
        <v>0</v>
      </c>
      <c r="H13" s="5"/>
      <c r="I13" s="5" t="s">
        <v>614</v>
      </c>
      <c r="J13" s="6" t="str">
        <f>IF(D13="","",后台计算!E7)</f>
        <v>J</v>
      </c>
      <c r="K13" s="6">
        <f>IF(D13="","",后台计算!AY7)</f>
        <v>1906</v>
      </c>
      <c r="L13" s="7">
        <f>IF(D13="","",后台计算!AZ7)</f>
        <v>0.66700000000000004</v>
      </c>
      <c r="M13" s="7">
        <f>IF(D13="","",后台计算!BA7)</f>
        <v>1.7170000000000001</v>
      </c>
      <c r="N13" s="4">
        <f>IF(D13="","",后台计算!BG7)</f>
        <v>3</v>
      </c>
      <c r="O13" s="6">
        <f>IF(D13="","",后台计算!BU7)</f>
        <v>1231</v>
      </c>
      <c r="P13" s="6">
        <f>IF(D13="","",后台计算!BV7)</f>
        <v>1354</v>
      </c>
      <c r="Q13" s="6">
        <f t="shared" si="1"/>
        <v>1231</v>
      </c>
      <c r="R13" s="6">
        <f t="shared" si="2"/>
        <v>1231</v>
      </c>
      <c r="S13" s="6">
        <f t="shared" si="3"/>
        <v>0</v>
      </c>
      <c r="T13" s="4" t="str">
        <f>IF(D13="","","红:"&amp;IF(后台计算!U7=0,"无",IF(后台计算!U7=1,"雷鸣","极限"))&amp;" 增压"&amp;TEXT(后台计算!W7,"0")&amp;" 弹药"&amp;TEXT(后台计算!X7,"0")&amp;"｜37灵光"&amp;TEXT(后台计算!AB7,"0")&amp;" 启迪"&amp;TEXT(后台计算!AC7,"0")&amp;"｜灵犀"&amp;TEXT(后台计算!AV7,"0")&amp;"｜J燃烧"&amp;TEXT(后台计算!AD7,"0")&amp;" 敌燃烧"&amp;TEXT(后台计算!AE7,"0"))</f>
        <v>红:雷鸣 增压7 弹药6｜37灵光4 启迪0｜灵犀5｜J燃烧0 敌燃烧0</v>
      </c>
      <c r="U13" s="4" t="str">
        <f>IF(D13="","",后台计算!BX7)</f>
        <v/>
      </c>
    </row>
    <row r="14" spans="1:21" ht="50.1" customHeight="1">
      <c r="A14" s="1">
        <f t="shared" si="0"/>
        <v>6</v>
      </c>
      <c r="B14" s="3">
        <v>1</v>
      </c>
      <c r="C14" s="3">
        <v>6</v>
      </c>
      <c r="D14" s="3" t="s">
        <v>110</v>
      </c>
      <c r="E14" s="3" t="s">
        <v>612</v>
      </c>
      <c r="F14" s="5">
        <v>4932</v>
      </c>
      <c r="G14" s="5">
        <v>3482</v>
      </c>
      <c r="H14" s="5"/>
      <c r="I14" s="5"/>
      <c r="J14" s="6" t="str">
        <f>IF(D14="","",后台计算!E8)</f>
        <v>37</v>
      </c>
      <c r="K14" s="6">
        <f>IF(D14="","",后台计算!AY8)</f>
        <v>2767</v>
      </c>
      <c r="L14" s="7">
        <f>IF(D14="","",后台计算!AZ8)</f>
        <v>0.76</v>
      </c>
      <c r="M14" s="7">
        <f>IF(D14="","",后台计算!BA8)</f>
        <v>2.198</v>
      </c>
      <c r="N14" s="4">
        <f>IF(D14="","",后台计算!BG8)</f>
        <v>3</v>
      </c>
      <c r="O14" s="6">
        <f>IF(D14="","",后台计算!BU8)</f>
        <v>4679</v>
      </c>
      <c r="P14" s="6">
        <f>IF(D14="","",后台计算!BV8)</f>
        <v>8414</v>
      </c>
      <c r="Q14" s="6">
        <f t="shared" si="1"/>
        <v>8414</v>
      </c>
      <c r="R14" s="6">
        <f t="shared" si="2"/>
        <v>8414</v>
      </c>
      <c r="S14" s="6">
        <f t="shared" si="3"/>
        <v>0</v>
      </c>
      <c r="T14" s="4" t="str">
        <f>IF(D14="","","红:"&amp;IF(后台计算!U8=0,"无",IF(后台计算!U8=1,"雷鸣","极限"))&amp;" 增压"&amp;TEXT(后台计算!W8,"0")&amp;" 弹药"&amp;TEXT(后台计算!X8,"0")&amp;"｜37灵光"&amp;TEXT(后台计算!AB8,"0")&amp;" 启迪"&amp;TEXT(后台计算!AC8,"0")&amp;"｜灵犀"&amp;TEXT(后台计算!AV8,"0")&amp;"｜J燃烧"&amp;TEXT(后台计算!AD8,"0")&amp;" 敌燃烧"&amp;TEXT(后台计算!AE8,"0"))</f>
        <v>红:雷鸣 增压10 弹药6｜37灵光5 启迪0｜灵犀5｜J燃烧2 敌燃烧2</v>
      </c>
      <c r="U14" s="4" t="str">
        <f>IF(D14="","",后台计算!BX8)</f>
        <v/>
      </c>
    </row>
    <row r="15" spans="1:21" ht="50.1" customHeight="1">
      <c r="A15" s="1">
        <f t="shared" si="0"/>
        <v>7</v>
      </c>
      <c r="B15" s="3">
        <v>1</v>
      </c>
      <c r="C15" s="3">
        <v>7</v>
      </c>
      <c r="D15" s="3" t="s">
        <v>159</v>
      </c>
      <c r="E15" s="3" t="s">
        <v>612</v>
      </c>
      <c r="F15" s="5">
        <v>1474</v>
      </c>
      <c r="G15" s="5">
        <v>0</v>
      </c>
      <c r="H15" s="5"/>
      <c r="I15" s="5"/>
      <c r="J15" s="6" t="str">
        <f>IF(D15="","",后台计算!E9)</f>
        <v>J</v>
      </c>
      <c r="K15" s="6">
        <f>IF(D15="","",后台计算!AY9)</f>
        <v>1944</v>
      </c>
      <c r="L15" s="7">
        <f>IF(D15="","",后台计算!AZ9)</f>
        <v>0.66700000000000004</v>
      </c>
      <c r="M15" s="7">
        <f>IF(D15="","",后台计算!BA9)</f>
        <v>1.7170000000000001</v>
      </c>
      <c r="N15" s="4">
        <f>IF(D15="","",后台计算!BG9)</f>
        <v>3.1</v>
      </c>
      <c r="O15" s="6">
        <f>IF(D15="","",后台计算!BU9)</f>
        <v>1340</v>
      </c>
      <c r="P15" s="6">
        <f>IF(D15="","",后台计算!BV9)</f>
        <v>1474</v>
      </c>
      <c r="Q15" s="6">
        <f t="shared" si="1"/>
        <v>1474</v>
      </c>
      <c r="R15" s="6">
        <f t="shared" si="2"/>
        <v>1474</v>
      </c>
      <c r="S15" s="6">
        <f t="shared" si="3"/>
        <v>0</v>
      </c>
      <c r="T15" s="4" t="str">
        <f>IF(D15="","","红:"&amp;IF(后台计算!U9=0,"无",IF(后台计算!U9=1,"雷鸣","极限"))&amp;" 增压"&amp;TEXT(后台计算!W9,"0")&amp;" 弹药"&amp;TEXT(后台计算!X9,"0")&amp;"｜37灵光"&amp;TEXT(后台计算!AB9,"0")&amp;" 启迪"&amp;TEXT(后台计算!AC9,"0")&amp;"｜灵犀"&amp;TEXT(后台计算!AV9,"0")&amp;"｜J燃烧"&amp;TEXT(后台计算!AD9,"0")&amp;" 敌燃烧"&amp;TEXT(后台计算!AE9,"0"))</f>
        <v>红:雷鸣 增压10 弹药6｜37灵光0 启迪0｜灵犀5｜J燃烧2 敌燃烧2</v>
      </c>
      <c r="U15" s="4" t="str">
        <f>IF(D15="","",后台计算!BX9)</f>
        <v/>
      </c>
    </row>
    <row r="16" spans="1:21" ht="50.1" customHeight="1">
      <c r="A16" s="1">
        <f t="shared" si="0"/>
        <v>8</v>
      </c>
      <c r="B16" s="3">
        <v>1</v>
      </c>
      <c r="C16" s="3">
        <v>8</v>
      </c>
      <c r="D16" s="3" t="s">
        <v>159</v>
      </c>
      <c r="E16" s="3" t="s">
        <v>613</v>
      </c>
      <c r="F16" s="5">
        <v>1745</v>
      </c>
      <c r="G16" s="5">
        <v>0</v>
      </c>
      <c r="H16" s="5"/>
      <c r="I16" s="5"/>
      <c r="J16" s="6" t="str">
        <f>IF(D16="","",后台计算!E10)</f>
        <v>J</v>
      </c>
      <c r="K16" s="6">
        <f>IF(D16="","",后台计算!AY10)</f>
        <v>1982</v>
      </c>
      <c r="L16" s="7">
        <f>IF(D16="","",后台计算!AZ10)</f>
        <v>0.66700000000000004</v>
      </c>
      <c r="M16" s="7">
        <f>IF(D16="","",后台计算!BA10)</f>
        <v>1.7170000000000001</v>
      </c>
      <c r="N16" s="4">
        <f>IF(D16="","",后台计算!BG10)</f>
        <v>3.2</v>
      </c>
      <c r="O16" s="6">
        <f>IF(D16="","",后台计算!BU10)</f>
        <v>1745</v>
      </c>
      <c r="P16" s="6">
        <f>IF(D16="","",后台计算!BV10)</f>
        <v>1919</v>
      </c>
      <c r="Q16" s="6">
        <f t="shared" si="1"/>
        <v>1745</v>
      </c>
      <c r="R16" s="6">
        <f t="shared" si="2"/>
        <v>1745</v>
      </c>
      <c r="S16" s="6">
        <f t="shared" si="3"/>
        <v>0</v>
      </c>
      <c r="T16" s="4" t="str">
        <f>IF(D16="","","红:"&amp;IF(后台计算!U10=0,"无",IF(后台计算!U10=1,"雷鸣","极限"))&amp;" 增压"&amp;TEXT(后台计算!W10,"0")&amp;" 弹药"&amp;TEXT(后台计算!X10,"0")&amp;"｜37灵光"&amp;TEXT(后台计算!AB10,"0")&amp;" 启迪"&amp;TEXT(后台计算!AC10,"0")&amp;"｜灵犀"&amp;TEXT(后台计算!AV10,"0")&amp;"｜J燃烧"&amp;TEXT(后台计算!AD10,"0")&amp;" 敌燃烧"&amp;TEXT(后台计算!AE10,"0"))</f>
        <v>红:雷鸣 增压10 弹药6｜37灵光1 启迪0｜灵犀5｜J燃烧4 敌燃烧4</v>
      </c>
      <c r="U16" s="4" t="str">
        <f>IF(D16="","",后台计算!BX10)</f>
        <v/>
      </c>
    </row>
    <row r="17" spans="1:21" ht="50.1" customHeight="1">
      <c r="A17" s="1">
        <f t="shared" si="0"/>
        <v>9</v>
      </c>
      <c r="B17" s="3">
        <v>1</v>
      </c>
      <c r="C17" s="3">
        <v>9</v>
      </c>
      <c r="D17" s="3" t="s">
        <v>159</v>
      </c>
      <c r="E17" s="3" t="s">
        <v>612</v>
      </c>
      <c r="F17" s="5">
        <v>2076</v>
      </c>
      <c r="G17" s="5">
        <v>0</v>
      </c>
      <c r="H17" s="5"/>
      <c r="I17" s="5"/>
      <c r="J17" s="6" t="str">
        <f>IF(D17="","",后台计算!E11)</f>
        <v>J</v>
      </c>
      <c r="K17" s="6">
        <f>IF(D17="","",后台计算!AY11)</f>
        <v>2020</v>
      </c>
      <c r="L17" s="7">
        <f>IF(D17="","",后台计算!AZ11)</f>
        <v>0.66700000000000004</v>
      </c>
      <c r="M17" s="7">
        <f>IF(D17="","",后台计算!BA11)</f>
        <v>1.7170000000000001</v>
      </c>
      <c r="N17" s="4">
        <f>IF(D17="","",后台计算!BG11)</f>
        <v>3.3</v>
      </c>
      <c r="O17" s="6">
        <f>IF(D17="","",后台计算!BU11)</f>
        <v>1887</v>
      </c>
      <c r="P17" s="6">
        <f>IF(D17="","",后台计算!BV11)</f>
        <v>2076</v>
      </c>
      <c r="Q17" s="6">
        <f t="shared" si="1"/>
        <v>2076</v>
      </c>
      <c r="R17" s="6">
        <f t="shared" si="2"/>
        <v>2076</v>
      </c>
      <c r="S17" s="6">
        <f t="shared" si="3"/>
        <v>0</v>
      </c>
      <c r="T17" s="4" t="str">
        <f>IF(D17="","","红:"&amp;IF(后台计算!U11=0,"无",IF(后台计算!U11=1,"雷鸣","极限"))&amp;" 增压"&amp;TEXT(后台计算!W11,"0")&amp;" 弹药"&amp;TEXT(后台计算!X11,"0")&amp;"｜37灵光"&amp;TEXT(后台计算!AB11,"0")&amp;" 启迪"&amp;TEXT(后台计算!AC11,"0")&amp;"｜灵犀"&amp;TEXT(后台计算!AV11,"0")&amp;"｜J燃烧"&amp;TEXT(后台计算!AD11,"0")&amp;" 敌燃烧"&amp;TEXT(后台计算!AE11,"0"))</f>
        <v>红:雷鸣 增压10 弹药6｜37灵光2 启迪0｜灵犀5｜J燃烧6 敌燃烧6</v>
      </c>
      <c r="U17" s="4" t="str">
        <f>IF(D17="","",后台计算!BX11)</f>
        <v/>
      </c>
    </row>
    <row r="18" spans="1:21" ht="50.1" customHeight="1">
      <c r="A18" s="1">
        <f t="shared" si="0"/>
        <v>10</v>
      </c>
      <c r="B18" s="3">
        <v>2</v>
      </c>
      <c r="C18" s="3">
        <v>1</v>
      </c>
      <c r="D18" s="3" t="s">
        <v>137</v>
      </c>
      <c r="E18" s="3" t="s">
        <v>611</v>
      </c>
      <c r="F18" s="5"/>
      <c r="G18" s="5"/>
      <c r="H18" s="5"/>
      <c r="I18" s="5"/>
      <c r="J18" s="6" t="str">
        <f>IF(D18="","",后台计算!E12)</f>
        <v>小瑞安侬</v>
      </c>
      <c r="K18" s="6">
        <f>IF(D18="","",后台计算!AY12)</f>
        <v>2986</v>
      </c>
      <c r="L18" s="7">
        <f>IF(D18="","",后台计算!AZ12)</f>
        <v>0.55499999999999994</v>
      </c>
      <c r="M18" s="7">
        <f>IF(D18="","",后台计算!BA12)</f>
        <v>1.55</v>
      </c>
      <c r="N18" s="4">
        <f>IF(D18="","",后台计算!BG12)</f>
        <v>0</v>
      </c>
      <c r="O18" s="6">
        <f>IF(D18="","",后台计算!BU12)</f>
        <v>0</v>
      </c>
      <c r="P18" s="6">
        <f>IF(D18="","",后台计算!BV12)</f>
        <v>0</v>
      </c>
      <c r="Q18" s="6" t="str">
        <f t="shared" si="1"/>
        <v/>
      </c>
      <c r="R18" s="6" t="str">
        <f t="shared" si="2"/>
        <v/>
      </c>
      <c r="S18" s="6" t="str">
        <f t="shared" si="3"/>
        <v/>
      </c>
      <c r="T18" s="4" t="str">
        <f>IF(D18="","","红:"&amp;IF(后台计算!U12=0,"无",IF(后台计算!U12=1,"雷鸣","极限"))&amp;" 增压"&amp;TEXT(后台计算!W12,"0")&amp;" 弹药"&amp;TEXT(后台计算!X12,"0")&amp;"｜37灵光"&amp;TEXT(后台计算!AB12,"0")&amp;" 启迪"&amp;TEXT(后台计算!AC12,"0")&amp;"｜灵犀"&amp;TEXT(后台计算!AV12,"0")&amp;"｜J燃烧"&amp;TEXT(后台计算!AD12,"0")&amp;" 敌燃烧"&amp;TEXT(后台计算!AE12,"0"))</f>
        <v>红:极限 增压10 弹药6｜37灵光3 启迪0｜灵犀5｜J燃烧8 敌燃烧4</v>
      </c>
      <c r="U18" s="4" t="str">
        <f>IF(D18="","",后台计算!BX12)</f>
        <v/>
      </c>
    </row>
    <row r="19" spans="1:21" ht="50.1" customHeight="1">
      <c r="A19" s="1">
        <f t="shared" si="0"/>
        <v>11</v>
      </c>
      <c r="B19" s="3">
        <v>2</v>
      </c>
      <c r="C19" s="3">
        <v>2</v>
      </c>
      <c r="D19" s="3" t="s">
        <v>154</v>
      </c>
      <c r="E19" s="3" t="s">
        <v>611</v>
      </c>
      <c r="F19" s="5"/>
      <c r="G19" s="5"/>
      <c r="H19" s="5"/>
      <c r="I19" s="5"/>
      <c r="J19" s="6" t="str">
        <f>IF(D19="","",后台计算!E13)</f>
        <v>J</v>
      </c>
      <c r="K19" s="6">
        <f>IF(D19="","",后台计算!AY13)</f>
        <v>2296</v>
      </c>
      <c r="L19" s="7">
        <f>IF(D19="","",后台计算!AZ13)</f>
        <v>0.66700000000000004</v>
      </c>
      <c r="M19" s="7">
        <f>IF(D19="","",后台计算!BA13)</f>
        <v>1.897</v>
      </c>
      <c r="N19" s="4">
        <f>IF(D19="","",后台计算!BG13)</f>
        <v>0</v>
      </c>
      <c r="O19" s="6">
        <f>IF(D19="","",后台计算!BU13)</f>
        <v>0</v>
      </c>
      <c r="P19" s="6">
        <f>IF(D19="","",后台计算!BV13)</f>
        <v>0</v>
      </c>
      <c r="Q19" s="6" t="str">
        <f t="shared" si="1"/>
        <v/>
      </c>
      <c r="R19" s="6" t="str">
        <f t="shared" si="2"/>
        <v/>
      </c>
      <c r="S19" s="6" t="str">
        <f t="shared" si="3"/>
        <v/>
      </c>
      <c r="T19" s="4" t="str">
        <f>IF(D19="","","红:"&amp;IF(后台计算!U13=0,"无",IF(后台计算!U13=1,"雷鸣","极限"))&amp;" 增压"&amp;TEXT(后台计算!W13,"0")&amp;" 弹药"&amp;TEXT(后台计算!X13,"0")&amp;"｜37灵光"&amp;TEXT(后台计算!AB13,"0")&amp;" 启迪"&amp;TEXT(后台计算!AC13,"0")&amp;"｜灵犀"&amp;TEXT(后台计算!AV13,"0")&amp;"｜J燃烧"&amp;TEXT(后台计算!AD13,"0")&amp;" 敌燃烧"&amp;TEXT(后台计算!AE13,"0"))</f>
        <v>红:极限 增压10 弹药6｜37灵光4 启迪0｜灵犀5｜J燃烧8 敌燃烧4</v>
      </c>
      <c r="U19" s="4" t="str">
        <f>IF(D19="","",后台计算!BX13)</f>
        <v/>
      </c>
    </row>
    <row r="20" spans="1:21" ht="50.1" customHeight="1">
      <c r="A20" s="1">
        <f t="shared" si="0"/>
        <v>12</v>
      </c>
      <c r="B20" s="3">
        <v>2</v>
      </c>
      <c r="C20" s="3">
        <v>3</v>
      </c>
      <c r="D20" s="3" t="s">
        <v>110</v>
      </c>
      <c r="E20" s="3" t="s">
        <v>612</v>
      </c>
      <c r="F20" s="5">
        <v>6371</v>
      </c>
      <c r="G20" s="5">
        <v>4160</v>
      </c>
      <c r="H20" s="5"/>
      <c r="I20" s="5"/>
      <c r="J20" s="6" t="str">
        <f>IF(D20="","",后台计算!E14)</f>
        <v>37</v>
      </c>
      <c r="K20" s="6">
        <f>IF(D20="","",后台计算!AY14)</f>
        <v>3005</v>
      </c>
      <c r="L20" s="7">
        <f>IF(D20="","",后台计算!AZ14)</f>
        <v>0.76</v>
      </c>
      <c r="M20" s="7">
        <f>IF(D20="","",后台计算!BA14)</f>
        <v>2.3780000000000001</v>
      </c>
      <c r="N20" s="4">
        <f>IF(D20="","",后台计算!BG14)</f>
        <v>3</v>
      </c>
      <c r="O20" s="6">
        <f>IF(D20="","",后台计算!BU14)</f>
        <v>5324</v>
      </c>
      <c r="P20" s="6">
        <f>IF(D20="","",后台计算!BV14)</f>
        <v>10531</v>
      </c>
      <c r="Q20" s="6">
        <f t="shared" si="1"/>
        <v>10531</v>
      </c>
      <c r="R20" s="6">
        <f t="shared" si="2"/>
        <v>10531</v>
      </c>
      <c r="S20" s="6">
        <f t="shared" si="3"/>
        <v>0</v>
      </c>
      <c r="T20" s="4" t="str">
        <f>IF(D20="","","红:"&amp;IF(后台计算!U14=0,"无",IF(后台计算!U14=1,"雷鸣","极限"))&amp;" 增压"&amp;TEXT(后台计算!W14,"0")&amp;" 弹药"&amp;TEXT(后台计算!X14,"0")&amp;"｜37灵光"&amp;TEXT(后台计算!AB14,"0")&amp;" 启迪"&amp;TEXT(后台计算!AC14,"0")&amp;"｜灵犀"&amp;TEXT(后台计算!AV14,"0")&amp;"｜J燃烧"&amp;TEXT(后台计算!AD14,"0")&amp;" 敌燃烧"&amp;TEXT(后台计算!AE14,"0"))</f>
        <v>红:极限 增压10 弹药6｜37灵光5 启迪0｜灵犀5｜J燃烧8 敌燃烧4</v>
      </c>
      <c r="U20" s="4" t="str">
        <f>IF(D20="","",后台计算!BX14)</f>
        <v/>
      </c>
    </row>
    <row r="21" spans="1:21" ht="50.1" customHeight="1">
      <c r="A21" s="1">
        <f t="shared" si="0"/>
        <v>13</v>
      </c>
      <c r="B21" s="3">
        <v>2</v>
      </c>
      <c r="C21" s="3">
        <v>4</v>
      </c>
      <c r="D21" s="3" t="s">
        <v>101</v>
      </c>
      <c r="E21" s="3" t="s">
        <v>613</v>
      </c>
      <c r="F21" s="5">
        <v>1878</v>
      </c>
      <c r="G21" s="5">
        <v>2043</v>
      </c>
      <c r="H21" s="5"/>
      <c r="I21" s="5"/>
      <c r="J21" s="6" t="str">
        <f>IF(D21="","",后台计算!E15)</f>
        <v>37</v>
      </c>
      <c r="K21" s="6">
        <f>IF(D21="","",后台计算!AY15)</f>
        <v>3005</v>
      </c>
      <c r="L21" s="7">
        <f>IF(D21="","",后台计算!AZ15)</f>
        <v>0.76</v>
      </c>
      <c r="M21" s="7">
        <f>IF(D21="","",后台计算!BA15)</f>
        <v>2.3780000000000001</v>
      </c>
      <c r="N21" s="4">
        <f>IF(D21="","",后台计算!BG15)</f>
        <v>1.4</v>
      </c>
      <c r="O21" s="6">
        <f>IF(D21="","",后台计算!BU15)</f>
        <v>3921</v>
      </c>
      <c r="P21" s="6">
        <f>IF(D21="","",后台计算!BV15)</f>
        <v>7757</v>
      </c>
      <c r="Q21" s="6">
        <f t="shared" si="1"/>
        <v>3921</v>
      </c>
      <c r="R21" s="6">
        <f t="shared" si="2"/>
        <v>3921</v>
      </c>
      <c r="S21" s="6">
        <f t="shared" si="3"/>
        <v>0</v>
      </c>
      <c r="T21" s="4" t="str">
        <f>IF(D21="","","红:"&amp;IF(后台计算!U15=0,"无",IF(后台计算!U15=1,"雷鸣","极限"))&amp;" 增压"&amp;TEXT(后台计算!W15,"0")&amp;" 弹药"&amp;TEXT(后台计算!X15,"0")&amp;"｜37灵光"&amp;TEXT(后台计算!AB15,"0")&amp;" 启迪"&amp;TEXT(后台计算!AC15,"0")&amp;"｜灵犀"&amp;TEXT(后台计算!AV15,"0")&amp;"｜J燃烧"&amp;TEXT(后台计算!AD15,"0")&amp;" 敌燃烧"&amp;TEXT(后台计算!AE15,"0"))</f>
        <v>红:极限 增压10 弹药6｜37灵光0 启迪0｜灵犀5｜J燃烧8 敌燃烧4</v>
      </c>
      <c r="U21" s="4" t="str">
        <f>IF(D21="","",后台计算!BX15)</f>
        <v/>
      </c>
    </row>
    <row r="22" spans="1:21" ht="50.1" customHeight="1">
      <c r="A22" s="1">
        <f t="shared" si="0"/>
        <v>14</v>
      </c>
      <c r="B22" s="3">
        <v>2</v>
      </c>
      <c r="C22" s="3">
        <v>5</v>
      </c>
      <c r="D22" s="3" t="s">
        <v>91</v>
      </c>
      <c r="E22" s="3" t="s">
        <v>612</v>
      </c>
      <c r="F22" s="5">
        <v>8919</v>
      </c>
      <c r="G22" s="5">
        <v>4755</v>
      </c>
      <c r="H22" s="5"/>
      <c r="I22" s="5"/>
      <c r="J22" s="6" t="str">
        <f>IF(D22="","",后台计算!E16)</f>
        <v>37</v>
      </c>
      <c r="K22" s="6">
        <f>IF(D22="","",后台计算!AY16)</f>
        <v>3005</v>
      </c>
      <c r="L22" s="7">
        <f>IF(D22="","",后台计算!AZ16)</f>
        <v>0.76</v>
      </c>
      <c r="M22" s="7">
        <f>IF(D22="","",后台计算!BA16)</f>
        <v>2.3780000000000001</v>
      </c>
      <c r="N22" s="4">
        <f>IF(D22="","",后台计算!BG16)</f>
        <v>2.8</v>
      </c>
      <c r="O22" s="6">
        <f>IF(D22="","",后台计算!BU16)</f>
        <v>6913</v>
      </c>
      <c r="P22" s="6">
        <f>IF(D22="","",后台计算!BV16)</f>
        <v>13674</v>
      </c>
      <c r="Q22" s="6">
        <f t="shared" si="1"/>
        <v>13674</v>
      </c>
      <c r="R22" s="6">
        <f t="shared" si="2"/>
        <v>13674</v>
      </c>
      <c r="S22" s="6">
        <f t="shared" si="3"/>
        <v>0</v>
      </c>
      <c r="T22" s="4" t="str">
        <f>IF(D22="","","红:"&amp;IF(后台计算!U16=0,"无",IF(后台计算!U16=1,"雷鸣","极限"))&amp;" 增压"&amp;TEXT(后台计算!W16,"0")&amp;" 弹药"&amp;TEXT(后台计算!X16,"0")&amp;"｜37灵光"&amp;TEXT(后台计算!AB16,"0")&amp;" 启迪"&amp;TEXT(后台计算!AC16,"0")&amp;"｜灵犀"&amp;TEXT(后台计算!AV16,"0")&amp;"｜J燃烧"&amp;TEXT(后台计算!AD16,"0")&amp;" 敌燃烧"&amp;TEXT(后台计算!AE16,"0"))</f>
        <v>红:极限 增压10 弹药6｜37灵光1 启迪0｜灵犀5｜J燃烧8 敌燃烧4</v>
      </c>
      <c r="U22" s="4" t="str">
        <f>IF(D22="","",后台计算!BX16)</f>
        <v/>
      </c>
    </row>
    <row r="23" spans="1:21" ht="50.1" customHeight="1">
      <c r="A23" s="1">
        <f t="shared" si="0"/>
        <v>15</v>
      </c>
      <c r="B23" s="3">
        <v>2</v>
      </c>
      <c r="C23" s="3">
        <v>6</v>
      </c>
      <c r="D23" s="3" t="s">
        <v>159</v>
      </c>
      <c r="E23" s="3" t="s">
        <v>612</v>
      </c>
      <c r="F23" s="5">
        <v>2290</v>
      </c>
      <c r="G23" s="5">
        <v>0</v>
      </c>
      <c r="H23" s="5"/>
      <c r="I23" s="5" t="s">
        <v>614</v>
      </c>
      <c r="J23" s="6" t="str">
        <f>IF(D23="","",后台计算!E17)</f>
        <v>J</v>
      </c>
      <c r="K23" s="6">
        <f>IF(D23="","",后台计算!AY17)</f>
        <v>2296</v>
      </c>
      <c r="L23" s="7">
        <f>IF(D23="","",后台计算!AZ17)</f>
        <v>0.66700000000000004</v>
      </c>
      <c r="M23" s="7">
        <f>IF(D23="","",后台计算!BA17)</f>
        <v>1.897</v>
      </c>
      <c r="N23" s="4">
        <f>IF(D23="","",后台计算!BG17)</f>
        <v>3.4</v>
      </c>
      <c r="O23" s="6">
        <f>IF(D23="","",后台计算!BU17)</f>
        <v>2082</v>
      </c>
      <c r="P23" s="6">
        <f>IF(D23="","",后台计算!BV17)</f>
        <v>2290</v>
      </c>
      <c r="Q23" s="6">
        <f t="shared" si="1"/>
        <v>2290</v>
      </c>
      <c r="R23" s="6">
        <f t="shared" si="2"/>
        <v>2290</v>
      </c>
      <c r="S23" s="6">
        <f t="shared" si="3"/>
        <v>0</v>
      </c>
      <c r="T23" s="4" t="str">
        <f>IF(D23="","","红:"&amp;IF(后台计算!U17=0,"无",IF(后台计算!U17=1,"雷鸣","极限"))&amp;" 增压"&amp;TEXT(后台计算!W17,"0")&amp;" 弹药"&amp;TEXT(后台计算!X17,"0")&amp;"｜37灵光"&amp;TEXT(后台计算!AB17,"0")&amp;" 启迪"&amp;TEXT(后台计算!AC17,"0")&amp;"｜灵犀"&amp;TEXT(后台计算!AV17,"0")&amp;"｜J燃烧"&amp;TEXT(后台计算!AD17,"0")&amp;" 敌燃烧"&amp;TEXT(后台计算!AE17,"0"))</f>
        <v>红:极限 增压10 弹药6｜37灵光2 启迪1｜灵犀5｜J燃烧8 敌燃烧4</v>
      </c>
      <c r="U23" s="4" t="str">
        <f>IF(D23="","",后台计算!BX17)</f>
        <v/>
      </c>
    </row>
    <row r="24" spans="1:21" ht="50.1" customHeight="1">
      <c r="A24" s="1">
        <f t="shared" si="0"/>
        <v>16</v>
      </c>
      <c r="B24" s="3">
        <v>2</v>
      </c>
      <c r="C24" s="3">
        <v>7</v>
      </c>
      <c r="D24" s="3" t="s">
        <v>159</v>
      </c>
      <c r="E24" s="3" t="s">
        <v>613</v>
      </c>
      <c r="F24" s="5">
        <v>2661</v>
      </c>
      <c r="G24" s="5">
        <v>0</v>
      </c>
      <c r="H24" s="5"/>
      <c r="I24" s="5"/>
      <c r="J24" s="6" t="str">
        <f>IF(D24="","",后台计算!E18)</f>
        <v>J</v>
      </c>
      <c r="K24" s="6">
        <f>IF(D24="","",后台计算!AY18)</f>
        <v>2334</v>
      </c>
      <c r="L24" s="7">
        <f>IF(D24="","",后台计算!AZ18)</f>
        <v>0.66700000000000004</v>
      </c>
      <c r="M24" s="7">
        <f>IF(D24="","",后台计算!BA18)</f>
        <v>1.897</v>
      </c>
      <c r="N24" s="4">
        <f>IF(D24="","",后台计算!BG18)</f>
        <v>3.5</v>
      </c>
      <c r="O24" s="6">
        <f>IF(D24="","",后台计算!BU18)</f>
        <v>2661</v>
      </c>
      <c r="P24" s="6">
        <f>IF(D24="","",后台计算!BV18)</f>
        <v>2927</v>
      </c>
      <c r="Q24" s="6">
        <f t="shared" si="1"/>
        <v>2661</v>
      </c>
      <c r="R24" s="6">
        <f t="shared" si="2"/>
        <v>2661</v>
      </c>
      <c r="S24" s="6">
        <f t="shared" si="3"/>
        <v>0</v>
      </c>
      <c r="T24" s="4" t="str">
        <f>IF(D24="","","红:"&amp;IF(后台计算!U18=0,"无",IF(后台计算!U18=1,"雷鸣","极限"))&amp;" 增压"&amp;TEXT(后台计算!W18,"0")&amp;" 弹药"&amp;TEXT(后台计算!X18,"0")&amp;"｜37灵光"&amp;TEXT(后台计算!AB18,"0")&amp;" 启迪"&amp;TEXT(后台计算!AC18,"0")&amp;"｜灵犀"&amp;TEXT(后台计算!AV18,"0")&amp;"｜J燃烧"&amp;TEXT(后台计算!AD18,"0")&amp;" 敌燃烧"&amp;TEXT(后台计算!AE18,"0"))</f>
        <v>红:极限 增压10 弹药6｜37灵光3 启迪1｜灵犀5｜J燃烧10 敌燃烧6</v>
      </c>
      <c r="U24" s="4" t="str">
        <f>IF(D24="","",后台计算!BX18)</f>
        <v/>
      </c>
    </row>
    <row r="25" spans="1:21" ht="50.1" customHeight="1">
      <c r="A25" s="1">
        <f t="shared" si="0"/>
        <v>17</v>
      </c>
      <c r="B25" s="3">
        <v>2</v>
      </c>
      <c r="C25" s="3">
        <v>8</v>
      </c>
      <c r="D25" s="3" t="s">
        <v>159</v>
      </c>
      <c r="E25" s="3" t="s">
        <v>612</v>
      </c>
      <c r="F25" s="5">
        <v>3111</v>
      </c>
      <c r="G25" s="5">
        <v>0</v>
      </c>
      <c r="H25" s="5"/>
      <c r="I25" s="5"/>
      <c r="J25" s="6" t="str">
        <f>IF(D25="","",后台计算!E19)</f>
        <v>J</v>
      </c>
      <c r="K25" s="6">
        <f>IF(D25="","",后台计算!AY19)</f>
        <v>2372</v>
      </c>
      <c r="L25" s="7">
        <f>IF(D25="","",后台计算!AZ19)</f>
        <v>0.66700000000000004</v>
      </c>
      <c r="M25" s="7">
        <f>IF(D25="","",后台计算!BA19)</f>
        <v>1.897</v>
      </c>
      <c r="N25" s="4">
        <f>IF(D25="","",后台计算!BG19)</f>
        <v>3.6</v>
      </c>
      <c r="O25" s="6">
        <f>IF(D25="","",后台计算!BU19)</f>
        <v>2828</v>
      </c>
      <c r="P25" s="6">
        <f>IF(D25="","",后台计算!BV19)</f>
        <v>3111</v>
      </c>
      <c r="Q25" s="6">
        <f t="shared" si="1"/>
        <v>3111</v>
      </c>
      <c r="R25" s="6">
        <f t="shared" si="2"/>
        <v>3111</v>
      </c>
      <c r="S25" s="6">
        <f t="shared" si="3"/>
        <v>0</v>
      </c>
      <c r="T25" s="4" t="str">
        <f>IF(D25="","","红:"&amp;IF(后台计算!U19=0,"无",IF(后台计算!U19=1,"雷鸣","极限"))&amp;" 增压"&amp;TEXT(后台计算!W19,"0")&amp;" 弹药"&amp;TEXT(后台计算!X19,"0")&amp;"｜37灵光"&amp;TEXT(后台计算!AB19,"0")&amp;" 启迪"&amp;TEXT(后台计算!AC19,"0")&amp;"｜灵犀"&amp;TEXT(后台计算!AV19,"0")&amp;"｜J燃烧"&amp;TEXT(后台计算!AD19,"0")&amp;" 敌燃烧"&amp;TEXT(后台计算!AE19,"0"))</f>
        <v>红:极限 增压10 弹药6｜37灵光4 启迪1｜灵犀5｜J燃烧12 敌燃烧8</v>
      </c>
      <c r="U25" s="4" t="str">
        <f>IF(D25="","",后台计算!BX19)</f>
        <v/>
      </c>
    </row>
    <row r="26" spans="1:21" ht="50.1" customHeight="1">
      <c r="A26" s="1">
        <f t="shared" si="0"/>
        <v>18</v>
      </c>
      <c r="B26" s="3">
        <v>2</v>
      </c>
      <c r="C26" s="3">
        <v>9</v>
      </c>
      <c r="D26" s="3" t="s">
        <v>110</v>
      </c>
      <c r="E26" s="3" t="s">
        <v>612</v>
      </c>
      <c r="F26" s="5">
        <v>5835</v>
      </c>
      <c r="G26" s="5">
        <v>10104</v>
      </c>
      <c r="H26" s="5"/>
      <c r="I26" s="5"/>
      <c r="J26" s="6" t="str">
        <f>IF(D26="","",后台计算!E20)</f>
        <v>37</v>
      </c>
      <c r="K26" s="6">
        <f>IF(D26="","",后台计算!AY20)</f>
        <v>3005</v>
      </c>
      <c r="L26" s="7">
        <f>IF(D26="","",后台计算!AZ20)</f>
        <v>0.76</v>
      </c>
      <c r="M26" s="7">
        <f>IF(D26="","",后台计算!BA20)</f>
        <v>2.3780000000000001</v>
      </c>
      <c r="N26" s="4">
        <f>IF(D26="","",后台计算!BG20)</f>
        <v>3</v>
      </c>
      <c r="O26" s="6">
        <f>IF(D26="","",后台计算!BU20)</f>
        <v>8058</v>
      </c>
      <c r="P26" s="6">
        <f>IF(D26="","",后台计算!BV20)</f>
        <v>15939</v>
      </c>
      <c r="Q26" s="6">
        <f t="shared" si="1"/>
        <v>15939</v>
      </c>
      <c r="R26" s="6">
        <f t="shared" si="2"/>
        <v>15939</v>
      </c>
      <c r="S26" s="6">
        <f t="shared" si="3"/>
        <v>0</v>
      </c>
      <c r="T26" s="4" t="str">
        <f>IF(D26="","","红:"&amp;IF(后台计算!U20=0,"无",IF(后台计算!U20=1,"雷鸣","极限"))&amp;" 增压"&amp;TEXT(后台计算!W20,"0")&amp;" 弹药"&amp;TEXT(后台计算!X20,"0")&amp;"｜37灵光"&amp;TEXT(后台计算!AB20,"0")&amp;" 启迪"&amp;TEXT(后台计算!AC20,"0")&amp;"｜灵犀"&amp;TEXT(后台计算!AV20,"0")&amp;"｜J燃烧"&amp;TEXT(后台计算!AD20,"0")&amp;" 敌燃烧"&amp;TEXT(后台计算!AE20,"0"))</f>
        <v>红:极限 增压10 弹药6｜37灵光5 启迪1｜灵犀5｜J燃烧14 敌燃烧10</v>
      </c>
      <c r="U26" s="4" t="str">
        <f>IF(D26="","",后台计算!BX20)</f>
        <v/>
      </c>
    </row>
    <row r="27" spans="1:21" ht="50.1" customHeight="1">
      <c r="A27" s="1">
        <f t="shared" si="0"/>
        <v>19</v>
      </c>
      <c r="B27" s="3">
        <v>2</v>
      </c>
      <c r="C27" s="3">
        <v>10</v>
      </c>
      <c r="D27" s="3" t="s">
        <v>159</v>
      </c>
      <c r="E27" s="3" t="s">
        <v>613</v>
      </c>
      <c r="F27" s="5">
        <v>2501</v>
      </c>
      <c r="G27" s="5">
        <v>0</v>
      </c>
      <c r="H27" s="5"/>
      <c r="I27" s="5"/>
      <c r="J27" s="6" t="str">
        <f>IF(D27="","",后台计算!E21)</f>
        <v>J</v>
      </c>
      <c r="K27" s="6">
        <f>IF(D27="","",后台计算!AY21)</f>
        <v>2410</v>
      </c>
      <c r="L27" s="7">
        <f>IF(D27="","",后台计算!AZ21)</f>
        <v>0.66700000000000004</v>
      </c>
      <c r="M27" s="7">
        <f>IF(D27="","",后台计算!BA21)</f>
        <v>1.897</v>
      </c>
      <c r="N27" s="4">
        <f>IF(D27="","",后台计算!BG21)</f>
        <v>3.7</v>
      </c>
      <c r="O27" s="6">
        <f>IF(D27="","",后台计算!BU21)</f>
        <v>2501</v>
      </c>
      <c r="P27" s="6">
        <f>IF(D27="","",后台计算!BV21)</f>
        <v>2751</v>
      </c>
      <c r="Q27" s="6">
        <f t="shared" si="1"/>
        <v>2501</v>
      </c>
      <c r="R27" s="6">
        <f t="shared" si="2"/>
        <v>2501</v>
      </c>
      <c r="S27" s="6">
        <f t="shared" si="3"/>
        <v>0</v>
      </c>
      <c r="T27" s="4" t="str">
        <f>IF(D27="","","红:"&amp;IF(后台计算!U21=0,"无",IF(后台计算!U21=1,"雷鸣","极限"))&amp;" 增压"&amp;TEXT(后台计算!W21,"0")&amp;" 弹药"&amp;TEXT(后台计算!X21,"0")&amp;"｜37灵光"&amp;TEXT(后台计算!AB21,"0")&amp;" 启迪"&amp;TEXT(后台计算!AC21,"0")&amp;"｜灵犀"&amp;TEXT(后台计算!AV21,"0")&amp;"｜J燃烧"&amp;TEXT(后台计算!AD21,"0")&amp;" 敌燃烧"&amp;TEXT(后台计算!AE21,"0"))</f>
        <v>红:极限 增压10 弹药6｜37灵光0 启迪0｜灵犀5｜J燃烧14 敌燃烧10</v>
      </c>
      <c r="U27" s="4" t="str">
        <f>IF(D27="","",后台计算!BX21)</f>
        <v/>
      </c>
    </row>
    <row r="28" spans="1:21" ht="50.1" customHeight="1">
      <c r="A28" s="1">
        <f t="shared" si="0"/>
        <v>20</v>
      </c>
      <c r="B28" s="3">
        <v>3</v>
      </c>
      <c r="C28" s="3">
        <v>1</v>
      </c>
      <c r="D28" s="3" t="s">
        <v>133</v>
      </c>
      <c r="E28" s="3" t="s">
        <v>611</v>
      </c>
      <c r="F28" s="5"/>
      <c r="G28" s="5"/>
      <c r="H28" s="5"/>
      <c r="I28" s="5"/>
      <c r="J28" s="6" t="str">
        <f>IF(D28="","",后台计算!E22)</f>
        <v>小瑞安侬</v>
      </c>
      <c r="K28" s="6">
        <f>IF(D28="","",后台计算!AY22)</f>
        <v>2986</v>
      </c>
      <c r="L28" s="7">
        <f>IF(D28="","",后台计算!AZ22)</f>
        <v>0.55499999999999994</v>
      </c>
      <c r="M28" s="7">
        <f>IF(D28="","",后台计算!BA22)</f>
        <v>1.73</v>
      </c>
      <c r="N28" s="4">
        <f>IF(D28="","",后台计算!BG22)</f>
        <v>0</v>
      </c>
      <c r="O28" s="6">
        <f>IF(D28="","",后台计算!BU22)</f>
        <v>0</v>
      </c>
      <c r="P28" s="6">
        <f>IF(D28="","",后台计算!BV22)</f>
        <v>0</v>
      </c>
      <c r="Q28" s="6" t="str">
        <f t="shared" si="1"/>
        <v/>
      </c>
      <c r="R28" s="6" t="str">
        <f t="shared" si="2"/>
        <v/>
      </c>
      <c r="S28" s="6" t="str">
        <f t="shared" si="3"/>
        <v/>
      </c>
      <c r="T28" s="4" t="str">
        <f>IF(D28="","","红:"&amp;IF(后台计算!U22=0,"无",IF(后台计算!U22=1,"雷鸣","极限"))&amp;" 增压"&amp;TEXT(后台计算!W22,"0")&amp;" 弹药"&amp;TEXT(后台计算!X22,"0")&amp;"｜37灵光"&amp;TEXT(后台计算!AB22,"0")&amp;" 启迪"&amp;TEXT(后台计算!AC22,"0")&amp;"｜灵犀"&amp;TEXT(后台计算!AV22,"0")&amp;"｜J燃烧"&amp;TEXT(后台计算!AD22,"0")&amp;" 敌燃烧"&amp;TEXT(后台计算!AE22,"0"))</f>
        <v>红:极限 增压10 弹药6｜37灵光1 启迪0｜灵犀5｜J燃烧16 敌燃烧6</v>
      </c>
      <c r="U28" s="4" t="str">
        <f>IF(D28="","",后台计算!BX22)</f>
        <v/>
      </c>
    </row>
    <row r="29" spans="1:21" ht="50.1" customHeight="1">
      <c r="A29" s="1">
        <f t="shared" si="0"/>
        <v>21</v>
      </c>
      <c r="B29" s="3">
        <v>3</v>
      </c>
      <c r="C29" s="3">
        <v>2</v>
      </c>
      <c r="D29" s="3" t="s">
        <v>116</v>
      </c>
      <c r="E29" s="3" t="s">
        <v>611</v>
      </c>
      <c r="F29" s="5"/>
      <c r="G29" s="5"/>
      <c r="H29" s="5"/>
      <c r="I29" s="5"/>
      <c r="J29" s="6" t="str">
        <f>IF(D29="","",后台计算!E23)</f>
        <v>37</v>
      </c>
      <c r="K29" s="6">
        <f>IF(D29="","",后台计算!AY23)</f>
        <v>3005</v>
      </c>
      <c r="L29" s="7">
        <f>IF(D29="","",后台计算!AZ23)</f>
        <v>0.76</v>
      </c>
      <c r="M29" s="7">
        <f>IF(D29="","",后台计算!BA23)</f>
        <v>2.3780000000000001</v>
      </c>
      <c r="N29" s="4">
        <f>IF(D29="","",后台计算!BG23)</f>
        <v>0</v>
      </c>
      <c r="O29" s="6">
        <f>IF(D29="","",后台计算!BU23)</f>
        <v>0</v>
      </c>
      <c r="P29" s="6">
        <f>IF(D29="","",后台计算!BV23)</f>
        <v>0</v>
      </c>
      <c r="Q29" s="6" t="str">
        <f t="shared" si="1"/>
        <v/>
      </c>
      <c r="R29" s="6" t="str">
        <f t="shared" si="2"/>
        <v/>
      </c>
      <c r="S29" s="6" t="str">
        <f t="shared" si="3"/>
        <v/>
      </c>
      <c r="T29" s="4" t="str">
        <f>IF(D29="","","红:"&amp;IF(后台计算!U23=0,"无",IF(后台计算!U23=1,"雷鸣","极限"))&amp;" 增压"&amp;TEXT(后台计算!W23,"0")&amp;" 弹药"&amp;TEXT(后台计算!X23,"0")&amp;"｜37灵光"&amp;TEXT(后台计算!AB23,"0")&amp;" 启迪"&amp;TEXT(后台计算!AC23,"0")&amp;"｜灵犀"&amp;TEXT(后台计算!AV23,"0")&amp;"｜J燃烧"&amp;TEXT(后台计算!AD23,"0")&amp;" 敌燃烧"&amp;TEXT(后台计算!AE23,"0"))</f>
        <v>红:极限 增压10 弹药6｜37灵光2 启迪0｜灵犀5｜J燃烧16 敌燃烧6</v>
      </c>
      <c r="U29" s="4" t="str">
        <f>IF(D29="","",后台计算!BX23)</f>
        <v/>
      </c>
    </row>
    <row r="30" spans="1:21" ht="50.1" customHeight="1">
      <c r="A30" s="1">
        <f t="shared" si="0"/>
        <v>22</v>
      </c>
      <c r="B30" s="3">
        <v>3</v>
      </c>
      <c r="C30" s="3">
        <v>3</v>
      </c>
      <c r="D30" s="3" t="s">
        <v>110</v>
      </c>
      <c r="E30" s="3" t="s">
        <v>612</v>
      </c>
      <c r="F30" s="5">
        <v>11689</v>
      </c>
      <c r="G30" s="5">
        <v>11905</v>
      </c>
      <c r="H30" s="5"/>
      <c r="I30" s="5"/>
      <c r="J30" s="6" t="str">
        <f>IF(D30="","",后台计算!E24)</f>
        <v>37</v>
      </c>
      <c r="K30" s="6">
        <f>IF(D30="","",后台计算!AY24)</f>
        <v>3505</v>
      </c>
      <c r="L30" s="7">
        <f>IF(D30="","",后台计算!AZ24)</f>
        <v>0.76</v>
      </c>
      <c r="M30" s="7">
        <f>IF(D30="","",后台计算!BA24)</f>
        <v>2.3980000000000001</v>
      </c>
      <c r="N30" s="4">
        <f>IF(D30="","",后台计算!BG24)</f>
        <v>3</v>
      </c>
      <c r="O30" s="6">
        <f>IF(D30="","",后台计算!BU24)</f>
        <v>11808</v>
      </c>
      <c r="P30" s="6">
        <f>IF(D30="","",后台计算!BV24)</f>
        <v>23594</v>
      </c>
      <c r="Q30" s="6">
        <f t="shared" si="1"/>
        <v>23594</v>
      </c>
      <c r="R30" s="6">
        <f t="shared" si="2"/>
        <v>23594</v>
      </c>
      <c r="S30" s="6">
        <f t="shared" si="3"/>
        <v>0</v>
      </c>
      <c r="T30" s="4" t="str">
        <f>IF(D30="","","红:"&amp;IF(后台计算!U24=0,"无",IF(后台计算!U24=1,"雷鸣","极限"))&amp;" 增压"&amp;TEXT(后台计算!W24,"0")&amp;" 弹药"&amp;TEXT(后台计算!X24,"0")&amp;"｜37灵光"&amp;TEXT(后台计算!AB24,"0")&amp;" 启迪"&amp;TEXT(后台计算!AC24,"0")&amp;"｜灵犀"&amp;TEXT(后台计算!AV24,"0")&amp;"｜J燃烧"&amp;TEXT(后台计算!AD24,"0")&amp;" 敌燃烧"&amp;TEXT(后台计算!AE24,"0"))</f>
        <v>红:极限 增压10 弹药6｜37灵光5 启迪2｜灵犀5｜J燃烧16 敌燃烧6</v>
      </c>
      <c r="U30" s="4" t="str">
        <f>IF(D30="","",后台计算!BX24)</f>
        <v/>
      </c>
    </row>
    <row r="31" spans="1:21" ht="50.1" customHeight="1">
      <c r="A31" s="1">
        <f t="shared" si="0"/>
        <v>23</v>
      </c>
      <c r="B31" s="3">
        <v>3</v>
      </c>
      <c r="C31" s="3">
        <v>4</v>
      </c>
      <c r="D31" s="3" t="s">
        <v>164</v>
      </c>
      <c r="E31" s="3" t="s">
        <v>612</v>
      </c>
      <c r="F31" s="5">
        <v>34123</v>
      </c>
      <c r="G31" s="5">
        <v>0</v>
      </c>
      <c r="H31" s="5"/>
      <c r="I31" s="5"/>
      <c r="J31" s="6" t="str">
        <f>IF(D31="","",后台计算!E25)</f>
        <v>J</v>
      </c>
      <c r="K31" s="6">
        <f>IF(D31="","",后台计算!AY25)</f>
        <v>2948</v>
      </c>
      <c r="L31" s="7">
        <f>IF(D31="","",后台计算!AZ25)</f>
        <v>0.66700000000000004</v>
      </c>
      <c r="M31" s="7">
        <f>IF(D31="","",后台计算!BA25)</f>
        <v>1.917</v>
      </c>
      <c r="N31" s="4">
        <f>IF(D31="","",后台计算!BG25)</f>
        <v>7</v>
      </c>
      <c r="O31" s="6">
        <f>IF(D31="","",后台计算!BU25)</f>
        <v>22493</v>
      </c>
      <c r="P31" s="6">
        <f>IF(D31="","",后台计算!BV25)</f>
        <v>34123</v>
      </c>
      <c r="Q31" s="6">
        <f t="shared" si="1"/>
        <v>34123</v>
      </c>
      <c r="R31" s="6">
        <f t="shared" si="2"/>
        <v>34123</v>
      </c>
      <c r="S31" s="6">
        <f t="shared" si="3"/>
        <v>0</v>
      </c>
      <c r="T31" s="4" t="str">
        <f>IF(D31="","","红:"&amp;IF(后台计算!U25=0,"无",IF(后台计算!U25=1,"雷鸣","极限"))&amp;" 增压"&amp;TEXT(后台计算!W25,"0")&amp;" 弹药"&amp;TEXT(后台计算!X25,"0")&amp;"｜37灵光"&amp;TEXT(后台计算!AB25,"0")&amp;" 启迪"&amp;TEXT(后台计算!AC25,"0")&amp;"｜灵犀"&amp;TEXT(后台计算!AV25,"0")&amp;"｜J燃烧"&amp;TEXT(后台计算!AD25,"0")&amp;" 敌燃烧"&amp;TEXT(后台计算!AE25,"0"))</f>
        <v>红:极限 增压10 弹药6｜37灵光0 启迪1｜灵犀5｜J燃烧16 敌燃烧6</v>
      </c>
      <c r="U31" s="4" t="str">
        <f>IF(D31="","",后台计算!BX25)</f>
        <v/>
      </c>
    </row>
    <row r="32" spans="1:21" ht="50.1" customHeight="1">
      <c r="A32" s="1">
        <f t="shared" si="0"/>
        <v>24</v>
      </c>
      <c r="B32" s="3">
        <v>3</v>
      </c>
      <c r="C32" s="3">
        <v>5</v>
      </c>
      <c r="D32" s="3" t="s">
        <v>124</v>
      </c>
      <c r="E32" s="3" t="s">
        <v>612</v>
      </c>
      <c r="F32" s="5">
        <v>4467</v>
      </c>
      <c r="G32" s="5">
        <v>0</v>
      </c>
      <c r="H32" s="5"/>
      <c r="I32" s="5"/>
      <c r="J32" s="6" t="str">
        <f>IF(D32="","",后台计算!E26)</f>
        <v>小瑞安侬</v>
      </c>
      <c r="K32" s="6">
        <f>IF(D32="","",后台计算!AY26)</f>
        <v>3798</v>
      </c>
      <c r="L32" s="7">
        <f>IF(D32="","",后台计算!AZ26)</f>
        <v>0.55499999999999994</v>
      </c>
      <c r="M32" s="7">
        <f>IF(D32="","",后台计算!BA26)</f>
        <v>1.77</v>
      </c>
      <c r="N32" s="4">
        <f>IF(D32="","",后台计算!BG26)</f>
        <v>4</v>
      </c>
      <c r="O32" s="6">
        <f>IF(D32="","",后台计算!BU26)</f>
        <v>3261</v>
      </c>
      <c r="P32" s="6">
        <f>IF(D32="","",后台计算!BV26)</f>
        <v>4467</v>
      </c>
      <c r="Q32" s="6">
        <f t="shared" si="1"/>
        <v>4467</v>
      </c>
      <c r="R32" s="6">
        <f t="shared" si="2"/>
        <v>4467</v>
      </c>
      <c r="S32" s="6">
        <f t="shared" si="3"/>
        <v>0</v>
      </c>
      <c r="T32" s="4" t="str">
        <f>IF(D32="","","红:"&amp;IF(后台计算!U26=0,"无",IF(后台计算!U26=1,"雷鸣","极限"))&amp;" 增压"&amp;TEXT(后台计算!W26,"0")&amp;" 弹药"&amp;TEXT(后台计算!X26,"0")&amp;"｜37灵光"&amp;TEXT(后台计算!AB26,"0")&amp;" 启迪"&amp;TEXT(后台计算!AC26,"0")&amp;"｜灵犀"&amp;TEXT(后台计算!AV26,"0")&amp;"｜J燃烧"&amp;TEXT(后台计算!AD26,"0")&amp;" 敌燃烧"&amp;TEXT(后台计算!AE26,"0"))</f>
        <v>红:极限 增压10 弹药6｜37灵光1 启迪1｜灵犀5｜J燃烧16 敌燃烧22</v>
      </c>
      <c r="U32" s="4" t="str">
        <f>IF(D32="","",后台计算!BX26)</f>
        <v/>
      </c>
    </row>
    <row r="33" spans="1:21" ht="50.1" customHeight="1">
      <c r="A33" s="1">
        <f t="shared" si="0"/>
        <v>25</v>
      </c>
      <c r="B33" s="3">
        <v>3</v>
      </c>
      <c r="C33" s="3">
        <v>6</v>
      </c>
      <c r="D33" s="3" t="s">
        <v>124</v>
      </c>
      <c r="E33" s="3" t="s">
        <v>613</v>
      </c>
      <c r="F33" s="5">
        <v>9934</v>
      </c>
      <c r="G33" s="5">
        <v>0</v>
      </c>
      <c r="H33" s="5"/>
      <c r="I33" s="5"/>
      <c r="J33" s="6" t="str">
        <f>IF(D33="","",后台计算!E27)</f>
        <v>小瑞安侬</v>
      </c>
      <c r="K33" s="6">
        <f>IF(D33="","",后台计算!AY27)</f>
        <v>3798</v>
      </c>
      <c r="L33" s="7">
        <f>IF(D33="","",后台计算!AZ27)</f>
        <v>0.55499999999999994</v>
      </c>
      <c r="M33" s="7">
        <f>IF(D33="","",后台计算!BA27)</f>
        <v>1.77</v>
      </c>
      <c r="N33" s="4">
        <f>IF(D33="","",后台计算!BG27)</f>
        <v>4</v>
      </c>
      <c r="O33" s="6">
        <f>IF(D33="","",后台计算!BU27)</f>
        <v>9934</v>
      </c>
      <c r="P33" s="6">
        <f>IF(D33="","",后台计算!BV27)</f>
        <v>16590</v>
      </c>
      <c r="Q33" s="6">
        <f t="shared" si="1"/>
        <v>9934</v>
      </c>
      <c r="R33" s="6">
        <f t="shared" si="2"/>
        <v>9934</v>
      </c>
      <c r="S33" s="6">
        <f t="shared" si="3"/>
        <v>0</v>
      </c>
      <c r="T33" s="4" t="str">
        <f>IF(D33="","","红:"&amp;IF(后台计算!U27=0,"无",IF(后台计算!U27=1,"雷鸣","极限"))&amp;" 增压"&amp;TEXT(后台计算!W27,"0")&amp;" 弹药"&amp;TEXT(后台计算!X27,"0")&amp;"｜37灵光"&amp;TEXT(后台计算!AB27,"0")&amp;" 启迪"&amp;TEXT(后台计算!AC27,"0")&amp;"｜灵犀"&amp;TEXT(后台计算!AV27,"0")&amp;"｜J燃烧"&amp;TEXT(后台计算!AD27,"0")&amp;" 敌燃烧"&amp;TEXT(后台计算!AE27,"0"))</f>
        <v>红:极限 增压10 弹药6｜37灵光2 启迪1｜灵犀5｜J燃烧16 敌燃烧22</v>
      </c>
      <c r="U33" s="4" t="str">
        <f>IF(D33="","",后台计算!BX27)</f>
        <v/>
      </c>
    </row>
    <row r="34" spans="1:21" ht="50.1" customHeight="1">
      <c r="A34" s="1">
        <f t="shared" si="0"/>
        <v>26</v>
      </c>
      <c r="B34" s="3">
        <v>3</v>
      </c>
      <c r="C34" s="3">
        <v>7</v>
      </c>
      <c r="D34" s="3" t="s">
        <v>72</v>
      </c>
      <c r="E34" s="3" t="s">
        <v>612</v>
      </c>
      <c r="F34" s="5">
        <v>1199340</v>
      </c>
      <c r="G34" s="5">
        <v>0</v>
      </c>
      <c r="H34" s="5"/>
      <c r="I34" s="5"/>
      <c r="J34" s="6" t="str">
        <f>IF(D34="","",后台计算!E28)</f>
        <v>红弩箭</v>
      </c>
      <c r="K34" s="6">
        <f>IF(D34="","",后台计算!AY28)</f>
        <v>3493</v>
      </c>
      <c r="L34" s="7">
        <f>IF(D34="","",后台计算!AZ28)</f>
        <v>1</v>
      </c>
      <c r="M34" s="7">
        <f>IF(D34="","",后台计算!BA28)</f>
        <v>3.2450000000000001</v>
      </c>
      <c r="N34" s="4">
        <f>IF(D34="","",后台计算!BG28)</f>
        <v>36</v>
      </c>
      <c r="O34" s="6">
        <f>IF(D34="","",后台计算!BU28)</f>
        <v>381348</v>
      </c>
      <c r="P34" s="6">
        <f>IF(D34="","",后台计算!BV28)</f>
        <v>1199340</v>
      </c>
      <c r="Q34" s="6">
        <f t="shared" si="1"/>
        <v>1199340</v>
      </c>
      <c r="R34" s="6">
        <f t="shared" si="2"/>
        <v>1199340</v>
      </c>
      <c r="S34" s="6">
        <f t="shared" si="3"/>
        <v>0</v>
      </c>
      <c r="T34" s="4" t="str">
        <f>IF(D34="","","红:"&amp;IF(后台计算!U28=0,"无",IF(后台计算!U28=1,"雷鸣","极限"))&amp;" 增压"&amp;TEXT(后台计算!W28,"0")&amp;" 弹药"&amp;TEXT(后台计算!X28,"0")&amp;"｜37灵光"&amp;TEXT(后台计算!AB28,"0")&amp;" 启迪"&amp;TEXT(后台计算!AC28,"0")&amp;"｜灵犀"&amp;TEXT(后台计算!AV28,"0")&amp;"｜J燃烧"&amp;TEXT(后台计算!AD28,"0")&amp;" 敌燃烧"&amp;TEXT(后台计算!AE28,"0"))</f>
        <v>红:极限 增压10 弹药6｜37灵光3 启迪1｜灵犀5｜J燃烧16 敌燃烧22</v>
      </c>
      <c r="U34" s="4" t="str">
        <f>IF(D34="","",后台计算!BX28)</f>
        <v/>
      </c>
    </row>
    <row r="35" spans="1:21" ht="50.1" customHeight="1">
      <c r="A35" s="1">
        <f t="shared" si="0"/>
        <v>27</v>
      </c>
      <c r="B35" s="3">
        <v>3</v>
      </c>
      <c r="C35" s="3">
        <v>8</v>
      </c>
      <c r="D35" s="3" t="s">
        <v>65</v>
      </c>
      <c r="E35" s="3" t="s">
        <v>612</v>
      </c>
      <c r="F35" s="5">
        <v>1990454</v>
      </c>
      <c r="G35" s="5">
        <v>0</v>
      </c>
      <c r="H35" s="5"/>
      <c r="I35" s="5"/>
      <c r="J35" s="6" t="str">
        <f>IF(D35="","",后台计算!E29)</f>
        <v>红弩箭</v>
      </c>
      <c r="K35" s="6">
        <f>IF(D35="","",后台计算!AY29)</f>
        <v>3493</v>
      </c>
      <c r="L35" s="7">
        <f>IF(D35="","",后台计算!AZ29)</f>
        <v>1</v>
      </c>
      <c r="M35" s="7">
        <f>IF(D35="","",后台计算!BA29)</f>
        <v>2.2650000000000001</v>
      </c>
      <c r="N35" s="4">
        <f>IF(D35="","",后台计算!BG29)</f>
        <v>45</v>
      </c>
      <c r="O35" s="6">
        <f>IF(D35="","",后台计算!BU29)</f>
        <v>919378</v>
      </c>
      <c r="P35" s="6">
        <f>IF(D35="","",后台计算!BV29)</f>
        <v>1990454</v>
      </c>
      <c r="Q35" s="6">
        <f t="shared" si="1"/>
        <v>1990454</v>
      </c>
      <c r="R35" s="6">
        <f t="shared" si="2"/>
        <v>1990454</v>
      </c>
      <c r="S35" s="6">
        <f t="shared" si="3"/>
        <v>0</v>
      </c>
      <c r="T35" s="4" t="str">
        <f>IF(D35="","","红:"&amp;IF(后台计算!U29=0,"无",IF(后台计算!U29=1,"雷鸣","极限"))&amp;" 增压"&amp;TEXT(后台计算!W29,"0")&amp;" 弹药"&amp;TEXT(后台计算!X29,"0")&amp;"｜37灵光"&amp;TEXT(后台计算!AB29,"0")&amp;" 启迪"&amp;TEXT(后台计算!AC29,"0")&amp;"｜灵犀"&amp;TEXT(后台计算!AV29,"0")&amp;"｜J燃烧"&amp;TEXT(后台计算!AD29,"0")&amp;" 敌燃烧"&amp;TEXT(后台计算!AE29,"0"))</f>
        <v>红:极限 增压10 弹药0｜37灵光4 启迪1｜灵犀5｜J燃烧16 敌燃烧22</v>
      </c>
      <c r="U35" s="4" t="str">
        <f>IF(D35="","",后台计算!BX29)</f>
        <v/>
      </c>
    </row>
    <row r="36" spans="1:21" ht="50.1" customHeight="1">
      <c r="A36" s="1">
        <f t="shared" si="0"/>
        <v>28</v>
      </c>
      <c r="B36" s="3">
        <v>3</v>
      </c>
      <c r="C36" s="3">
        <v>9</v>
      </c>
      <c r="D36" s="3" t="s">
        <v>110</v>
      </c>
      <c r="E36" s="3" t="s">
        <v>612</v>
      </c>
      <c r="F36" s="5">
        <v>4127</v>
      </c>
      <c r="G36" s="5">
        <v>7784</v>
      </c>
      <c r="H36" s="5"/>
      <c r="I36" s="5"/>
      <c r="J36" s="6" t="str">
        <f>IF(D36="","",后台计算!E30)</f>
        <v>37</v>
      </c>
      <c r="K36" s="6">
        <f>IF(D36="","",后台计算!AY30)</f>
        <v>3505</v>
      </c>
      <c r="L36" s="7">
        <f>IF(D36="","",后台计算!AZ30)</f>
        <v>0.76</v>
      </c>
      <c r="M36" s="7">
        <f>IF(D36="","",后台计算!BA30)</f>
        <v>2.4380000000000002</v>
      </c>
      <c r="N36" s="4">
        <f>IF(D36="","",后台计算!BG30)</f>
        <v>3</v>
      </c>
      <c r="O36" s="6">
        <f>IF(D36="","",后台计算!BU30)</f>
        <v>5094</v>
      </c>
      <c r="P36" s="6">
        <f>IF(D36="","",后台计算!BV30)</f>
        <v>11911</v>
      </c>
      <c r="Q36" s="6">
        <f t="shared" si="1"/>
        <v>11911</v>
      </c>
      <c r="R36" s="6">
        <f t="shared" si="2"/>
        <v>11911</v>
      </c>
      <c r="S36" s="6">
        <f t="shared" si="3"/>
        <v>0</v>
      </c>
      <c r="T36" s="4" t="str">
        <f>IF(D36="","","红:"&amp;IF(后台计算!U30=0,"无",IF(后台计算!U30=1,"雷鸣","极限"))&amp;" 增压"&amp;TEXT(后台计算!W30,"0")&amp;" 弹药"&amp;TEXT(后台计算!X30,"0")&amp;"｜37灵光"&amp;TEXT(后台计算!AB30,"0")&amp;" 启迪"&amp;TEXT(后台计算!AC30,"0")&amp;"｜灵犀"&amp;TEXT(后台计算!AV30,"0")&amp;"｜J燃烧"&amp;TEXT(后台计算!AD30,"0")&amp;" 敌燃烧"&amp;TEXT(后台计算!AE30,"0"))</f>
        <v>红:极限 增压10 弹药0｜37灵光5 启迪1｜灵犀5｜J燃烧16 敌燃烧22</v>
      </c>
      <c r="U36" s="4" t="str">
        <f>IF(D36="","",后台计算!BX30)</f>
        <v/>
      </c>
    </row>
    <row r="37" spans="1:21" ht="50.1" customHeight="1">
      <c r="A37" s="1">
        <f t="shared" si="0"/>
        <v>29</v>
      </c>
      <c r="B37" s="3">
        <v>3</v>
      </c>
      <c r="C37" s="3">
        <v>10</v>
      </c>
      <c r="D37" s="3" t="s">
        <v>159</v>
      </c>
      <c r="E37" s="3" t="s">
        <v>613</v>
      </c>
      <c r="F37" s="5">
        <v>5798</v>
      </c>
      <c r="G37" s="5">
        <v>0</v>
      </c>
      <c r="H37" s="5"/>
      <c r="I37" s="5" t="s">
        <v>614</v>
      </c>
      <c r="J37" s="6" t="str">
        <f>IF(D37="","",后台计算!E31)</f>
        <v>J</v>
      </c>
      <c r="K37" s="6">
        <f>IF(D37="","",后台计算!AY31)</f>
        <v>2948</v>
      </c>
      <c r="L37" s="7">
        <f>IF(D37="","",后台计算!AZ31)</f>
        <v>0.66700000000000004</v>
      </c>
      <c r="M37" s="7">
        <f>IF(D37="","",后台计算!BA31)</f>
        <v>1.9570000000000001</v>
      </c>
      <c r="N37" s="4">
        <f>IF(D37="","",后台计算!BG31)</f>
        <v>3.8</v>
      </c>
      <c r="O37" s="6">
        <f>IF(D37="","",后台计算!BU31)</f>
        <v>5798</v>
      </c>
      <c r="P37" s="6">
        <f>IF(D37="","",后台计算!BV31)</f>
        <v>6378</v>
      </c>
      <c r="Q37" s="6">
        <f t="shared" si="1"/>
        <v>5798</v>
      </c>
      <c r="R37" s="6">
        <f t="shared" si="2"/>
        <v>5798</v>
      </c>
      <c r="S37" s="6">
        <f t="shared" si="3"/>
        <v>0</v>
      </c>
      <c r="T37" s="4" t="str">
        <f>IF(D37="","","红:"&amp;IF(后台计算!U31=0,"无",IF(后台计算!U31=1,"雷鸣","极限"))&amp;" 增压"&amp;TEXT(后台计算!W31,"0")&amp;" 弹药"&amp;TEXT(后台计算!X31,"0")&amp;"｜37灵光"&amp;TEXT(后台计算!AB31,"0")&amp;" 启迪"&amp;TEXT(后台计算!AC31,"0")&amp;"｜灵犀"&amp;TEXT(后台计算!AV31,"0")&amp;"｜J燃烧"&amp;TEXT(后台计算!AD31,"0")&amp;" 敌燃烧"&amp;TEXT(后台计算!AE31,"0"))</f>
        <v>红:极限 增压10 弹药0｜37灵光0 启迪0｜灵犀5｜J燃烧16 敌燃烧22</v>
      </c>
      <c r="U37" s="4" t="str">
        <f>IF(D37="","",后台计算!BX31)</f>
        <v/>
      </c>
    </row>
    <row r="38" spans="1:21" ht="50.1" customHeight="1">
      <c r="A38" s="1">
        <f t="shared" si="0"/>
        <v>30</v>
      </c>
      <c r="B38" s="3">
        <v>3</v>
      </c>
      <c r="C38" s="3">
        <v>11</v>
      </c>
      <c r="D38" s="3" t="s">
        <v>159</v>
      </c>
      <c r="E38" s="3" t="s">
        <v>612</v>
      </c>
      <c r="F38" s="5">
        <v>8031</v>
      </c>
      <c r="G38" s="5">
        <v>0</v>
      </c>
      <c r="H38" s="5"/>
      <c r="I38" s="5"/>
      <c r="J38" s="6" t="str">
        <f>IF(D38="","",后台计算!E32)</f>
        <v>J</v>
      </c>
      <c r="K38" s="6">
        <f>IF(D38="","",后台计算!AY32)</f>
        <v>2987</v>
      </c>
      <c r="L38" s="7">
        <f>IF(D38="","",后台计算!AZ32)</f>
        <v>0.66700000000000004</v>
      </c>
      <c r="M38" s="7">
        <f>IF(D38="","",后台计算!BA32)</f>
        <v>1.9570000000000001</v>
      </c>
      <c r="N38" s="4">
        <f>IF(D38="","",后台计算!BG32)</f>
        <v>3.9</v>
      </c>
      <c r="O38" s="6">
        <f>IF(D38="","",后台计算!BU32)</f>
        <v>7301</v>
      </c>
      <c r="P38" s="6">
        <f>IF(D38="","",后台计算!BV32)</f>
        <v>8031</v>
      </c>
      <c r="Q38" s="6">
        <f t="shared" si="1"/>
        <v>8031</v>
      </c>
      <c r="R38" s="6">
        <f t="shared" si="2"/>
        <v>8031</v>
      </c>
      <c r="S38" s="6">
        <f t="shared" si="3"/>
        <v>0</v>
      </c>
      <c r="T38" s="4" t="str">
        <f>IF(D38="","","红:"&amp;IF(后台计算!U32=0,"无",IF(后台计算!U32=1,"雷鸣","极限"))&amp;" 增压"&amp;TEXT(后台计算!W32,"0")&amp;" 弹药"&amp;TEXT(后台计算!X32,"0")&amp;"｜37灵光"&amp;TEXT(后台计算!AB32,"0")&amp;" 启迪"&amp;TEXT(后台计算!AC32,"0")&amp;"｜灵犀"&amp;TEXT(后台计算!AV32,"0")&amp;"｜J燃烧"&amp;TEXT(后台计算!AD32,"0")&amp;" 敌燃烧"&amp;TEXT(后台计算!AE32,"0"))</f>
        <v>红:极限 增压10 弹药0｜37灵光1 启迪0｜灵犀5｜J燃烧18 敌燃烧24</v>
      </c>
      <c r="U38" s="4" t="str">
        <f>IF(D38="","",后台计算!BX32)</f>
        <v/>
      </c>
    </row>
    <row r="39" spans="1:21" ht="50.1" customHeight="1">
      <c r="A39" s="1">
        <f t="shared" si="0"/>
        <v>31</v>
      </c>
      <c r="B39" s="3">
        <v>3</v>
      </c>
      <c r="C39" s="3">
        <v>12</v>
      </c>
      <c r="D39" s="3" t="s">
        <v>159</v>
      </c>
      <c r="E39" s="3" t="s">
        <v>612</v>
      </c>
      <c r="F39" s="5">
        <v>8412</v>
      </c>
      <c r="G39" s="5">
        <v>0</v>
      </c>
      <c r="H39" s="5"/>
      <c r="I39" s="5"/>
      <c r="J39" s="6" t="str">
        <f>IF(D39="","",后台计算!E33)</f>
        <v>J</v>
      </c>
      <c r="K39" s="6">
        <f>IF(D39="","",后台计算!AY33)</f>
        <v>3025</v>
      </c>
      <c r="L39" s="7">
        <f>IF(D39="","",后台计算!AZ33)</f>
        <v>0.66700000000000004</v>
      </c>
      <c r="M39" s="7">
        <f>IF(D39="","",后台计算!BA33)</f>
        <v>1.9570000000000001</v>
      </c>
      <c r="N39" s="4">
        <f>IF(D39="","",后台计算!BG33)</f>
        <v>4</v>
      </c>
      <c r="O39" s="6">
        <f>IF(D39="","",后台计算!BU33)</f>
        <v>7647</v>
      </c>
      <c r="P39" s="6">
        <f>IF(D39="","",后台计算!BV33)</f>
        <v>8412</v>
      </c>
      <c r="Q39" s="6">
        <f t="shared" si="1"/>
        <v>8412</v>
      </c>
      <c r="R39" s="6">
        <f t="shared" si="2"/>
        <v>8412</v>
      </c>
      <c r="S39" s="6">
        <f t="shared" si="3"/>
        <v>0</v>
      </c>
      <c r="T39" s="4" t="str">
        <f>IF(D39="","","红:"&amp;IF(后台计算!U33=0,"无",IF(后台计算!U33=1,"雷鸣","极限"))&amp;" 增压"&amp;TEXT(后台计算!W33,"0")&amp;" 弹药"&amp;TEXT(后台计算!X33,"0")&amp;"｜37灵光"&amp;TEXT(后台计算!AB33,"0")&amp;" 启迪"&amp;TEXT(后台计算!AC33,"0")&amp;"｜灵犀"&amp;TEXT(后台计算!AV33,"0")&amp;"｜J燃烧"&amp;TEXT(后台计算!AD33,"0")&amp;" 敌燃烧"&amp;TEXT(后台计算!AE33,"0"))</f>
        <v>红:极限 增压10 弹药0｜37灵光2 启迪0｜灵犀5｜J燃烧20 敌燃烧26</v>
      </c>
      <c r="U39" s="4" t="str">
        <f>IF(D39="","",后台计算!BX33)</f>
        <v/>
      </c>
    </row>
    <row r="40" spans="1:21" ht="50.1" customHeight="1">
      <c r="A40" s="1">
        <f t="shared" si="0"/>
        <v>32</v>
      </c>
      <c r="B40" s="3">
        <v>3</v>
      </c>
      <c r="C40" s="3">
        <v>13</v>
      </c>
      <c r="D40" s="3" t="s">
        <v>159</v>
      </c>
      <c r="E40" s="3" t="s">
        <v>613</v>
      </c>
      <c r="F40" s="5">
        <v>8001</v>
      </c>
      <c r="G40" s="5">
        <v>0</v>
      </c>
      <c r="H40" s="5"/>
      <c r="I40" s="5"/>
      <c r="J40" s="6" t="str">
        <f>IF(D40="","",后台计算!E34)</f>
        <v>J</v>
      </c>
      <c r="K40" s="6">
        <f>IF(D40="","",后台计算!AY34)</f>
        <v>3063</v>
      </c>
      <c r="L40" s="7">
        <f>IF(D40="","",后台计算!AZ34)</f>
        <v>0.66700000000000004</v>
      </c>
      <c r="M40" s="7">
        <f>IF(D40="","",后台计算!BA34)</f>
        <v>1.9570000000000001</v>
      </c>
      <c r="N40" s="4">
        <f>IF(D40="","",后台计算!BG34)</f>
        <v>4.0999999999999996</v>
      </c>
      <c r="O40" s="6">
        <f>IF(D40="","",后台计算!BU34)</f>
        <v>8001</v>
      </c>
      <c r="P40" s="6">
        <f>IF(D40="","",后台计算!BV34)</f>
        <v>8802</v>
      </c>
      <c r="Q40" s="6">
        <f t="shared" si="1"/>
        <v>8001</v>
      </c>
      <c r="R40" s="6">
        <f t="shared" si="2"/>
        <v>8001</v>
      </c>
      <c r="S40" s="6">
        <f t="shared" si="3"/>
        <v>0</v>
      </c>
      <c r="T40" s="4" t="str">
        <f>IF(D40="","","红:"&amp;IF(后台计算!U34=0,"无",IF(后台计算!U34=1,"雷鸣","极限"))&amp;" 增压"&amp;TEXT(后台计算!W34,"0")&amp;" 弹药"&amp;TEXT(后台计算!X34,"0")&amp;"｜37灵光"&amp;TEXT(后台计算!AB34,"0")&amp;" 启迪"&amp;TEXT(后台计算!AC34,"0")&amp;"｜灵犀"&amp;TEXT(后台计算!AV34,"0")&amp;"｜J燃烧"&amp;TEXT(后台计算!AD34,"0")&amp;" 敌燃烧"&amp;TEXT(后台计算!AE34,"0"))</f>
        <v>红:极限 增压10 弹药0｜37灵光3 启迪0｜灵犀5｜J燃烧22 敌燃烧28</v>
      </c>
      <c r="U40" s="4" t="str">
        <f>IF(D40="","",后台计算!BX34)</f>
        <v/>
      </c>
    </row>
    <row r="41" spans="1:21" ht="50.1" customHeight="1">
      <c r="A41" s="1">
        <f t="shared" si="0"/>
        <v>33</v>
      </c>
      <c r="B41" s="3" t="s">
        <v>80</v>
      </c>
      <c r="C41" s="3">
        <v>1</v>
      </c>
      <c r="D41" s="3" t="s">
        <v>48</v>
      </c>
      <c r="E41" s="3" t="s">
        <v>611</v>
      </c>
      <c r="F41" s="5"/>
      <c r="G41" s="5"/>
      <c r="H41" s="5"/>
      <c r="I41" s="5"/>
      <c r="J41" s="6" t="str">
        <f>IF(D41="","",后台计算!E35)</f>
        <v>系统</v>
      </c>
      <c r="K41" s="6">
        <f>IF(D41="","",后台计算!AY35)</f>
        <v>0</v>
      </c>
      <c r="L41" s="7">
        <f>IF(D41="","",后台计算!AZ35)</f>
        <v>0</v>
      </c>
      <c r="M41" s="7">
        <f>IF(D41="","",后台计算!BA35)</f>
        <v>0.24</v>
      </c>
      <c r="N41" s="4">
        <f>IF(D41="","",后台计算!BG35)</f>
        <v>0</v>
      </c>
      <c r="O41" s="6">
        <f>IF(D41="","",后台计算!BU35)</f>
        <v>0</v>
      </c>
      <c r="P41" s="6">
        <f>IF(D41="","",后台计算!BV35)</f>
        <v>0</v>
      </c>
      <c r="Q41" s="6" t="str">
        <f t="shared" si="1"/>
        <v/>
      </c>
      <c r="R41" s="6" t="str">
        <f t="shared" si="2"/>
        <v/>
      </c>
      <c r="S41" s="6" t="str">
        <f t="shared" si="3"/>
        <v/>
      </c>
      <c r="T41" s="4" t="str">
        <f>IF(D41="","","红:"&amp;IF(后台计算!U35=0,"无",IF(后台计算!U35=1,"雷鸣","极限"))&amp;" 增压"&amp;TEXT(后台计算!W35,"0")&amp;" 弹药"&amp;TEXT(后台计算!X35,"0")&amp;"｜37灵光"&amp;TEXT(后台计算!AB35,"0")&amp;" 启迪"&amp;TEXT(后台计算!AC35,"0")&amp;"｜灵犀"&amp;TEXT(后台计算!AV35,"0")&amp;"｜J燃烧"&amp;TEXT(后台计算!AD35,"0")&amp;" 敌燃烧"&amp;TEXT(后台计算!AE35,"0"))</f>
        <v>红:极限 增压10 弹药0｜37灵光4 启迪0｜灵犀5｜J燃烧24 敌燃烧15</v>
      </c>
      <c r="U41" s="4" t="str">
        <f>IF(D41="","",后台计算!BX35)</f>
        <v/>
      </c>
    </row>
    <row r="42" spans="1:21" ht="50.1" customHeight="1">
      <c r="A42" s="1">
        <f t="shared" si="0"/>
        <v>34</v>
      </c>
      <c r="B42" s="3" t="s">
        <v>80</v>
      </c>
      <c r="C42" s="3">
        <v>2</v>
      </c>
      <c r="D42" s="3" t="s">
        <v>78</v>
      </c>
      <c r="E42" s="3" t="s">
        <v>612</v>
      </c>
      <c r="F42" s="5">
        <v>350721</v>
      </c>
      <c r="G42" s="5">
        <v>0</v>
      </c>
      <c r="H42" s="5"/>
      <c r="I42" s="5"/>
      <c r="J42" s="6" t="str">
        <f>IF(D42="","",后台计算!E36)</f>
        <v>红弩箭</v>
      </c>
      <c r="K42" s="6">
        <f>IF(D42="","",后台计算!AY36)</f>
        <v>3493</v>
      </c>
      <c r="L42" s="7">
        <f>IF(D42="","",后台计算!AZ36)</f>
        <v>1</v>
      </c>
      <c r="M42" s="7">
        <f>IF(D42="","",后台计算!BA36)</f>
        <v>2.8650000000000002</v>
      </c>
      <c r="N42" s="4">
        <f>IF(D42="","",后台计算!BG36)</f>
        <v>15</v>
      </c>
      <c r="O42" s="6">
        <f>IF(D42="","",后台计算!BU36)</f>
        <v>126843</v>
      </c>
      <c r="P42" s="6">
        <f>IF(D42="","",后台计算!BV36)</f>
        <v>350721</v>
      </c>
      <c r="Q42" s="6">
        <f t="shared" si="1"/>
        <v>350721</v>
      </c>
      <c r="R42" s="6">
        <f t="shared" si="2"/>
        <v>350721</v>
      </c>
      <c r="S42" s="6">
        <f t="shared" si="3"/>
        <v>0</v>
      </c>
      <c r="T42" s="4" t="str">
        <f>IF(D42="","","红:"&amp;IF(后台计算!U36=0,"无",IF(后台计算!U36=1,"雷鸣","极限"))&amp;" 增压"&amp;TEXT(后台计算!W36,"0")&amp;" 弹药"&amp;TEXT(后台计算!X36,"0")&amp;"｜37灵光"&amp;TEXT(后台计算!AB36,"0")&amp;" 启迪"&amp;TEXT(后台计算!AC36,"0")&amp;"｜灵犀"&amp;TEXT(后台计算!AV36,"0")&amp;"｜J燃烧"&amp;TEXT(后台计算!AD36,"0")&amp;" 敌燃烧"&amp;TEXT(后台计算!AE36,"0"))</f>
        <v>红:极限 增压10 弹药0｜37灵光4 启迪0｜灵犀5｜J燃烧24 敌燃烧15</v>
      </c>
      <c r="U42" s="4" t="str">
        <f>IF(D42="","",后台计算!BX36)</f>
        <v/>
      </c>
    </row>
    <row r="43" spans="1:21" ht="50.1" customHeight="1">
      <c r="A43" s="1">
        <f t="shared" si="0"/>
        <v>35</v>
      </c>
      <c r="B43" s="3" t="s">
        <v>80</v>
      </c>
      <c r="C43" s="3">
        <v>3</v>
      </c>
      <c r="D43" s="3" t="s">
        <v>78</v>
      </c>
      <c r="E43" s="3" t="s">
        <v>612</v>
      </c>
      <c r="F43" s="5">
        <v>364210</v>
      </c>
      <c r="G43" s="5">
        <v>0</v>
      </c>
      <c r="H43" s="5"/>
      <c r="I43" s="5"/>
      <c r="J43" s="6" t="str">
        <f>IF(D43="","",后台计算!E37)</f>
        <v>红弩箭</v>
      </c>
      <c r="K43" s="6">
        <f>IF(D43="","",后台计算!AY37)</f>
        <v>3493</v>
      </c>
      <c r="L43" s="7">
        <f>IF(D43="","",后台计算!AZ37)</f>
        <v>1</v>
      </c>
      <c r="M43" s="7">
        <f>IF(D43="","",后台计算!BA37)</f>
        <v>2.8650000000000002</v>
      </c>
      <c r="N43" s="4">
        <f>IF(D43="","",后台计算!BG37)</f>
        <v>15</v>
      </c>
      <c r="O43" s="6">
        <f>IF(D43="","",后台计算!BU37)</f>
        <v>131721</v>
      </c>
      <c r="P43" s="6">
        <f>IF(D43="","",后台计算!BV37)</f>
        <v>364210</v>
      </c>
      <c r="Q43" s="6">
        <f t="shared" si="1"/>
        <v>364210</v>
      </c>
      <c r="R43" s="6">
        <f t="shared" si="2"/>
        <v>364210</v>
      </c>
      <c r="S43" s="6">
        <f t="shared" si="3"/>
        <v>0</v>
      </c>
      <c r="T43" s="4" t="str">
        <f>IF(D43="","","红:"&amp;IF(后台计算!U37=0,"无",IF(后台计算!U37=1,"雷鸣","极限"))&amp;" 增压"&amp;TEXT(后台计算!W37,"0")&amp;" 弹药"&amp;TEXT(后台计算!X37,"0")&amp;"｜37灵光"&amp;TEXT(后台计算!AB37,"0")&amp;" 启迪"&amp;TEXT(后台计算!AC37,"0")&amp;"｜灵犀"&amp;TEXT(后台计算!AV37,"0")&amp;"｜J燃烧"&amp;TEXT(后台计算!AD37,"0")&amp;" 敌燃烧"&amp;TEXT(后台计算!AE37,"0"))</f>
        <v>红:极限 增压10 弹药1｜37灵光5 启迪0｜灵犀5｜J燃烧24 敌燃烧15</v>
      </c>
      <c r="U43" s="4" t="str">
        <f>IF(D43="","",后台计算!BX37)</f>
        <v/>
      </c>
    </row>
    <row r="44" spans="1:21" ht="50.1" customHeight="1">
      <c r="A44" s="1">
        <f t="shared" si="0"/>
        <v>36</v>
      </c>
      <c r="B44" s="3" t="s">
        <v>80</v>
      </c>
      <c r="C44" s="3">
        <v>4</v>
      </c>
      <c r="D44" s="3" t="s">
        <v>121</v>
      </c>
      <c r="E44" s="3" t="s">
        <v>613</v>
      </c>
      <c r="F44" s="5">
        <v>46002</v>
      </c>
      <c r="G44" s="5">
        <v>0</v>
      </c>
      <c r="H44" s="5"/>
      <c r="I44" s="5"/>
      <c r="J44" s="6" t="str">
        <f>IF(D44="","",后台计算!E38)</f>
        <v>37</v>
      </c>
      <c r="K44" s="6">
        <f>IF(D44="","",后台计算!AY38)</f>
        <v>3505</v>
      </c>
      <c r="L44" s="7">
        <f>IF(D44="","",后台计算!AZ38)</f>
        <v>0.76</v>
      </c>
      <c r="M44" s="7">
        <f>IF(D44="","",后台计算!BA38)</f>
        <v>2.4380000000000002</v>
      </c>
      <c r="N44" s="4">
        <f>IF(D44="","",后台计算!BG38)</f>
        <v>8</v>
      </c>
      <c r="O44" s="6">
        <f>IF(D44="","",后台计算!BU38)</f>
        <v>46002</v>
      </c>
      <c r="P44" s="6">
        <f>IF(D44="","",后台计算!BV38)</f>
        <v>107554</v>
      </c>
      <c r="Q44" s="6">
        <f t="shared" si="1"/>
        <v>46002</v>
      </c>
      <c r="R44" s="6">
        <f t="shared" si="2"/>
        <v>46002</v>
      </c>
      <c r="S44" s="6">
        <f t="shared" si="3"/>
        <v>0</v>
      </c>
      <c r="T44" s="4" t="str">
        <f>IF(D44="","","红:"&amp;IF(后台计算!U38=0,"无",IF(后台计算!U38=1,"雷鸣","极限"))&amp;" 增压"&amp;TEXT(后台计算!W38,"0")&amp;" 弹药"&amp;TEXT(后台计算!X38,"0")&amp;"｜37灵光"&amp;TEXT(后台计算!AB38,"0")&amp;" 启迪"&amp;TEXT(后台计算!AC38,"0")&amp;"｜灵犀"&amp;TEXT(后台计算!AV38,"0")&amp;"｜J燃烧"&amp;TEXT(后台计算!AD38,"0")&amp;" 敌燃烧"&amp;TEXT(后台计算!AE38,"0"))</f>
        <v>红:极限 增压10 弹药2｜37灵光6 启迪0｜灵犀5｜J燃烧24 敌燃烧15</v>
      </c>
      <c r="U44" s="4" t="str">
        <f>IF(D44="","",后台计算!BX38)</f>
        <v/>
      </c>
    </row>
    <row r="45" spans="1:21" ht="50.1" customHeight="1">
      <c r="A45" s="1">
        <f t="shared" si="0"/>
        <v>37</v>
      </c>
      <c r="B45" s="3" t="s">
        <v>80</v>
      </c>
      <c r="C45" s="3">
        <v>5</v>
      </c>
      <c r="D45" s="3" t="s">
        <v>78</v>
      </c>
      <c r="E45" s="3" t="s">
        <v>612</v>
      </c>
      <c r="F45" s="5">
        <v>671176</v>
      </c>
      <c r="G45" s="5"/>
      <c r="H45" s="5">
        <v>268470</v>
      </c>
      <c r="I45" s="5" t="s">
        <v>615</v>
      </c>
      <c r="J45" s="6" t="str">
        <f>IF(D45="","",后台计算!E39)</f>
        <v>红弩箭</v>
      </c>
      <c r="K45" s="6">
        <f>IF(D45="","",后台计算!AY39)</f>
        <v>3493</v>
      </c>
      <c r="L45" s="7">
        <f>IF(D45="","",后台计算!AZ39)</f>
        <v>1</v>
      </c>
      <c r="M45" s="7">
        <f>IF(D45="","",后台计算!BA39)</f>
        <v>3.0650000000000004</v>
      </c>
      <c r="N45" s="4">
        <f>IF(D45="","",后台计算!BG39)</f>
        <v>32</v>
      </c>
      <c r="O45" s="6">
        <f>IF(D45="","",后台计算!BU39)</f>
        <v>316912</v>
      </c>
      <c r="P45" s="6">
        <f>IF(D45="","",后台计算!BV39)</f>
        <v>939646</v>
      </c>
      <c r="Q45" s="6">
        <f t="shared" si="1"/>
        <v>939646</v>
      </c>
      <c r="R45" s="6">
        <f t="shared" si="2"/>
        <v>939646</v>
      </c>
      <c r="S45" s="6">
        <f t="shared" si="3"/>
        <v>0</v>
      </c>
      <c r="T45" s="4" t="str">
        <f>IF(D45="","","红:"&amp;IF(后台计算!U39=0,"无",IF(后台计算!U39=1,"雷鸣","极限"))&amp;" 增压"&amp;TEXT(后台计算!W39,"0")&amp;" 弹药"&amp;TEXT(后台计算!X39,"0")&amp;"｜37灵光"&amp;TEXT(后台计算!AB39,"0")&amp;" 启迪"&amp;TEXT(后台计算!AC39,"0")&amp;"｜灵犀"&amp;TEXT(后台计算!AV39,"0")&amp;"｜J燃烧"&amp;TEXT(后台计算!AD39,"0")&amp;" 敌燃烧"&amp;TEXT(后台计算!AE39,"0"))</f>
        <v>红:极限 增压10 弹药2｜37灵光7 启迪0｜灵犀5｜J燃烧24 敌燃烧15</v>
      </c>
      <c r="U45" s="4" t="str">
        <f>IF(D45="","",后台计算!BX39)</f>
        <v/>
      </c>
    </row>
    <row r="46" spans="1:21" ht="50.1" customHeight="1">
      <c r="A46" s="1">
        <f t="shared" si="0"/>
        <v>38</v>
      </c>
      <c r="B46" s="3" t="s">
        <v>80</v>
      </c>
      <c r="C46" s="3">
        <v>6</v>
      </c>
      <c r="D46" s="3" t="s">
        <v>78</v>
      </c>
      <c r="E46" s="3" t="s">
        <v>612</v>
      </c>
      <c r="F46" s="5">
        <v>303509</v>
      </c>
      <c r="G46" s="5">
        <v>0</v>
      </c>
      <c r="H46" s="5"/>
      <c r="I46" s="5"/>
      <c r="J46" s="6" t="str">
        <f>IF(D46="","",后台计算!E40)</f>
        <v>红弩箭</v>
      </c>
      <c r="K46" s="6">
        <f>IF(D46="","",后台计算!AY40)</f>
        <v>3493</v>
      </c>
      <c r="L46" s="7">
        <f>IF(D46="","",后台计算!AZ40)</f>
        <v>1</v>
      </c>
      <c r="M46" s="7">
        <f>IF(D46="","",后台计算!BA40)</f>
        <v>2.8650000000000002</v>
      </c>
      <c r="N46" s="4">
        <f>IF(D46="","",后台计算!BG40)</f>
        <v>15</v>
      </c>
      <c r="O46" s="6">
        <f>IF(D46="","",后台计算!BU40)</f>
        <v>109768</v>
      </c>
      <c r="P46" s="6">
        <f>IF(D46="","",后台计算!BV40)</f>
        <v>303509</v>
      </c>
      <c r="Q46" s="6">
        <f t="shared" si="1"/>
        <v>303509</v>
      </c>
      <c r="R46" s="6">
        <f t="shared" si="2"/>
        <v>303509</v>
      </c>
      <c r="S46" s="6">
        <f t="shared" si="3"/>
        <v>0</v>
      </c>
      <c r="T46" s="4" t="str">
        <f>IF(D46="","","红:"&amp;IF(后台计算!U40=0,"无",IF(后台计算!U40=1,"雷鸣","极限"))&amp;" 增压"&amp;TEXT(后台计算!W40,"0")&amp;" 弹药"&amp;TEXT(后台计算!X40,"0")&amp;"｜37灵光"&amp;TEXT(后台计算!AB40,"0")&amp;" 启迪"&amp;TEXT(后台计算!AC40,"0")&amp;"｜灵犀"&amp;TEXT(后台计算!AV40,"0")&amp;"｜J燃烧"&amp;TEXT(后台计算!AD40,"0")&amp;" 敌燃烧"&amp;TEXT(后台计算!AE40,"0"))</f>
        <v>红:极限 增压10 弹药3｜37灵光8 启迪0｜灵犀5｜J燃烧24 敌燃烧15</v>
      </c>
      <c r="U46" s="4" t="str">
        <f>IF(D46="","",后台计算!BX40)</f>
        <v/>
      </c>
    </row>
    <row r="47" spans="1:21" ht="50.1" customHeight="1">
      <c r="A47" s="1">
        <f t="shared" si="0"/>
        <v>39</v>
      </c>
      <c r="B47" s="3" t="s">
        <v>80</v>
      </c>
      <c r="C47" s="3">
        <v>7</v>
      </c>
      <c r="D47" s="3" t="s">
        <v>78</v>
      </c>
      <c r="E47" s="3" t="s">
        <v>612</v>
      </c>
      <c r="F47" s="5">
        <v>313626</v>
      </c>
      <c r="G47" s="5">
        <v>0</v>
      </c>
      <c r="H47" s="5"/>
      <c r="I47" s="5"/>
      <c r="J47" s="6" t="str">
        <f>IF(D47="","",后台计算!E41)</f>
        <v>红弩箭</v>
      </c>
      <c r="K47" s="6">
        <f>IF(D47="","",后台计算!AY41)</f>
        <v>3493</v>
      </c>
      <c r="L47" s="7">
        <f>IF(D47="","",后台计算!AZ41)</f>
        <v>1</v>
      </c>
      <c r="M47" s="7">
        <f>IF(D47="","",后台计算!BA41)</f>
        <v>2.8650000000000002</v>
      </c>
      <c r="N47" s="4">
        <f>IF(D47="","",后台计算!BG41)</f>
        <v>15</v>
      </c>
      <c r="O47" s="6">
        <f>IF(D47="","",后台计算!BU41)</f>
        <v>113427</v>
      </c>
      <c r="P47" s="6">
        <f>IF(D47="","",后台计算!BV41)</f>
        <v>313626</v>
      </c>
      <c r="Q47" s="6">
        <f t="shared" si="1"/>
        <v>313626</v>
      </c>
      <c r="R47" s="6">
        <f t="shared" si="2"/>
        <v>313626</v>
      </c>
      <c r="S47" s="6">
        <f t="shared" si="3"/>
        <v>0</v>
      </c>
      <c r="T47" s="4" t="str">
        <f>IF(D47="","","红:"&amp;IF(后台计算!U41=0,"无",IF(后台计算!U41=1,"雷鸣","极限"))&amp;" 增压"&amp;TEXT(后台计算!W41,"0")&amp;" 弹药"&amp;TEXT(后台计算!X41,"0")&amp;"｜37灵光"&amp;TEXT(后台计算!AB41,"0")&amp;" 启迪"&amp;TEXT(后台计算!AC41,"0")&amp;"｜灵犀"&amp;TEXT(后台计算!AV41,"0")&amp;"｜J燃烧"&amp;TEXT(后台计算!AD41,"0")&amp;" 敌燃烧"&amp;TEXT(后台计算!AE41,"0"))</f>
        <v>红:极限 增压10 弹药4｜37灵光9 启迪0｜灵犀5｜J燃烧24 敌燃烧15</v>
      </c>
      <c r="U47" s="4" t="str">
        <f>IF(D47="","",后台计算!BX41)</f>
        <v/>
      </c>
    </row>
    <row r="48" spans="1:21" ht="50.1" customHeight="1">
      <c r="A48" s="1">
        <f t="shared" si="0"/>
        <v>40</v>
      </c>
      <c r="B48" s="3" t="s">
        <v>80</v>
      </c>
      <c r="C48" s="3">
        <v>8</v>
      </c>
      <c r="D48" s="3" t="s">
        <v>121</v>
      </c>
      <c r="E48" s="3" t="s">
        <v>612</v>
      </c>
      <c r="F48" s="5">
        <v>107554</v>
      </c>
      <c r="G48" s="5">
        <v>0</v>
      </c>
      <c r="H48" s="5"/>
      <c r="I48" s="5"/>
      <c r="J48" s="6" t="str">
        <f>IF(D48="","",后台计算!E42)</f>
        <v>37</v>
      </c>
      <c r="K48" s="6">
        <f>IF(D48="","",后台计算!AY42)</f>
        <v>3505</v>
      </c>
      <c r="L48" s="7">
        <f>IF(D48="","",后台计算!AZ42)</f>
        <v>0.76</v>
      </c>
      <c r="M48" s="7">
        <f>IF(D48="","",后台计算!BA42)</f>
        <v>2.4380000000000002</v>
      </c>
      <c r="N48" s="4">
        <f>IF(D48="","",后台计算!BG42)</f>
        <v>8</v>
      </c>
      <c r="O48" s="6">
        <f>IF(D48="","",后台计算!BU42)</f>
        <v>46002</v>
      </c>
      <c r="P48" s="6">
        <f>IF(D48="","",后台计算!BV42)</f>
        <v>107554</v>
      </c>
      <c r="Q48" s="6">
        <f t="shared" si="1"/>
        <v>107554</v>
      </c>
      <c r="R48" s="6">
        <f t="shared" si="2"/>
        <v>107554</v>
      </c>
      <c r="S48" s="6">
        <f t="shared" si="3"/>
        <v>0</v>
      </c>
      <c r="T48" s="4" t="str">
        <f>IF(D48="","","红:"&amp;IF(后台计算!U42=0,"无",IF(后台计算!U42=1,"雷鸣","极限"))&amp;" 增压"&amp;TEXT(后台计算!W42,"0")&amp;" 弹药"&amp;TEXT(后台计算!X42,"0")&amp;"｜37灵光"&amp;TEXT(后台计算!AB42,"0")&amp;" 启迪"&amp;TEXT(后台计算!AC42,"0")&amp;"｜灵犀"&amp;TEXT(后台计算!AV42,"0")&amp;"｜J燃烧"&amp;TEXT(后台计算!AD42,"0")&amp;" 敌燃烧"&amp;TEXT(后台计算!AE42,"0"))</f>
        <v>红:极限 增压10 弹药5｜37灵光10 启迪0｜灵犀5｜J燃烧24 敌燃烧15</v>
      </c>
      <c r="U48" s="4" t="str">
        <f>IF(D48="","",后台计算!BX42)</f>
        <v/>
      </c>
    </row>
    <row r="49" spans="1:21" ht="50.1" customHeight="1">
      <c r="A49" s="1">
        <f t="shared" si="0"/>
        <v>41</v>
      </c>
      <c r="B49" s="3" t="s">
        <v>80</v>
      </c>
      <c r="C49" s="3">
        <v>9</v>
      </c>
      <c r="D49" s="3" t="s">
        <v>78</v>
      </c>
      <c r="E49" s="3" t="s">
        <v>612</v>
      </c>
      <c r="F49" s="5">
        <v>763752</v>
      </c>
      <c r="G49" s="5"/>
      <c r="H49" s="5">
        <v>305500</v>
      </c>
      <c r="I49" s="5" t="s">
        <v>615</v>
      </c>
      <c r="J49" s="6" t="str">
        <f>IF(D49="","",后台计算!E43)</f>
        <v>红弩箭</v>
      </c>
      <c r="K49" s="6">
        <f>IF(D49="","",后台计算!AY43)</f>
        <v>3493</v>
      </c>
      <c r="L49" s="7">
        <f>IF(D49="","",后台计算!AZ43)</f>
        <v>1</v>
      </c>
      <c r="M49" s="7">
        <f>IF(D49="","",后台计算!BA43)</f>
        <v>3.0650000000000004</v>
      </c>
      <c r="N49" s="4">
        <f>IF(D49="","",后台计算!BG43)</f>
        <v>32</v>
      </c>
      <c r="O49" s="6">
        <f>IF(D49="","",后台计算!BU43)</f>
        <v>360624</v>
      </c>
      <c r="P49" s="6">
        <f>IF(D49="","",后台计算!BV43)</f>
        <v>1069252</v>
      </c>
      <c r="Q49" s="6">
        <f t="shared" si="1"/>
        <v>1069252</v>
      </c>
      <c r="R49" s="6">
        <f t="shared" si="2"/>
        <v>1069252</v>
      </c>
      <c r="S49" s="6">
        <f t="shared" si="3"/>
        <v>0</v>
      </c>
      <c r="T49" s="4" t="str">
        <f>IF(D49="","","红:"&amp;IF(后台计算!U43=0,"无",IF(后台计算!U43=1,"雷鸣","极限"))&amp;" 增压"&amp;TEXT(后台计算!W43,"0")&amp;" 弹药"&amp;TEXT(后台计算!X43,"0")&amp;"｜37灵光"&amp;TEXT(后台计算!AB43,"0")&amp;" 启迪"&amp;TEXT(后台计算!AC43,"0")&amp;"｜灵犀"&amp;TEXT(后台计算!AV43,"0")&amp;"｜J燃烧"&amp;TEXT(后台计算!AD43,"0")&amp;" 敌燃烧"&amp;TEXT(后台计算!AE43,"0"))</f>
        <v>红:极限 增压10 弹药5｜37灵光10 启迪0｜灵犀5｜J燃烧24 敌燃烧15</v>
      </c>
      <c r="U49" s="4" t="str">
        <f>IF(D49="","",后台计算!BX43)</f>
        <v/>
      </c>
    </row>
    <row r="50" spans="1:21" ht="50.1" customHeight="1">
      <c r="A50" s="1">
        <f t="shared" si="0"/>
        <v>42</v>
      </c>
      <c r="B50" s="3" t="s">
        <v>80</v>
      </c>
      <c r="C50" s="3">
        <v>10</v>
      </c>
      <c r="D50" s="3" t="s">
        <v>78</v>
      </c>
      <c r="E50" s="3" t="s">
        <v>612</v>
      </c>
      <c r="F50" s="5">
        <v>343976</v>
      </c>
      <c r="G50" s="5">
        <v>0</v>
      </c>
      <c r="H50" s="5"/>
      <c r="I50" s="5"/>
      <c r="J50" s="6" t="str">
        <f>IF(D50="","",后台计算!E44)</f>
        <v>红弩箭</v>
      </c>
      <c r="K50" s="6">
        <f>IF(D50="","",后台计算!AY44)</f>
        <v>3493</v>
      </c>
      <c r="L50" s="7">
        <f>IF(D50="","",后台计算!AZ44)</f>
        <v>1</v>
      </c>
      <c r="M50" s="7">
        <f>IF(D50="","",后台计算!BA44)</f>
        <v>2.8650000000000002</v>
      </c>
      <c r="N50" s="4">
        <f>IF(D50="","",后台计算!BG44)</f>
        <v>15</v>
      </c>
      <c r="O50" s="6">
        <f>IF(D50="","",后台计算!BU44)</f>
        <v>124403</v>
      </c>
      <c r="P50" s="6">
        <f>IF(D50="","",后台计算!BV44)</f>
        <v>343976</v>
      </c>
      <c r="Q50" s="6">
        <f t="shared" si="1"/>
        <v>343976</v>
      </c>
      <c r="R50" s="6">
        <f t="shared" si="2"/>
        <v>343976</v>
      </c>
      <c r="S50" s="6">
        <f t="shared" si="3"/>
        <v>0</v>
      </c>
      <c r="T50" s="4" t="str">
        <f>IF(D50="","","红:"&amp;IF(后台计算!U44=0,"无",IF(后台计算!U44=1,"雷鸣","极限"))&amp;" 增压"&amp;TEXT(后台计算!W44,"0")&amp;" 弹药"&amp;TEXT(后台计算!X44,"0")&amp;"｜37灵光"&amp;TEXT(后台计算!AB44,"0")&amp;" 启迪"&amp;TEXT(后台计算!AC44,"0")&amp;"｜灵犀"&amp;TEXT(后台计算!AV44,"0")&amp;"｜J燃烧"&amp;TEXT(后台计算!AD44,"0")&amp;" 敌燃烧"&amp;TEXT(后台计算!AE44,"0"))</f>
        <v>红:极限 增压10 弹药6｜37灵光10 启迪0｜灵犀5｜J燃烧24 敌燃烧15</v>
      </c>
      <c r="U50" s="4" t="str">
        <f>IF(D50="","",后台计算!BX44)</f>
        <v/>
      </c>
    </row>
    <row r="51" spans="1:21" ht="50.1" customHeight="1">
      <c r="A51" s="1">
        <f t="shared" si="0"/>
        <v>43</v>
      </c>
      <c r="B51" s="3" t="s">
        <v>80</v>
      </c>
      <c r="C51" s="3">
        <v>11</v>
      </c>
      <c r="D51" s="3" t="s">
        <v>78</v>
      </c>
      <c r="E51" s="3" t="s">
        <v>612</v>
      </c>
      <c r="F51" s="5">
        <v>354093</v>
      </c>
      <c r="G51" s="5">
        <v>0</v>
      </c>
      <c r="H51" s="5"/>
      <c r="I51" s="5"/>
      <c r="J51" s="6" t="str">
        <f>IF(D51="","",后台计算!E45)</f>
        <v>红弩箭</v>
      </c>
      <c r="K51" s="6">
        <f>IF(D51="","",后台计算!AY45)</f>
        <v>3493</v>
      </c>
      <c r="L51" s="7">
        <f>IF(D51="","",后台计算!AZ45)</f>
        <v>1</v>
      </c>
      <c r="M51" s="7">
        <f>IF(D51="","",后台计算!BA45)</f>
        <v>2.8650000000000002</v>
      </c>
      <c r="N51" s="4">
        <f>IF(D51="","",后台计算!BG45)</f>
        <v>15</v>
      </c>
      <c r="O51" s="6">
        <f>IF(D51="","",后台计算!BU45)</f>
        <v>128062</v>
      </c>
      <c r="P51" s="6">
        <f>IF(D51="","",后台计算!BV45)</f>
        <v>354093</v>
      </c>
      <c r="Q51" s="6">
        <f t="shared" si="1"/>
        <v>354093</v>
      </c>
      <c r="R51" s="6">
        <f t="shared" si="2"/>
        <v>354093</v>
      </c>
      <c r="S51" s="6">
        <f t="shared" si="3"/>
        <v>0</v>
      </c>
      <c r="T51" s="4" t="str">
        <f>IF(D51="","","红:"&amp;IF(后台计算!U45=0,"无",IF(后台计算!U45=1,"雷鸣","极限"))&amp;" 增压"&amp;TEXT(后台计算!W45,"0")&amp;" 弹药"&amp;TEXT(后台计算!X45,"0")&amp;"｜37灵光"&amp;TEXT(后台计算!AB45,"0")&amp;" 启迪"&amp;TEXT(后台计算!AC45,"0")&amp;"｜灵犀"&amp;TEXT(后台计算!AV45,"0")&amp;"｜J燃烧"&amp;TEXT(后台计算!AD45,"0")&amp;" 敌燃烧"&amp;TEXT(后台计算!AE45,"0"))</f>
        <v>红:极限 增压10 弹药7｜37灵光10 启迪0｜灵犀5｜J燃烧24 敌燃烧15</v>
      </c>
      <c r="U51" s="4" t="str">
        <f>IF(D51="","",后台计算!BX45)</f>
        <v/>
      </c>
    </row>
    <row r="52" spans="1:21" ht="50.1" customHeight="1">
      <c r="A52" s="1">
        <f t="shared" si="0"/>
        <v>44</v>
      </c>
      <c r="B52" s="3" t="s">
        <v>80</v>
      </c>
      <c r="C52" s="3">
        <v>12</v>
      </c>
      <c r="D52" s="3" t="s">
        <v>121</v>
      </c>
      <c r="E52" s="3" t="s">
        <v>613</v>
      </c>
      <c r="F52" s="5">
        <v>46002</v>
      </c>
      <c r="G52" s="5">
        <v>0</v>
      </c>
      <c r="H52" s="5"/>
      <c r="I52" s="5"/>
      <c r="J52" s="6" t="str">
        <f>IF(D52="","",后台计算!E46)</f>
        <v>37</v>
      </c>
      <c r="K52" s="6">
        <f>IF(D52="","",后台计算!AY46)</f>
        <v>3505</v>
      </c>
      <c r="L52" s="7">
        <f>IF(D52="","",后台计算!AZ46)</f>
        <v>0.76</v>
      </c>
      <c r="M52" s="7">
        <f>IF(D52="","",后台计算!BA46)</f>
        <v>2.4380000000000002</v>
      </c>
      <c r="N52" s="4">
        <f>IF(D52="","",后台计算!BG46)</f>
        <v>8</v>
      </c>
      <c r="O52" s="6">
        <f>IF(D52="","",后台计算!BU46)</f>
        <v>46002</v>
      </c>
      <c r="P52" s="6">
        <f>IF(D52="","",后台计算!BV46)</f>
        <v>107554</v>
      </c>
      <c r="Q52" s="6">
        <f t="shared" si="1"/>
        <v>46002</v>
      </c>
      <c r="R52" s="6">
        <f t="shared" si="2"/>
        <v>46002</v>
      </c>
      <c r="S52" s="6">
        <f t="shared" si="3"/>
        <v>0</v>
      </c>
      <c r="T52" s="4" t="str">
        <f>IF(D52="","","红:"&amp;IF(后台计算!U46=0,"无",IF(后台计算!U46=1,"雷鸣","极限"))&amp;" 增压"&amp;TEXT(后台计算!W46,"0")&amp;" 弹药"&amp;TEXT(后台计算!X46,"0")&amp;"｜37灵光"&amp;TEXT(后台计算!AB46,"0")&amp;" 启迪"&amp;TEXT(后台计算!AC46,"0")&amp;"｜灵犀"&amp;TEXT(后台计算!AV46,"0")&amp;"｜J燃烧"&amp;TEXT(后台计算!AD46,"0")&amp;" 敌燃烧"&amp;TEXT(后台计算!AE46,"0"))</f>
        <v>红:极限 增压10 弹药8｜37灵光10 启迪0｜灵犀5｜J燃烧24 敌燃烧15</v>
      </c>
      <c r="U52" s="4" t="str">
        <f>IF(D52="","",后台计算!BX46)</f>
        <v/>
      </c>
    </row>
    <row r="53" spans="1:21" ht="50.1" customHeight="1">
      <c r="A53" s="1">
        <f t="shared" si="0"/>
        <v>45</v>
      </c>
      <c r="B53" s="3" t="s">
        <v>80</v>
      </c>
      <c r="C53" s="3">
        <v>13</v>
      </c>
      <c r="D53" s="3" t="s">
        <v>78</v>
      </c>
      <c r="E53" s="3" t="s">
        <v>612</v>
      </c>
      <c r="F53" s="5">
        <v>856328</v>
      </c>
      <c r="G53" s="5"/>
      <c r="H53" s="5">
        <v>342531</v>
      </c>
      <c r="I53" s="5" t="s">
        <v>615</v>
      </c>
      <c r="J53" s="6" t="str">
        <f>IF(D53="","",后台计算!E47)</f>
        <v>红弩箭</v>
      </c>
      <c r="K53" s="6">
        <f>IF(D53="","",后台计算!AY47)</f>
        <v>3493</v>
      </c>
      <c r="L53" s="7">
        <f>IF(D53="","",后台计算!AZ47)</f>
        <v>1</v>
      </c>
      <c r="M53" s="7">
        <f>IF(D53="","",后台计算!BA47)</f>
        <v>3.0650000000000004</v>
      </c>
      <c r="N53" s="4">
        <f>IF(D53="","",后台计算!BG47)</f>
        <v>32</v>
      </c>
      <c r="O53" s="6">
        <f>IF(D53="","",后台计算!BU47)</f>
        <v>404336</v>
      </c>
      <c r="P53" s="6">
        <f>IF(D53="","",后台计算!BV47)</f>
        <v>1198859</v>
      </c>
      <c r="Q53" s="6">
        <f t="shared" si="1"/>
        <v>1198859</v>
      </c>
      <c r="R53" s="6">
        <f t="shared" si="2"/>
        <v>1198859</v>
      </c>
      <c r="S53" s="6">
        <f t="shared" si="3"/>
        <v>0</v>
      </c>
      <c r="T53" s="4" t="str">
        <f>IF(D53="","","红:"&amp;IF(后台计算!U47=0,"无",IF(后台计算!U47=1,"雷鸣","极限"))&amp;" 增压"&amp;TEXT(后台计算!W47,"0")&amp;" 弹药"&amp;TEXT(后台计算!X47,"0")&amp;"｜37灵光"&amp;TEXT(后台计算!AB47,"0")&amp;" 启迪"&amp;TEXT(后台计算!AC47,"0")&amp;"｜灵犀"&amp;TEXT(后台计算!AV47,"0")&amp;"｜J燃烧"&amp;TEXT(后台计算!AD47,"0")&amp;" 敌燃烧"&amp;TEXT(后台计算!AE47,"0"))</f>
        <v>红:极限 增压10 弹药8｜37灵光10 启迪0｜灵犀5｜J燃烧24 敌燃烧15</v>
      </c>
      <c r="U53" s="4" t="str">
        <f>IF(D53="","",后台计算!BX47)</f>
        <v/>
      </c>
    </row>
    <row r="54" spans="1:21" ht="50.1" customHeight="1">
      <c r="A54" s="1">
        <f t="shared" si="0"/>
        <v>46</v>
      </c>
      <c r="B54" s="3" t="s">
        <v>80</v>
      </c>
      <c r="C54" s="3">
        <v>14</v>
      </c>
      <c r="D54" s="3" t="s">
        <v>78</v>
      </c>
      <c r="E54" s="3" t="s">
        <v>612</v>
      </c>
      <c r="F54" s="5">
        <v>384444</v>
      </c>
      <c r="G54" s="5">
        <v>0</v>
      </c>
      <c r="H54" s="5"/>
      <c r="I54" s="5"/>
      <c r="J54" s="6" t="str">
        <f>IF(D54="","",后台计算!E48)</f>
        <v>红弩箭</v>
      </c>
      <c r="K54" s="6">
        <f>IF(D54="","",后台计算!AY48)</f>
        <v>3493</v>
      </c>
      <c r="L54" s="7">
        <f>IF(D54="","",后台计算!AZ48)</f>
        <v>1</v>
      </c>
      <c r="M54" s="7">
        <f>IF(D54="","",后台计算!BA48)</f>
        <v>2.8650000000000002</v>
      </c>
      <c r="N54" s="4">
        <f>IF(D54="","",后台计算!BG48)</f>
        <v>15</v>
      </c>
      <c r="O54" s="6">
        <f>IF(D54="","",后台计算!BU48)</f>
        <v>139039</v>
      </c>
      <c r="P54" s="6">
        <f>IF(D54="","",后台计算!BV48)</f>
        <v>384444</v>
      </c>
      <c r="Q54" s="6">
        <f t="shared" si="1"/>
        <v>384444</v>
      </c>
      <c r="R54" s="6">
        <f t="shared" si="2"/>
        <v>384444</v>
      </c>
      <c r="S54" s="6">
        <f t="shared" si="3"/>
        <v>0</v>
      </c>
      <c r="T54" s="4" t="str">
        <f>IF(D54="","","红:"&amp;IF(后台计算!U48=0,"无",IF(后台计算!U48=1,"雷鸣","极限"))&amp;" 增压"&amp;TEXT(后台计算!W48,"0")&amp;" 弹药"&amp;TEXT(后台计算!X48,"0")&amp;"｜37灵光"&amp;TEXT(后台计算!AB48,"0")&amp;" 启迪"&amp;TEXT(后台计算!AC48,"0")&amp;"｜灵犀"&amp;TEXT(后台计算!AV48,"0")&amp;"｜J燃烧"&amp;TEXT(后台计算!AD48,"0")&amp;" 敌燃烧"&amp;TEXT(后台计算!AE48,"0"))</f>
        <v>红:极限 增压10 弹药9｜37灵光10 启迪0｜灵犀5｜J燃烧24 敌燃烧15</v>
      </c>
      <c r="U54" s="4" t="str">
        <f>IF(D54="","",后台计算!BX48)</f>
        <v/>
      </c>
    </row>
    <row r="55" spans="1:21" ht="50.1" customHeight="1">
      <c r="A55" s="1">
        <f t="shared" si="0"/>
        <v>47</v>
      </c>
      <c r="B55" s="3" t="s">
        <v>80</v>
      </c>
      <c r="C55" s="3">
        <v>15</v>
      </c>
      <c r="D55" s="3" t="s">
        <v>121</v>
      </c>
      <c r="E55" s="3" t="s">
        <v>612</v>
      </c>
      <c r="F55" s="5">
        <v>107554</v>
      </c>
      <c r="G55" s="5">
        <v>0</v>
      </c>
      <c r="H55" s="5"/>
      <c r="I55" s="5"/>
      <c r="J55" s="6" t="str">
        <f>IF(D55="","",后台计算!E49)</f>
        <v>37</v>
      </c>
      <c r="K55" s="6">
        <f>IF(D55="","",后台计算!AY49)</f>
        <v>3505</v>
      </c>
      <c r="L55" s="7">
        <f>IF(D55="","",后台计算!AZ49)</f>
        <v>0.76</v>
      </c>
      <c r="M55" s="7">
        <f>IF(D55="","",后台计算!BA49)</f>
        <v>2.4380000000000002</v>
      </c>
      <c r="N55" s="4">
        <f>IF(D55="","",后台计算!BG49)</f>
        <v>8</v>
      </c>
      <c r="O55" s="6">
        <f>IF(D55="","",后台计算!BU49)</f>
        <v>46002</v>
      </c>
      <c r="P55" s="6">
        <f>IF(D55="","",后台计算!BV49)</f>
        <v>107554</v>
      </c>
      <c r="Q55" s="6">
        <f t="shared" si="1"/>
        <v>107554</v>
      </c>
      <c r="R55" s="6">
        <f t="shared" si="2"/>
        <v>107554</v>
      </c>
      <c r="S55" s="6">
        <f t="shared" si="3"/>
        <v>0</v>
      </c>
      <c r="T55" s="4" t="str">
        <f>IF(D55="","","红:"&amp;IF(后台计算!U49=0,"无",IF(后台计算!U49=1,"雷鸣","极限"))&amp;" 增压"&amp;TEXT(后台计算!W49,"0")&amp;" 弹药"&amp;TEXT(后台计算!X49,"0")&amp;"｜37灵光"&amp;TEXT(后台计算!AB49,"0")&amp;" 启迪"&amp;TEXT(后台计算!AC49,"0")&amp;"｜灵犀"&amp;TEXT(后台计算!AV49,"0")&amp;"｜J燃烧"&amp;TEXT(后台计算!AD49,"0")&amp;" 敌燃烧"&amp;TEXT(后台计算!AE49,"0"))</f>
        <v>红:极限 增压10 弹药10｜37灵光10 启迪0｜灵犀5｜J燃烧24 敌燃烧15</v>
      </c>
      <c r="U55" s="4" t="str">
        <f>IF(D55="","",后台计算!BX49)</f>
        <v/>
      </c>
    </row>
    <row r="56" spans="1:21" ht="50.1" customHeight="1">
      <c r="A56" s="1">
        <f t="shared" si="0"/>
        <v>48</v>
      </c>
      <c r="B56" s="3" t="s">
        <v>80</v>
      </c>
      <c r="C56" s="3">
        <v>16</v>
      </c>
      <c r="D56" s="3" t="s">
        <v>121</v>
      </c>
      <c r="E56" s="3" t="s">
        <v>613</v>
      </c>
      <c r="F56" s="5">
        <v>46002</v>
      </c>
      <c r="G56" s="5"/>
      <c r="H56" s="5">
        <v>18400</v>
      </c>
      <c r="I56" s="5" t="s">
        <v>615</v>
      </c>
      <c r="J56" s="6" t="str">
        <f>IF(D56="","",后台计算!E50)</f>
        <v>37</v>
      </c>
      <c r="K56" s="6">
        <f>IF(D56="","",后台计算!AY50)</f>
        <v>3505</v>
      </c>
      <c r="L56" s="7">
        <f>IF(D56="","",后台计算!AZ50)</f>
        <v>0.76</v>
      </c>
      <c r="M56" s="7">
        <f>IF(D56="","",后台计算!BA50)</f>
        <v>2.4380000000000002</v>
      </c>
      <c r="N56" s="4">
        <f>IF(D56="","",后台计算!BG50)</f>
        <v>8</v>
      </c>
      <c r="O56" s="6">
        <f>IF(D56="","",后台计算!BU50)</f>
        <v>64402</v>
      </c>
      <c r="P56" s="6">
        <f>IF(D56="","",后台计算!BV50)</f>
        <v>150575</v>
      </c>
      <c r="Q56" s="6">
        <f t="shared" si="1"/>
        <v>64402</v>
      </c>
      <c r="R56" s="6">
        <f t="shared" si="2"/>
        <v>64402</v>
      </c>
      <c r="S56" s="6">
        <f t="shared" si="3"/>
        <v>0</v>
      </c>
      <c r="T56" s="4" t="str">
        <f>IF(D56="","","红:"&amp;IF(后台计算!U50=0,"无",IF(后台计算!U50=1,"雷鸣","极限"))&amp;" 增压"&amp;TEXT(后台计算!W50,"0")&amp;" 弹药"&amp;TEXT(后台计算!X50,"0")&amp;"｜37灵光"&amp;TEXT(后台计算!AB50,"0")&amp;" 启迪"&amp;TEXT(后台计算!AC50,"0")&amp;"｜灵犀"&amp;TEXT(后台计算!AV50,"0")&amp;"｜J燃烧"&amp;TEXT(后台计算!AD50,"0")&amp;" 敌燃烧"&amp;TEXT(后台计算!AE50,"0"))</f>
        <v>红:极限 增压10 弹药10｜37灵光10 启迪0｜灵犀5｜J燃烧24 敌燃烧15</v>
      </c>
      <c r="U56" s="4" t="str">
        <f>IF(D56="","",后台计算!BX50)</f>
        <v/>
      </c>
    </row>
    <row r="57" spans="1:21" ht="50.1" customHeight="1">
      <c r="A57" s="1">
        <f t="shared" si="0"/>
        <v>49</v>
      </c>
      <c r="B57" s="3" t="s">
        <v>80</v>
      </c>
      <c r="C57" s="3">
        <v>17</v>
      </c>
      <c r="D57" s="3" t="s">
        <v>85</v>
      </c>
      <c r="E57" s="3" t="s">
        <v>612</v>
      </c>
      <c r="F57" s="5">
        <v>2769680</v>
      </c>
      <c r="G57" s="5"/>
      <c r="H57" s="5">
        <v>1107872</v>
      </c>
      <c r="I57" s="5" t="s">
        <v>615</v>
      </c>
      <c r="J57" s="6" t="str">
        <f>IF(D57="","",后台计算!E51)</f>
        <v>红弩箭</v>
      </c>
      <c r="K57" s="6">
        <f>IF(D57="","",后台计算!AY51)</f>
        <v>3493</v>
      </c>
      <c r="L57" s="7">
        <f>IF(D57="","",后台计算!AZ51)</f>
        <v>1</v>
      </c>
      <c r="M57" s="7">
        <f>IF(D57="","",后台计算!BA51)</f>
        <v>3.2650000000000001</v>
      </c>
      <c r="N57" s="4">
        <f>IF(D57="","",后台计算!BG51)</f>
        <v>87.5</v>
      </c>
      <c r="O57" s="6">
        <f>IF(D57="","",后台计算!BU51)</f>
        <v>1225134</v>
      </c>
      <c r="P57" s="6">
        <f>IF(D57="","",后台计算!BV51)</f>
        <v>3877552</v>
      </c>
      <c r="Q57" s="6">
        <f t="shared" si="1"/>
        <v>3877552</v>
      </c>
      <c r="R57" s="6">
        <f t="shared" si="2"/>
        <v>3877552</v>
      </c>
      <c r="S57" s="6">
        <f t="shared" si="3"/>
        <v>0</v>
      </c>
      <c r="T57" s="4" t="str">
        <f>IF(D57="","","红:"&amp;IF(后台计算!U51=0,"无",IF(后台计算!U51=1,"雷鸣","极限"))&amp;" 增压"&amp;TEXT(后台计算!W51,"0")&amp;" 弹药"&amp;TEXT(后台计算!X51,"0")&amp;"｜37灵光"&amp;TEXT(后台计算!AB51,"0")&amp;" 启迪"&amp;TEXT(后台计算!AC51,"0")&amp;"｜灵犀"&amp;TEXT(后台计算!AV51,"0")&amp;"｜J燃烧"&amp;TEXT(后台计算!AD51,"0")&amp;" 敌燃烧"&amp;TEXT(后台计算!AE51,"0"))</f>
        <v>红:极限 增压10 弹药10｜37灵光10 启迪0｜灵犀5｜J燃烧24 敌燃烧15</v>
      </c>
      <c r="U57" s="4" t="str">
        <f>IF(D57="","",后台计算!BX51)</f>
        <v/>
      </c>
    </row>
    <row r="58" spans="1:21" ht="50.1" customHeight="1">
      <c r="A58" s="1">
        <f t="shared" si="0"/>
        <v>50</v>
      </c>
      <c r="B58" s="3" t="s">
        <v>552</v>
      </c>
      <c r="C58" s="3">
        <v>1</v>
      </c>
      <c r="D58" s="3" t="s">
        <v>133</v>
      </c>
      <c r="E58" s="3" t="s">
        <v>611</v>
      </c>
      <c r="F58" s="5"/>
      <c r="G58" s="5"/>
      <c r="H58" s="5"/>
      <c r="I58" s="5"/>
      <c r="J58" s="6" t="str">
        <f>IF(D58="","",后台计算!E52)</f>
        <v>小瑞安侬</v>
      </c>
      <c r="K58" s="6">
        <f>IF(D58="","",后台计算!AY52)</f>
        <v>3798</v>
      </c>
      <c r="L58" s="7">
        <f>IF(D58="","",后台计算!AZ52)</f>
        <v>0.55499999999999994</v>
      </c>
      <c r="M58" s="7">
        <f>IF(D58="","",后台计算!BA52)</f>
        <v>1.79</v>
      </c>
      <c r="N58" s="4">
        <f>IF(D58="","",后台计算!BG52)</f>
        <v>0</v>
      </c>
      <c r="O58" s="6">
        <f>IF(D58="","",后台计算!BU52)</f>
        <v>0</v>
      </c>
      <c r="P58" s="6">
        <f>IF(D58="","",后台计算!BV52)</f>
        <v>0</v>
      </c>
      <c r="Q58" s="6" t="str">
        <f t="shared" si="1"/>
        <v/>
      </c>
      <c r="R58" s="6" t="str">
        <f t="shared" si="2"/>
        <v/>
      </c>
      <c r="S58" s="6" t="str">
        <f t="shared" si="3"/>
        <v/>
      </c>
      <c r="T58" s="4" t="str">
        <f>IF(D58="","","红:"&amp;IF(后台计算!U52=0,"无",IF(后台计算!U52=1,"雷鸣","极限"))&amp;" 增压"&amp;TEXT(后台计算!W52,"0")&amp;" 弹药"&amp;TEXT(后台计算!X52,"0")&amp;"｜37灵光"&amp;TEXT(后台计算!AB52,"0")&amp;" 启迪"&amp;TEXT(后台计算!AC52,"0")&amp;"｜灵犀"&amp;TEXT(后台计算!AV52,"0")&amp;"｜J燃烧"&amp;TEXT(后台计算!AD52,"0")&amp;" 敌燃烧"&amp;TEXT(后台计算!AE52,"0"))</f>
        <v>红:无 增压0 弹药11｜37灵光10 启迪0｜灵犀5｜J燃烧24 敌燃烧15</v>
      </c>
      <c r="U58" s="4" t="str">
        <f>IF(D58="","",后台计算!BX52)</f>
        <v/>
      </c>
    </row>
    <row r="59" spans="1:21" ht="50.1" customHeight="1">
      <c r="A59" s="1">
        <f t="shared" si="0"/>
        <v>51</v>
      </c>
      <c r="B59" s="3" t="s">
        <v>552</v>
      </c>
      <c r="C59" s="3">
        <v>2</v>
      </c>
      <c r="D59" s="3" t="s">
        <v>110</v>
      </c>
      <c r="E59" s="3" t="s">
        <v>612</v>
      </c>
      <c r="F59" s="5">
        <v>5953</v>
      </c>
      <c r="G59" s="5">
        <v>0</v>
      </c>
      <c r="H59" s="5"/>
      <c r="I59" s="5"/>
      <c r="J59" s="6" t="str">
        <f>IF(D59="","",后台计算!E53)</f>
        <v>37</v>
      </c>
      <c r="K59" s="6">
        <f>IF(D59="","",后台计算!AY53)</f>
        <v>3505</v>
      </c>
      <c r="L59" s="7">
        <f>IF(D59="","",后台计算!AZ53)</f>
        <v>0.76</v>
      </c>
      <c r="M59" s="7">
        <f>IF(D59="","",后台计算!BA53)</f>
        <v>2.4380000000000002</v>
      </c>
      <c r="N59" s="4">
        <f>IF(D59="","",后台计算!BG53)</f>
        <v>3</v>
      </c>
      <c r="O59" s="6">
        <f>IF(D59="","",后台计算!BU53)</f>
        <v>2546</v>
      </c>
      <c r="P59" s="6">
        <f>IF(D59="","",后台计算!BV53)</f>
        <v>5953</v>
      </c>
      <c r="Q59" s="6">
        <f t="shared" si="1"/>
        <v>5953</v>
      </c>
      <c r="R59" s="6">
        <f t="shared" si="2"/>
        <v>5953</v>
      </c>
      <c r="S59" s="6">
        <f t="shared" si="3"/>
        <v>0</v>
      </c>
      <c r="T59" s="4" t="str">
        <f>IF(D59="","","红:"&amp;IF(后台计算!U53=0,"无",IF(后台计算!U53=1,"雷鸣","极限"))&amp;" 增压"&amp;TEXT(后台计算!W53,"0")&amp;" 弹药"&amp;TEXT(后台计算!X53,"0")&amp;"｜37灵光"&amp;TEXT(后台计算!AB53,"0")&amp;" 启迪"&amp;TEXT(后台计算!AC53,"0")&amp;"｜灵犀"&amp;TEXT(后台计算!AV53,"0")&amp;"｜J燃烧"&amp;TEXT(后台计算!AD53,"0")&amp;" 敌燃烧"&amp;TEXT(后台计算!AE53,"0"))</f>
        <v>红:无 增压0 弹药11｜37灵光10 启迪0｜灵犀5｜J燃烧24 敌燃烧15</v>
      </c>
      <c r="U59" s="4" t="str">
        <f>IF(D59="","",后台计算!BX53)</f>
        <v/>
      </c>
    </row>
    <row r="60" spans="1:21" ht="50.1" customHeight="1">
      <c r="A60" s="1">
        <f t="shared" si="0"/>
        <v>52</v>
      </c>
      <c r="B60" s="3" t="s">
        <v>552</v>
      </c>
      <c r="C60" s="3">
        <v>3</v>
      </c>
      <c r="D60" s="3" t="s">
        <v>124</v>
      </c>
      <c r="E60" s="3" t="s">
        <v>613</v>
      </c>
      <c r="F60" s="5">
        <v>1294</v>
      </c>
      <c r="G60" s="5">
        <v>0</v>
      </c>
      <c r="H60" s="5"/>
      <c r="I60" s="5"/>
      <c r="J60" s="6" t="str">
        <f>IF(D60="","",后台计算!E54)</f>
        <v>小瑞安侬</v>
      </c>
      <c r="K60" s="6">
        <f>IF(D60="","",后台计算!AY54)</f>
        <v>3798</v>
      </c>
      <c r="L60" s="7">
        <f>IF(D60="","",后台计算!AZ54)</f>
        <v>0.55499999999999994</v>
      </c>
      <c r="M60" s="7">
        <f>IF(D60="","",后台计算!BA54)</f>
        <v>1.79</v>
      </c>
      <c r="N60" s="4">
        <f>IF(D60="","",后台计算!BG54)</f>
        <v>4</v>
      </c>
      <c r="O60" s="6">
        <f>IF(D60="","",后台计算!BU54)</f>
        <v>1294</v>
      </c>
      <c r="P60" s="6">
        <f>IF(D60="","",后台计算!BV54)</f>
        <v>2187</v>
      </c>
      <c r="Q60" s="6">
        <f t="shared" si="1"/>
        <v>1294</v>
      </c>
      <c r="R60" s="6">
        <f t="shared" si="2"/>
        <v>1294</v>
      </c>
      <c r="S60" s="6">
        <f t="shared" si="3"/>
        <v>0</v>
      </c>
      <c r="T60" s="4" t="str">
        <f>IF(D60="","","红:"&amp;IF(后台计算!U54=0,"无",IF(后台计算!U54=1,"雷鸣","极限"))&amp;" 增压"&amp;TEXT(后台计算!W54,"0")&amp;" 弹药"&amp;TEXT(后台计算!X54,"0")&amp;"｜37灵光"&amp;TEXT(后台计算!AB54,"0")&amp;" 启迪"&amp;TEXT(后台计算!AC54,"0")&amp;"｜灵犀"&amp;TEXT(后台计算!AV54,"0")&amp;"｜J燃烧"&amp;TEXT(后台计算!AD54,"0")&amp;" 敌燃烧"&amp;TEXT(后台计算!AE54,"0"))</f>
        <v>红:无 增压0 弹药11｜37灵光5 启迪0｜灵犀5｜J燃烧24 敌燃烧15</v>
      </c>
      <c r="U60" s="4" t="str">
        <f>IF(D60="","",后台计算!BX54)</f>
        <v/>
      </c>
    </row>
    <row r="61" spans="1:21" ht="50.1" customHeight="1">
      <c r="A61" s="1">
        <f t="shared" si="0"/>
        <v>53</v>
      </c>
      <c r="B61" s="3" t="s">
        <v>552</v>
      </c>
      <c r="C61" s="3">
        <v>4</v>
      </c>
      <c r="D61" s="3" t="s">
        <v>110</v>
      </c>
      <c r="E61" s="3" t="s">
        <v>613</v>
      </c>
      <c r="F61" s="5">
        <v>2587</v>
      </c>
      <c r="G61" s="5">
        <v>0</v>
      </c>
      <c r="H61" s="5"/>
      <c r="I61" s="5"/>
      <c r="J61" s="6" t="str">
        <f>IF(D61="","",后台计算!E55)</f>
        <v>37</v>
      </c>
      <c r="K61" s="6">
        <f>IF(D61="","",后台计算!AY55)</f>
        <v>3505</v>
      </c>
      <c r="L61" s="7">
        <f>IF(D61="","",后台计算!AZ55)</f>
        <v>0.76</v>
      </c>
      <c r="M61" s="7">
        <f>IF(D61="","",后台计算!BA55)</f>
        <v>2.4380000000000002</v>
      </c>
      <c r="N61" s="4">
        <f>IF(D61="","",后台计算!BG55)</f>
        <v>3</v>
      </c>
      <c r="O61" s="6">
        <f>IF(D61="","",后台计算!BU55)</f>
        <v>2587</v>
      </c>
      <c r="P61" s="6">
        <f>IF(D61="","",后台计算!BV55)</f>
        <v>6048</v>
      </c>
      <c r="Q61" s="6">
        <f t="shared" si="1"/>
        <v>2587</v>
      </c>
      <c r="R61" s="6">
        <f t="shared" si="2"/>
        <v>2587</v>
      </c>
      <c r="S61" s="6">
        <f t="shared" si="3"/>
        <v>0</v>
      </c>
      <c r="T61" s="4" t="str">
        <f>IF(D61="","","红:"&amp;IF(后台计算!U55=0,"无",IF(后台计算!U55=1,"雷鸣","极限"))&amp;" 增压"&amp;TEXT(后台计算!W55,"0")&amp;" 弹药"&amp;TEXT(后台计算!X55,"0")&amp;"｜37灵光"&amp;TEXT(后台计算!AB55,"0")&amp;" 启迪"&amp;TEXT(后台计算!AC55,"0")&amp;"｜灵犀"&amp;TEXT(后台计算!AV55,"0")&amp;"｜J燃烧"&amp;TEXT(后台计算!AD55,"0")&amp;" 敌燃烧"&amp;TEXT(后台计算!AE55,"0"))</f>
        <v>红:无 增压0 弹药11｜37灵光6 启迪0｜灵犀5｜J燃烧24 敌燃烧15</v>
      </c>
      <c r="U61" s="4" t="str">
        <f>IF(D61="","",后台计算!BX55)</f>
        <v/>
      </c>
    </row>
    <row r="62" spans="1:21" ht="50.1" customHeight="1">
      <c r="A62" s="1">
        <f t="shared" si="0"/>
        <v>54</v>
      </c>
      <c r="B62" s="3" t="s">
        <v>552</v>
      </c>
      <c r="C62" s="3">
        <v>5</v>
      </c>
      <c r="D62" s="3" t="s">
        <v>106</v>
      </c>
      <c r="E62" s="3" t="s">
        <v>613</v>
      </c>
      <c r="F62" s="5">
        <v>2414</v>
      </c>
      <c r="G62" s="5">
        <v>0</v>
      </c>
      <c r="H62" s="5"/>
      <c r="I62" s="5"/>
      <c r="J62" s="6" t="str">
        <f>IF(D62="","",后台计算!E56)</f>
        <v>37</v>
      </c>
      <c r="K62" s="6">
        <f>IF(D62="","",后台计算!AY56)</f>
        <v>3505</v>
      </c>
      <c r="L62" s="7">
        <f>IF(D62="","",后台计算!AZ56)</f>
        <v>0.76</v>
      </c>
      <c r="M62" s="7">
        <f>IF(D62="","",后台计算!BA56)</f>
        <v>2.4380000000000002</v>
      </c>
      <c r="N62" s="4">
        <f>IF(D62="","",后台计算!BG56)</f>
        <v>2.1</v>
      </c>
      <c r="O62" s="6">
        <f>IF(D62="","",后台计算!BU56)</f>
        <v>2414</v>
      </c>
      <c r="P62" s="6">
        <f>IF(D62="","",后台计算!BV56)</f>
        <v>5645</v>
      </c>
      <c r="Q62" s="6">
        <f t="shared" si="1"/>
        <v>2414</v>
      </c>
      <c r="R62" s="6">
        <f t="shared" si="2"/>
        <v>2414</v>
      </c>
      <c r="S62" s="6">
        <f t="shared" si="3"/>
        <v>0</v>
      </c>
      <c r="T62" s="4" t="str">
        <f>IF(D62="","","红:"&amp;IF(后台计算!U56=0,"无",IF(后台计算!U56=1,"雷鸣","极限"))&amp;" 增压"&amp;TEXT(后台计算!W56,"0")&amp;" 弹药"&amp;TEXT(后台计算!X56,"0")&amp;"｜37灵光"&amp;TEXT(后台计算!AB56,"0")&amp;" 启迪"&amp;TEXT(后台计算!AC56,"0")&amp;"｜灵犀"&amp;TEXT(后台计算!AV56,"0")&amp;"｜J燃烧"&amp;TEXT(后台计算!AD56,"0")&amp;" 敌燃烧"&amp;TEXT(后台计算!AE56,"0"))</f>
        <v>红:无 增压0 弹药11｜37灵光1 启迪0｜灵犀5｜J燃烧24 敌燃烧15</v>
      </c>
      <c r="U62" s="4" t="str">
        <f>IF(D62="","",后台计算!BX56)</f>
        <v/>
      </c>
    </row>
    <row r="63" spans="1:21" ht="50.1" customHeight="1">
      <c r="A63" s="1">
        <f t="shared" si="0"/>
        <v>55</v>
      </c>
      <c r="B63" s="3" t="s">
        <v>552</v>
      </c>
      <c r="C63" s="3">
        <v>6</v>
      </c>
      <c r="D63" s="3" t="s">
        <v>150</v>
      </c>
      <c r="E63" s="3" t="s">
        <v>613</v>
      </c>
      <c r="F63" s="5">
        <v>1362</v>
      </c>
      <c r="G63" s="5">
        <v>0</v>
      </c>
      <c r="H63" s="5"/>
      <c r="I63" s="5"/>
      <c r="J63" s="6" t="str">
        <f>IF(D63="","",后台计算!E57)</f>
        <v>J</v>
      </c>
      <c r="K63" s="6">
        <f>IF(D63="","",后台计算!AY57)</f>
        <v>3101</v>
      </c>
      <c r="L63" s="7">
        <f>IF(D63="","",后台计算!AZ57)</f>
        <v>0.66700000000000004</v>
      </c>
      <c r="M63" s="7">
        <f>IF(D63="","",后台计算!BA57)</f>
        <v>1.9570000000000001</v>
      </c>
      <c r="N63" s="4">
        <f>IF(D63="","",后台计算!BG57)</f>
        <v>5.4</v>
      </c>
      <c r="O63" s="6">
        <f>IF(D63="","",后台计算!BU57)</f>
        <v>1362</v>
      </c>
      <c r="P63" s="6">
        <f>IF(D63="","",后台计算!BV57)</f>
        <v>2530</v>
      </c>
      <c r="Q63" s="6">
        <f t="shared" si="1"/>
        <v>1362</v>
      </c>
      <c r="R63" s="6">
        <f t="shared" si="2"/>
        <v>1362</v>
      </c>
      <c r="S63" s="6">
        <f t="shared" si="3"/>
        <v>0</v>
      </c>
      <c r="T63" s="4" t="str">
        <f>IF(D63="","","红:"&amp;IF(后台计算!U57=0,"无",IF(后台计算!U57=1,"雷鸣","极限"))&amp;" 增压"&amp;TEXT(后台计算!W57,"0")&amp;" 弹药"&amp;TEXT(后台计算!X57,"0")&amp;"｜37灵光"&amp;TEXT(后台计算!AB57,"0")&amp;" 启迪"&amp;TEXT(后台计算!AC57,"0")&amp;"｜灵犀"&amp;TEXT(后台计算!AV57,"0")&amp;"｜J燃烧"&amp;TEXT(后台计算!AD57,"0")&amp;" 敌燃烧"&amp;TEXT(后台计算!AE57,"0"))</f>
        <v>红:无 增压0 弹药11｜37灵光2 启迪0｜灵犀5｜J燃烧24 敌燃烧15</v>
      </c>
      <c r="U63" s="4" t="str">
        <f>IF(D63="","",后台计算!BX57)</f>
        <v/>
      </c>
    </row>
    <row r="64" spans="1:21" ht="50.1" customHeight="1">
      <c r="A64" s="1">
        <f t="shared" si="0"/>
        <v>56</v>
      </c>
      <c r="B64" s="3" t="s">
        <v>552</v>
      </c>
      <c r="C64" s="3">
        <v>7</v>
      </c>
      <c r="D64" s="3" t="s">
        <v>580</v>
      </c>
      <c r="E64" s="3" t="s">
        <v>611</v>
      </c>
      <c r="F64" s="5"/>
      <c r="G64" s="5"/>
      <c r="H64" s="5"/>
      <c r="I64" s="5" t="s">
        <v>616</v>
      </c>
      <c r="J64" s="6" t="str">
        <f>IF(D64="","",后台计算!E58)</f>
        <v>红弩箭</v>
      </c>
      <c r="K64" s="6">
        <f>IF(D64="","",后台计算!AY58)</f>
        <v>3493</v>
      </c>
      <c r="L64" s="7">
        <f>IF(D64="","",后台计算!AZ58)</f>
        <v>1</v>
      </c>
      <c r="M64" s="7">
        <f>IF(D64="","",后台计算!BA58)</f>
        <v>2.2650000000000001</v>
      </c>
      <c r="N64" s="4">
        <f>IF(D64="","",后台计算!BG58)</f>
        <v>0</v>
      </c>
      <c r="O64" s="6">
        <f>IF(D64="","",后台计算!BU58)</f>
        <v>0</v>
      </c>
      <c r="P64" s="6">
        <f>IF(D64="","",后台计算!BV58)</f>
        <v>0</v>
      </c>
      <c r="Q64" s="6" t="str">
        <f t="shared" si="1"/>
        <v/>
      </c>
      <c r="R64" s="6" t="str">
        <f t="shared" si="2"/>
        <v/>
      </c>
      <c r="S64" s="6" t="str">
        <f t="shared" si="3"/>
        <v/>
      </c>
      <c r="T64" s="4" t="str">
        <f>IF(D64="","","红:"&amp;IF(后台计算!U58=0,"无",IF(后台计算!U58=1,"雷鸣","极限"))&amp;" 增压"&amp;TEXT(后台计算!W58,"0")&amp;" 弹药"&amp;TEXT(后台计算!X58,"0")&amp;"｜37灵光"&amp;TEXT(后台计算!AB58,"0")&amp;" 启迪"&amp;TEXT(后台计算!AC58,"0")&amp;"｜灵犀"&amp;TEXT(后台计算!AV58,"0")&amp;"｜J燃烧"&amp;TEXT(后台计算!AD58,"0")&amp;" 敌燃烧"&amp;TEXT(后台计算!AE58,"0"))</f>
        <v>红:无 增压0 弹药11｜37灵光3 启迪0｜灵犀5｜J燃烧30 敌燃烧21</v>
      </c>
      <c r="U64" s="4" t="str">
        <f>IF(D64="","",后台计算!BX58)</f>
        <v/>
      </c>
    </row>
    <row r="65" spans="1:21" ht="50.1" customHeight="1">
      <c r="A65" s="1">
        <f t="shared" si="0"/>
        <v>57</v>
      </c>
      <c r="B65" s="3" t="s">
        <v>552</v>
      </c>
      <c r="C65" s="3">
        <v>8</v>
      </c>
      <c r="D65" s="3" t="s">
        <v>145</v>
      </c>
      <c r="E65" s="3" t="s">
        <v>613</v>
      </c>
      <c r="F65" s="5">
        <v>2888</v>
      </c>
      <c r="G65" s="5">
        <v>0</v>
      </c>
      <c r="H65" s="5"/>
      <c r="I65" s="5"/>
      <c r="J65" s="6" t="str">
        <f>IF(D65="","",后台计算!E59)</f>
        <v>J</v>
      </c>
      <c r="K65" s="6">
        <f>IF(D65="","",后台计算!AY59)</f>
        <v>3215</v>
      </c>
      <c r="L65" s="7">
        <f>IF(D65="","",后台计算!AZ59)</f>
        <v>0.66700000000000004</v>
      </c>
      <c r="M65" s="7">
        <f>IF(D65="","",后台计算!BA59)</f>
        <v>1.9570000000000001</v>
      </c>
      <c r="N65" s="4">
        <f>IF(D65="","",后台计算!BG59)</f>
        <v>3.6</v>
      </c>
      <c r="O65" s="6">
        <f>IF(D65="","",后台计算!BU59)</f>
        <v>2888</v>
      </c>
      <c r="P65" s="6">
        <f>IF(D65="","",后台计算!BV59)</f>
        <v>5364</v>
      </c>
      <c r="Q65" s="6">
        <f t="shared" si="1"/>
        <v>2888</v>
      </c>
      <c r="R65" s="6">
        <f t="shared" si="2"/>
        <v>2888</v>
      </c>
      <c r="S65" s="6">
        <f t="shared" si="3"/>
        <v>0</v>
      </c>
      <c r="T65" s="4" t="str">
        <f>IF(D65="","","红:"&amp;IF(后台计算!U59=0,"无",IF(后台计算!U59=1,"雷鸣","极限"))&amp;" 增压"&amp;TEXT(后台计算!W59,"0")&amp;" 弹药"&amp;TEXT(后台计算!X59,"0")&amp;"｜37灵光"&amp;TEXT(后台计算!AB59,"0")&amp;" 启迪"&amp;TEXT(后台计算!AC59,"0")&amp;"｜灵犀"&amp;TEXT(后台计算!AV59,"0")&amp;"｜J燃烧"&amp;TEXT(后台计算!AD59,"0")&amp;" 敌燃烧"&amp;TEXT(后台计算!AE59,"0"))</f>
        <v>红:雷鸣 增压0 弹药11｜37灵光4 启迪0｜灵犀5｜J燃烧30 敌燃烧21</v>
      </c>
      <c r="U65" s="4" t="str">
        <f>IF(D65="","",后台计算!BX59)</f>
        <v/>
      </c>
    </row>
    <row r="66" spans="1:21" ht="50.1" customHeight="1">
      <c r="A66" s="1">
        <f t="shared" si="0"/>
        <v>58</v>
      </c>
      <c r="B66" s="3" t="s">
        <v>552</v>
      </c>
      <c r="C66" s="3">
        <v>9</v>
      </c>
      <c r="D66" s="3" t="s">
        <v>110</v>
      </c>
      <c r="E66" s="3" t="s">
        <v>612</v>
      </c>
      <c r="F66" s="5">
        <v>6048</v>
      </c>
      <c r="G66" s="5">
        <v>0</v>
      </c>
      <c r="H66" s="5"/>
      <c r="I66" s="5"/>
      <c r="J66" s="6" t="str">
        <f>IF(D66="","",后台计算!E60)</f>
        <v>37</v>
      </c>
      <c r="K66" s="6">
        <f>IF(D66="","",后台计算!AY60)</f>
        <v>3505</v>
      </c>
      <c r="L66" s="7">
        <f>IF(D66="","",后台计算!AZ60)</f>
        <v>0.76</v>
      </c>
      <c r="M66" s="7">
        <f>IF(D66="","",后台计算!BA60)</f>
        <v>2.4380000000000002</v>
      </c>
      <c r="N66" s="4">
        <f>IF(D66="","",后台计算!BG60)</f>
        <v>3</v>
      </c>
      <c r="O66" s="6">
        <f>IF(D66="","",后台计算!BU60)</f>
        <v>2587</v>
      </c>
      <c r="P66" s="6">
        <f>IF(D66="","",后台计算!BV60)</f>
        <v>6048</v>
      </c>
      <c r="Q66" s="6">
        <f t="shared" si="1"/>
        <v>6048</v>
      </c>
      <c r="R66" s="6">
        <f t="shared" si="2"/>
        <v>6048</v>
      </c>
      <c r="S66" s="6">
        <f t="shared" si="3"/>
        <v>0</v>
      </c>
      <c r="T66" s="4" t="str">
        <f>IF(D66="","","红:"&amp;IF(后台计算!U60=0,"无",IF(后台计算!U60=1,"雷鸣","极限"))&amp;" 增压"&amp;TEXT(后台计算!W60,"0")&amp;" 弹药"&amp;TEXT(后台计算!X60,"0")&amp;"｜37灵光"&amp;TEXT(后台计算!AB60,"0")&amp;" 启迪"&amp;TEXT(后台计算!AC60,"0")&amp;"｜灵犀"&amp;TEXT(后台计算!AV60,"0")&amp;"｜J燃烧"&amp;TEXT(后台计算!AD60,"0")&amp;" 敌燃烧"&amp;TEXT(后台计算!AE60,"0"))</f>
        <v>红:雷鸣 增压0 弹药11｜37灵光5 启迪0｜灵犀5｜J燃烧35 敌燃烧27</v>
      </c>
      <c r="U66" s="4" t="str">
        <f>IF(D66="","",后台计算!BX60)</f>
        <v/>
      </c>
    </row>
    <row r="67" spans="1:21" ht="50.1" customHeight="1">
      <c r="A67" s="1">
        <f t="shared" si="0"/>
        <v>59</v>
      </c>
      <c r="B67" s="3" t="s">
        <v>552</v>
      </c>
      <c r="C67" s="3">
        <v>10</v>
      </c>
      <c r="D67" s="3" t="s">
        <v>141</v>
      </c>
      <c r="E67" s="3" t="s">
        <v>612</v>
      </c>
      <c r="F67" s="5">
        <v>12495</v>
      </c>
      <c r="G67" s="5">
        <v>0</v>
      </c>
      <c r="H67" s="5"/>
      <c r="I67" s="5"/>
      <c r="J67" s="6" t="str">
        <f>IF(D67="","",后台计算!E61)</f>
        <v>小瑞安侬</v>
      </c>
      <c r="K67" s="6">
        <f>IF(D67="","",后台计算!AY61)</f>
        <v>3798</v>
      </c>
      <c r="L67" s="7">
        <f>IF(D67="","",后台计算!AZ61)</f>
        <v>0.55499999999999994</v>
      </c>
      <c r="M67" s="7">
        <f>IF(D67="","",后台计算!BA61)</f>
        <v>1.79</v>
      </c>
      <c r="N67" s="4">
        <f>IF(D67="","",后台计算!BG61)</f>
        <v>22.5</v>
      </c>
      <c r="O67" s="6">
        <f>IF(D67="","",后台计算!BU61)</f>
        <v>7394</v>
      </c>
      <c r="P67" s="6">
        <f>IF(D67="","",后台计算!BV61)</f>
        <v>12495</v>
      </c>
      <c r="Q67" s="6">
        <f t="shared" si="1"/>
        <v>12495</v>
      </c>
      <c r="R67" s="6">
        <f t="shared" si="2"/>
        <v>12495</v>
      </c>
      <c r="S67" s="6">
        <f t="shared" si="3"/>
        <v>0</v>
      </c>
      <c r="T67" s="4" t="str">
        <f>IF(D67="","","红:"&amp;IF(后台计算!U61=0,"无",IF(后台计算!U61=1,"雷鸣","极限"))&amp;" 增压"&amp;TEXT(后台计算!W61,"0")&amp;" 弹药"&amp;TEXT(后台计算!X61,"0")&amp;"｜37灵光"&amp;TEXT(后台计算!AB61,"0")&amp;" 启迪"&amp;TEXT(后台计算!AC61,"0")&amp;"｜灵犀"&amp;TEXT(后台计算!AV61,"0")&amp;"｜J燃烧"&amp;TEXT(后台计算!AD61,"0")&amp;" 敌燃烧"&amp;TEXT(后台计算!AE61,"0"))</f>
        <v>红:雷鸣 增压0 弹药11｜37灵光0 启迪0｜灵犀5｜J燃烧35 敌燃烧27</v>
      </c>
      <c r="U67" s="4" t="str">
        <f>IF(D67="","",后台计算!BX61)</f>
        <v/>
      </c>
    </row>
    <row r="68" spans="1:21" ht="50.1" customHeight="1">
      <c r="A68" s="1">
        <f t="shared" si="0"/>
        <v>60</v>
      </c>
      <c r="B68" s="3" t="s">
        <v>552</v>
      </c>
      <c r="C68" s="3">
        <v>11</v>
      </c>
      <c r="D68" s="3" t="s">
        <v>582</v>
      </c>
      <c r="E68" s="3" t="s">
        <v>611</v>
      </c>
      <c r="F68" s="5"/>
      <c r="G68" s="5"/>
      <c r="H68" s="5"/>
      <c r="I68" s="5" t="s">
        <v>617</v>
      </c>
      <c r="J68" s="13" t="str">
        <f>IF(D68="","",后台计算!E62)</f>
        <v>系统</v>
      </c>
      <c r="K68" s="13">
        <f>IF(D68="","",后台计算!AY62)</f>
        <v>0</v>
      </c>
      <c r="L68" s="14">
        <f>IF(D68="","",后台计算!AZ62)</f>
        <v>0</v>
      </c>
      <c r="M68" s="14">
        <f>IF(D68="","",后台计算!BA62)</f>
        <v>0.24</v>
      </c>
      <c r="N68" s="15">
        <f>IF(D68="","",后台计算!BG62)</f>
        <v>0</v>
      </c>
      <c r="O68" s="13">
        <f>IF(D68="","",后台计算!BU62)</f>
        <v>0</v>
      </c>
      <c r="P68" s="13">
        <f>IF(D68="","",后台计算!BV62)</f>
        <v>0</v>
      </c>
      <c r="Q68" s="13" t="str">
        <f t="shared" si="1"/>
        <v/>
      </c>
      <c r="R68" s="13" t="str">
        <f t="shared" si="2"/>
        <v/>
      </c>
      <c r="S68" s="13" t="str">
        <f t="shared" si="3"/>
        <v/>
      </c>
      <c r="T68" s="15" t="str">
        <f>IF(D68="","","红:"&amp;IF(后台计算!U62=0,"无",IF(后台计算!U62=1,"雷鸣","极限"))&amp;" 增压"&amp;TEXT(后台计算!W62,"0")&amp;" 弹药"&amp;TEXT(后台计算!X62,"0")&amp;"｜37灵光"&amp;TEXT(后台计算!AB62,"0")&amp;" 启迪"&amp;TEXT(后台计算!AC62,"0")&amp;"｜灵犀"&amp;TEXT(后台计算!AV62,"0")&amp;"｜J燃烧"&amp;TEXT(后台计算!AD62,"0")&amp;" 敌燃烧"&amp;TEXT(后台计算!AE62,"0"))</f>
        <v>红:雷鸣 增压0 弹药11｜37灵光1 启迪0｜灵犀5｜J燃烧35 敌燃烧27</v>
      </c>
      <c r="U68" s="15" t="str">
        <f>IF(D68="","",后台计算!BX62)</f>
        <v/>
      </c>
    </row>
    <row r="69" spans="1:21" ht="50.1" customHeight="1">
      <c r="A69" s="1">
        <f t="shared" si="0"/>
        <v>61</v>
      </c>
      <c r="B69" s="3">
        <v>4</v>
      </c>
      <c r="C69" s="3">
        <v>1</v>
      </c>
      <c r="D69" s="3" t="s">
        <v>137</v>
      </c>
      <c r="E69" s="3" t="s">
        <v>611</v>
      </c>
      <c r="F69" s="5"/>
      <c r="G69" s="5"/>
      <c r="H69" s="5"/>
      <c r="I69" s="5"/>
      <c r="J69" s="6" t="str">
        <f>IF(D69="","",后台计算!E63)</f>
        <v>小瑞安侬</v>
      </c>
      <c r="K69" s="6">
        <f>IF(D69="","",后台计算!AY63)</f>
        <v>3298</v>
      </c>
      <c r="L69" s="7">
        <f>IF(D69="","",后台计算!AZ63)</f>
        <v>0.55499999999999994</v>
      </c>
      <c r="M69" s="7">
        <f>IF(D69="","",后台计算!BA63)</f>
        <v>1.79</v>
      </c>
      <c r="N69" s="4">
        <f>IF(D69="","",后台计算!BG63)</f>
        <v>0</v>
      </c>
      <c r="O69" s="6">
        <f>IF(D69="","",后台计算!BU63)</f>
        <v>0</v>
      </c>
      <c r="P69" s="6">
        <f>IF(D69="","",后台计算!BV63)</f>
        <v>0</v>
      </c>
      <c r="Q69" s="6" t="str">
        <f t="shared" si="1"/>
        <v/>
      </c>
      <c r="R69" s="6" t="str">
        <f t="shared" si="2"/>
        <v/>
      </c>
      <c r="S69" s="6" t="str">
        <f t="shared" si="3"/>
        <v/>
      </c>
      <c r="T69" s="4" t="str">
        <f>IF(D69="","","红:"&amp;IF(后台计算!U63=0,"无",IF(后台计算!U63=1,"雷鸣","极限"))&amp;" 增压"&amp;TEXT(后台计算!W63,"0")&amp;" 弹药"&amp;TEXT(后台计算!X63,"0")&amp;"｜37灵光"&amp;TEXT(后台计算!AB63,"0")&amp;" 启迪"&amp;TEXT(后台计算!AC63,"0")&amp;"｜灵犀"&amp;TEXT(后台计算!AV63,"0")&amp;"｜J燃烧"&amp;TEXT(后台计算!AD63,"0")&amp;" 敌燃烧"&amp;TEXT(后台计算!AE63,"0"))</f>
        <v>红:雷鸣 增压3 弹药11｜37灵光1 启迪0｜灵犀5｜J燃烧35 敌燃烧13</v>
      </c>
      <c r="U69" s="4" t="str">
        <f>IF(D69="","",后台计算!BX63)</f>
        <v/>
      </c>
    </row>
    <row r="70" spans="1:21" ht="50.1" customHeight="1">
      <c r="A70" s="1">
        <f t="shared" si="0"/>
        <v>62</v>
      </c>
      <c r="B70" s="3">
        <v>4</v>
      </c>
      <c r="C70" s="3">
        <v>2</v>
      </c>
      <c r="D70" s="3" t="s">
        <v>133</v>
      </c>
      <c r="E70" s="3" t="s">
        <v>611</v>
      </c>
      <c r="F70" s="5"/>
      <c r="G70" s="5"/>
      <c r="H70" s="5"/>
      <c r="I70" s="5"/>
      <c r="J70" s="6" t="str">
        <f>IF(D70="","",后台计算!E64)</f>
        <v>小瑞安侬</v>
      </c>
      <c r="K70" s="6">
        <f>IF(D70="","",后台计算!AY64)</f>
        <v>3298</v>
      </c>
      <c r="L70" s="7">
        <f>IF(D70="","",后台计算!AZ64)</f>
        <v>0.55499999999999994</v>
      </c>
      <c r="M70" s="7">
        <f>IF(D70="","",后台计算!BA64)</f>
        <v>1.81</v>
      </c>
      <c r="N70" s="4">
        <f>IF(D70="","",后台计算!BG64)</f>
        <v>0</v>
      </c>
      <c r="O70" s="6">
        <f>IF(D70="","",后台计算!BU64)</f>
        <v>0</v>
      </c>
      <c r="P70" s="6">
        <f>IF(D70="","",后台计算!BV64)</f>
        <v>0</v>
      </c>
      <c r="Q70" s="6" t="str">
        <f t="shared" si="1"/>
        <v/>
      </c>
      <c r="R70" s="6" t="str">
        <f t="shared" si="2"/>
        <v/>
      </c>
      <c r="S70" s="6" t="str">
        <f t="shared" si="3"/>
        <v/>
      </c>
      <c r="T70" s="4" t="str">
        <f>IF(D70="","","红:"&amp;IF(后台计算!U64=0,"无",IF(后台计算!U64=1,"雷鸣","极限"))&amp;" 增压"&amp;TEXT(后台计算!W64,"0")&amp;" 弹药"&amp;TEXT(后台计算!X64,"0")&amp;"｜37灵光"&amp;TEXT(后台计算!AB64,"0")&amp;" 启迪"&amp;TEXT(后台计算!AC64,"0")&amp;"｜灵犀"&amp;TEXT(后台计算!AV64,"0")&amp;"｜J燃烧"&amp;TEXT(后台计算!AD64,"0")&amp;" 敌燃烧"&amp;TEXT(后台计算!AE64,"0"))</f>
        <v>红:雷鸣 增压3 弹药11｜37灵光2 启迪0｜灵犀5｜J燃烧35 敌燃烧13</v>
      </c>
      <c r="U70" s="4" t="str">
        <f>IF(D70="","",后台计算!BX64)</f>
        <v/>
      </c>
    </row>
    <row r="71" spans="1:21" ht="50.1" customHeight="1">
      <c r="A71" s="1">
        <f t="shared" si="0"/>
        <v>63</v>
      </c>
      <c r="B71" s="3">
        <v>4</v>
      </c>
      <c r="C71" s="3">
        <v>3</v>
      </c>
      <c r="D71" s="3" t="s">
        <v>124</v>
      </c>
      <c r="E71" s="3" t="s">
        <v>612</v>
      </c>
      <c r="F71" s="5">
        <v>5326</v>
      </c>
      <c r="G71" s="5">
        <v>0</v>
      </c>
      <c r="H71" s="5"/>
      <c r="I71" s="5"/>
      <c r="J71" s="6" t="str">
        <f>IF(D71="","",后台计算!E65)</f>
        <v>小瑞安侬</v>
      </c>
      <c r="K71" s="6">
        <f>IF(D71="","",后台计算!AY65)</f>
        <v>3298</v>
      </c>
      <c r="L71" s="7">
        <f>IF(D71="","",后台计算!AZ65)</f>
        <v>0.55499999999999994</v>
      </c>
      <c r="M71" s="7">
        <f>IF(D71="","",后台计算!BA65)</f>
        <v>1.81</v>
      </c>
      <c r="N71" s="4">
        <f>IF(D71="","",后台计算!BG65)</f>
        <v>4</v>
      </c>
      <c r="O71" s="6">
        <f>IF(D71="","",后台计算!BU65)</f>
        <v>3114</v>
      </c>
      <c r="P71" s="6">
        <f>IF(D71="","",后台计算!BV65)</f>
        <v>5326</v>
      </c>
      <c r="Q71" s="6">
        <f t="shared" si="1"/>
        <v>5326</v>
      </c>
      <c r="R71" s="6">
        <f t="shared" si="2"/>
        <v>5326</v>
      </c>
      <c r="S71" s="6">
        <f t="shared" si="3"/>
        <v>0</v>
      </c>
      <c r="T71" s="4" t="str">
        <f>IF(D71="","","红:"&amp;IF(后台计算!U65=0,"无",IF(后台计算!U65=1,"雷鸣","极限"))&amp;" 增压"&amp;TEXT(后台计算!W65,"0")&amp;" 弹药"&amp;TEXT(后台计算!X65,"0")&amp;"｜37灵光"&amp;TEXT(后台计算!AB65,"0")&amp;" 启迪"&amp;TEXT(后台计算!AC65,"0")&amp;"｜灵犀"&amp;TEXT(后台计算!AV65,"0")&amp;"｜J燃烧"&amp;TEXT(后台计算!AD65,"0")&amp;" 敌燃烧"&amp;TEXT(后台计算!AE65,"0"))</f>
        <v>红:雷鸣 增压3 弹药11｜37灵光3 启迪0｜灵犀5｜J燃烧35 敌燃烧13</v>
      </c>
      <c r="U71" s="4" t="str">
        <f>IF(D71="","",后台计算!BX65)</f>
        <v/>
      </c>
    </row>
    <row r="72" spans="1:21" ht="50.1" customHeight="1">
      <c r="A72" s="1">
        <f t="shared" si="0"/>
        <v>64</v>
      </c>
      <c r="B72" s="3">
        <v>4</v>
      </c>
      <c r="C72" s="3">
        <v>4</v>
      </c>
      <c r="D72" s="3" t="s">
        <v>124</v>
      </c>
      <c r="E72" s="3" t="s">
        <v>612</v>
      </c>
      <c r="F72" s="5">
        <v>7101</v>
      </c>
      <c r="G72" s="5">
        <v>0</v>
      </c>
      <c r="H72" s="5"/>
      <c r="I72" s="5"/>
      <c r="J72" s="6" t="str">
        <f>IF(D72="","",后台计算!E66)</f>
        <v>小瑞安侬</v>
      </c>
      <c r="K72" s="6">
        <f>IF(D72="","",后台计算!AY66)</f>
        <v>3298</v>
      </c>
      <c r="L72" s="7">
        <f>IF(D72="","",后台计算!AZ66)</f>
        <v>0.55499999999999994</v>
      </c>
      <c r="M72" s="7">
        <f>IF(D72="","",后台计算!BA66)</f>
        <v>1.81</v>
      </c>
      <c r="N72" s="4">
        <f>IF(D72="","",后台计算!BG66)</f>
        <v>4</v>
      </c>
      <c r="O72" s="6">
        <f>IF(D72="","",后台计算!BU66)</f>
        <v>4152</v>
      </c>
      <c r="P72" s="6">
        <f>IF(D72="","",后台计算!BV66)</f>
        <v>7101</v>
      </c>
      <c r="Q72" s="6">
        <f t="shared" si="1"/>
        <v>7101</v>
      </c>
      <c r="R72" s="6">
        <f t="shared" si="2"/>
        <v>7101</v>
      </c>
      <c r="S72" s="6">
        <f t="shared" si="3"/>
        <v>0</v>
      </c>
      <c r="T72" s="4" t="str">
        <f>IF(D72="","","红:"&amp;IF(后台计算!U66=0,"无",IF(后台计算!U66=1,"雷鸣","极限"))&amp;" 增压"&amp;TEXT(后台计算!W66,"0")&amp;" 弹药"&amp;TEXT(后台计算!X66,"0")&amp;"｜37灵光"&amp;TEXT(后台计算!AB66,"0")&amp;" 启迪"&amp;TEXT(后台计算!AC66,"0")&amp;"｜灵犀"&amp;TEXT(后台计算!AV66,"0")&amp;"｜J燃烧"&amp;TEXT(后台计算!AD66,"0")&amp;" 敌燃烧"&amp;TEXT(后台计算!AE66,"0"))</f>
        <v>红:雷鸣 增压3 弹药11｜37灵光4 启迪0｜灵犀5｜J燃烧35 敌燃烧13</v>
      </c>
      <c r="U72" s="4" t="str">
        <f>IF(D72="","",后台计算!BX66)</f>
        <v/>
      </c>
    </row>
    <row r="73" spans="1:21" ht="50.1" customHeight="1">
      <c r="A73" s="1">
        <f t="shared" ref="A73:A136" si="4">IF(D73="","",ROW()-8)</f>
        <v>65</v>
      </c>
      <c r="B73" s="3">
        <v>4</v>
      </c>
      <c r="C73" s="3">
        <v>5</v>
      </c>
      <c r="D73" s="3" t="s">
        <v>110</v>
      </c>
      <c r="E73" s="3" t="s">
        <v>612</v>
      </c>
      <c r="F73" s="5">
        <v>1573</v>
      </c>
      <c r="G73" s="5">
        <v>0</v>
      </c>
      <c r="H73" s="5"/>
      <c r="I73" s="5"/>
      <c r="J73" s="6" t="str">
        <f>IF(D73="","",后台计算!E67)</f>
        <v>37</v>
      </c>
      <c r="K73" s="6">
        <f>IF(D73="","",后台计算!AY67)</f>
        <v>3017</v>
      </c>
      <c r="L73" s="7">
        <f>IF(D73="","",后台计算!AZ67)</f>
        <v>0.76</v>
      </c>
      <c r="M73" s="7">
        <f>IF(D73="","",后台计算!BA67)</f>
        <v>2.4580000000000002</v>
      </c>
      <c r="N73" s="4">
        <f>IF(D73="","",后台计算!BG67)</f>
        <v>3</v>
      </c>
      <c r="O73" s="6">
        <f>IF(D73="","",后台计算!BU67)</f>
        <v>667</v>
      </c>
      <c r="P73" s="6">
        <f>IF(D73="","",后台计算!BV67)</f>
        <v>1573</v>
      </c>
      <c r="Q73" s="6">
        <f t="shared" ref="Q73:Q136" si="5">IF(D73="","",IF(E73="是",P73,IF(E73="否",O73,"")))</f>
        <v>1573</v>
      </c>
      <c r="R73" s="6">
        <f t="shared" ref="R73:R136" si="6">IF(COUNT(F73:H73)=0,"",SUM(F73:H73))</f>
        <v>1573</v>
      </c>
      <c r="S73" s="6">
        <f t="shared" ref="S73:S136" si="7">IF(AND(ISNUMBER(Q73),ISNUMBER(R73)),Q73-R73,"")</f>
        <v>0</v>
      </c>
      <c r="T73" s="4" t="str">
        <f>IF(D73="","","红:"&amp;IF(后台计算!U67=0,"无",IF(后台计算!U67=1,"雷鸣","极限"))&amp;" 增压"&amp;TEXT(后台计算!W67,"0")&amp;" 弹药"&amp;TEXT(后台计算!X67,"0")&amp;"｜37灵光"&amp;TEXT(后台计算!AB67,"0")&amp;" 启迪"&amp;TEXT(后台计算!AC67,"0")&amp;"｜灵犀"&amp;TEXT(后台计算!AV67,"0")&amp;"｜J燃烧"&amp;TEXT(后台计算!AD67,"0")&amp;" 敌燃烧"&amp;TEXT(后台计算!AE67,"0"))</f>
        <v>红:雷鸣 增压3 弹药11｜37灵光5 启迪0｜灵犀5｜J燃烧35 敌燃烧13</v>
      </c>
      <c r="U73" s="4" t="str">
        <f>IF(D73="","",后台计算!BX67)</f>
        <v/>
      </c>
    </row>
    <row r="74" spans="1:21" ht="50.1" customHeight="1">
      <c r="A74" s="1">
        <f t="shared" si="4"/>
        <v>66</v>
      </c>
      <c r="B74" s="3">
        <v>4</v>
      </c>
      <c r="C74" s="3">
        <v>6</v>
      </c>
      <c r="D74" s="3" t="s">
        <v>67</v>
      </c>
      <c r="E74" s="3" t="s">
        <v>611</v>
      </c>
      <c r="F74" s="5"/>
      <c r="G74" s="5"/>
      <c r="H74" s="5"/>
      <c r="I74" s="5"/>
      <c r="J74" s="6" t="str">
        <f>IF(D74="","",后台计算!E68)</f>
        <v>红弩箭</v>
      </c>
      <c r="K74" s="6">
        <f>IF(D74="","",后台计算!AY68)</f>
        <v>3005</v>
      </c>
      <c r="L74" s="7">
        <f>IF(D74="","",后台计算!AZ68)</f>
        <v>1</v>
      </c>
      <c r="M74" s="7">
        <f>IF(D74="","",后台计算!BA68)</f>
        <v>2.2850000000000001</v>
      </c>
      <c r="N74" s="4">
        <f>IF(D74="","",后台计算!BG68)</f>
        <v>0</v>
      </c>
      <c r="O74" s="6">
        <f>IF(D74="","",后台计算!BU68)</f>
        <v>0</v>
      </c>
      <c r="P74" s="6">
        <f>IF(D74="","",后台计算!BV68)</f>
        <v>0</v>
      </c>
      <c r="Q74" s="6" t="str">
        <f t="shared" si="5"/>
        <v/>
      </c>
      <c r="R74" s="6" t="str">
        <f t="shared" si="6"/>
        <v/>
      </c>
      <c r="S74" s="6" t="str">
        <f t="shared" si="7"/>
        <v/>
      </c>
      <c r="T74" s="4" t="str">
        <f>IF(D74="","","红:"&amp;IF(后台计算!U68=0,"无",IF(后台计算!U68=1,"雷鸣","极限"))&amp;" 增压"&amp;TEXT(后台计算!W68,"0")&amp;" 弹药"&amp;TEXT(后台计算!X68,"0")&amp;"｜37灵光"&amp;TEXT(后台计算!AB68,"0")&amp;" 启迪"&amp;TEXT(后台计算!AC68,"0")&amp;"｜灵犀"&amp;TEXT(后台计算!AV68,"0")&amp;"｜J燃烧"&amp;TEXT(后台计算!AD68,"0")&amp;" 敌燃烧"&amp;TEXT(后台计算!AE68,"0"))</f>
        <v>红:雷鸣 增压3 弹药11｜37灵光0 启迪0｜灵犀5｜J燃烧35 敌燃烧13</v>
      </c>
      <c r="U74" s="4" t="str">
        <f>IF(D74="","",后台计算!BX68)</f>
        <v/>
      </c>
    </row>
    <row r="75" spans="1:21" ht="50.1" customHeight="1">
      <c r="A75" s="1">
        <f t="shared" si="4"/>
        <v>67</v>
      </c>
      <c r="B75" s="3">
        <v>4</v>
      </c>
      <c r="C75" s="3">
        <v>7</v>
      </c>
      <c r="D75" s="3" t="s">
        <v>164</v>
      </c>
      <c r="E75" s="3" t="s">
        <v>613</v>
      </c>
      <c r="F75" s="5">
        <v>21612</v>
      </c>
      <c r="G75" s="5">
        <v>0</v>
      </c>
      <c r="H75" s="5"/>
      <c r="I75" s="5"/>
      <c r="J75" s="6" t="str">
        <f>IF(D75="","",后台计算!E69)</f>
        <v>J</v>
      </c>
      <c r="K75" s="6">
        <f>IF(D75="","",后台计算!AY69)</f>
        <v>2823</v>
      </c>
      <c r="L75" s="7">
        <f>IF(D75="","",后台计算!AZ69)</f>
        <v>0.66700000000000004</v>
      </c>
      <c r="M75" s="7">
        <f>IF(D75="","",后台计算!BA69)</f>
        <v>1.9770000000000001</v>
      </c>
      <c r="N75" s="4">
        <f>IF(D75="","",后台计算!BG69)</f>
        <v>25</v>
      </c>
      <c r="O75" s="6">
        <f>IF(D75="","",后台计算!BU69)</f>
        <v>21612</v>
      </c>
      <c r="P75" s="6">
        <f>IF(D75="","",后台计算!BV69)</f>
        <v>40566</v>
      </c>
      <c r="Q75" s="6">
        <f t="shared" si="5"/>
        <v>21612</v>
      </c>
      <c r="R75" s="6">
        <f t="shared" si="6"/>
        <v>21612</v>
      </c>
      <c r="S75" s="6">
        <f t="shared" si="7"/>
        <v>0</v>
      </c>
      <c r="T75" s="4" t="str">
        <f>IF(D75="","","红:"&amp;IF(后台计算!U69=0,"无",IF(后台计算!U69=1,"雷鸣","极限"))&amp;" 增压"&amp;TEXT(后台计算!W69,"0")&amp;" 弹药"&amp;TEXT(后台计算!X69,"0")&amp;"｜37灵光"&amp;TEXT(后台计算!AB69,"0")&amp;" 启迪"&amp;TEXT(后台计算!AC69,"0")&amp;"｜灵犀"&amp;TEXT(后台计算!AV69,"0")&amp;"｜J燃烧"&amp;TEXT(后台计算!AD69,"0")&amp;" 敌燃烧"&amp;TEXT(后台计算!AE69,"0"))</f>
        <v>红:雷鸣 增压3 弹药12｜37灵光1 启迪0｜灵犀5｜J燃烧35 敌燃烧13</v>
      </c>
      <c r="U75" s="4" t="str">
        <f>IF(D75="","",后台计算!BX69)</f>
        <v/>
      </c>
    </row>
    <row r="76" spans="1:21" ht="50.1" customHeight="1">
      <c r="A76" s="1">
        <f t="shared" si="4"/>
        <v>68</v>
      </c>
      <c r="B76" s="3">
        <v>4</v>
      </c>
      <c r="C76" s="3">
        <v>8</v>
      </c>
      <c r="D76" s="3" t="s">
        <v>116</v>
      </c>
      <c r="E76" s="3" t="s">
        <v>611</v>
      </c>
      <c r="F76" s="5"/>
      <c r="G76" s="5"/>
      <c r="H76" s="5"/>
      <c r="I76" s="5"/>
      <c r="J76" s="6" t="str">
        <f>IF(D76="","",后台计算!E70)</f>
        <v>37</v>
      </c>
      <c r="K76" s="6">
        <f>IF(D76="","",后台计算!AY70)</f>
        <v>3017</v>
      </c>
      <c r="L76" s="7">
        <f>IF(D76="","",后台计算!AZ70)</f>
        <v>0.76</v>
      </c>
      <c r="M76" s="7">
        <f>IF(D76="","",后台计算!BA70)</f>
        <v>2.4780000000000002</v>
      </c>
      <c r="N76" s="4">
        <f>IF(D76="","",后台计算!BG70)</f>
        <v>0</v>
      </c>
      <c r="O76" s="6">
        <f>IF(D76="","",后台计算!BU70)</f>
        <v>0</v>
      </c>
      <c r="P76" s="6">
        <f>IF(D76="","",后台计算!BV70)</f>
        <v>0</v>
      </c>
      <c r="Q76" s="6" t="str">
        <f t="shared" si="5"/>
        <v/>
      </c>
      <c r="R76" s="6" t="str">
        <f t="shared" si="6"/>
        <v/>
      </c>
      <c r="S76" s="6" t="str">
        <f t="shared" si="7"/>
        <v/>
      </c>
      <c r="T76" s="4" t="str">
        <f>IF(D76="","","红:"&amp;IF(后台计算!U70=0,"无",IF(后台计算!U70=1,"雷鸣","极限"))&amp;" 增压"&amp;TEXT(后台计算!W70,"0")&amp;" 弹药"&amp;TEXT(后台计算!X70,"0")&amp;"｜37灵光"&amp;TEXT(后台计算!AB70,"0")&amp;" 启迪"&amp;TEXT(后台计算!AC70,"0")&amp;"｜灵犀"&amp;TEXT(后台计算!AV70,"0")&amp;"｜J燃烧"&amp;TEXT(后台计算!AD70,"0")&amp;" 敌燃烧"&amp;TEXT(后台计算!AE70,"0"))</f>
        <v>红:雷鸣 增压3 弹药12｜37灵光2 启迪0｜灵犀5｜J燃烧35 敌燃烧30</v>
      </c>
      <c r="U76" s="4" t="str">
        <f>IF(D76="","",后台计算!BX70)</f>
        <v/>
      </c>
    </row>
    <row r="77" spans="1:21" ht="50.1" customHeight="1">
      <c r="A77" s="1">
        <f t="shared" si="4"/>
        <v>69</v>
      </c>
      <c r="B77" s="3">
        <v>4</v>
      </c>
      <c r="C77" s="3">
        <v>9</v>
      </c>
      <c r="D77" s="3" t="s">
        <v>110</v>
      </c>
      <c r="E77" s="3" t="s">
        <v>612</v>
      </c>
      <c r="F77" s="5">
        <v>5494</v>
      </c>
      <c r="G77" s="5">
        <v>4181</v>
      </c>
      <c r="H77" s="5"/>
      <c r="I77" s="5"/>
      <c r="J77" s="6" t="str">
        <f>IF(D77="","",后台计算!E71)</f>
        <v>37</v>
      </c>
      <c r="K77" s="6">
        <f>IF(D77="","",后台计算!AY71)</f>
        <v>3517</v>
      </c>
      <c r="L77" s="7">
        <f>IF(D77="","",后台计算!AZ71)</f>
        <v>0.76</v>
      </c>
      <c r="M77" s="7">
        <f>IF(D77="","",后台计算!BA71)</f>
        <v>2.4780000000000002</v>
      </c>
      <c r="N77" s="4">
        <f>IF(D77="","",后台计算!BG71)</f>
        <v>3</v>
      </c>
      <c r="O77" s="6">
        <f>IF(D77="","",后台计算!BU71)</f>
        <v>4068</v>
      </c>
      <c r="P77" s="6">
        <f>IF(D77="","",后台计算!BV71)</f>
        <v>9675</v>
      </c>
      <c r="Q77" s="6">
        <f t="shared" si="5"/>
        <v>9675</v>
      </c>
      <c r="R77" s="6">
        <f t="shared" si="6"/>
        <v>9675</v>
      </c>
      <c r="S77" s="6">
        <f t="shared" si="7"/>
        <v>0</v>
      </c>
      <c r="T77" s="4" t="str">
        <f>IF(D77="","","红:"&amp;IF(后台计算!U71=0,"无",IF(后台计算!U71=1,"雷鸣","极限"))&amp;" 增压"&amp;TEXT(后台计算!W71,"0")&amp;" 弹药"&amp;TEXT(后台计算!X71,"0")&amp;"｜37灵光"&amp;TEXT(后台计算!AB71,"0")&amp;" 启迪"&amp;TEXT(后台计算!AC71,"0")&amp;"｜灵犀"&amp;TEXT(后台计算!AV71,"0")&amp;"｜J燃烧"&amp;TEXT(后台计算!AD71,"0")&amp;" 敌燃烧"&amp;TEXT(后台计算!AE71,"0"))</f>
        <v>红:雷鸣 增压3 弹药12｜37灵光5 启迪2｜灵犀5｜J燃烧35 敌燃烧30</v>
      </c>
      <c r="U77" s="4" t="str">
        <f>IF(D77="","",后台计算!BX71)</f>
        <v/>
      </c>
    </row>
    <row r="78" spans="1:21" ht="50.1" customHeight="1">
      <c r="A78" s="1">
        <f t="shared" si="4"/>
        <v>70</v>
      </c>
      <c r="B78" s="3">
        <v>4</v>
      </c>
      <c r="C78" s="3">
        <v>10</v>
      </c>
      <c r="D78" s="3" t="s">
        <v>63</v>
      </c>
      <c r="E78" s="3" t="s">
        <v>612</v>
      </c>
      <c r="F78" s="5">
        <v>124304</v>
      </c>
      <c r="G78" s="5">
        <v>0</v>
      </c>
      <c r="H78" s="5"/>
      <c r="I78" s="5"/>
      <c r="J78" s="6" t="str">
        <f>IF(D78="","",后台计算!E72)</f>
        <v>红弩箭</v>
      </c>
      <c r="K78" s="6">
        <f>IF(D78="","",后台计算!AY72)</f>
        <v>3505</v>
      </c>
      <c r="L78" s="7">
        <f>IF(D78="","",后台计算!AZ72)</f>
        <v>1</v>
      </c>
      <c r="M78" s="7">
        <f>IF(D78="","",后台计算!BA72)</f>
        <v>2.3050000000000002</v>
      </c>
      <c r="N78" s="4">
        <f>IF(D78="","",后台计算!BG72)</f>
        <v>18</v>
      </c>
      <c r="O78" s="6">
        <f>IF(D78="","",后台计算!BU72)</f>
        <v>56373</v>
      </c>
      <c r="P78" s="6">
        <f>IF(D78="","",后台计算!BV72)</f>
        <v>124304</v>
      </c>
      <c r="Q78" s="6">
        <f t="shared" si="5"/>
        <v>124304</v>
      </c>
      <c r="R78" s="6">
        <f t="shared" si="6"/>
        <v>124304</v>
      </c>
      <c r="S78" s="6">
        <f t="shared" si="7"/>
        <v>0</v>
      </c>
      <c r="T78" s="4" t="str">
        <f>IF(D78="","","红:"&amp;IF(后台计算!U72=0,"无",IF(后台计算!U72=1,"雷鸣","极限"))&amp;" 增压"&amp;TEXT(后台计算!W72,"0")&amp;" 弹药"&amp;TEXT(后台计算!X72,"0")&amp;"｜37灵光"&amp;TEXT(后台计算!AB72,"0")&amp;" 启迪"&amp;TEXT(后台计算!AC72,"0")&amp;"｜灵犀"&amp;TEXT(后台计算!AV72,"0")&amp;"｜J燃烧"&amp;TEXT(后台计算!AD72,"0")&amp;" 敌燃烧"&amp;TEXT(后台计算!AE72,"0"))</f>
        <v>红:雷鸣 增压3 弹药12｜37灵光0 启迪1｜灵犀5｜J燃烧35 敌燃烧30</v>
      </c>
      <c r="U78" s="4" t="str">
        <f>IF(D78="","",后台计算!BX72)</f>
        <v/>
      </c>
    </row>
    <row r="79" spans="1:21" ht="50.1" customHeight="1">
      <c r="A79" s="1">
        <f t="shared" si="4"/>
        <v>71</v>
      </c>
      <c r="B79" s="3">
        <v>4</v>
      </c>
      <c r="C79" s="3">
        <v>11</v>
      </c>
      <c r="D79" s="3" t="s">
        <v>101</v>
      </c>
      <c r="E79" s="3" t="s">
        <v>612</v>
      </c>
      <c r="F79" s="5">
        <v>2564</v>
      </c>
      <c r="G79" s="5">
        <v>3344</v>
      </c>
      <c r="H79" s="5"/>
      <c r="I79" s="5"/>
      <c r="J79" s="6" t="str">
        <f>IF(D79="","",后台计算!E73)</f>
        <v>37</v>
      </c>
      <c r="K79" s="6">
        <f>IF(D79="","",后台计算!AY73)</f>
        <v>3517</v>
      </c>
      <c r="L79" s="7">
        <f>IF(D79="","",后台计算!AZ73)</f>
        <v>0.76</v>
      </c>
      <c r="M79" s="7">
        <f>IF(D79="","",后台计算!BA73)</f>
        <v>2.4780000000000002</v>
      </c>
      <c r="N79" s="4">
        <f>IF(D79="","",后台计算!BG73)</f>
        <v>1.4</v>
      </c>
      <c r="O79" s="6">
        <f>IF(D79="","",后台计算!BU73)</f>
        <v>2484</v>
      </c>
      <c r="P79" s="6">
        <f>IF(D79="","",后台计算!BV73)</f>
        <v>5908</v>
      </c>
      <c r="Q79" s="6">
        <f t="shared" si="5"/>
        <v>5908</v>
      </c>
      <c r="R79" s="6">
        <f t="shared" si="6"/>
        <v>5908</v>
      </c>
      <c r="S79" s="6">
        <f t="shared" si="7"/>
        <v>0</v>
      </c>
      <c r="T79" s="4" t="str">
        <f>IF(D79="","","红:"&amp;IF(后台计算!U73=0,"无",IF(后台计算!U73=1,"雷鸣","极限"))&amp;" 增压"&amp;TEXT(后台计算!W73,"0")&amp;" 弹药"&amp;TEXT(后台计算!X73,"0")&amp;"｜37灵光"&amp;TEXT(后台计算!AB73,"0")&amp;" 启迪"&amp;TEXT(后台计算!AC73,"0")&amp;"｜灵犀"&amp;TEXT(后台计算!AV73,"0")&amp;"｜J燃烧"&amp;TEXT(后台计算!AD73,"0")&amp;" 敌燃烧"&amp;TEXT(后台计算!AE73,"0"))</f>
        <v>红:雷鸣 增压5 弹药12｜37灵光1 启迪1｜灵犀5｜J燃烧35 敌燃烧30</v>
      </c>
      <c r="U79" s="4" t="str">
        <f>IF(D79="","",后台计算!BX73)</f>
        <v/>
      </c>
    </row>
    <row r="80" spans="1:21" ht="50.1" customHeight="1">
      <c r="A80" s="1">
        <f t="shared" si="4"/>
        <v>72</v>
      </c>
      <c r="B80" s="3">
        <v>4</v>
      </c>
      <c r="C80" s="3">
        <v>12</v>
      </c>
      <c r="D80" s="3" t="s">
        <v>159</v>
      </c>
      <c r="E80" s="3" t="s">
        <v>612</v>
      </c>
      <c r="F80" s="5">
        <v>4392</v>
      </c>
      <c r="G80" s="5">
        <v>0</v>
      </c>
      <c r="H80" s="5"/>
      <c r="I80" s="5"/>
      <c r="J80" s="6" t="str">
        <f>IF(D80="","",后台计算!E74)</f>
        <v>J</v>
      </c>
      <c r="K80" s="6">
        <f>IF(D80="","",后台计算!AY74)</f>
        <v>3323</v>
      </c>
      <c r="L80" s="7">
        <f>IF(D80="","",后台计算!AZ74)</f>
        <v>0.66700000000000004</v>
      </c>
      <c r="M80" s="7">
        <f>IF(D80="","",后台计算!BA74)</f>
        <v>1.9969999999999999</v>
      </c>
      <c r="N80" s="4">
        <f>IF(D80="","",后台计算!BG74)</f>
        <v>4.75</v>
      </c>
      <c r="O80" s="6">
        <f>IF(D80="","",后台计算!BU74)</f>
        <v>3993</v>
      </c>
      <c r="P80" s="6">
        <f>IF(D80="","",后台计算!BV74)</f>
        <v>4392</v>
      </c>
      <c r="Q80" s="6">
        <f t="shared" si="5"/>
        <v>4392</v>
      </c>
      <c r="R80" s="6">
        <f t="shared" si="6"/>
        <v>4392</v>
      </c>
      <c r="S80" s="6">
        <f t="shared" si="7"/>
        <v>0</v>
      </c>
      <c r="T80" s="4" t="str">
        <f>IF(D80="","","红:"&amp;IF(后台计算!U74=0,"无",IF(后台计算!U74=1,"雷鸣","极限"))&amp;" 增压"&amp;TEXT(后台计算!W74,"0")&amp;" 弹药"&amp;TEXT(后台计算!X74,"0")&amp;"｜37灵光"&amp;TEXT(后台计算!AB74,"0")&amp;" 启迪"&amp;TEXT(后台计算!AC74,"0")&amp;"｜灵犀"&amp;TEXT(后台计算!AV74,"0")&amp;"｜J燃烧"&amp;TEXT(后台计算!AD74,"0")&amp;" 敌燃烧"&amp;TEXT(后台计算!AE74,"0"))</f>
        <v>红:雷鸣 增压5 弹药12｜37灵光2 启迪0｜灵犀5｜J燃烧35 敌燃烧30</v>
      </c>
      <c r="U80" s="4" t="str">
        <f>IF(D80="","",后台计算!BX74)</f>
        <v/>
      </c>
    </row>
    <row r="81" spans="1:21" ht="50.1" customHeight="1">
      <c r="A81" s="1">
        <f t="shared" si="4"/>
        <v>73</v>
      </c>
      <c r="B81" s="3">
        <v>4</v>
      </c>
      <c r="C81" s="3">
        <v>13</v>
      </c>
      <c r="D81" s="3" t="s">
        <v>159</v>
      </c>
      <c r="E81" s="3" t="s">
        <v>613</v>
      </c>
      <c r="F81" s="5">
        <v>5324</v>
      </c>
      <c r="G81" s="5">
        <v>0</v>
      </c>
      <c r="H81" s="5"/>
      <c r="I81" s="5"/>
      <c r="J81" s="6" t="str">
        <f>IF(D81="","",后台计算!E75)</f>
        <v>J</v>
      </c>
      <c r="K81" s="6">
        <f>IF(D81="","",后台计算!AY75)</f>
        <v>3323</v>
      </c>
      <c r="L81" s="7">
        <f>IF(D81="","",后台计算!AZ75)</f>
        <v>0.66700000000000004</v>
      </c>
      <c r="M81" s="7">
        <f>IF(D81="","",后台计算!BA75)</f>
        <v>1.9969999999999999</v>
      </c>
      <c r="N81" s="4">
        <f>IF(D81="","",后台计算!BG75)</f>
        <v>4.75</v>
      </c>
      <c r="O81" s="6">
        <f>IF(D81="","",后台计算!BU75)</f>
        <v>5324</v>
      </c>
      <c r="P81" s="6">
        <f>IF(D81="","",后台计算!BV75)</f>
        <v>5856</v>
      </c>
      <c r="Q81" s="6">
        <f t="shared" si="5"/>
        <v>5324</v>
      </c>
      <c r="R81" s="6">
        <f t="shared" si="6"/>
        <v>5324</v>
      </c>
      <c r="S81" s="6">
        <f t="shared" si="7"/>
        <v>0</v>
      </c>
      <c r="T81" s="4" t="str">
        <f>IF(D81="","","红:"&amp;IF(后台计算!U75=0,"无",IF(后台计算!U75=1,"雷鸣","极限"))&amp;" 增压"&amp;TEXT(后台计算!W75,"0")&amp;" 弹药"&amp;TEXT(后台计算!X75,"0")&amp;"｜37灵光"&amp;TEXT(后台计算!AB75,"0")&amp;" 启迪"&amp;TEXT(后台计算!AC75,"0")&amp;"｜灵犀"&amp;TEXT(后台计算!AV75,"0")&amp;"｜J燃烧"&amp;TEXT(后台计算!AD75,"0")&amp;" 敌燃烧"&amp;TEXT(后台计算!AE75,"0"))</f>
        <v>红:雷鸣 增压8 弹药12｜37灵光3 启迪0｜灵犀5｜J燃烧35 敌燃烧30</v>
      </c>
      <c r="U81" s="4" t="str">
        <f>IF(D81="","",后台计算!BX75)</f>
        <v/>
      </c>
    </row>
    <row r="82" spans="1:21" ht="50.1" customHeight="1">
      <c r="A82" s="1">
        <f t="shared" si="4"/>
        <v>74</v>
      </c>
      <c r="B82" s="3">
        <v>4</v>
      </c>
      <c r="C82" s="3">
        <v>14</v>
      </c>
      <c r="D82" s="3" t="s">
        <v>159</v>
      </c>
      <c r="E82" s="3" t="s">
        <v>613</v>
      </c>
      <c r="F82" s="5">
        <v>6655</v>
      </c>
      <c r="G82" s="5">
        <v>0</v>
      </c>
      <c r="H82" s="5"/>
      <c r="I82" s="5"/>
      <c r="J82" s="6" t="str">
        <f>IF(D82="","",后台计算!E76)</f>
        <v>J</v>
      </c>
      <c r="K82" s="6">
        <f>IF(D82="","",后台计算!AY76)</f>
        <v>3323</v>
      </c>
      <c r="L82" s="7">
        <f>IF(D82="","",后台计算!AZ76)</f>
        <v>0.66700000000000004</v>
      </c>
      <c r="M82" s="7">
        <f>IF(D82="","",后台计算!BA76)</f>
        <v>1.9969999999999999</v>
      </c>
      <c r="N82" s="4">
        <f>IF(D82="","",后台计算!BG76)</f>
        <v>4.75</v>
      </c>
      <c r="O82" s="6">
        <f>IF(D82="","",后台计算!BU76)</f>
        <v>6655</v>
      </c>
      <c r="P82" s="6">
        <f>IF(D82="","",后台计算!BV76)</f>
        <v>7321</v>
      </c>
      <c r="Q82" s="6">
        <f t="shared" si="5"/>
        <v>6655</v>
      </c>
      <c r="R82" s="6">
        <f t="shared" si="6"/>
        <v>6655</v>
      </c>
      <c r="S82" s="6">
        <f t="shared" si="7"/>
        <v>0</v>
      </c>
      <c r="T82" s="4" t="str">
        <f>IF(D82="","","红:"&amp;IF(后台计算!U76=0,"无",IF(后台计算!U76=1,"雷鸣","极限"))&amp;" 增压"&amp;TEXT(后台计算!W76,"0")&amp;" 弹药"&amp;TEXT(后台计算!X76,"0")&amp;"｜37灵光"&amp;TEXT(后台计算!AB76,"0")&amp;" 启迪"&amp;TEXT(后台计算!AC76,"0")&amp;"｜灵犀"&amp;TEXT(后台计算!AV76,"0")&amp;"｜J燃烧"&amp;TEXT(后台计算!AD76,"0")&amp;" 敌燃烧"&amp;TEXT(后台计算!AE76,"0"))</f>
        <v>红:雷鸣 增压8 弹药12｜37灵光4 启迪0｜灵犀5｜J燃烧35 敌燃烧30</v>
      </c>
      <c r="U82" s="4" t="str">
        <f>IF(D82="","",后台计算!BX76)</f>
        <v/>
      </c>
    </row>
    <row r="83" spans="1:21" ht="50.1" customHeight="1">
      <c r="A83" s="1">
        <f t="shared" si="4"/>
        <v>75</v>
      </c>
      <c r="B83" s="3">
        <v>4</v>
      </c>
      <c r="C83" s="3">
        <v>15</v>
      </c>
      <c r="D83" s="3" t="s">
        <v>110</v>
      </c>
      <c r="E83" s="3" t="s">
        <v>613</v>
      </c>
      <c r="F83" s="5">
        <v>1121</v>
      </c>
      <c r="G83" s="5">
        <v>0</v>
      </c>
      <c r="H83" s="5"/>
      <c r="I83" s="5"/>
      <c r="J83" s="6" t="str">
        <f>IF(D83="","",后台计算!E77)</f>
        <v>37</v>
      </c>
      <c r="K83" s="6">
        <f>IF(D83="","",后台计算!AY77)</f>
        <v>3517</v>
      </c>
      <c r="L83" s="7">
        <f>IF(D83="","",后台计算!AZ77)</f>
        <v>0.76</v>
      </c>
      <c r="M83" s="7">
        <f>IF(D83="","",后台计算!BA77)</f>
        <v>2.4780000000000002</v>
      </c>
      <c r="N83" s="4">
        <f>IF(D83="","",后台计算!BG77)</f>
        <v>3</v>
      </c>
      <c r="O83" s="6">
        <f>IF(D83="","",后台计算!BU77)</f>
        <v>1121</v>
      </c>
      <c r="P83" s="6">
        <f>IF(D83="","",后台计算!BV77)</f>
        <v>2666</v>
      </c>
      <c r="Q83" s="6">
        <f t="shared" si="5"/>
        <v>1121</v>
      </c>
      <c r="R83" s="6">
        <f t="shared" si="6"/>
        <v>1121</v>
      </c>
      <c r="S83" s="6">
        <f t="shared" si="7"/>
        <v>0</v>
      </c>
      <c r="T83" s="4" t="str">
        <f>IF(D83="","","红:"&amp;IF(后台计算!U77=0,"无",IF(后台计算!U77=1,"雷鸣","极限"))&amp;" 增压"&amp;TEXT(后台计算!W77,"0")&amp;" 弹药"&amp;TEXT(后台计算!X77,"0")&amp;"｜37灵光"&amp;TEXT(后台计算!AB77,"0")&amp;" 启迪"&amp;TEXT(后台计算!AC77,"0")&amp;"｜灵犀"&amp;TEXT(后台计算!AV77,"0")&amp;"｜J燃烧"&amp;TEXT(后台计算!AD77,"0")&amp;" 敌燃烧"&amp;TEXT(后台计算!AE77,"0"))</f>
        <v>红:雷鸣 增压8 弹药12｜37灵光5 启迪0｜灵犀5｜J燃烧35 敌燃烧30</v>
      </c>
      <c r="U83" s="4" t="str">
        <f>IF(D83="","",后台计算!BX77)</f>
        <v/>
      </c>
    </row>
    <row r="84" spans="1:21" ht="50.1" customHeight="1">
      <c r="A84" s="1">
        <f t="shared" si="4"/>
        <v>76</v>
      </c>
      <c r="B84" s="3">
        <v>4</v>
      </c>
      <c r="C84" s="3">
        <v>16</v>
      </c>
      <c r="D84" s="3" t="s">
        <v>159</v>
      </c>
      <c r="E84" s="3" t="s">
        <v>612</v>
      </c>
      <c r="F84" s="5">
        <v>7321</v>
      </c>
      <c r="G84" s="5">
        <v>0</v>
      </c>
      <c r="H84" s="5"/>
      <c r="I84" s="5"/>
      <c r="J84" s="6" t="str">
        <f>IF(D84="","",后台计算!E78)</f>
        <v>J</v>
      </c>
      <c r="K84" s="6">
        <f>IF(D84="","",后台计算!AY78)</f>
        <v>3323</v>
      </c>
      <c r="L84" s="7">
        <f>IF(D84="","",后台计算!AZ78)</f>
        <v>0.66700000000000004</v>
      </c>
      <c r="M84" s="7">
        <f>IF(D84="","",后台计算!BA78)</f>
        <v>1.9969999999999999</v>
      </c>
      <c r="N84" s="4">
        <f>IF(D84="","",后台计算!BG78)</f>
        <v>4.75</v>
      </c>
      <c r="O84" s="6">
        <f>IF(D84="","",后台计算!BU78)</f>
        <v>6655</v>
      </c>
      <c r="P84" s="6">
        <f>IF(D84="","",后台计算!BV78)</f>
        <v>7321</v>
      </c>
      <c r="Q84" s="6">
        <f t="shared" si="5"/>
        <v>7321</v>
      </c>
      <c r="R84" s="6">
        <f t="shared" si="6"/>
        <v>7321</v>
      </c>
      <c r="S84" s="6">
        <f t="shared" si="7"/>
        <v>0</v>
      </c>
      <c r="T84" s="4" t="str">
        <f>IF(D84="","","红:"&amp;IF(后台计算!U78=0,"无",IF(后台计算!U78=1,"雷鸣","极限"))&amp;" 增压"&amp;TEXT(后台计算!W78,"0")&amp;" 弹药"&amp;TEXT(后台计算!X78,"0")&amp;"｜37灵光"&amp;TEXT(后台计算!AB78,"0")&amp;" 启迪"&amp;TEXT(后台计算!AC78,"0")&amp;"｜灵犀"&amp;TEXT(后台计算!AV78,"0")&amp;"｜J燃烧"&amp;TEXT(后台计算!AD78,"0")&amp;" 敌燃烧"&amp;TEXT(后台计算!AE78,"0"))</f>
        <v>红:雷鸣 增压8 弹药12｜37灵光0 启迪0｜灵犀5｜J燃烧35 敌燃烧30</v>
      </c>
      <c r="U84" s="4" t="str">
        <f>IF(D84="","",后台计算!BX78)</f>
        <v/>
      </c>
    </row>
    <row r="85" spans="1:21" ht="50.1" customHeight="1">
      <c r="A85" s="1">
        <f t="shared" si="4"/>
        <v>77</v>
      </c>
      <c r="B85" s="3">
        <v>5</v>
      </c>
      <c r="C85" s="3">
        <v>1</v>
      </c>
      <c r="D85" s="3" t="s">
        <v>133</v>
      </c>
      <c r="E85" s="3" t="s">
        <v>611</v>
      </c>
      <c r="F85" s="5"/>
      <c r="G85" s="5"/>
      <c r="H85" s="5"/>
      <c r="I85" s="5"/>
      <c r="J85" s="6" t="str">
        <f>IF(D85="","",后台计算!E79)</f>
        <v>小瑞安侬</v>
      </c>
      <c r="K85" s="6">
        <f>IF(D85="","",后台计算!AY79)</f>
        <v>3798</v>
      </c>
      <c r="L85" s="7">
        <f>IF(D85="","",后台计算!AZ79)</f>
        <v>0.55499999999999994</v>
      </c>
      <c r="M85" s="7">
        <f>IF(D85="","",后台计算!BA79)</f>
        <v>1.83</v>
      </c>
      <c r="N85" s="4">
        <f>IF(D85="","",后台计算!BG79)</f>
        <v>0</v>
      </c>
      <c r="O85" s="6">
        <f>IF(D85="","",后台计算!BU79)</f>
        <v>0</v>
      </c>
      <c r="P85" s="6">
        <f>IF(D85="","",后台计算!BV79)</f>
        <v>0</v>
      </c>
      <c r="Q85" s="6" t="str">
        <f t="shared" si="5"/>
        <v/>
      </c>
      <c r="R85" s="6" t="str">
        <f t="shared" si="6"/>
        <v/>
      </c>
      <c r="S85" s="6" t="str">
        <f t="shared" si="7"/>
        <v/>
      </c>
      <c r="T85" s="4" t="str">
        <f>IF(D85="","","红:"&amp;IF(后台计算!U79=0,"无",IF(后台计算!U79=1,"雷鸣","极限"))&amp;" 增压"&amp;TEXT(后台计算!W79,"0")&amp;" 弹药"&amp;TEXT(后台计算!X79,"0")&amp;"｜37灵光"&amp;TEXT(后台计算!AB79,"0")&amp;" 启迪"&amp;TEXT(后台计算!AC79,"0")&amp;"｜灵犀"&amp;TEXT(后台计算!AV79,"0")&amp;"｜J燃烧"&amp;TEXT(后台计算!AD79,"0")&amp;" 敌燃烧"&amp;TEXT(后台计算!AE79,"0"))</f>
        <v>红:雷鸣 增压8 弹药12｜37灵光1 启迪0｜灵犀5｜J燃烧35 敌燃烧15</v>
      </c>
      <c r="U85" s="4" t="str">
        <f>IF(D85="","",后台计算!BX79)</f>
        <v/>
      </c>
    </row>
    <row r="86" spans="1:21" ht="50.1" customHeight="1">
      <c r="A86" s="1">
        <f t="shared" si="4"/>
        <v>78</v>
      </c>
      <c r="B86" s="3">
        <v>5</v>
      </c>
      <c r="C86" s="3">
        <v>2</v>
      </c>
      <c r="D86" s="3" t="s">
        <v>72</v>
      </c>
      <c r="E86" s="3" t="s">
        <v>612</v>
      </c>
      <c r="F86" s="5">
        <v>646996</v>
      </c>
      <c r="G86" s="5">
        <v>0</v>
      </c>
      <c r="H86" s="5"/>
      <c r="I86" s="5"/>
      <c r="J86" s="6" t="str">
        <f>IF(D86="","",后台计算!E80)</f>
        <v>红弩箭</v>
      </c>
      <c r="K86" s="6">
        <f>IF(D86="","",后台计算!AY80)</f>
        <v>3505</v>
      </c>
      <c r="L86" s="7">
        <f>IF(D86="","",后台计算!AZ80)</f>
        <v>1</v>
      </c>
      <c r="M86" s="7">
        <f>IF(D86="","",后台计算!BA80)</f>
        <v>3.3050000000000002</v>
      </c>
      <c r="N86" s="4">
        <f>IF(D86="","",后台计算!BG80)</f>
        <v>36</v>
      </c>
      <c r="O86" s="6">
        <f>IF(D86="","",后台计算!BU80)</f>
        <v>201870</v>
      </c>
      <c r="P86" s="6">
        <f>IF(D86="","",后台计算!BV80)</f>
        <v>646996</v>
      </c>
      <c r="Q86" s="6">
        <f t="shared" si="5"/>
        <v>646996</v>
      </c>
      <c r="R86" s="6">
        <f t="shared" si="6"/>
        <v>646996</v>
      </c>
      <c r="S86" s="6">
        <f t="shared" si="7"/>
        <v>0</v>
      </c>
      <c r="T86" s="4" t="str">
        <f>IF(D86="","","红:"&amp;IF(后台计算!U80=0,"无",IF(后台计算!U80=1,"雷鸣","极限"))&amp;" 增压"&amp;TEXT(后台计算!W80,"0")&amp;" 弹药"&amp;TEXT(后台计算!X80,"0")&amp;"｜37灵光"&amp;TEXT(后台计算!AB80,"0")&amp;" 启迪"&amp;TEXT(后台计算!AC80,"0")&amp;"｜灵犀"&amp;TEXT(后台计算!AV80,"0")&amp;"｜J燃烧"&amp;TEXT(后台计算!AD80,"0")&amp;" 敌燃烧"&amp;TEXT(后台计算!AE80,"0"))</f>
        <v>红:雷鸣 增压8 弹药12｜37灵光2 启迪0｜灵犀5｜J燃烧35 敌燃烧15</v>
      </c>
      <c r="U86" s="4" t="str">
        <f>IF(D86="","",后台计算!BX80)</f>
        <v/>
      </c>
    </row>
    <row r="87" spans="1:21" ht="50.1" customHeight="1">
      <c r="A87" s="1">
        <f t="shared" si="4"/>
        <v>79</v>
      </c>
      <c r="B87" s="3">
        <v>5</v>
      </c>
      <c r="C87" s="3">
        <v>3</v>
      </c>
      <c r="D87" s="3" t="s">
        <v>101</v>
      </c>
      <c r="E87" s="3" t="s">
        <v>612</v>
      </c>
      <c r="F87" s="5">
        <v>1244</v>
      </c>
      <c r="G87" s="5">
        <v>0</v>
      </c>
      <c r="H87" s="5"/>
      <c r="I87" s="5"/>
      <c r="J87" s="6" t="str">
        <f>IF(D87="","",后台计算!E81)</f>
        <v>37</v>
      </c>
      <c r="K87" s="6">
        <f>IF(D87="","",后台计算!AY81)</f>
        <v>3517</v>
      </c>
      <c r="L87" s="7">
        <f>IF(D87="","",后台计算!AZ81)</f>
        <v>0.76</v>
      </c>
      <c r="M87" s="7">
        <f>IF(D87="","",后台计算!BA81)</f>
        <v>2.4780000000000002</v>
      </c>
      <c r="N87" s="4">
        <f>IF(D87="","",后台计算!BG81)</f>
        <v>1.4</v>
      </c>
      <c r="O87" s="6">
        <f>IF(D87="","",后台计算!BU81)</f>
        <v>523</v>
      </c>
      <c r="P87" s="6">
        <f>IF(D87="","",后台计算!BV81)</f>
        <v>1244</v>
      </c>
      <c r="Q87" s="6">
        <f t="shared" si="5"/>
        <v>1244</v>
      </c>
      <c r="R87" s="6">
        <f t="shared" si="6"/>
        <v>1244</v>
      </c>
      <c r="S87" s="6">
        <f t="shared" si="7"/>
        <v>0</v>
      </c>
      <c r="T87" s="4" t="str">
        <f>IF(D87="","","红:"&amp;IF(后台计算!U81=0,"无",IF(后台计算!U81=1,"雷鸣","极限"))&amp;" 增压"&amp;TEXT(后台计算!W81,"0")&amp;" 弹药"&amp;TEXT(后台计算!X81,"0")&amp;"｜37灵光"&amp;TEXT(后台计算!AB81,"0")&amp;" 启迪"&amp;TEXT(后台计算!AC81,"0")&amp;"｜灵犀"&amp;TEXT(后台计算!AV81,"0")&amp;"｜J燃烧"&amp;TEXT(后台计算!AD81,"0")&amp;" 敌燃烧"&amp;TEXT(后台计算!AE81,"0"))</f>
        <v>红:雷鸣 增压8 弹药6｜37灵光3 启迪0｜灵犀5｜J燃烧35 敌燃烧15</v>
      </c>
      <c r="U87" s="4" t="str">
        <f>IF(D87="","",后台计算!BX81)</f>
        <v/>
      </c>
    </row>
    <row r="88" spans="1:21" ht="50.1" customHeight="1">
      <c r="A88" s="1">
        <f t="shared" si="4"/>
        <v>80</v>
      </c>
      <c r="B88" s="3">
        <v>5</v>
      </c>
      <c r="C88" s="3">
        <v>4</v>
      </c>
      <c r="D88" s="3" t="s">
        <v>91</v>
      </c>
      <c r="E88" s="3" t="s">
        <v>612</v>
      </c>
      <c r="F88" s="5">
        <v>7466</v>
      </c>
      <c r="G88" s="5">
        <v>0</v>
      </c>
      <c r="H88" s="5"/>
      <c r="I88" s="5"/>
      <c r="J88" s="6" t="str">
        <f>IF(D88="","",后台计算!E82)</f>
        <v>37</v>
      </c>
      <c r="K88" s="6">
        <f>IF(D88="","",后台计算!AY82)</f>
        <v>3517</v>
      </c>
      <c r="L88" s="7">
        <f>IF(D88="","",后台计算!AZ82)</f>
        <v>0.76</v>
      </c>
      <c r="M88" s="7">
        <f>IF(D88="","",后台计算!BA82)</f>
        <v>2.4780000000000002</v>
      </c>
      <c r="N88" s="4">
        <f>IF(D88="","",后台计算!BG82)</f>
        <v>2.8</v>
      </c>
      <c r="O88" s="6">
        <f>IF(D88="","",后台计算!BU82)</f>
        <v>3139</v>
      </c>
      <c r="P88" s="6">
        <f>IF(D88="","",后台计算!BV82)</f>
        <v>7466</v>
      </c>
      <c r="Q88" s="6">
        <f t="shared" si="5"/>
        <v>7466</v>
      </c>
      <c r="R88" s="6">
        <f t="shared" si="6"/>
        <v>7466</v>
      </c>
      <c r="S88" s="6">
        <f t="shared" si="7"/>
        <v>0</v>
      </c>
      <c r="T88" s="4" t="str">
        <f>IF(D88="","","红:"&amp;IF(后台计算!U82=0,"无",IF(后台计算!U82=1,"雷鸣","极限"))&amp;" 增压"&amp;TEXT(后台计算!W82,"0")&amp;" 弹药"&amp;TEXT(后台计算!X82,"0")&amp;"｜37灵光"&amp;TEXT(后台计算!AB82,"0")&amp;" 启迪"&amp;TEXT(后台计算!AC82,"0")&amp;"｜灵犀"&amp;TEXT(后台计算!AV82,"0")&amp;"｜J燃烧"&amp;TEXT(后台计算!AD82,"0")&amp;" 敌燃烧"&amp;TEXT(后台计算!AE82,"0"))</f>
        <v>红:雷鸣 增压8 弹药6｜37灵光4 启迪0｜灵犀5｜J燃烧35 敌燃烧15</v>
      </c>
      <c r="U88" s="4" t="str">
        <f>IF(D88="","",后台计算!BX82)</f>
        <v/>
      </c>
    </row>
    <row r="89" spans="1:21" ht="50.1" customHeight="1">
      <c r="A89" s="1">
        <f t="shared" si="4"/>
        <v>81</v>
      </c>
      <c r="B89" s="3">
        <v>5</v>
      </c>
      <c r="C89" s="3">
        <v>5</v>
      </c>
      <c r="D89" s="3" t="s">
        <v>110</v>
      </c>
      <c r="E89" s="3" t="s">
        <v>612</v>
      </c>
      <c r="F89" s="5">
        <v>10666</v>
      </c>
      <c r="G89" s="5">
        <v>6690</v>
      </c>
      <c r="H89" s="5"/>
      <c r="I89" s="5"/>
      <c r="J89" s="6" t="str">
        <f>IF(D89="","",后台计算!E83)</f>
        <v>37</v>
      </c>
      <c r="K89" s="6">
        <f>IF(D89="","",后台计算!AY83)</f>
        <v>3517</v>
      </c>
      <c r="L89" s="7">
        <f>IF(D89="","",后台计算!AZ83)</f>
        <v>0.76</v>
      </c>
      <c r="M89" s="7">
        <f>IF(D89="","",后台计算!BA83)</f>
        <v>2.4780000000000002</v>
      </c>
      <c r="N89" s="4">
        <f>IF(D89="","",后台计算!BG83)</f>
        <v>3</v>
      </c>
      <c r="O89" s="6">
        <f>IF(D89="","",后台计算!BU83)</f>
        <v>7298</v>
      </c>
      <c r="P89" s="6">
        <f>IF(D89="","",后台计算!BV83)</f>
        <v>17356</v>
      </c>
      <c r="Q89" s="6">
        <f t="shared" si="5"/>
        <v>17356</v>
      </c>
      <c r="R89" s="6">
        <f t="shared" si="6"/>
        <v>17356</v>
      </c>
      <c r="S89" s="6">
        <f t="shared" si="7"/>
        <v>0</v>
      </c>
      <c r="T89" s="4" t="str">
        <f>IF(D89="","","红:"&amp;IF(后台计算!U83=0,"无",IF(后台计算!U83=1,"雷鸣","极限"))&amp;" 增压"&amp;TEXT(后台计算!W83,"0")&amp;" 弹药"&amp;TEXT(后台计算!X83,"0")&amp;"｜37灵光"&amp;TEXT(后台计算!AB83,"0")&amp;" 启迪"&amp;TEXT(后台计算!AC83,"0")&amp;"｜灵犀"&amp;TEXT(后台计算!AV83,"0")&amp;"｜J燃烧"&amp;TEXT(后台计算!AD83,"0")&amp;" 敌燃烧"&amp;TEXT(后台计算!AE83,"0"))</f>
        <v>红:雷鸣 增压8 弹药6｜37灵光5 启迪1｜灵犀5｜J燃烧35 敌燃烧15</v>
      </c>
      <c r="U89" s="4" t="str">
        <f>IF(D89="","",后台计算!BX83)</f>
        <v/>
      </c>
    </row>
    <row r="90" spans="1:21" ht="50.1" customHeight="1">
      <c r="A90" s="1">
        <f t="shared" si="4"/>
        <v>82</v>
      </c>
      <c r="B90" s="3">
        <v>5</v>
      </c>
      <c r="C90" s="3">
        <v>6</v>
      </c>
      <c r="D90" s="3" t="s">
        <v>580</v>
      </c>
      <c r="E90" s="3" t="s">
        <v>611</v>
      </c>
      <c r="F90" s="5"/>
      <c r="G90" s="5"/>
      <c r="H90" s="5"/>
      <c r="I90" s="5" t="s">
        <v>616</v>
      </c>
      <c r="J90" s="6" t="str">
        <f>IF(D90="","",后台计算!E84)</f>
        <v>红弩箭</v>
      </c>
      <c r="K90" s="6">
        <f>IF(D90="","",后台计算!AY84)</f>
        <v>3505</v>
      </c>
      <c r="L90" s="7">
        <f>IF(D90="","",后台计算!AZ84)</f>
        <v>1</v>
      </c>
      <c r="M90" s="7">
        <f>IF(D90="","",后台计算!BA84)</f>
        <v>2.3050000000000002</v>
      </c>
      <c r="N90" s="4">
        <f>IF(D90="","",后台计算!BG84)</f>
        <v>0</v>
      </c>
      <c r="O90" s="6">
        <f>IF(D90="","",后台计算!BU84)</f>
        <v>0</v>
      </c>
      <c r="P90" s="6">
        <f>IF(D90="","",后台计算!BV84)</f>
        <v>0</v>
      </c>
      <c r="Q90" s="6" t="str">
        <f t="shared" si="5"/>
        <v/>
      </c>
      <c r="R90" s="6" t="str">
        <f t="shared" si="6"/>
        <v/>
      </c>
      <c r="S90" s="6" t="str">
        <f t="shared" si="7"/>
        <v/>
      </c>
      <c r="T90" s="4" t="str">
        <f>IF(D90="","","红:"&amp;IF(后台计算!U84=0,"无",IF(后台计算!U84=1,"雷鸣","极限"))&amp;" 增压"&amp;TEXT(后台计算!W84,"0")&amp;" 弹药"&amp;TEXT(后台计算!X84,"0")&amp;"｜37灵光"&amp;TEXT(后台计算!AB84,"0")&amp;" 启迪"&amp;TEXT(后台计算!AC84,"0")&amp;"｜灵犀"&amp;TEXT(后台计算!AV84,"0")&amp;"｜J燃烧"&amp;TEXT(后台计算!AD84,"0")&amp;" 敌燃烧"&amp;TEXT(后台计算!AE84,"0"))</f>
        <v>红:雷鸣 增压8 弹药6｜37灵光0 启迪0｜灵犀5｜J燃烧35 敌燃烧15</v>
      </c>
      <c r="U90" s="4" t="str">
        <f>IF(D90="","",后台计算!BX84)</f>
        <v/>
      </c>
    </row>
    <row r="91" spans="1:21" ht="50.1" customHeight="1">
      <c r="A91" s="1">
        <f t="shared" si="4"/>
        <v>83</v>
      </c>
      <c r="B91" s="3">
        <v>5</v>
      </c>
      <c r="C91" s="3">
        <v>7</v>
      </c>
      <c r="D91" s="3" t="s">
        <v>55</v>
      </c>
      <c r="E91" s="3" t="s">
        <v>612</v>
      </c>
      <c r="F91" s="5">
        <v>77137</v>
      </c>
      <c r="G91" s="5">
        <v>0</v>
      </c>
      <c r="H91" s="5"/>
      <c r="I91" s="5"/>
      <c r="J91" s="6" t="str">
        <f>IF(D91="","",后台计算!E85)</f>
        <v>红弩箭</v>
      </c>
      <c r="K91" s="6">
        <f>IF(D91="","",后台计算!AY85)</f>
        <v>3505</v>
      </c>
      <c r="L91" s="7">
        <f>IF(D91="","",后台计算!AZ85)</f>
        <v>1</v>
      </c>
      <c r="M91" s="7">
        <f>IF(D91="","",后台计算!BA85)</f>
        <v>2.3050000000000002</v>
      </c>
      <c r="N91" s="4">
        <f>IF(D91="","",后台计算!BG85)</f>
        <v>9</v>
      </c>
      <c r="O91" s="6">
        <f>IF(D91="","",后台计算!BU85)</f>
        <v>34982</v>
      </c>
      <c r="P91" s="6">
        <f>IF(D91="","",后台计算!BV85)</f>
        <v>77137</v>
      </c>
      <c r="Q91" s="6">
        <f t="shared" si="5"/>
        <v>77137</v>
      </c>
      <c r="R91" s="6">
        <f t="shared" si="6"/>
        <v>77137</v>
      </c>
      <c r="S91" s="6">
        <f t="shared" si="7"/>
        <v>0</v>
      </c>
      <c r="T91" s="4" t="str">
        <f>IF(D91="","","红:"&amp;IF(后台计算!U85=0,"无",IF(后台计算!U85=1,"雷鸣","极限"))&amp;" 增压"&amp;TEXT(后台计算!W85,"0")&amp;" 弹药"&amp;TEXT(后台计算!X85,"0")&amp;"｜37灵光"&amp;TEXT(后台计算!AB85,"0")&amp;" 启迪"&amp;TEXT(后台计算!AC85,"0")&amp;"｜灵犀"&amp;TEXT(后台计算!AV85,"0")&amp;"｜J燃烧"&amp;TEXT(后台计算!AD85,"0")&amp;" 敌燃烧"&amp;TEXT(后台计算!AE85,"0"))</f>
        <v>红:雷鸣 增压8 弹药8｜37灵光1 启迪0｜灵犀5｜J燃烧35 敌燃烧15</v>
      </c>
      <c r="U91" s="4" t="str">
        <f>IF(D91="","",后台计算!BX85)</f>
        <v/>
      </c>
    </row>
    <row r="92" spans="1:21" ht="95.1" customHeight="1">
      <c r="A92" s="1">
        <f t="shared" si="4"/>
        <v>84</v>
      </c>
      <c r="B92" s="3">
        <v>5</v>
      </c>
      <c r="C92" s="3">
        <v>8</v>
      </c>
      <c r="D92" s="3" t="s">
        <v>587</v>
      </c>
      <c r="E92" s="3" t="s">
        <v>611</v>
      </c>
      <c r="F92" s="5"/>
      <c r="G92" s="5"/>
      <c r="H92" s="5"/>
      <c r="I92" s="5" t="s">
        <v>618</v>
      </c>
      <c r="J92" s="6" t="str">
        <f>IF(D92="","",后台计算!E86)</f>
        <v>系统</v>
      </c>
      <c r="K92" s="6">
        <f>IF(D92="","",后台计算!AY86)</f>
        <v>0</v>
      </c>
      <c r="L92" s="7">
        <f>IF(D92="","",后台计算!AZ86)</f>
        <v>0</v>
      </c>
      <c r="M92" s="7">
        <f>IF(D92="","",后台计算!BA86)</f>
        <v>0.28000000000000003</v>
      </c>
      <c r="N92" s="4">
        <f>IF(D92="","",后台计算!BG86)</f>
        <v>0</v>
      </c>
      <c r="O92" s="6">
        <f>IF(D92="","",后台计算!BU86)</f>
        <v>0</v>
      </c>
      <c r="P92" s="6">
        <f>IF(D92="","",后台计算!BV86)</f>
        <v>0</v>
      </c>
      <c r="Q92" s="6" t="str">
        <f t="shared" si="5"/>
        <v/>
      </c>
      <c r="R92" s="6" t="str">
        <f t="shared" si="6"/>
        <v/>
      </c>
      <c r="S92" s="6" t="str">
        <f t="shared" si="7"/>
        <v/>
      </c>
      <c r="T92" s="4" t="str">
        <f>IF(D92="","","红:"&amp;IF(后台计算!U86=0,"无",IF(后台计算!U86=1,"雷鸣","极限"))&amp;" 增压"&amp;TEXT(后台计算!W86,"0")&amp;" 弹药"&amp;TEXT(后台计算!X86,"0")&amp;"｜37灵光"&amp;TEXT(后台计算!AB86,"0")&amp;" 启迪"&amp;TEXT(后台计算!AC86,"0")&amp;"｜灵犀"&amp;TEXT(后台计算!AV86,"0")&amp;"｜J燃烧"&amp;TEXT(后台计算!AD86,"0")&amp;" 敌燃烧"&amp;TEXT(后台计算!AE86,"0"))</f>
        <v>红:雷鸣 增压10 弹药8｜37灵光2 启迪0｜灵犀5｜J燃烧35 敌燃烧15</v>
      </c>
      <c r="U92" s="4" t="str">
        <f>IF(D92="","",后台计算!BX86)</f>
        <v/>
      </c>
    </row>
    <row r="93" spans="1:21" ht="50.1" customHeight="1">
      <c r="A93" s="1">
        <f t="shared" si="4"/>
        <v>85</v>
      </c>
      <c r="B93" s="3">
        <v>5</v>
      </c>
      <c r="C93" s="3">
        <v>9</v>
      </c>
      <c r="D93" s="3" t="s">
        <v>159</v>
      </c>
      <c r="E93" s="3" t="s">
        <v>613</v>
      </c>
      <c r="F93" s="5">
        <v>3902</v>
      </c>
      <c r="G93" s="5">
        <v>0</v>
      </c>
      <c r="H93" s="5"/>
      <c r="I93" s="5"/>
      <c r="J93" s="6" t="str">
        <f>IF(D93="","",后台计算!E87)</f>
        <v>J</v>
      </c>
      <c r="K93" s="6">
        <f>IF(D93="","",后台计算!AY87)</f>
        <v>3323</v>
      </c>
      <c r="L93" s="7">
        <f>IF(D93="","",后台计算!AZ87)</f>
        <v>0.16700000000000004</v>
      </c>
      <c r="M93" s="7">
        <f>IF(D93="","",后台计算!BA87)</f>
        <v>1.2969999999999999</v>
      </c>
      <c r="N93" s="4">
        <f>IF(D93="","",后台计算!BG87)</f>
        <v>4.75</v>
      </c>
      <c r="O93" s="6">
        <f>IF(D93="","",后台计算!BU87)</f>
        <v>3902</v>
      </c>
      <c r="P93" s="6">
        <f>IF(D93="","",后台计算!BV87)</f>
        <v>4292</v>
      </c>
      <c r="Q93" s="6">
        <f t="shared" si="5"/>
        <v>3902</v>
      </c>
      <c r="R93" s="6">
        <f t="shared" si="6"/>
        <v>3902</v>
      </c>
      <c r="S93" s="6">
        <f t="shared" si="7"/>
        <v>0</v>
      </c>
      <c r="T93" s="4" t="str">
        <f>IF(D93="","","红:"&amp;IF(后台计算!U87=0,"无",IF(后台计算!U87=1,"雷鸣","极限"))&amp;" 增压"&amp;TEXT(后台计算!W87,"0")&amp;" 弹药"&amp;TEXT(后台计算!X87,"0")&amp;"｜37灵光"&amp;TEXT(后台计算!AB87,"0")&amp;" 启迪"&amp;TEXT(后台计算!AC87,"0")&amp;"｜灵犀"&amp;TEXT(后台计算!AV87,"0")&amp;"｜J燃烧"&amp;TEXT(后台计算!AD87,"0")&amp;" 敌燃烧"&amp;TEXT(后台计算!AE87,"0"))</f>
        <v>红:雷鸣 增压10 弹药8｜37灵光2 启迪0｜灵犀5｜J燃烧35 敌燃烧15</v>
      </c>
      <c r="U93" s="4" t="str">
        <f>IF(D93="","",后台计算!BX87)</f>
        <v/>
      </c>
    </row>
    <row r="94" spans="1:21" ht="50.1" customHeight="1">
      <c r="A94" s="1">
        <f t="shared" si="4"/>
        <v>86</v>
      </c>
      <c r="B94" s="3">
        <v>5</v>
      </c>
      <c r="C94" s="3">
        <v>10</v>
      </c>
      <c r="D94" s="3" t="s">
        <v>159</v>
      </c>
      <c r="E94" s="3" t="s">
        <v>613</v>
      </c>
      <c r="F94" s="5">
        <v>5203</v>
      </c>
      <c r="G94" s="5">
        <v>0</v>
      </c>
      <c r="H94" s="5"/>
      <c r="I94" s="5"/>
      <c r="J94" s="6" t="str">
        <f>IF(D94="","",后台计算!E88)</f>
        <v>J</v>
      </c>
      <c r="K94" s="6">
        <f>IF(D94="","",后台计算!AY88)</f>
        <v>3323</v>
      </c>
      <c r="L94" s="7">
        <f>IF(D94="","",后台计算!AZ88)</f>
        <v>0.16700000000000004</v>
      </c>
      <c r="M94" s="7">
        <f>IF(D94="","",后台计算!BA88)</f>
        <v>1.2969999999999999</v>
      </c>
      <c r="N94" s="4">
        <f>IF(D94="","",后台计算!BG88)</f>
        <v>4.75</v>
      </c>
      <c r="O94" s="6">
        <f>IF(D94="","",后台计算!BU88)</f>
        <v>5203</v>
      </c>
      <c r="P94" s="6">
        <f>IF(D94="","",后台计算!BV88)</f>
        <v>5723</v>
      </c>
      <c r="Q94" s="6">
        <f t="shared" si="5"/>
        <v>5203</v>
      </c>
      <c r="R94" s="6">
        <f t="shared" si="6"/>
        <v>5203</v>
      </c>
      <c r="S94" s="6">
        <f t="shared" si="7"/>
        <v>0</v>
      </c>
      <c r="T94" s="4" t="str">
        <f>IF(D94="","","红:"&amp;IF(后台计算!U88=0,"无",IF(后台计算!U88=1,"雷鸣","极限"))&amp;" 增压"&amp;TEXT(后台计算!W88,"0")&amp;" 弹药"&amp;TEXT(后台计算!X88,"0")&amp;"｜37灵光"&amp;TEXT(后台计算!AB88,"0")&amp;" 启迪"&amp;TEXT(后台计算!AC88,"0")&amp;"｜灵犀"&amp;TEXT(后台计算!AV88,"0")&amp;"｜J燃烧"&amp;TEXT(后台计算!AD88,"0")&amp;" 敌燃烧"&amp;TEXT(后台计算!AE88,"0"))</f>
        <v>红:雷鸣 增压10 弹药8｜37灵光3 启迪0｜灵犀5｜J燃烧35 敌燃烧17</v>
      </c>
      <c r="U94" s="4" t="str">
        <f>IF(D94="","",后台计算!BX88)</f>
        <v/>
      </c>
    </row>
    <row r="95" spans="1:21" ht="50.1" customHeight="1">
      <c r="A95" s="1">
        <f t="shared" si="4"/>
        <v>87</v>
      </c>
      <c r="B95" s="3">
        <v>5</v>
      </c>
      <c r="C95" s="3">
        <v>11</v>
      </c>
      <c r="D95" s="3" t="s">
        <v>159</v>
      </c>
      <c r="E95" s="3" t="s">
        <v>613</v>
      </c>
      <c r="F95" s="5">
        <v>6504</v>
      </c>
      <c r="G95" s="5">
        <v>0</v>
      </c>
      <c r="H95" s="5"/>
      <c r="I95" s="5"/>
      <c r="J95" s="6" t="str">
        <f>IF(D95="","",后台计算!E89)</f>
        <v>J</v>
      </c>
      <c r="K95" s="6">
        <f>IF(D95="","",后台计算!AY89)</f>
        <v>3323</v>
      </c>
      <c r="L95" s="7">
        <f>IF(D95="","",后台计算!AZ89)</f>
        <v>0.16700000000000004</v>
      </c>
      <c r="M95" s="7">
        <f>IF(D95="","",后台计算!BA89)</f>
        <v>1.2969999999999999</v>
      </c>
      <c r="N95" s="4">
        <f>IF(D95="","",后台计算!BG89)</f>
        <v>4.75</v>
      </c>
      <c r="O95" s="6">
        <f>IF(D95="","",后台计算!BU89)</f>
        <v>6504</v>
      </c>
      <c r="P95" s="6">
        <f>IF(D95="","",后台计算!BV89)</f>
        <v>7154</v>
      </c>
      <c r="Q95" s="6">
        <f t="shared" si="5"/>
        <v>6504</v>
      </c>
      <c r="R95" s="6">
        <f t="shared" si="6"/>
        <v>6504</v>
      </c>
      <c r="S95" s="6">
        <f t="shared" si="7"/>
        <v>0</v>
      </c>
      <c r="T95" s="4" t="str">
        <f>IF(D95="","","红:"&amp;IF(后台计算!U89=0,"无",IF(后台计算!U89=1,"雷鸣","极限"))&amp;" 增压"&amp;TEXT(后台计算!W89,"0")&amp;" 弹药"&amp;TEXT(后台计算!X89,"0")&amp;"｜37灵光"&amp;TEXT(后台计算!AB89,"0")&amp;" 启迪"&amp;TEXT(后台计算!AC89,"0")&amp;"｜灵犀"&amp;TEXT(后台计算!AV89,"0")&amp;"｜J燃烧"&amp;TEXT(后台计算!AD89,"0")&amp;" 敌燃烧"&amp;TEXT(后台计算!AE89,"0"))</f>
        <v>红:雷鸣 增压10 弹药8｜37灵光4 启迪0｜灵犀5｜J燃烧35 敌燃烧19</v>
      </c>
      <c r="U95" s="4" t="str">
        <f>IF(D95="","",后台计算!BX89)</f>
        <v/>
      </c>
    </row>
    <row r="96" spans="1:21" ht="50.1" customHeight="1">
      <c r="A96" s="1">
        <f t="shared" si="4"/>
        <v>88</v>
      </c>
      <c r="B96" s="3">
        <v>5</v>
      </c>
      <c r="C96" s="3">
        <v>12</v>
      </c>
      <c r="D96" s="3" t="s">
        <v>110</v>
      </c>
      <c r="E96" s="3" t="s">
        <v>613</v>
      </c>
      <c r="F96" s="5">
        <v>1087</v>
      </c>
      <c r="G96" s="5">
        <v>0</v>
      </c>
      <c r="H96" s="5"/>
      <c r="I96" s="5"/>
      <c r="J96" s="6" t="str">
        <f>IF(D96="","",后台计算!E90)</f>
        <v>37</v>
      </c>
      <c r="K96" s="6">
        <f>IF(D96="","",后台计算!AY90)</f>
        <v>3517</v>
      </c>
      <c r="L96" s="7">
        <f>IF(D96="","",后台计算!AZ90)</f>
        <v>0.26</v>
      </c>
      <c r="M96" s="7">
        <f>IF(D96="","",后台计算!BA90)</f>
        <v>1.7780000000000002</v>
      </c>
      <c r="N96" s="4">
        <f>IF(D96="","",后台计算!BG90)</f>
        <v>3</v>
      </c>
      <c r="O96" s="6">
        <f>IF(D96="","",后台计算!BU90)</f>
        <v>1087</v>
      </c>
      <c r="P96" s="6">
        <f>IF(D96="","",后台计算!BV90)</f>
        <v>1824</v>
      </c>
      <c r="Q96" s="6">
        <f t="shared" si="5"/>
        <v>1087</v>
      </c>
      <c r="R96" s="6">
        <f t="shared" si="6"/>
        <v>1087</v>
      </c>
      <c r="S96" s="6">
        <f t="shared" si="7"/>
        <v>0</v>
      </c>
      <c r="T96" s="4" t="str">
        <f>IF(D96="","","红:"&amp;IF(后台计算!U90=0,"无",IF(后台计算!U90=1,"雷鸣","极限"))&amp;" 增压"&amp;TEXT(后台计算!W90,"0")&amp;" 弹药"&amp;TEXT(后台计算!X90,"0")&amp;"｜37灵光"&amp;TEXT(后台计算!AB90,"0")&amp;" 启迪"&amp;TEXT(后台计算!AC90,"0")&amp;"｜灵犀"&amp;TEXT(后台计算!AV90,"0")&amp;"｜J燃烧"&amp;TEXT(后台计算!AD90,"0")&amp;" 敌燃烧"&amp;TEXT(后台计算!AE90,"0"))</f>
        <v>红:雷鸣 增压10 弹药8｜37灵光5 启迪0｜灵犀5｜J燃烧35 敌燃烧21</v>
      </c>
      <c r="U96" s="4" t="str">
        <f>IF(D96="","",后台计算!BX90)</f>
        <v/>
      </c>
    </row>
    <row r="97" spans="1:21" ht="50.1" customHeight="1">
      <c r="A97" s="1">
        <f t="shared" si="4"/>
        <v>89</v>
      </c>
      <c r="B97" s="3">
        <v>5</v>
      </c>
      <c r="C97" s="3">
        <v>13</v>
      </c>
      <c r="D97" s="3" t="s">
        <v>159</v>
      </c>
      <c r="E97" s="3" t="s">
        <v>613</v>
      </c>
      <c r="F97" s="5">
        <v>6504</v>
      </c>
      <c r="G97" s="5">
        <v>0</v>
      </c>
      <c r="H97" s="5"/>
      <c r="I97" s="5"/>
      <c r="J97" s="6" t="str">
        <f>IF(D97="","",后台计算!E91)</f>
        <v>J</v>
      </c>
      <c r="K97" s="6">
        <f>IF(D97="","",后台计算!AY91)</f>
        <v>3323</v>
      </c>
      <c r="L97" s="7">
        <f>IF(D97="","",后台计算!AZ91)</f>
        <v>0.16700000000000004</v>
      </c>
      <c r="M97" s="7">
        <f>IF(D97="","",后台计算!BA91)</f>
        <v>1.2969999999999999</v>
      </c>
      <c r="N97" s="4">
        <f>IF(D97="","",后台计算!BG91)</f>
        <v>4.75</v>
      </c>
      <c r="O97" s="6">
        <f>IF(D97="","",后台计算!BU91)</f>
        <v>6504</v>
      </c>
      <c r="P97" s="6">
        <f>IF(D97="","",后台计算!BV91)</f>
        <v>7154</v>
      </c>
      <c r="Q97" s="6">
        <f t="shared" si="5"/>
        <v>6504</v>
      </c>
      <c r="R97" s="6">
        <f t="shared" si="6"/>
        <v>6504</v>
      </c>
      <c r="S97" s="6">
        <f t="shared" si="7"/>
        <v>0</v>
      </c>
      <c r="T97" s="4" t="str">
        <f>IF(D97="","","红:"&amp;IF(后台计算!U91=0,"无",IF(后台计算!U91=1,"雷鸣","极限"))&amp;" 增压"&amp;TEXT(后台计算!W91,"0")&amp;" 弹药"&amp;TEXT(后台计算!X91,"0")&amp;"｜37灵光"&amp;TEXT(后台计算!AB91,"0")&amp;" 启迪"&amp;TEXT(后台计算!AC91,"0")&amp;"｜灵犀"&amp;TEXT(后台计算!AV91,"0")&amp;"｜J燃烧"&amp;TEXT(后台计算!AD91,"0")&amp;" 敌燃烧"&amp;TEXT(后台计算!AE91,"0"))</f>
        <v>红:雷鸣 增压10 弹药8｜37灵光0 启迪0｜灵犀5｜J燃烧35 敌燃烧21</v>
      </c>
      <c r="U97" s="4" t="str">
        <f>IF(D97="","",后台计算!BX91)</f>
        <v/>
      </c>
    </row>
    <row r="98" spans="1:21" ht="50.1" customHeight="1">
      <c r="A98" s="1">
        <f t="shared" si="4"/>
        <v>90</v>
      </c>
      <c r="B98" s="3">
        <v>6</v>
      </c>
      <c r="C98" s="3">
        <v>1</v>
      </c>
      <c r="D98" s="3" t="s">
        <v>137</v>
      </c>
      <c r="E98" s="3" t="s">
        <v>611</v>
      </c>
      <c r="F98" s="5"/>
      <c r="G98" s="5"/>
      <c r="H98" s="5"/>
      <c r="I98" s="5"/>
      <c r="J98" s="6" t="str">
        <f>IF(D98="","",后台计算!E92)</f>
        <v>小瑞安侬</v>
      </c>
      <c r="K98" s="6">
        <f>IF(D98="","",后台计算!AY92)</f>
        <v>3298</v>
      </c>
      <c r="L98" s="7">
        <f>IF(D98="","",后台计算!AZ92)</f>
        <v>0.55499999999999994</v>
      </c>
      <c r="M98" s="7">
        <f>IF(D98="","",后台计算!BA92)</f>
        <v>1.83</v>
      </c>
      <c r="N98" s="4">
        <f>IF(D98="","",后台计算!BG92)</f>
        <v>0</v>
      </c>
      <c r="O98" s="6">
        <f>IF(D98="","",后台计算!BU92)</f>
        <v>0</v>
      </c>
      <c r="P98" s="6">
        <f>IF(D98="","",后台计算!BV92)</f>
        <v>0</v>
      </c>
      <c r="Q98" s="6" t="str">
        <f t="shared" si="5"/>
        <v/>
      </c>
      <c r="R98" s="6" t="str">
        <f t="shared" si="6"/>
        <v/>
      </c>
      <c r="S98" s="6" t="str">
        <f t="shared" si="7"/>
        <v/>
      </c>
      <c r="T98" s="4" t="str">
        <f>IF(D98="","","红:"&amp;IF(后台计算!U92=0,"无",IF(后台计算!U92=1,"雷鸣","极限"))&amp;" 增压"&amp;TEXT(后台计算!W92,"0")&amp;" 弹药"&amp;TEXT(后台计算!X92,"0")&amp;"｜37灵光"&amp;TEXT(后台计算!AB92,"0")&amp;" 启迪"&amp;TEXT(后台计算!AC92,"0")&amp;"｜灵犀"&amp;TEXT(后台计算!AV92,"0")&amp;"｜J燃烧"&amp;TEXT(后台计算!AD92,"0")&amp;" 敌燃烧"&amp;TEXT(后台计算!AE92,"0"))</f>
        <v>红:极限 增压10 弹药8｜37灵光1 启迪0｜灵犀5｜J燃烧35 敌燃烧11</v>
      </c>
      <c r="U98" s="4" t="str">
        <f>IF(D98="","",后台计算!BX92)</f>
        <v/>
      </c>
    </row>
    <row r="99" spans="1:21" ht="50.1" customHeight="1">
      <c r="A99" s="1">
        <f t="shared" si="4"/>
        <v>91</v>
      </c>
      <c r="B99" s="3">
        <v>6</v>
      </c>
      <c r="C99" s="3">
        <v>2</v>
      </c>
      <c r="D99" s="3" t="s">
        <v>133</v>
      </c>
      <c r="E99" s="3" t="s">
        <v>611</v>
      </c>
      <c r="F99" s="5"/>
      <c r="G99" s="5"/>
      <c r="H99" s="5"/>
      <c r="I99" s="5"/>
      <c r="J99" s="6" t="str">
        <f>IF(D99="","",后台计算!E93)</f>
        <v>小瑞安侬</v>
      </c>
      <c r="K99" s="6">
        <f>IF(D99="","",后台计算!AY93)</f>
        <v>3298</v>
      </c>
      <c r="L99" s="7">
        <f>IF(D99="","",后台计算!AZ93)</f>
        <v>0.55499999999999994</v>
      </c>
      <c r="M99" s="7">
        <f>IF(D99="","",后台计算!BA93)</f>
        <v>1.83</v>
      </c>
      <c r="N99" s="4">
        <f>IF(D99="","",后台计算!BG93)</f>
        <v>0</v>
      </c>
      <c r="O99" s="6">
        <f>IF(D99="","",后台计算!BU93)</f>
        <v>0</v>
      </c>
      <c r="P99" s="6">
        <f>IF(D99="","",后台计算!BV93)</f>
        <v>0</v>
      </c>
      <c r="Q99" s="6" t="str">
        <f t="shared" si="5"/>
        <v/>
      </c>
      <c r="R99" s="6" t="str">
        <f t="shared" si="6"/>
        <v/>
      </c>
      <c r="S99" s="6" t="str">
        <f t="shared" si="7"/>
        <v/>
      </c>
      <c r="T99" s="4" t="str">
        <f>IF(D99="","","红:"&amp;IF(后台计算!U93=0,"无",IF(后台计算!U93=1,"雷鸣","极限"))&amp;" 增压"&amp;TEXT(后台计算!W93,"0")&amp;" 弹药"&amp;TEXT(后台计算!X93,"0")&amp;"｜37灵光"&amp;TEXT(后台计算!AB93,"0")&amp;" 启迪"&amp;TEXT(后台计算!AC93,"0")&amp;"｜灵犀"&amp;TEXT(后台计算!AV93,"0")&amp;"｜J燃烧"&amp;TEXT(后台计算!AD93,"0")&amp;" 敌燃烧"&amp;TEXT(后台计算!AE93,"0"))</f>
        <v>红:极限 增压10 弹药8｜37灵光2 启迪0｜灵犀5｜J燃烧35 敌燃烧11</v>
      </c>
      <c r="U99" s="4" t="str">
        <f>IF(D99="","",后台计算!BX93)</f>
        <v/>
      </c>
    </row>
    <row r="100" spans="1:21" ht="50.1" customHeight="1">
      <c r="A100" s="1">
        <f t="shared" si="4"/>
        <v>92</v>
      </c>
      <c r="B100" s="3">
        <v>6</v>
      </c>
      <c r="C100" s="3">
        <v>3</v>
      </c>
      <c r="D100" s="3" t="s">
        <v>164</v>
      </c>
      <c r="E100" s="3" t="s">
        <v>613</v>
      </c>
      <c r="F100" s="5">
        <v>54067</v>
      </c>
      <c r="G100" s="5">
        <v>0</v>
      </c>
      <c r="H100" s="5"/>
      <c r="I100" s="5"/>
      <c r="J100" s="6" t="str">
        <f>IF(D100="","",后台计算!E94)</f>
        <v>J</v>
      </c>
      <c r="K100" s="6">
        <f>IF(D100="","",后台计算!AY94)</f>
        <v>2823</v>
      </c>
      <c r="L100" s="7">
        <f>IF(D100="","",后台计算!AZ94)</f>
        <v>0.66700000000000004</v>
      </c>
      <c r="M100" s="7">
        <f>IF(D100="","",后台计算!BA94)</f>
        <v>1.9969999999999999</v>
      </c>
      <c r="N100" s="4">
        <f>IF(D100="","",后台计算!BG94)</f>
        <v>23</v>
      </c>
      <c r="O100" s="6">
        <f>IF(D100="","",后台计算!BU94)</f>
        <v>54067</v>
      </c>
      <c r="P100" s="6">
        <f>IF(D100="","",后台计算!BV94)</f>
        <v>102565</v>
      </c>
      <c r="Q100" s="6">
        <f t="shared" si="5"/>
        <v>54067</v>
      </c>
      <c r="R100" s="6">
        <f t="shared" si="6"/>
        <v>54067</v>
      </c>
      <c r="S100" s="6">
        <f t="shared" si="7"/>
        <v>0</v>
      </c>
      <c r="T100" s="4" t="str">
        <f>IF(D100="","","红:"&amp;IF(后台计算!U94=0,"无",IF(后台计算!U94=1,"雷鸣","极限"))&amp;" 增压"&amp;TEXT(后台计算!W94,"0")&amp;" 弹药"&amp;TEXT(后台计算!X94,"0")&amp;"｜37灵光"&amp;TEXT(后台计算!AB94,"0")&amp;" 启迪"&amp;TEXT(后台计算!AC94,"0")&amp;"｜灵犀"&amp;TEXT(后台计算!AV94,"0")&amp;"｜J燃烧"&amp;TEXT(后台计算!AD94,"0")&amp;" 敌燃烧"&amp;TEXT(后台计算!AE94,"0"))</f>
        <v>红:极限 增压10 弹药8｜37灵光3 启迪0｜灵犀5｜J燃烧35 敌燃烧11</v>
      </c>
      <c r="U100" s="4" t="str">
        <f>IF(D100="","",后台计算!BX94)</f>
        <v/>
      </c>
    </row>
    <row r="101" spans="1:21" ht="50.1" customHeight="1">
      <c r="A101" s="1">
        <f t="shared" si="4"/>
        <v>93</v>
      </c>
      <c r="B101" s="3">
        <v>6</v>
      </c>
      <c r="C101" s="3">
        <v>4</v>
      </c>
      <c r="D101" s="3" t="s">
        <v>154</v>
      </c>
      <c r="E101" s="3" t="s">
        <v>611</v>
      </c>
      <c r="F101" s="5"/>
      <c r="G101" s="5"/>
      <c r="H101" s="5"/>
      <c r="I101" s="5"/>
      <c r="J101" s="6" t="str">
        <f>IF(D101="","",后台计算!E95)</f>
        <v>J</v>
      </c>
      <c r="K101" s="6">
        <f>IF(D101="","",后台计算!AY95)</f>
        <v>2823</v>
      </c>
      <c r="L101" s="7">
        <f>IF(D101="","",后台计算!AZ95)</f>
        <v>0.66700000000000004</v>
      </c>
      <c r="M101" s="7">
        <f>IF(D101="","",后台计算!BA95)</f>
        <v>1.9969999999999999</v>
      </c>
      <c r="N101" s="4">
        <f>IF(D101="","",后台计算!BG95)</f>
        <v>0</v>
      </c>
      <c r="O101" s="6">
        <f>IF(D101="","",后台计算!BU95)</f>
        <v>0</v>
      </c>
      <c r="P101" s="6">
        <f>IF(D101="","",后台计算!BV95)</f>
        <v>0</v>
      </c>
      <c r="Q101" s="6" t="str">
        <f t="shared" si="5"/>
        <v/>
      </c>
      <c r="R101" s="6" t="str">
        <f t="shared" si="6"/>
        <v/>
      </c>
      <c r="S101" s="6" t="str">
        <f t="shared" si="7"/>
        <v/>
      </c>
      <c r="T101" s="4" t="str">
        <f>IF(D101="","","红:"&amp;IF(后台计算!U95=0,"无",IF(后台计算!U95=1,"雷鸣","极限"))&amp;" 增压"&amp;TEXT(后台计算!W95,"0")&amp;" 弹药"&amp;TEXT(后台计算!X95,"0")&amp;"｜37灵光"&amp;TEXT(后台计算!AB95,"0")&amp;" 启迪"&amp;TEXT(后台计算!AC95,"0")&amp;"｜灵犀"&amp;TEXT(后台计算!AV95,"0")&amp;"｜J燃烧"&amp;TEXT(后台计算!AD95,"0")&amp;" 敌燃烧"&amp;TEXT(后台计算!AE95,"0"))</f>
        <v>红:极限 增压10 弹药8｜37灵光4 启迪0｜灵犀5｜J燃烧35 敌燃烧30</v>
      </c>
      <c r="U101" s="4" t="str">
        <f>IF(D101="","",后台计算!BX95)</f>
        <v/>
      </c>
    </row>
    <row r="102" spans="1:21" ht="50.1" customHeight="1">
      <c r="A102" s="1">
        <f t="shared" si="4"/>
        <v>94</v>
      </c>
      <c r="B102" s="3">
        <v>6</v>
      </c>
      <c r="C102" s="3">
        <v>5</v>
      </c>
      <c r="D102" s="3" t="s">
        <v>110</v>
      </c>
      <c r="E102" s="3" t="s">
        <v>613</v>
      </c>
      <c r="F102" s="5">
        <v>1742</v>
      </c>
      <c r="G102" s="5">
        <v>0</v>
      </c>
      <c r="H102" s="5"/>
      <c r="I102" s="5"/>
      <c r="J102" s="6" t="str">
        <f>IF(D102="","",后台计算!E96)</f>
        <v>37</v>
      </c>
      <c r="K102" s="6">
        <f>IF(D102="","",后台计算!AY96)</f>
        <v>3017</v>
      </c>
      <c r="L102" s="7">
        <f>IF(D102="","",后台计算!AZ96)</f>
        <v>0.26</v>
      </c>
      <c r="M102" s="7">
        <f>IF(D102="","",后台计算!BA96)</f>
        <v>1.7780000000000002</v>
      </c>
      <c r="N102" s="4">
        <f>IF(D102="","",后台计算!BG96)</f>
        <v>3</v>
      </c>
      <c r="O102" s="6">
        <f>IF(D102="","",后台计算!BU96)</f>
        <v>1742</v>
      </c>
      <c r="P102" s="6">
        <f>IF(D102="","",后台计算!BV96)</f>
        <v>2924</v>
      </c>
      <c r="Q102" s="6">
        <f t="shared" si="5"/>
        <v>1742</v>
      </c>
      <c r="R102" s="6">
        <f t="shared" si="6"/>
        <v>1742</v>
      </c>
      <c r="S102" s="6">
        <f t="shared" si="7"/>
        <v>0</v>
      </c>
      <c r="T102" s="4" t="str">
        <f>IF(D102="","","红:"&amp;IF(后台计算!U96=0,"无",IF(后台计算!U96=1,"雷鸣","极限"))&amp;" 增压"&amp;TEXT(后台计算!W96,"0")&amp;" 弹药"&amp;TEXT(后台计算!X96,"0")&amp;"｜37灵光"&amp;TEXT(后台计算!AB96,"0")&amp;" 启迪"&amp;TEXT(后台计算!AC96,"0")&amp;"｜灵犀"&amp;TEXT(后台计算!AV96,"0")&amp;"｜J燃烧"&amp;TEXT(后台计算!AD96,"0")&amp;" 敌燃烧"&amp;TEXT(后台计算!AE96,"0"))</f>
        <v>红:极限 增压10 弹药8｜37灵光5 启迪0｜灵犀5｜J燃烧35 敌燃烧30</v>
      </c>
      <c r="U102" s="4" t="str">
        <f>IF(D102="","",后台计算!BX96)</f>
        <v/>
      </c>
    </row>
    <row r="103" spans="1:21" ht="50.1" customHeight="1">
      <c r="A103" s="1">
        <f t="shared" si="4"/>
        <v>95</v>
      </c>
      <c r="B103" s="3">
        <v>6</v>
      </c>
      <c r="C103" s="3">
        <v>6</v>
      </c>
      <c r="D103" s="3" t="s">
        <v>97</v>
      </c>
      <c r="E103" s="3" t="s">
        <v>612</v>
      </c>
      <c r="F103" s="5">
        <v>8702</v>
      </c>
      <c r="G103" s="5">
        <v>0</v>
      </c>
      <c r="H103" s="5"/>
      <c r="I103" s="5"/>
      <c r="J103" s="6" t="str">
        <f>IF(D103="","",后台计算!E97)</f>
        <v>37</v>
      </c>
      <c r="K103" s="6">
        <f>IF(D103="","",后台计算!AY97)</f>
        <v>3017</v>
      </c>
      <c r="L103" s="7">
        <f>IF(D103="","",后台计算!AZ97)</f>
        <v>0.76</v>
      </c>
      <c r="M103" s="7">
        <f>IF(D103="","",后台计算!BA97)</f>
        <v>2.4780000000000002</v>
      </c>
      <c r="N103" s="4">
        <f>IF(D103="","",后台计算!BG97)</f>
        <v>4.2</v>
      </c>
      <c r="O103" s="6">
        <f>IF(D103="","",后台计算!BU97)</f>
        <v>3659</v>
      </c>
      <c r="P103" s="6">
        <f>IF(D103="","",后台计算!BV97)</f>
        <v>8702</v>
      </c>
      <c r="Q103" s="6">
        <f t="shared" si="5"/>
        <v>8702</v>
      </c>
      <c r="R103" s="6">
        <f t="shared" si="6"/>
        <v>8702</v>
      </c>
      <c r="S103" s="6">
        <f t="shared" si="7"/>
        <v>0</v>
      </c>
      <c r="T103" s="4" t="str">
        <f>IF(D103="","","红:"&amp;IF(后台计算!U97=0,"无",IF(后台计算!U97=1,"雷鸣","极限"))&amp;" 增压"&amp;TEXT(后台计算!W97,"0")&amp;" 弹药"&amp;TEXT(后台计算!X97,"0")&amp;"｜37灵光"&amp;TEXT(后台计算!AB97,"0")&amp;" 启迪"&amp;TEXT(后台计算!AC97,"0")&amp;"｜灵犀"&amp;TEXT(后台计算!AV97,"0")&amp;"｜J燃烧"&amp;TEXT(后台计算!AD97,"0")&amp;" 敌燃烧"&amp;TEXT(后台计算!AE97,"0"))</f>
        <v>红:极限 增压10 弹药8｜37灵光0 启迪0｜灵犀5｜J燃烧35 敌燃烧30</v>
      </c>
      <c r="U103" s="4" t="str">
        <f>IF(D103="","",后台计算!BX97)</f>
        <v/>
      </c>
    </row>
    <row r="104" spans="1:21" ht="50.1" customHeight="1">
      <c r="A104" s="1">
        <f t="shared" si="4"/>
        <v>96</v>
      </c>
      <c r="B104" s="3">
        <v>6</v>
      </c>
      <c r="C104" s="3">
        <v>7</v>
      </c>
      <c r="D104" s="3" t="s">
        <v>65</v>
      </c>
      <c r="E104" s="3" t="s">
        <v>612</v>
      </c>
      <c r="F104" s="5">
        <v>615024</v>
      </c>
      <c r="G104" s="5">
        <v>0</v>
      </c>
      <c r="H104" s="5"/>
      <c r="I104" s="5"/>
      <c r="J104" s="6" t="str">
        <f>IF(D104="","",后台计算!E98)</f>
        <v>红弩箭</v>
      </c>
      <c r="K104" s="6">
        <f>IF(D104="","",后台计算!AY98)</f>
        <v>3005</v>
      </c>
      <c r="L104" s="7">
        <f>IF(D104="","",后台计算!AZ98)</f>
        <v>1</v>
      </c>
      <c r="M104" s="7">
        <f>IF(D104="","",后台计算!BA98)</f>
        <v>2.3050000000000002</v>
      </c>
      <c r="N104" s="4">
        <f>IF(D104="","",后台计算!BG98)</f>
        <v>45</v>
      </c>
      <c r="O104" s="6">
        <f>IF(D104="","",后台计算!BU98)</f>
        <v>278922</v>
      </c>
      <c r="P104" s="6">
        <f>IF(D104="","",后台计算!BV98)</f>
        <v>615024</v>
      </c>
      <c r="Q104" s="6">
        <f t="shared" si="5"/>
        <v>615024</v>
      </c>
      <c r="R104" s="6">
        <f t="shared" si="6"/>
        <v>615024</v>
      </c>
      <c r="S104" s="6">
        <f t="shared" si="7"/>
        <v>0</v>
      </c>
      <c r="T104" s="4" t="str">
        <f>IF(D104="","","红:"&amp;IF(后台计算!U98=0,"无",IF(后台计算!U98=1,"雷鸣","极限"))&amp;" 增压"&amp;TEXT(后台计算!W98,"0")&amp;" 弹药"&amp;TEXT(后台计算!X98,"0")&amp;"｜37灵光"&amp;TEXT(后台计算!AB98,"0")&amp;" 启迪"&amp;TEXT(后台计算!AC98,"0")&amp;"｜灵犀"&amp;TEXT(后台计算!AV98,"0")&amp;"｜J燃烧"&amp;TEXT(后台计算!AD98,"0")&amp;" 敌燃烧"&amp;TEXT(后台计算!AE98,"0"))</f>
        <v>红:极限 增压10 弹药8｜37灵光1 启迪1｜灵犀5｜J燃烧35 敌燃烧30</v>
      </c>
      <c r="U104" s="4" t="str">
        <f>IF(D104="","",后台计算!BX98)</f>
        <v/>
      </c>
    </row>
    <row r="105" spans="1:21" ht="50.1" customHeight="1">
      <c r="A105" s="1">
        <f t="shared" si="4"/>
        <v>97</v>
      </c>
      <c r="B105" s="3">
        <v>6</v>
      </c>
      <c r="C105" s="3">
        <v>8</v>
      </c>
      <c r="D105" s="3" t="s">
        <v>150</v>
      </c>
      <c r="E105" s="3" t="s">
        <v>613</v>
      </c>
      <c r="F105" s="5">
        <v>5087</v>
      </c>
      <c r="G105" s="5">
        <v>0</v>
      </c>
      <c r="H105" s="5"/>
      <c r="I105" s="5"/>
      <c r="J105" s="6" t="str">
        <f>IF(D105="","",后台计算!E99)</f>
        <v>J</v>
      </c>
      <c r="K105" s="6">
        <f>IF(D105="","",后台计算!AY99)</f>
        <v>2823</v>
      </c>
      <c r="L105" s="7">
        <f>IF(D105="","",后台计算!AZ99)</f>
        <v>0.66700000000000004</v>
      </c>
      <c r="M105" s="7">
        <f>IF(D105="","",后台计算!BA99)</f>
        <v>1.9969999999999999</v>
      </c>
      <c r="N105" s="4">
        <f>IF(D105="","",后台计算!BG99)</f>
        <v>5.4</v>
      </c>
      <c r="O105" s="6">
        <f>IF(D105="","",后台计算!BU99)</f>
        <v>5087</v>
      </c>
      <c r="P105" s="6">
        <f>IF(D105="","",后台计算!BV99)</f>
        <v>9651</v>
      </c>
      <c r="Q105" s="6">
        <f t="shared" si="5"/>
        <v>5087</v>
      </c>
      <c r="R105" s="6">
        <f t="shared" si="6"/>
        <v>5087</v>
      </c>
      <c r="S105" s="6">
        <f t="shared" si="7"/>
        <v>0</v>
      </c>
      <c r="T105" s="4" t="str">
        <f>IF(D105="","","红:"&amp;IF(后台计算!U99=0,"无",IF(后台计算!U99=1,"雷鸣","极限"))&amp;" 增压"&amp;TEXT(后台计算!W99,"0")&amp;" 弹药"&amp;TEXT(后台计算!X99,"0")&amp;"｜37灵光"&amp;TEXT(后台计算!AB99,"0")&amp;" 启迪"&amp;TEXT(后台计算!AC99,"0")&amp;"｜灵犀"&amp;TEXT(后台计算!AV99,"0")&amp;"｜J燃烧"&amp;TEXT(后台计算!AD99,"0")&amp;" 敌燃烧"&amp;TEXT(后台计算!AE99,"0"))</f>
        <v>红:极限 增压10 弹药8｜37灵光2 启迪1｜灵犀5｜J燃烧35 敌燃烧30</v>
      </c>
      <c r="U105" s="4" t="str">
        <f>IF(D105="","",后台计算!BX99)</f>
        <v/>
      </c>
    </row>
    <row r="106" spans="1:21" ht="50.1" customHeight="1">
      <c r="A106" s="1">
        <f t="shared" si="4"/>
        <v>98</v>
      </c>
      <c r="B106" s="3">
        <v>6</v>
      </c>
      <c r="C106" s="3">
        <v>9</v>
      </c>
      <c r="D106" s="3" t="s">
        <v>159</v>
      </c>
      <c r="E106" s="3" t="s">
        <v>613</v>
      </c>
      <c r="F106" s="5">
        <v>2914</v>
      </c>
      <c r="G106" s="5">
        <v>0</v>
      </c>
      <c r="H106" s="5"/>
      <c r="I106" s="5"/>
      <c r="J106" s="6" t="str">
        <f>IF(D106="","",后台计算!E100)</f>
        <v>J</v>
      </c>
      <c r="K106" s="6">
        <f>IF(D106="","",后台计算!AY100)</f>
        <v>2823</v>
      </c>
      <c r="L106" s="7">
        <f>IF(D106="","",后台计算!AZ100)</f>
        <v>0.16700000000000004</v>
      </c>
      <c r="M106" s="7">
        <f>IF(D106="","",后台计算!BA100)</f>
        <v>1.2969999999999999</v>
      </c>
      <c r="N106" s="4">
        <f>IF(D106="","",后台计算!BG100)</f>
        <v>4.75</v>
      </c>
      <c r="O106" s="6">
        <f>IF(D106="","",后台计算!BU100)</f>
        <v>2914</v>
      </c>
      <c r="P106" s="6">
        <f>IF(D106="","",后台计算!BV100)</f>
        <v>3205</v>
      </c>
      <c r="Q106" s="6">
        <f t="shared" si="5"/>
        <v>2914</v>
      </c>
      <c r="R106" s="6">
        <f t="shared" si="6"/>
        <v>2914</v>
      </c>
      <c r="S106" s="6">
        <f t="shared" si="7"/>
        <v>0</v>
      </c>
      <c r="T106" s="4" t="str">
        <f>IF(D106="","","红:"&amp;IF(后台计算!U100=0,"无",IF(后台计算!U100=1,"雷鸣","极限"))&amp;" 增压"&amp;TEXT(后台计算!W100,"0")&amp;" 弹药"&amp;TEXT(后台计算!X100,"0")&amp;"｜37灵光"&amp;TEXT(后台计算!AB100,"0")&amp;" 启迪"&amp;TEXT(后台计算!AC100,"0")&amp;"｜灵犀"&amp;TEXT(后台计算!AV100,"0")&amp;"｜J燃烧"&amp;TEXT(后台计算!AD100,"0")&amp;" 敌燃烧"&amp;TEXT(后台计算!AE100,"0"))</f>
        <v>红:极限 增压10 弹药8｜37灵光3 启迪1｜灵犀5｜J燃烧35 敌燃烧30</v>
      </c>
      <c r="U106" s="4" t="str">
        <f>IF(D106="","",后台计算!BX100)</f>
        <v/>
      </c>
    </row>
    <row r="107" spans="1:21" ht="50.1" customHeight="1">
      <c r="A107" s="1">
        <f t="shared" si="4"/>
        <v>99</v>
      </c>
      <c r="B107" s="3">
        <v>6</v>
      </c>
      <c r="C107" s="3">
        <v>10</v>
      </c>
      <c r="D107" s="3" t="s">
        <v>159</v>
      </c>
      <c r="E107" s="3" t="s">
        <v>613</v>
      </c>
      <c r="F107" s="5">
        <v>3885</v>
      </c>
      <c r="G107" s="5">
        <v>0</v>
      </c>
      <c r="H107" s="5"/>
      <c r="I107" s="5"/>
      <c r="J107" s="6" t="str">
        <f>IF(D107="","",后台计算!E101)</f>
        <v>J</v>
      </c>
      <c r="K107" s="6">
        <f>IF(D107="","",后台计算!AY101)</f>
        <v>2823</v>
      </c>
      <c r="L107" s="7">
        <f>IF(D107="","",后台计算!AZ101)</f>
        <v>0.16700000000000004</v>
      </c>
      <c r="M107" s="7">
        <f>IF(D107="","",后台计算!BA101)</f>
        <v>1.2969999999999999</v>
      </c>
      <c r="N107" s="4">
        <f>IF(D107="","",后台计算!BG101)</f>
        <v>4.75</v>
      </c>
      <c r="O107" s="6">
        <f>IF(D107="","",后台计算!BU101)</f>
        <v>3885</v>
      </c>
      <c r="P107" s="6">
        <f>IF(D107="","",后台计算!BV101)</f>
        <v>4274</v>
      </c>
      <c r="Q107" s="6">
        <f t="shared" si="5"/>
        <v>3885</v>
      </c>
      <c r="R107" s="6">
        <f t="shared" si="6"/>
        <v>3885</v>
      </c>
      <c r="S107" s="6">
        <f t="shared" si="7"/>
        <v>0</v>
      </c>
      <c r="T107" s="4" t="str">
        <f>IF(D107="","","红:"&amp;IF(后台计算!U101=0,"无",IF(后台计算!U101=1,"雷鸣","极限"))&amp;" 增压"&amp;TEXT(后台计算!W101,"0")&amp;" 弹药"&amp;TEXT(后台计算!X101,"0")&amp;"｜37灵光"&amp;TEXT(后台计算!AB101,"0")&amp;" 启迪"&amp;TEXT(后台计算!AC101,"0")&amp;"｜灵犀"&amp;TEXT(后台计算!AV101,"0")&amp;"｜J燃烧"&amp;TEXT(后台计算!AD101,"0")&amp;" 敌燃烧"&amp;TEXT(后台计算!AE101,"0"))</f>
        <v>红:极限 增压10 弹药8｜37灵光4 启迪1｜灵犀5｜J燃烧35 敌燃烧30</v>
      </c>
      <c r="U107" s="4" t="str">
        <f>IF(D107="","",后台计算!BX101)</f>
        <v/>
      </c>
    </row>
    <row r="108" spans="1:21" ht="50.1" customHeight="1">
      <c r="A108" s="1">
        <f t="shared" si="4"/>
        <v>100</v>
      </c>
      <c r="B108" s="3">
        <v>6</v>
      </c>
      <c r="C108" s="3">
        <v>11</v>
      </c>
      <c r="D108" s="3" t="s">
        <v>110</v>
      </c>
      <c r="E108" s="3" t="s">
        <v>613</v>
      </c>
      <c r="F108" s="5">
        <v>844</v>
      </c>
      <c r="G108" s="5">
        <v>1055</v>
      </c>
      <c r="H108" s="5"/>
      <c r="I108" s="5"/>
      <c r="J108" s="6" t="str">
        <f>IF(D108="","",后台计算!E102)</f>
        <v>37</v>
      </c>
      <c r="K108" s="6">
        <f>IF(D108="","",后台计算!AY102)</f>
        <v>3017</v>
      </c>
      <c r="L108" s="7">
        <f>IF(D108="","",后台计算!AZ102)</f>
        <v>0.26</v>
      </c>
      <c r="M108" s="7">
        <f>IF(D108="","",后台计算!BA102)</f>
        <v>1.7780000000000002</v>
      </c>
      <c r="N108" s="4">
        <f>IF(D108="","",后台计算!BG102)</f>
        <v>3</v>
      </c>
      <c r="O108" s="6">
        <f>IF(D108="","",后台计算!BU102)</f>
        <v>1899</v>
      </c>
      <c r="P108" s="6">
        <f>IF(D108="","",后台计算!BV102)</f>
        <v>3187</v>
      </c>
      <c r="Q108" s="6">
        <f t="shared" si="5"/>
        <v>1899</v>
      </c>
      <c r="R108" s="6">
        <f t="shared" si="6"/>
        <v>1899</v>
      </c>
      <c r="S108" s="6">
        <f t="shared" si="7"/>
        <v>0</v>
      </c>
      <c r="T108" s="4" t="str">
        <f>IF(D108="","","红:"&amp;IF(后台计算!U102=0,"无",IF(后台计算!U102=1,"雷鸣","极限"))&amp;" 增压"&amp;TEXT(后台计算!W102,"0")&amp;" 弹药"&amp;TEXT(后台计算!X102,"0")&amp;"｜37灵光"&amp;TEXT(后台计算!AB102,"0")&amp;" 启迪"&amp;TEXT(后台计算!AC102,"0")&amp;"｜灵犀"&amp;TEXT(后台计算!AV102,"0")&amp;"｜J燃烧"&amp;TEXT(后台计算!AD102,"0")&amp;" 敌燃烧"&amp;TEXT(后台计算!AE102,"0"))</f>
        <v>红:极限 增压10 弹药8｜37灵光5 启迪1｜灵犀5｜J燃烧35 敌燃烧30</v>
      </c>
      <c r="U108" s="4" t="str">
        <f>IF(D108="","",后台计算!BX102)</f>
        <v/>
      </c>
    </row>
    <row r="109" spans="1:21" ht="50.1" customHeight="1">
      <c r="A109" s="1">
        <f t="shared" si="4"/>
        <v>101</v>
      </c>
      <c r="B109" s="3">
        <v>6</v>
      </c>
      <c r="C109" s="3">
        <v>12</v>
      </c>
      <c r="D109" s="3" t="s">
        <v>159</v>
      </c>
      <c r="E109" s="3" t="s">
        <v>613</v>
      </c>
      <c r="F109" s="5">
        <v>3885</v>
      </c>
      <c r="G109" s="5">
        <v>0</v>
      </c>
      <c r="H109" s="5"/>
      <c r="I109" s="5"/>
      <c r="J109" s="6" t="str">
        <f>IF(D109="","",后台计算!E103)</f>
        <v>J</v>
      </c>
      <c r="K109" s="6">
        <f>IF(D109="","",后台计算!AY103)</f>
        <v>2823</v>
      </c>
      <c r="L109" s="7">
        <f>IF(D109="","",后台计算!AZ103)</f>
        <v>0.16700000000000004</v>
      </c>
      <c r="M109" s="7">
        <f>IF(D109="","",后台计算!BA103)</f>
        <v>1.2969999999999999</v>
      </c>
      <c r="N109" s="4">
        <f>IF(D109="","",后台计算!BG103)</f>
        <v>4.75</v>
      </c>
      <c r="O109" s="6">
        <f>IF(D109="","",后台计算!BU103)</f>
        <v>3885</v>
      </c>
      <c r="P109" s="6">
        <f>IF(D109="","",后台计算!BV103)</f>
        <v>4274</v>
      </c>
      <c r="Q109" s="6">
        <f t="shared" si="5"/>
        <v>3885</v>
      </c>
      <c r="R109" s="6">
        <f t="shared" si="6"/>
        <v>3885</v>
      </c>
      <c r="S109" s="6">
        <f t="shared" si="7"/>
        <v>0</v>
      </c>
      <c r="T109" s="4" t="str">
        <f>IF(D109="","","红:"&amp;IF(后台计算!U103=0,"无",IF(后台计算!U103=1,"雷鸣","极限"))&amp;" 增压"&amp;TEXT(后台计算!W103,"0")&amp;" 弹药"&amp;TEXT(后台计算!X103,"0")&amp;"｜37灵光"&amp;TEXT(后台计算!AB103,"0")&amp;" 启迪"&amp;TEXT(后台计算!AC103,"0")&amp;"｜灵犀"&amp;TEXT(后台计算!AV103,"0")&amp;"｜J燃烧"&amp;TEXT(后台计算!AD103,"0")&amp;" 敌燃烧"&amp;TEXT(后台计算!AE103,"0"))</f>
        <v>红:极限 增压10 弹药8｜37灵光0 启迪0｜灵犀5｜J燃烧35 敌燃烧30</v>
      </c>
      <c r="U109" s="4" t="str">
        <f>IF(D109="","",后台计算!BX103)</f>
        <v/>
      </c>
    </row>
    <row r="110" spans="1:21" ht="50.1" customHeight="1">
      <c r="A110" s="1">
        <f t="shared" si="4"/>
        <v>102</v>
      </c>
      <c r="B110" s="3">
        <v>6</v>
      </c>
      <c r="C110" s="3">
        <v>13</v>
      </c>
      <c r="D110" s="3" t="s">
        <v>159</v>
      </c>
      <c r="E110" s="3" t="s">
        <v>613</v>
      </c>
      <c r="F110" s="5">
        <v>4856</v>
      </c>
      <c r="G110" s="5">
        <v>0</v>
      </c>
      <c r="H110" s="5"/>
      <c r="I110" s="5"/>
      <c r="J110" s="6" t="str">
        <f>IF(D110="","",后台计算!E104)</f>
        <v>J</v>
      </c>
      <c r="K110" s="6">
        <f>IF(D110="","",后台计算!AY104)</f>
        <v>2823</v>
      </c>
      <c r="L110" s="7">
        <f>IF(D110="","",后台计算!AZ104)</f>
        <v>0.16700000000000004</v>
      </c>
      <c r="M110" s="7">
        <f>IF(D110="","",后台计算!BA104)</f>
        <v>1.2969999999999999</v>
      </c>
      <c r="N110" s="4">
        <f>IF(D110="","",后台计算!BG104)</f>
        <v>4.75</v>
      </c>
      <c r="O110" s="6">
        <f>IF(D110="","",后台计算!BU104)</f>
        <v>4856</v>
      </c>
      <c r="P110" s="6">
        <f>IF(D110="","",后台计算!BV104)</f>
        <v>5342</v>
      </c>
      <c r="Q110" s="6">
        <f t="shared" si="5"/>
        <v>4856</v>
      </c>
      <c r="R110" s="6">
        <f t="shared" si="6"/>
        <v>4856</v>
      </c>
      <c r="S110" s="6">
        <f t="shared" si="7"/>
        <v>0</v>
      </c>
      <c r="T110" s="4" t="str">
        <f>IF(D110="","","红:"&amp;IF(后台计算!U104=0,"无",IF(后台计算!U104=1,"雷鸣","极限"))&amp;" 增压"&amp;TEXT(后台计算!W104,"0")&amp;" 弹药"&amp;TEXT(后台计算!X104,"0")&amp;"｜37灵光"&amp;TEXT(后台计算!AB104,"0")&amp;" 启迪"&amp;TEXT(后台计算!AC104,"0")&amp;"｜灵犀"&amp;TEXT(后台计算!AV104,"0")&amp;"｜J燃烧"&amp;TEXT(后台计算!AD104,"0")&amp;" 敌燃烧"&amp;TEXT(后台计算!AE104,"0"))</f>
        <v>红:极限 增压10 弹药8｜37灵光1 启迪0｜灵犀5｜J燃烧35 敌燃烧30</v>
      </c>
      <c r="U110" s="4" t="str">
        <f>IF(D110="","",后台计算!BX104)</f>
        <v/>
      </c>
    </row>
    <row r="111" spans="1:21" ht="38.1" customHeight="1">
      <c r="A111" s="1">
        <f t="shared" si="4"/>
        <v>103</v>
      </c>
      <c r="B111" s="3" t="s">
        <v>554</v>
      </c>
      <c r="C111" s="3">
        <v>1</v>
      </c>
      <c r="D111" s="3" t="s">
        <v>133</v>
      </c>
      <c r="E111" s="3" t="s">
        <v>611</v>
      </c>
      <c r="F111" s="5"/>
      <c r="G111" s="5"/>
      <c r="H111" s="5"/>
      <c r="I111" s="5"/>
      <c r="J111" s="6" t="str">
        <f>IF(D111="","",后台计算!E105)</f>
        <v>小瑞安侬</v>
      </c>
      <c r="K111" s="6">
        <f>IF(D111="","",后台计算!AY105)</f>
        <v>2986</v>
      </c>
      <c r="L111" s="7">
        <f>IF(D111="","",后台计算!AZ105)</f>
        <v>0.55499999999999994</v>
      </c>
      <c r="M111" s="7">
        <f>IF(D111="","",后台计算!BA105)</f>
        <v>1.83</v>
      </c>
      <c r="N111" s="4">
        <f>IF(D111="","",后台计算!BG105)</f>
        <v>0</v>
      </c>
      <c r="O111" s="6">
        <f>IF(D111="","",后台计算!BU105)</f>
        <v>0</v>
      </c>
      <c r="P111" s="6">
        <f>IF(D111="","",后台计算!BV105)</f>
        <v>0</v>
      </c>
      <c r="Q111" s="6" t="str">
        <f t="shared" si="5"/>
        <v/>
      </c>
      <c r="R111" s="6" t="str">
        <f t="shared" si="6"/>
        <v/>
      </c>
      <c r="S111" s="6" t="str">
        <f t="shared" si="7"/>
        <v/>
      </c>
      <c r="T111" s="4" t="str">
        <f>IF(D111="","","红:"&amp;IF(后台计算!U105=0,"无",IF(后台计算!U105=1,"雷鸣","极限"))&amp;" 增压"&amp;TEXT(后台计算!W105,"0")&amp;" 弹药"&amp;TEXT(后台计算!X105,"0")&amp;"｜37灵光"&amp;TEXT(后台计算!AB105,"0")&amp;" 启迪"&amp;TEXT(后台计算!AC105,"0")&amp;"｜灵犀"&amp;TEXT(后台计算!AV105,"0")&amp;"｜J燃烧"&amp;TEXT(后台计算!AD105,"0")&amp;" 敌燃烧"&amp;TEXT(后台计算!AE105,"0"))</f>
        <v>红:极限 增压10 弹药8｜37灵光2 启迪0｜灵犀5｜J燃烧35 敌燃烧15</v>
      </c>
      <c r="U111" s="4" t="str">
        <f>IF(D111="","",后台计算!BX105)</f>
        <v/>
      </c>
    </row>
    <row r="112" spans="1:21" ht="38.1" customHeight="1">
      <c r="A112" s="1">
        <f t="shared" si="4"/>
        <v>104</v>
      </c>
      <c r="B112" s="3" t="s">
        <v>554</v>
      </c>
      <c r="C112" s="3">
        <v>2</v>
      </c>
      <c r="D112" s="3" t="s">
        <v>124</v>
      </c>
      <c r="E112" s="3" t="s">
        <v>612</v>
      </c>
      <c r="F112" s="5">
        <v>1821</v>
      </c>
      <c r="G112" s="5">
        <v>0</v>
      </c>
      <c r="H112" s="5"/>
      <c r="I112" s="5"/>
      <c r="J112" s="6" t="str">
        <f>IF(D112="","",后台计算!E106)</f>
        <v>小瑞安侬</v>
      </c>
      <c r="K112" s="6">
        <f>IF(D112="","",后台计算!AY106)</f>
        <v>3298</v>
      </c>
      <c r="L112" s="7">
        <f>IF(D112="","",后台计算!AZ106)</f>
        <v>0.55499999999999994</v>
      </c>
      <c r="M112" s="7">
        <f>IF(D112="","",后台计算!BA106)</f>
        <v>1.83</v>
      </c>
      <c r="N112" s="4">
        <f>IF(D112="","",后台计算!BG106)</f>
        <v>4</v>
      </c>
      <c r="O112" s="6">
        <f>IF(D112="","",后台计算!BU106)</f>
        <v>1274</v>
      </c>
      <c r="P112" s="6">
        <f>IF(D112="","",后台计算!BV106)</f>
        <v>1821</v>
      </c>
      <c r="Q112" s="6">
        <f t="shared" si="5"/>
        <v>1821</v>
      </c>
      <c r="R112" s="6">
        <f t="shared" si="6"/>
        <v>1821</v>
      </c>
      <c r="S112" s="6">
        <f t="shared" si="7"/>
        <v>0</v>
      </c>
      <c r="T112" s="4" t="str">
        <f>IF(D112="","","红:"&amp;IF(后台计算!U106=0,"无",IF(后台计算!U106=1,"雷鸣","极限"))&amp;" 增压"&amp;TEXT(后台计算!W106,"0")&amp;" 弹药"&amp;TEXT(后台计算!X106,"0")&amp;"｜37灵光"&amp;TEXT(后台计算!AB106,"0")&amp;" 启迪"&amp;TEXT(后台计算!AC106,"0")&amp;"｜灵犀"&amp;TEXT(后台计算!AV106,"0")&amp;"｜J燃烧"&amp;TEXT(后台计算!AD106,"0")&amp;" 敌燃烧"&amp;TEXT(后台计算!AE106,"0"))</f>
        <v>红:极限 增压10 弹药8｜37灵光3 启迪0｜灵犀5｜J燃烧35 敌燃烧15</v>
      </c>
      <c r="U112" s="4" t="str">
        <f>IF(D112="","",后台计算!BX106)</f>
        <v/>
      </c>
    </row>
    <row r="113" spans="1:21" ht="38.1" customHeight="1">
      <c r="A113" s="1">
        <f t="shared" si="4"/>
        <v>105</v>
      </c>
      <c r="B113" s="3" t="s">
        <v>554</v>
      </c>
      <c r="C113" s="3">
        <v>3</v>
      </c>
      <c r="D113" s="3" t="s">
        <v>164</v>
      </c>
      <c r="E113" s="3" t="s">
        <v>612</v>
      </c>
      <c r="F113" s="5">
        <v>103250</v>
      </c>
      <c r="G113" s="5">
        <v>0</v>
      </c>
      <c r="H113" s="5"/>
      <c r="I113" s="5"/>
      <c r="J113" s="6" t="str">
        <f>IF(D113="","",后台计算!E107)</f>
        <v>J</v>
      </c>
      <c r="K113" s="6">
        <f>IF(D113="","",后台计算!AY107)</f>
        <v>2823</v>
      </c>
      <c r="L113" s="7">
        <f>IF(D113="","",后台计算!AZ107)</f>
        <v>0.66700000000000004</v>
      </c>
      <c r="M113" s="7">
        <f>IF(D113="","",后台计算!BA107)</f>
        <v>1.9969999999999999</v>
      </c>
      <c r="N113" s="4">
        <f>IF(D113="","",后台计算!BG107)</f>
        <v>27</v>
      </c>
      <c r="O113" s="6">
        <f>IF(D113="","",后台计算!BU107)</f>
        <v>54428</v>
      </c>
      <c r="P113" s="6">
        <f>IF(D113="","",后台计算!BV107)</f>
        <v>103250</v>
      </c>
      <c r="Q113" s="6">
        <f t="shared" si="5"/>
        <v>103250</v>
      </c>
      <c r="R113" s="6">
        <f t="shared" si="6"/>
        <v>103250</v>
      </c>
      <c r="S113" s="6">
        <f t="shared" si="7"/>
        <v>0</v>
      </c>
      <c r="T113" s="4" t="str">
        <f>IF(D113="","","红:"&amp;IF(后台计算!U107=0,"无",IF(后台计算!U107=1,"雷鸣","极限"))&amp;" 增压"&amp;TEXT(后台计算!W107,"0")&amp;" 弹药"&amp;TEXT(后台计算!X107,"0")&amp;"｜37灵光"&amp;TEXT(后台计算!AB107,"0")&amp;" 启迪"&amp;TEXT(后台计算!AC107,"0")&amp;"｜灵犀"&amp;TEXT(后台计算!AV107,"0")&amp;"｜J燃烧"&amp;TEXT(后台计算!AD107,"0")&amp;" 敌燃烧"&amp;TEXT(后台计算!AE107,"0"))</f>
        <v>红:极限 增压10 弹药8｜37灵光4 启迪0｜灵犀5｜J燃烧35 敌燃烧15</v>
      </c>
      <c r="U113" s="4" t="str">
        <f>IF(D113="","",后台计算!BX107)</f>
        <v/>
      </c>
    </row>
    <row r="114" spans="1:21" ht="38.1" customHeight="1">
      <c r="A114" s="1">
        <f t="shared" si="4"/>
        <v>106</v>
      </c>
      <c r="B114" s="3" t="s">
        <v>554</v>
      </c>
      <c r="C114" s="3">
        <v>4</v>
      </c>
      <c r="D114" s="3" t="s">
        <v>110</v>
      </c>
      <c r="E114" s="3" t="s">
        <v>612</v>
      </c>
      <c r="F114" s="5">
        <v>1398</v>
      </c>
      <c r="G114" s="5">
        <v>0</v>
      </c>
      <c r="H114" s="5"/>
      <c r="I114" s="5"/>
      <c r="J114" s="6" t="str">
        <f>IF(D114="","",后台计算!E108)</f>
        <v>37</v>
      </c>
      <c r="K114" s="6">
        <f>IF(D114="","",后台计算!AY108)</f>
        <v>3017</v>
      </c>
      <c r="L114" s="7">
        <f>IF(D114="","",后台计算!AZ108)</f>
        <v>0.26</v>
      </c>
      <c r="M114" s="7">
        <f>IF(D114="","",后台计算!BA108)</f>
        <v>1.7780000000000002</v>
      </c>
      <c r="N114" s="4">
        <f>IF(D114="","",后台计算!BG108)</f>
        <v>3</v>
      </c>
      <c r="O114" s="6">
        <f>IF(D114="","",后台计算!BU108)</f>
        <v>833</v>
      </c>
      <c r="P114" s="6">
        <f>IF(D114="","",后台计算!BV108)</f>
        <v>1398</v>
      </c>
      <c r="Q114" s="6">
        <f t="shared" si="5"/>
        <v>1398</v>
      </c>
      <c r="R114" s="6">
        <f t="shared" si="6"/>
        <v>1398</v>
      </c>
      <c r="S114" s="6">
        <f t="shared" si="7"/>
        <v>0</v>
      </c>
      <c r="T114" s="4" t="str">
        <f>IF(D114="","","红:"&amp;IF(后台计算!U108=0,"无",IF(后台计算!U108=1,"雷鸣","极限"))&amp;" 增压"&amp;TEXT(后台计算!W108,"0")&amp;" 弹药"&amp;TEXT(后台计算!X108,"0")&amp;"｜37灵光"&amp;TEXT(后台计算!AB108,"0")&amp;" 启迪"&amp;TEXT(后台计算!AC108,"0")&amp;"｜灵犀"&amp;TEXT(后台计算!AV108,"0")&amp;"｜J燃烧"&amp;TEXT(后台计算!AD108,"0")&amp;" 敌燃烧"&amp;TEXT(后台计算!AE108,"0"))</f>
        <v>红:极限 增压10 弹药8｜37灵光5 启迪0｜灵犀5｜J燃烧35 敌燃烧30</v>
      </c>
      <c r="U114" s="4" t="str">
        <f>IF(D114="","",后台计算!BX108)</f>
        <v/>
      </c>
    </row>
    <row r="115" spans="1:21" ht="38.1" customHeight="1">
      <c r="A115" s="1">
        <f t="shared" si="4"/>
        <v>107</v>
      </c>
      <c r="B115" s="3" t="s">
        <v>554</v>
      </c>
      <c r="C115" s="3">
        <v>5</v>
      </c>
      <c r="D115" s="3" t="s">
        <v>150</v>
      </c>
      <c r="E115" s="3" t="s">
        <v>613</v>
      </c>
      <c r="F115" s="5">
        <v>8203</v>
      </c>
      <c r="G115" s="5">
        <v>0</v>
      </c>
      <c r="H115" s="5"/>
      <c r="I115" s="5"/>
      <c r="J115" s="6" t="str">
        <f>IF(D115="","",后台计算!E109)</f>
        <v>J</v>
      </c>
      <c r="K115" s="6">
        <f>IF(D115="","",后台计算!AY109)</f>
        <v>2823</v>
      </c>
      <c r="L115" s="7">
        <f>IF(D115="","",后台计算!AZ109)</f>
        <v>0.66700000000000004</v>
      </c>
      <c r="M115" s="7">
        <f>IF(D115="","",后台计算!BA109)</f>
        <v>1.9969999999999999</v>
      </c>
      <c r="N115" s="4">
        <f>IF(D115="","",后台计算!BG109)</f>
        <v>5.4</v>
      </c>
      <c r="O115" s="6">
        <f>IF(D115="","",后台计算!BU109)</f>
        <v>8203</v>
      </c>
      <c r="P115" s="6">
        <f>IF(D115="","",后台计算!BV109)</f>
        <v>15561</v>
      </c>
      <c r="Q115" s="6">
        <f t="shared" si="5"/>
        <v>8203</v>
      </c>
      <c r="R115" s="6">
        <f t="shared" si="6"/>
        <v>8203</v>
      </c>
      <c r="S115" s="6">
        <f t="shared" si="7"/>
        <v>0</v>
      </c>
      <c r="T115" s="4" t="str">
        <f>IF(D115="","","红:"&amp;IF(后台计算!U109=0,"无",IF(后台计算!U109=1,"雷鸣","极限"))&amp;" 增压"&amp;TEXT(后台计算!W109,"0")&amp;" 弹药"&amp;TEXT(后台计算!X109,"0")&amp;"｜37灵光"&amp;TEXT(后台计算!AB109,"0")&amp;" 启迪"&amp;TEXT(后台计算!AC109,"0")&amp;"｜灵犀"&amp;TEXT(后台计算!AV109,"0")&amp;"｜J燃烧"&amp;TEXT(后台计算!AD109,"0")&amp;" 敌燃烧"&amp;TEXT(后台计算!AE109,"0"))</f>
        <v>红:极限 增压10 弹药8｜37灵光0 启迪0｜灵犀5｜J燃烧35 敌燃烧30</v>
      </c>
      <c r="U115" s="4" t="str">
        <f>IF(D115="","",后台计算!BX109)</f>
        <v/>
      </c>
    </row>
    <row r="116" spans="1:21" ht="38.1" customHeight="1">
      <c r="A116" s="1">
        <f t="shared" si="4"/>
        <v>108</v>
      </c>
      <c r="B116" s="3" t="s">
        <v>554</v>
      </c>
      <c r="C116" s="3">
        <v>6</v>
      </c>
      <c r="D116" s="3" t="s">
        <v>116</v>
      </c>
      <c r="E116" s="3" t="s">
        <v>611</v>
      </c>
      <c r="F116" s="5"/>
      <c r="G116" s="5"/>
      <c r="H116" s="5"/>
      <c r="I116" s="5"/>
      <c r="J116" s="6" t="str">
        <f>IF(D116="","",后台计算!E110)</f>
        <v>37</v>
      </c>
      <c r="K116" s="6">
        <f>IF(D116="","",后台计算!AY110)</f>
        <v>3017</v>
      </c>
      <c r="L116" s="7">
        <f>IF(D116="","",后台计算!AZ110)</f>
        <v>0.76</v>
      </c>
      <c r="M116" s="7">
        <f>IF(D116="","",后台计算!BA110)</f>
        <v>2.4780000000000002</v>
      </c>
      <c r="N116" s="4">
        <f>IF(D116="","",后台计算!BG110)</f>
        <v>0</v>
      </c>
      <c r="O116" s="6">
        <f>IF(D116="","",后台计算!BU110)</f>
        <v>0</v>
      </c>
      <c r="P116" s="6">
        <f>IF(D116="","",后台计算!BV110)</f>
        <v>0</v>
      </c>
      <c r="Q116" s="6" t="str">
        <f t="shared" si="5"/>
        <v/>
      </c>
      <c r="R116" s="6" t="str">
        <f t="shared" si="6"/>
        <v/>
      </c>
      <c r="S116" s="6" t="str">
        <f t="shared" si="7"/>
        <v/>
      </c>
      <c r="T116" s="4" t="str">
        <f>IF(D116="","","红:"&amp;IF(后台计算!U110=0,"无",IF(后台计算!U110=1,"雷鸣","极限"))&amp;" 增压"&amp;TEXT(后台计算!W110,"0")&amp;" 弹药"&amp;TEXT(后台计算!X110,"0")&amp;"｜37灵光"&amp;TEXT(后台计算!AB110,"0")&amp;" 启迪"&amp;TEXT(后台计算!AC110,"0")&amp;"｜灵犀"&amp;TEXT(后台计算!AV110,"0")&amp;"｜J燃烧"&amp;TEXT(后台计算!AD110,"0")&amp;" 敌燃烧"&amp;TEXT(后台计算!AE110,"0"))</f>
        <v>红:极限 增压10 弹药8｜37灵光1 启迪0｜灵犀5｜J燃烧35 敌燃烧30</v>
      </c>
      <c r="U116" s="4" t="str">
        <f>IF(D116="","",后台计算!BX110)</f>
        <v/>
      </c>
    </row>
    <row r="117" spans="1:21" ht="38.1" customHeight="1">
      <c r="A117" s="1">
        <f t="shared" si="4"/>
        <v>109</v>
      </c>
      <c r="B117" s="3" t="s">
        <v>554</v>
      </c>
      <c r="C117" s="3">
        <v>7</v>
      </c>
      <c r="D117" s="3" t="s">
        <v>72</v>
      </c>
      <c r="E117" s="3" t="s">
        <v>612</v>
      </c>
      <c r="F117" s="5">
        <v>575024</v>
      </c>
      <c r="G117" s="5">
        <v>0</v>
      </c>
      <c r="H117" s="5"/>
      <c r="I117" s="5"/>
      <c r="J117" s="6" t="str">
        <f>IF(D117="","",后台计算!E111)</f>
        <v>红弩箭</v>
      </c>
      <c r="K117" s="6">
        <f>IF(D117="","",后台计算!AY111)</f>
        <v>3505</v>
      </c>
      <c r="L117" s="7">
        <f>IF(D117="","",后台计算!AZ111)</f>
        <v>1</v>
      </c>
      <c r="M117" s="7">
        <f>IF(D117="","",后台计算!BA111)</f>
        <v>3.3050000000000002</v>
      </c>
      <c r="N117" s="4">
        <f>IF(D117="","",后台计算!BG111)</f>
        <v>36</v>
      </c>
      <c r="O117" s="6">
        <f>IF(D117="","",后台计算!BU111)</f>
        <v>179414</v>
      </c>
      <c r="P117" s="6">
        <f>IF(D117="","",后台计算!BV111)</f>
        <v>575024</v>
      </c>
      <c r="Q117" s="6">
        <f t="shared" si="5"/>
        <v>575024</v>
      </c>
      <c r="R117" s="6">
        <f t="shared" si="6"/>
        <v>575024</v>
      </c>
      <c r="S117" s="6">
        <f t="shared" si="7"/>
        <v>0</v>
      </c>
      <c r="T117" s="4" t="str">
        <f>IF(D117="","","红:"&amp;IF(后台计算!U111=0,"无",IF(后台计算!U111=1,"雷鸣","极限"))&amp;" 增压"&amp;TEXT(后台计算!W111,"0")&amp;" 弹药"&amp;TEXT(后台计算!X111,"0")&amp;"｜37灵光"&amp;TEXT(后台计算!AB111,"0")&amp;" 启迪"&amp;TEXT(后台计算!AC111,"0")&amp;"｜灵犀"&amp;TEXT(后台计算!AV111,"0")&amp;"｜J燃烧"&amp;TEXT(后台计算!AD111,"0")&amp;" 敌燃烧"&amp;TEXT(后台计算!AE111,"0"))</f>
        <v>红:极限 增压10 弹药8｜37灵光4 启迪2｜灵犀5｜J燃烧35 敌燃烧30</v>
      </c>
      <c r="U117" s="4" t="str">
        <f>IF(D117="","",后台计算!BX111)</f>
        <v/>
      </c>
    </row>
    <row r="118" spans="1:21" ht="38.1" customHeight="1">
      <c r="A118" s="1">
        <f t="shared" si="4"/>
        <v>110</v>
      </c>
      <c r="B118" s="3" t="s">
        <v>554</v>
      </c>
      <c r="C118" s="3">
        <v>8</v>
      </c>
      <c r="D118" s="3" t="s">
        <v>110</v>
      </c>
      <c r="E118" s="3" t="s">
        <v>613</v>
      </c>
      <c r="F118" s="5">
        <v>1039</v>
      </c>
      <c r="G118" s="5">
        <v>1230</v>
      </c>
      <c r="H118" s="5"/>
      <c r="I118" s="5"/>
      <c r="J118" s="6" t="str">
        <f>IF(D118="","",后台计算!E112)</f>
        <v>37</v>
      </c>
      <c r="K118" s="6">
        <f>IF(D118="","",后台计算!AY112)</f>
        <v>3517</v>
      </c>
      <c r="L118" s="7">
        <f>IF(D118="","",后台计算!AZ112)</f>
        <v>0.26</v>
      </c>
      <c r="M118" s="7">
        <f>IF(D118="","",后台计算!BA112)</f>
        <v>1.7780000000000002</v>
      </c>
      <c r="N118" s="4">
        <f>IF(D118="","",后台计算!BG112)</f>
        <v>3</v>
      </c>
      <c r="O118" s="6">
        <f>IF(D118="","",后台计算!BU112)</f>
        <v>2269</v>
      </c>
      <c r="P118" s="6">
        <f>IF(D118="","",后台计算!BV112)</f>
        <v>3809</v>
      </c>
      <c r="Q118" s="6">
        <f t="shared" si="5"/>
        <v>2269</v>
      </c>
      <c r="R118" s="6">
        <f t="shared" si="6"/>
        <v>2269</v>
      </c>
      <c r="S118" s="6">
        <f t="shared" si="7"/>
        <v>0</v>
      </c>
      <c r="T118" s="4" t="str">
        <f>IF(D118="","","红:"&amp;IF(后台计算!U112=0,"无",IF(后台计算!U112=1,"雷鸣","极限"))&amp;" 增压"&amp;TEXT(后台计算!W112,"0")&amp;" 弹药"&amp;TEXT(后台计算!X112,"0")&amp;"｜37灵光"&amp;TEXT(后台计算!AB112,"0")&amp;" 启迪"&amp;TEXT(后台计算!AC112,"0")&amp;"｜灵犀"&amp;TEXT(后台计算!AV112,"0")&amp;"｜J燃烧"&amp;TEXT(后台计算!AD112,"0")&amp;" 敌燃烧"&amp;TEXT(后台计算!AE112,"0"))</f>
        <v>红:极限 增压10 弹药2｜37灵光5 启迪2｜灵犀5｜J燃烧35 敌燃烧30</v>
      </c>
      <c r="U118" s="4" t="str">
        <f>IF(D118="","",后台计算!BX112)</f>
        <v/>
      </c>
    </row>
    <row r="119" spans="1:21" ht="38.1" customHeight="1">
      <c r="A119" s="1">
        <f t="shared" si="4"/>
        <v>111</v>
      </c>
      <c r="B119" s="3" t="s">
        <v>556</v>
      </c>
      <c r="C119" s="3">
        <v>1</v>
      </c>
      <c r="D119" s="3" t="s">
        <v>78</v>
      </c>
      <c r="E119" s="3" t="s">
        <v>612</v>
      </c>
      <c r="F119" s="5">
        <v>203792</v>
      </c>
      <c r="G119" s="5">
        <v>0</v>
      </c>
      <c r="H119" s="5"/>
      <c r="I119" s="5"/>
      <c r="J119" s="6" t="str">
        <f>IF(D119="","",后台计算!E113)</f>
        <v>红弩箭</v>
      </c>
      <c r="K119" s="6">
        <f>IF(D119="","",后台计算!AY113)</f>
        <v>3505</v>
      </c>
      <c r="L119" s="7">
        <f>IF(D119="","",后台计算!AZ113)</f>
        <v>1</v>
      </c>
      <c r="M119" s="7">
        <f>IF(D119="","",后台计算!BA113)</f>
        <v>2.9050000000000002</v>
      </c>
      <c r="N119" s="4">
        <f>IF(D119="","",后台计算!BG113)</f>
        <v>15</v>
      </c>
      <c r="O119" s="6">
        <f>IF(D119="","",后台计算!BU113)</f>
        <v>72653</v>
      </c>
      <c r="P119" s="6">
        <f>IF(D119="","",后台计算!BV113)</f>
        <v>203792</v>
      </c>
      <c r="Q119" s="6">
        <f t="shared" si="5"/>
        <v>203792</v>
      </c>
      <c r="R119" s="6">
        <f t="shared" si="6"/>
        <v>203792</v>
      </c>
      <c r="S119" s="6">
        <f t="shared" si="7"/>
        <v>0</v>
      </c>
      <c r="T119" s="4" t="str">
        <f>IF(D119="","","红:"&amp;IF(后台计算!U113=0,"无",IF(后台计算!U113=1,"雷鸣","极限"))&amp;" 增压"&amp;TEXT(后台计算!W113,"0")&amp;" 弹药"&amp;TEXT(后台计算!X113,"0")&amp;"｜37灵光"&amp;TEXT(后台计算!AB113,"0")&amp;" 启迪"&amp;TEXT(后台计算!AC113,"0")&amp;"｜灵犀"&amp;TEXT(后台计算!AV113,"0")&amp;"｜J燃烧"&amp;TEXT(后台计算!AD113,"0")&amp;" 敌燃烧"&amp;TEXT(后台计算!AE113,"0"))</f>
        <v>红:极限 增压10 弹药2｜37灵光0 启迪1｜灵犀5｜J燃烧35 敌燃烧15</v>
      </c>
      <c r="U119" s="4" t="str">
        <f>IF(D119="","",后台计算!BX113)</f>
        <v/>
      </c>
    </row>
    <row r="120" spans="1:21" ht="38.1" customHeight="1">
      <c r="A120" s="1">
        <f t="shared" si="4"/>
        <v>112</v>
      </c>
      <c r="B120" s="3" t="s">
        <v>556</v>
      </c>
      <c r="C120" s="3">
        <v>2</v>
      </c>
      <c r="D120" s="3" t="s">
        <v>78</v>
      </c>
      <c r="E120" s="3" t="s">
        <v>612</v>
      </c>
      <c r="F120" s="5">
        <v>211630</v>
      </c>
      <c r="G120" s="5">
        <v>0</v>
      </c>
      <c r="H120" s="5"/>
      <c r="I120" s="5"/>
      <c r="J120" s="6" t="str">
        <f>IF(D120="","",后台计算!E114)</f>
        <v>红弩箭</v>
      </c>
      <c r="K120" s="6">
        <f>IF(D120="","",后台计算!AY114)</f>
        <v>3505</v>
      </c>
      <c r="L120" s="7">
        <f>IF(D120="","",后台计算!AZ114)</f>
        <v>1</v>
      </c>
      <c r="M120" s="7">
        <f>IF(D120="","",后台计算!BA114)</f>
        <v>2.9050000000000002</v>
      </c>
      <c r="N120" s="4">
        <f>IF(D120="","",后台计算!BG114)</f>
        <v>15</v>
      </c>
      <c r="O120" s="6">
        <f>IF(D120="","",后台计算!BU114)</f>
        <v>75447</v>
      </c>
      <c r="P120" s="6">
        <f>IF(D120="","",后台计算!BV114)</f>
        <v>211630</v>
      </c>
      <c r="Q120" s="6">
        <f t="shared" si="5"/>
        <v>211630</v>
      </c>
      <c r="R120" s="6">
        <f t="shared" si="6"/>
        <v>211630</v>
      </c>
      <c r="S120" s="6">
        <f t="shared" si="7"/>
        <v>0</v>
      </c>
      <c r="T120" s="4" t="str">
        <f>IF(D120="","","红:"&amp;IF(后台计算!U114=0,"无",IF(后台计算!U114=1,"雷鸣","极限"))&amp;" 增压"&amp;TEXT(后台计算!W114,"0")&amp;" 弹药"&amp;TEXT(后台计算!X114,"0")&amp;"｜37灵光"&amp;TEXT(后台计算!AB114,"0")&amp;" 启迪"&amp;TEXT(后台计算!AC114,"0")&amp;"｜灵犀"&amp;TEXT(后台计算!AV114,"0")&amp;"｜J燃烧"&amp;TEXT(后台计算!AD114,"0")&amp;" 敌燃烧"&amp;TEXT(后台计算!AE114,"0"))</f>
        <v>红:极限 增压10 弹药3｜37灵光1 启迪1｜灵犀5｜J燃烧35 敌燃烧15</v>
      </c>
      <c r="U120" s="4" t="str">
        <f>IF(D120="","",后台计算!BX114)</f>
        <v/>
      </c>
    </row>
    <row r="121" spans="1:21" ht="38.1" customHeight="1">
      <c r="A121" s="1">
        <f t="shared" si="4"/>
        <v>113</v>
      </c>
      <c r="B121" s="3" t="s">
        <v>556</v>
      </c>
      <c r="C121" s="3">
        <v>3</v>
      </c>
      <c r="D121" s="3" t="s">
        <v>121</v>
      </c>
      <c r="E121" s="3" t="s">
        <v>612</v>
      </c>
      <c r="F121" s="5">
        <v>85604</v>
      </c>
      <c r="G121" s="5">
        <v>0</v>
      </c>
      <c r="H121" s="5"/>
      <c r="I121" s="5"/>
      <c r="J121" s="6" t="str">
        <f>IF(D121="","",后台计算!E115)</f>
        <v>37</v>
      </c>
      <c r="K121" s="6">
        <f>IF(D121="","",后台计算!AY115)</f>
        <v>3517</v>
      </c>
      <c r="L121" s="7">
        <f>IF(D121="","",后台计算!AZ115)</f>
        <v>0.76</v>
      </c>
      <c r="M121" s="7">
        <f>IF(D121="","",后台计算!BA115)</f>
        <v>2.4780000000000002</v>
      </c>
      <c r="N121" s="4">
        <f>IF(D121="","",后台计算!BG115)</f>
        <v>8</v>
      </c>
      <c r="O121" s="6">
        <f>IF(D121="","",后台计算!BU115)</f>
        <v>35998</v>
      </c>
      <c r="P121" s="6">
        <f>IF(D121="","",后台计算!BV115)</f>
        <v>85604</v>
      </c>
      <c r="Q121" s="6">
        <f t="shared" si="5"/>
        <v>85604</v>
      </c>
      <c r="R121" s="6">
        <f t="shared" si="6"/>
        <v>85604</v>
      </c>
      <c r="S121" s="6">
        <f t="shared" si="7"/>
        <v>0</v>
      </c>
      <c r="T121" s="4" t="str">
        <f>IF(D121="","","红:"&amp;IF(后台计算!U115=0,"无",IF(后台计算!U115=1,"雷鸣","极限"))&amp;" 增压"&amp;TEXT(后台计算!W115,"0")&amp;" 弹药"&amp;TEXT(后台计算!X115,"0")&amp;"｜37灵光"&amp;TEXT(后台计算!AB115,"0")&amp;" 启迪"&amp;TEXT(后台计算!AC115,"0")&amp;"｜灵犀"&amp;TEXT(后台计算!AV115,"0")&amp;"｜J燃烧"&amp;TEXT(后台计算!AD115,"0")&amp;" 敌燃烧"&amp;TEXT(后台计算!AE115,"0"))</f>
        <v>红:极限 增压10 弹药4｜37灵光2 启迪1｜灵犀5｜J燃烧35 敌燃烧15</v>
      </c>
      <c r="U121" s="4" t="str">
        <f>IF(D121="","",后台计算!BX115)</f>
        <v/>
      </c>
    </row>
    <row r="122" spans="1:21" ht="38.1" customHeight="1">
      <c r="A122" s="1">
        <f t="shared" si="4"/>
        <v>114</v>
      </c>
      <c r="B122" s="3" t="s">
        <v>556</v>
      </c>
      <c r="C122" s="3">
        <v>4</v>
      </c>
      <c r="D122" s="3" t="s">
        <v>78</v>
      </c>
      <c r="E122" s="3" t="s">
        <v>612</v>
      </c>
      <c r="F122" s="5">
        <v>519496</v>
      </c>
      <c r="G122" s="5">
        <v>0</v>
      </c>
      <c r="H122" s="5">
        <v>207798</v>
      </c>
      <c r="I122" s="5" t="s">
        <v>619</v>
      </c>
      <c r="J122" s="6" t="str">
        <f>IF(D122="","",后台计算!E116)</f>
        <v>红弩箭</v>
      </c>
      <c r="K122" s="6">
        <f>IF(D122="","",后台计算!AY116)</f>
        <v>3505</v>
      </c>
      <c r="L122" s="7">
        <f>IF(D122="","",后台计算!AZ116)</f>
        <v>1</v>
      </c>
      <c r="M122" s="7">
        <f>IF(D122="","",后台计算!BA116)</f>
        <v>3.1050000000000004</v>
      </c>
      <c r="N122" s="4">
        <f>IF(D122="","",后台计算!BG116)</f>
        <v>32</v>
      </c>
      <c r="O122" s="6">
        <f>IF(D122="","",后台计算!BU116)</f>
        <v>242027</v>
      </c>
      <c r="P122" s="6">
        <f>IF(D122="","",后台计算!BV116)</f>
        <v>727294</v>
      </c>
      <c r="Q122" s="6">
        <f t="shared" si="5"/>
        <v>727294</v>
      </c>
      <c r="R122" s="6">
        <f t="shared" si="6"/>
        <v>727294</v>
      </c>
      <c r="S122" s="6">
        <f t="shared" si="7"/>
        <v>0</v>
      </c>
      <c r="T122" s="4" t="str">
        <f>IF(D122="","","红:"&amp;IF(后台计算!U116=0,"无",IF(后台计算!U116=1,"雷鸣","极限"))&amp;" 增压"&amp;TEXT(后台计算!W116,"0")&amp;" 弹药"&amp;TEXT(后台计算!X116,"0")&amp;"｜37灵光"&amp;TEXT(后台计算!AB116,"0")&amp;" 启迪"&amp;TEXT(后台计算!AC116,"0")&amp;"｜灵犀"&amp;TEXT(后台计算!AV116,"0")&amp;"｜J燃烧"&amp;TEXT(后台计算!AD116,"0")&amp;" 敌燃烧"&amp;TEXT(后台计算!AE116,"0"))</f>
        <v>红:极限 增压10 弹药4｜37灵光3 启迪1｜灵犀5｜J燃烧35 敌燃烧15</v>
      </c>
      <c r="U122" s="4" t="str">
        <f>IF(D122="","",后台计算!BX116)</f>
        <v/>
      </c>
    </row>
    <row r="123" spans="1:21" ht="38.1" customHeight="1">
      <c r="A123" s="1">
        <f t="shared" si="4"/>
        <v>115</v>
      </c>
      <c r="B123" s="3" t="s">
        <v>556</v>
      </c>
      <c r="C123" s="3">
        <v>5</v>
      </c>
      <c r="D123" s="3" t="s">
        <v>78</v>
      </c>
      <c r="E123" s="3" t="s">
        <v>612</v>
      </c>
      <c r="F123" s="5">
        <v>235144</v>
      </c>
      <c r="G123" s="5">
        <v>0</v>
      </c>
      <c r="H123" s="5"/>
      <c r="I123" s="5"/>
      <c r="J123" s="6" t="str">
        <f>IF(D123="","",后台计算!E117)</f>
        <v>红弩箭</v>
      </c>
      <c r="K123" s="6">
        <f>IF(D123="","",后台计算!AY117)</f>
        <v>3505</v>
      </c>
      <c r="L123" s="7">
        <f>IF(D123="","",后台计算!AZ117)</f>
        <v>1</v>
      </c>
      <c r="M123" s="7">
        <f>IF(D123="","",后台计算!BA117)</f>
        <v>2.9050000000000002</v>
      </c>
      <c r="N123" s="4">
        <f>IF(D123="","",后台计算!BG117)</f>
        <v>15</v>
      </c>
      <c r="O123" s="6">
        <f>IF(D123="","",后台计算!BU117)</f>
        <v>83830</v>
      </c>
      <c r="P123" s="6">
        <f>IF(D123="","",后台计算!BV117)</f>
        <v>235144</v>
      </c>
      <c r="Q123" s="6">
        <f t="shared" si="5"/>
        <v>235144</v>
      </c>
      <c r="R123" s="6">
        <f t="shared" si="6"/>
        <v>235144</v>
      </c>
      <c r="S123" s="6">
        <f t="shared" si="7"/>
        <v>0</v>
      </c>
      <c r="T123" s="4" t="str">
        <f>IF(D123="","","红:"&amp;IF(后台计算!U117=0,"无",IF(后台计算!U117=1,"雷鸣","极限"))&amp;" 增压"&amp;TEXT(后台计算!W117,"0")&amp;" 弹药"&amp;TEXT(后台计算!X117,"0")&amp;"｜37灵光"&amp;TEXT(后台计算!AB117,"0")&amp;" 启迪"&amp;TEXT(后台计算!AC117,"0")&amp;"｜灵犀"&amp;TEXT(后台计算!AV117,"0")&amp;"｜J燃烧"&amp;TEXT(后台计算!AD117,"0")&amp;" 敌燃烧"&amp;TEXT(后台计算!AE117,"0"))</f>
        <v>红:极限 增压10 弹药5｜37灵光4 启迪1｜灵犀5｜J燃烧35 敌燃烧15</v>
      </c>
      <c r="U123" s="4" t="str">
        <f>IF(D123="","",后台计算!BX117)</f>
        <v/>
      </c>
    </row>
    <row r="124" spans="1:21" ht="38.1" customHeight="1">
      <c r="A124" s="1">
        <f t="shared" si="4"/>
        <v>116</v>
      </c>
      <c r="B124" s="3" t="s">
        <v>556</v>
      </c>
      <c r="C124" s="3">
        <v>6</v>
      </c>
      <c r="D124" s="3" t="s">
        <v>78</v>
      </c>
      <c r="E124" s="3" t="s">
        <v>612</v>
      </c>
      <c r="F124" s="5">
        <v>242982</v>
      </c>
      <c r="G124" s="5">
        <v>0</v>
      </c>
      <c r="H124" s="5"/>
      <c r="I124" s="5"/>
      <c r="J124" s="6" t="str">
        <f>IF(D124="","",后台计算!E118)</f>
        <v>红弩箭</v>
      </c>
      <c r="K124" s="6">
        <f>IF(D124="","",后台计算!AY118)</f>
        <v>3505</v>
      </c>
      <c r="L124" s="7">
        <f>IF(D124="","",后台计算!AZ118)</f>
        <v>1</v>
      </c>
      <c r="M124" s="7">
        <f>IF(D124="","",后台计算!BA118)</f>
        <v>2.9050000000000002</v>
      </c>
      <c r="N124" s="4">
        <f>IF(D124="","",后台计算!BG118)</f>
        <v>15</v>
      </c>
      <c r="O124" s="6">
        <f>IF(D124="","",后台计算!BU118)</f>
        <v>86624</v>
      </c>
      <c r="P124" s="6">
        <f>IF(D124="","",后台计算!BV118)</f>
        <v>242982</v>
      </c>
      <c r="Q124" s="6">
        <f t="shared" si="5"/>
        <v>242982</v>
      </c>
      <c r="R124" s="6">
        <f t="shared" si="6"/>
        <v>242982</v>
      </c>
      <c r="S124" s="6">
        <f t="shared" si="7"/>
        <v>0</v>
      </c>
      <c r="T124" s="4" t="str">
        <f>IF(D124="","","红:"&amp;IF(后台计算!U118=0,"无",IF(后台计算!U118=1,"雷鸣","极限"))&amp;" 增压"&amp;TEXT(后台计算!W118,"0")&amp;" 弹药"&amp;TEXT(后台计算!X118,"0")&amp;"｜37灵光"&amp;TEXT(后台计算!AB118,"0")&amp;" 启迪"&amp;TEXT(后台计算!AC118,"0")&amp;"｜灵犀"&amp;TEXT(后台计算!AV118,"0")&amp;"｜J燃烧"&amp;TEXT(后台计算!AD118,"0")&amp;" 敌燃烧"&amp;TEXT(后台计算!AE118,"0"))</f>
        <v>红:极限 增压10 弹药6｜37灵光5 启迪1｜灵犀5｜J燃烧35 敌燃烧15</v>
      </c>
      <c r="U124" s="4" t="str">
        <f>IF(D124="","",后台计算!BX118)</f>
        <v/>
      </c>
    </row>
    <row r="125" spans="1:21" ht="38.1" customHeight="1">
      <c r="A125" s="1">
        <f t="shared" si="4"/>
        <v>117</v>
      </c>
      <c r="B125" s="3" t="s">
        <v>556</v>
      </c>
      <c r="C125" s="3">
        <v>7</v>
      </c>
      <c r="D125" s="3" t="s">
        <v>121</v>
      </c>
      <c r="E125" s="3" t="s">
        <v>613</v>
      </c>
      <c r="F125" s="5">
        <v>35998</v>
      </c>
      <c r="G125" s="5">
        <v>0</v>
      </c>
      <c r="H125" s="5"/>
      <c r="I125" s="5"/>
      <c r="J125" s="6" t="str">
        <f>IF(D125="","",后台计算!E119)</f>
        <v>37</v>
      </c>
      <c r="K125" s="6">
        <f>IF(D125="","",后台计算!AY119)</f>
        <v>3517</v>
      </c>
      <c r="L125" s="7">
        <f>IF(D125="","",后台计算!AZ119)</f>
        <v>0.76</v>
      </c>
      <c r="M125" s="7">
        <f>IF(D125="","",后台计算!BA119)</f>
        <v>2.4780000000000002</v>
      </c>
      <c r="N125" s="4">
        <f>IF(D125="","",后台计算!BG119)</f>
        <v>8</v>
      </c>
      <c r="O125" s="6">
        <f>IF(D125="","",后台计算!BU119)</f>
        <v>35998</v>
      </c>
      <c r="P125" s="6">
        <f>IF(D125="","",后台计算!BV119)</f>
        <v>85604</v>
      </c>
      <c r="Q125" s="6">
        <f t="shared" si="5"/>
        <v>35998</v>
      </c>
      <c r="R125" s="6">
        <f t="shared" si="6"/>
        <v>35998</v>
      </c>
      <c r="S125" s="6">
        <f t="shared" si="7"/>
        <v>0</v>
      </c>
      <c r="T125" s="4" t="str">
        <f>IF(D125="","","红:"&amp;IF(后台计算!U119=0,"无",IF(后台计算!U119=1,"雷鸣","极限"))&amp;" 增压"&amp;TEXT(后台计算!W119,"0")&amp;" 弹药"&amp;TEXT(后台计算!X119,"0")&amp;"｜37灵光"&amp;TEXT(后台计算!AB119,"0")&amp;" 启迪"&amp;TEXT(后台计算!AC119,"0")&amp;"｜灵犀"&amp;TEXT(后台计算!AV119,"0")&amp;"｜J燃烧"&amp;TEXT(后台计算!AD119,"0")&amp;" 敌燃烧"&amp;TEXT(后台计算!AE119,"0"))</f>
        <v>红:极限 增压10 弹药7｜37灵光6 启迪1｜灵犀5｜J燃烧35 敌燃烧15</v>
      </c>
      <c r="U125" s="4" t="str">
        <f>IF(D125="","",后台计算!BX119)</f>
        <v/>
      </c>
    </row>
    <row r="126" spans="1:21" ht="38.1" customHeight="1">
      <c r="A126" s="1">
        <f t="shared" si="4"/>
        <v>118</v>
      </c>
      <c r="B126" s="3" t="s">
        <v>556</v>
      </c>
      <c r="C126" s="3">
        <v>8</v>
      </c>
      <c r="D126" s="3" t="s">
        <v>78</v>
      </c>
      <c r="E126" s="3" t="s">
        <v>612</v>
      </c>
      <c r="F126" s="5">
        <v>591150</v>
      </c>
      <c r="G126" s="5">
        <v>0</v>
      </c>
      <c r="H126" s="5">
        <v>236460</v>
      </c>
      <c r="I126" s="5" t="s">
        <v>619</v>
      </c>
      <c r="J126" s="6" t="str">
        <f>IF(D126="","",后台计算!E120)</f>
        <v>红弩箭</v>
      </c>
      <c r="K126" s="6">
        <f>IF(D126="","",后台计算!AY120)</f>
        <v>3505</v>
      </c>
      <c r="L126" s="7">
        <f>IF(D126="","",后台计算!AZ120)</f>
        <v>1</v>
      </c>
      <c r="M126" s="7">
        <f>IF(D126="","",后台计算!BA120)</f>
        <v>3.1050000000000004</v>
      </c>
      <c r="N126" s="4">
        <f>IF(D126="","",后台计算!BG120)</f>
        <v>32</v>
      </c>
      <c r="O126" s="6">
        <f>IF(D126="","",后台计算!BU120)</f>
        <v>275410</v>
      </c>
      <c r="P126" s="6">
        <f>IF(D126="","",后台计算!BV120)</f>
        <v>827610</v>
      </c>
      <c r="Q126" s="6">
        <f t="shared" si="5"/>
        <v>827610</v>
      </c>
      <c r="R126" s="6">
        <f t="shared" si="6"/>
        <v>827610</v>
      </c>
      <c r="S126" s="6">
        <f t="shared" si="7"/>
        <v>0</v>
      </c>
      <c r="T126" s="4" t="str">
        <f>IF(D126="","","红:"&amp;IF(后台计算!U120=0,"无",IF(后台计算!U120=1,"雷鸣","极限"))&amp;" 增压"&amp;TEXT(后台计算!W120,"0")&amp;" 弹药"&amp;TEXT(后台计算!X120,"0")&amp;"｜37灵光"&amp;TEXT(后台计算!AB120,"0")&amp;" 启迪"&amp;TEXT(后台计算!AC120,"0")&amp;"｜灵犀"&amp;TEXT(后台计算!AV120,"0")&amp;"｜J燃烧"&amp;TEXT(后台计算!AD120,"0")&amp;" 敌燃烧"&amp;TEXT(后台计算!AE120,"0"))</f>
        <v>红:极限 增压10 弹药7｜37灵光7 启迪1｜灵犀5｜J燃烧35 敌燃烧15</v>
      </c>
      <c r="U126" s="4" t="str">
        <f>IF(D126="","",后台计算!BX120)</f>
        <v/>
      </c>
    </row>
    <row r="127" spans="1:21" ht="38.1" customHeight="1">
      <c r="A127" s="1">
        <f t="shared" si="4"/>
        <v>119</v>
      </c>
      <c r="B127" s="3" t="s">
        <v>556</v>
      </c>
      <c r="C127" s="3">
        <v>9</v>
      </c>
      <c r="D127" s="3" t="s">
        <v>78</v>
      </c>
      <c r="E127" s="3" t="s">
        <v>612</v>
      </c>
      <c r="F127" s="5">
        <v>266497</v>
      </c>
      <c r="G127" s="5">
        <v>0</v>
      </c>
      <c r="H127" s="5"/>
      <c r="I127" s="5"/>
      <c r="J127" s="6" t="str">
        <f>IF(D127="","",后台计算!E121)</f>
        <v>红弩箭</v>
      </c>
      <c r="K127" s="6">
        <f>IF(D127="","",后台计算!AY121)</f>
        <v>3505</v>
      </c>
      <c r="L127" s="7">
        <f>IF(D127="","",后台计算!AZ121)</f>
        <v>1</v>
      </c>
      <c r="M127" s="7">
        <f>IF(D127="","",后台计算!BA121)</f>
        <v>2.9050000000000002</v>
      </c>
      <c r="N127" s="4">
        <f>IF(D127="","",后台计算!BG121)</f>
        <v>15</v>
      </c>
      <c r="O127" s="6">
        <f>IF(D127="","",后台计算!BU121)</f>
        <v>95007</v>
      </c>
      <c r="P127" s="6">
        <f>IF(D127="","",后台计算!BV121)</f>
        <v>266497</v>
      </c>
      <c r="Q127" s="6">
        <f t="shared" si="5"/>
        <v>266497</v>
      </c>
      <c r="R127" s="6">
        <f t="shared" si="6"/>
        <v>266497</v>
      </c>
      <c r="S127" s="6">
        <f t="shared" si="7"/>
        <v>0</v>
      </c>
      <c r="T127" s="4" t="str">
        <f>IF(D127="","","红:"&amp;IF(后台计算!U121=0,"无",IF(后台计算!U121=1,"雷鸣","极限"))&amp;" 增压"&amp;TEXT(后台计算!W121,"0")&amp;" 弹药"&amp;TEXT(后台计算!X121,"0")&amp;"｜37灵光"&amp;TEXT(后台计算!AB121,"0")&amp;" 启迪"&amp;TEXT(后台计算!AC121,"0")&amp;"｜灵犀"&amp;TEXT(后台计算!AV121,"0")&amp;"｜J燃烧"&amp;TEXT(后台计算!AD121,"0")&amp;" 敌燃烧"&amp;TEXT(后台计算!AE121,"0"))</f>
        <v>红:极限 增压10 弹药8｜37灵光8 启迪1｜灵犀5｜J燃烧35 敌燃烧15</v>
      </c>
      <c r="U127" s="4" t="str">
        <f>IF(D127="","",后台计算!BX121)</f>
        <v/>
      </c>
    </row>
    <row r="128" spans="1:21" ht="38.1" customHeight="1">
      <c r="A128" s="1">
        <f t="shared" si="4"/>
        <v>120</v>
      </c>
      <c r="B128" s="3" t="s">
        <v>556</v>
      </c>
      <c r="C128" s="3">
        <v>10</v>
      </c>
      <c r="D128" s="3" t="s">
        <v>78</v>
      </c>
      <c r="E128" s="3" t="s">
        <v>612</v>
      </c>
      <c r="F128" s="5">
        <v>274335</v>
      </c>
      <c r="G128" s="5">
        <v>0</v>
      </c>
      <c r="H128" s="5"/>
      <c r="I128" s="5"/>
      <c r="J128" s="6" t="str">
        <f>IF(D128="","",后台计算!E122)</f>
        <v>红弩箭</v>
      </c>
      <c r="K128" s="6">
        <f>IF(D128="","",后台计算!AY122)</f>
        <v>3505</v>
      </c>
      <c r="L128" s="7">
        <f>IF(D128="","",后台计算!AZ122)</f>
        <v>1</v>
      </c>
      <c r="M128" s="7">
        <f>IF(D128="","",后台计算!BA122)</f>
        <v>2.9050000000000002</v>
      </c>
      <c r="N128" s="4">
        <f>IF(D128="","",后台计算!BG122)</f>
        <v>15</v>
      </c>
      <c r="O128" s="6">
        <f>IF(D128="","",后台计算!BU122)</f>
        <v>97802</v>
      </c>
      <c r="P128" s="6">
        <f>IF(D128="","",后台计算!BV122)</f>
        <v>274335</v>
      </c>
      <c r="Q128" s="6">
        <f t="shared" si="5"/>
        <v>274335</v>
      </c>
      <c r="R128" s="6">
        <f t="shared" si="6"/>
        <v>274335</v>
      </c>
      <c r="S128" s="6">
        <f t="shared" si="7"/>
        <v>0</v>
      </c>
      <c r="T128" s="4" t="str">
        <f>IF(D128="","","红:"&amp;IF(后台计算!U122=0,"无",IF(后台计算!U122=1,"雷鸣","极限"))&amp;" 增压"&amp;TEXT(后台计算!W122,"0")&amp;" 弹药"&amp;TEXT(后台计算!X122,"0")&amp;"｜37灵光"&amp;TEXT(后台计算!AB122,"0")&amp;" 启迪"&amp;TEXT(后台计算!AC122,"0")&amp;"｜灵犀"&amp;TEXT(后台计算!AV122,"0")&amp;"｜J燃烧"&amp;TEXT(后台计算!AD122,"0")&amp;" 敌燃烧"&amp;TEXT(后台计算!AE122,"0"))</f>
        <v>红:极限 增压10 弹药9｜37灵光9 启迪1｜灵犀5｜J燃烧35 敌燃烧15</v>
      </c>
      <c r="U128" s="4" t="str">
        <f>IF(D128="","",后台计算!BX122)</f>
        <v/>
      </c>
    </row>
    <row r="129" spans="1:21" ht="38.1" customHeight="1">
      <c r="A129" s="1">
        <f t="shared" si="4"/>
        <v>121</v>
      </c>
      <c r="B129" s="3" t="s">
        <v>556</v>
      </c>
      <c r="C129" s="3">
        <v>11</v>
      </c>
      <c r="D129" s="3" t="s">
        <v>121</v>
      </c>
      <c r="E129" s="3" t="s">
        <v>612</v>
      </c>
      <c r="F129" s="5">
        <v>85604</v>
      </c>
      <c r="G129" s="5">
        <v>0</v>
      </c>
      <c r="H129" s="5"/>
      <c r="I129" s="5"/>
      <c r="J129" s="6" t="str">
        <f>IF(D129="","",后台计算!E123)</f>
        <v>37</v>
      </c>
      <c r="K129" s="6">
        <f>IF(D129="","",后台计算!AY123)</f>
        <v>3517</v>
      </c>
      <c r="L129" s="7">
        <f>IF(D129="","",后台计算!AZ123)</f>
        <v>0.76</v>
      </c>
      <c r="M129" s="7">
        <f>IF(D129="","",后台计算!BA123)</f>
        <v>2.4780000000000002</v>
      </c>
      <c r="N129" s="4">
        <f>IF(D129="","",后台计算!BG123)</f>
        <v>8</v>
      </c>
      <c r="O129" s="6">
        <f>IF(D129="","",后台计算!BU123)</f>
        <v>35998</v>
      </c>
      <c r="P129" s="6">
        <f>IF(D129="","",后台计算!BV123)</f>
        <v>85604</v>
      </c>
      <c r="Q129" s="6">
        <f t="shared" si="5"/>
        <v>85604</v>
      </c>
      <c r="R129" s="6">
        <f t="shared" si="6"/>
        <v>85604</v>
      </c>
      <c r="S129" s="6">
        <f t="shared" si="7"/>
        <v>0</v>
      </c>
      <c r="T129" s="4" t="str">
        <f>IF(D129="","","红:"&amp;IF(后台计算!U123=0,"无",IF(后台计算!U123=1,"雷鸣","极限"))&amp;" 增压"&amp;TEXT(后台计算!W123,"0")&amp;" 弹药"&amp;TEXT(后台计算!X123,"0")&amp;"｜37灵光"&amp;TEXT(后台计算!AB123,"0")&amp;" 启迪"&amp;TEXT(后台计算!AC123,"0")&amp;"｜灵犀"&amp;TEXT(后台计算!AV123,"0")&amp;"｜J燃烧"&amp;TEXT(后台计算!AD123,"0")&amp;" 敌燃烧"&amp;TEXT(后台计算!AE123,"0"))</f>
        <v>红:极限 增压10 弹药10｜37灵光10 启迪1｜灵犀5｜J燃烧35 敌燃烧15</v>
      </c>
      <c r="U129" s="4" t="str">
        <f>IF(D129="","",后台计算!BX123)</f>
        <v/>
      </c>
    </row>
    <row r="130" spans="1:21" ht="38.1" customHeight="1">
      <c r="A130" s="1">
        <f t="shared" si="4"/>
        <v>122</v>
      </c>
      <c r="B130" s="3" t="s">
        <v>556</v>
      </c>
      <c r="C130" s="3">
        <v>12</v>
      </c>
      <c r="D130" s="3" t="s">
        <v>78</v>
      </c>
      <c r="E130" s="3" t="s">
        <v>612</v>
      </c>
      <c r="F130" s="5">
        <v>662805</v>
      </c>
      <c r="G130" s="5">
        <v>0</v>
      </c>
      <c r="H130" s="5">
        <v>265122</v>
      </c>
      <c r="I130" s="5" t="s">
        <v>619</v>
      </c>
      <c r="J130" s="6" t="str">
        <f>IF(D130="","",后台计算!E124)</f>
        <v>红弩箭</v>
      </c>
      <c r="K130" s="6">
        <f>IF(D130="","",后台计算!AY124)</f>
        <v>3505</v>
      </c>
      <c r="L130" s="7">
        <f>IF(D130="","",后台计算!AZ124)</f>
        <v>1</v>
      </c>
      <c r="M130" s="7">
        <f>IF(D130="","",后台计算!BA124)</f>
        <v>3.1050000000000004</v>
      </c>
      <c r="N130" s="4">
        <f>IF(D130="","",后台计算!BG124)</f>
        <v>32</v>
      </c>
      <c r="O130" s="6">
        <f>IF(D130="","",后台计算!BU124)</f>
        <v>308793</v>
      </c>
      <c r="P130" s="6">
        <f>IF(D130="","",后台计算!BV124)</f>
        <v>927927</v>
      </c>
      <c r="Q130" s="6">
        <f t="shared" si="5"/>
        <v>927927</v>
      </c>
      <c r="R130" s="6">
        <f t="shared" si="6"/>
        <v>927927</v>
      </c>
      <c r="S130" s="6">
        <f t="shared" si="7"/>
        <v>0</v>
      </c>
      <c r="T130" s="4" t="str">
        <f>IF(D130="","","红:"&amp;IF(后台计算!U124=0,"无",IF(后台计算!U124=1,"雷鸣","极限"))&amp;" 增压"&amp;TEXT(后台计算!W124,"0")&amp;" 弹药"&amp;TEXT(后台计算!X124,"0")&amp;"｜37灵光"&amp;TEXT(后台计算!AB124,"0")&amp;" 启迪"&amp;TEXT(后台计算!AC124,"0")&amp;"｜灵犀"&amp;TEXT(后台计算!AV124,"0")&amp;"｜J燃烧"&amp;TEXT(后台计算!AD124,"0")&amp;" 敌燃烧"&amp;TEXT(后台计算!AE124,"0"))</f>
        <v>红:极限 增压10 弹药10｜37灵光10 启迪1｜灵犀5｜J燃烧35 敌燃烧15</v>
      </c>
      <c r="U130" s="4" t="str">
        <f>IF(D130="","",后台计算!BX124)</f>
        <v/>
      </c>
    </row>
    <row r="131" spans="1:21" ht="38.1" customHeight="1">
      <c r="A131" s="1">
        <f t="shared" si="4"/>
        <v>123</v>
      </c>
      <c r="B131" s="3" t="s">
        <v>556</v>
      </c>
      <c r="C131" s="3">
        <v>13</v>
      </c>
      <c r="D131" s="3" t="s">
        <v>121</v>
      </c>
      <c r="E131" s="3" t="s">
        <v>613</v>
      </c>
      <c r="F131" s="5">
        <v>35998</v>
      </c>
      <c r="G131" s="5">
        <v>0</v>
      </c>
      <c r="H131" s="5"/>
      <c r="I131" s="5"/>
      <c r="J131" s="6" t="str">
        <f>IF(D131="","",后台计算!E125)</f>
        <v>37</v>
      </c>
      <c r="K131" s="6">
        <f>IF(D131="","",后台计算!AY125)</f>
        <v>3517</v>
      </c>
      <c r="L131" s="7">
        <f>IF(D131="","",后台计算!AZ125)</f>
        <v>0.76</v>
      </c>
      <c r="M131" s="7">
        <f>IF(D131="","",后台计算!BA125)</f>
        <v>2.4780000000000002</v>
      </c>
      <c r="N131" s="4">
        <f>IF(D131="","",后台计算!BG125)</f>
        <v>8</v>
      </c>
      <c r="O131" s="6">
        <f>IF(D131="","",后台计算!BU125)</f>
        <v>35998</v>
      </c>
      <c r="P131" s="6">
        <f>IF(D131="","",后台计算!BV125)</f>
        <v>85604</v>
      </c>
      <c r="Q131" s="6">
        <f t="shared" si="5"/>
        <v>35998</v>
      </c>
      <c r="R131" s="6">
        <f t="shared" si="6"/>
        <v>35998</v>
      </c>
      <c r="S131" s="6">
        <f t="shared" si="7"/>
        <v>0</v>
      </c>
      <c r="T131" s="4" t="str">
        <f>IF(D131="","","红:"&amp;IF(后台计算!U125=0,"无",IF(后台计算!U125=1,"雷鸣","极限"))&amp;" 增压"&amp;TEXT(后台计算!W125,"0")&amp;" 弹药"&amp;TEXT(后台计算!X125,"0")&amp;"｜37灵光"&amp;TEXT(后台计算!AB125,"0")&amp;" 启迪"&amp;TEXT(后台计算!AC125,"0")&amp;"｜灵犀"&amp;TEXT(后台计算!AV125,"0")&amp;"｜J燃烧"&amp;TEXT(后台计算!AD125,"0")&amp;" 敌燃烧"&amp;TEXT(后台计算!AE125,"0"))</f>
        <v>红:极限 增压10 弹药11｜37灵光10 启迪1｜灵犀5｜J燃烧35 敌燃烧15</v>
      </c>
      <c r="U131" s="4" t="str">
        <f>IF(D131="","",后台计算!BX125)</f>
        <v/>
      </c>
    </row>
    <row r="132" spans="1:21" ht="38.1" customHeight="1">
      <c r="A132" s="1">
        <f t="shared" si="4"/>
        <v>124</v>
      </c>
      <c r="B132" s="3" t="s">
        <v>556</v>
      </c>
      <c r="C132" s="3">
        <v>14</v>
      </c>
      <c r="D132" s="3" t="s">
        <v>78</v>
      </c>
      <c r="E132" s="3" t="s">
        <v>612</v>
      </c>
      <c r="F132" s="5">
        <v>305688</v>
      </c>
      <c r="G132" s="5">
        <v>0</v>
      </c>
      <c r="H132" s="5">
        <v>122275</v>
      </c>
      <c r="I132" s="5" t="s">
        <v>619</v>
      </c>
      <c r="J132" s="6" t="str">
        <f>IF(D132="","",后台计算!E126)</f>
        <v>红弩箭</v>
      </c>
      <c r="K132" s="6">
        <f>IF(D132="","",后台计算!AY126)</f>
        <v>3505</v>
      </c>
      <c r="L132" s="7">
        <f>IF(D132="","",后台计算!AZ126)</f>
        <v>1</v>
      </c>
      <c r="M132" s="7">
        <f>IF(D132="","",后台计算!BA126)</f>
        <v>2.9050000000000002</v>
      </c>
      <c r="N132" s="4">
        <f>IF(D132="","",后台计算!BG126)</f>
        <v>15</v>
      </c>
      <c r="O132" s="6">
        <f>IF(D132="","",后台计算!BU126)</f>
        <v>152570</v>
      </c>
      <c r="P132" s="6">
        <f>IF(D132="","",后台计算!BV126)</f>
        <v>427963</v>
      </c>
      <c r="Q132" s="6">
        <f t="shared" si="5"/>
        <v>427963</v>
      </c>
      <c r="R132" s="6">
        <f t="shared" si="6"/>
        <v>427963</v>
      </c>
      <c r="S132" s="6">
        <f t="shared" si="7"/>
        <v>0</v>
      </c>
      <c r="T132" s="4" t="str">
        <f>IF(D132="","","红:"&amp;IF(后台计算!U126=0,"无",IF(后台计算!U126=1,"雷鸣","极限"))&amp;" 增压"&amp;TEXT(后台计算!W126,"0")&amp;" 弹药"&amp;TEXT(后台计算!X126,"0")&amp;"｜37灵光"&amp;TEXT(后台计算!AB126,"0")&amp;" 启迪"&amp;TEXT(后台计算!AC126,"0")&amp;"｜灵犀"&amp;TEXT(后台计算!AV126,"0")&amp;"｜J燃烧"&amp;TEXT(后台计算!AD126,"0")&amp;" 敌燃烧"&amp;TEXT(后台计算!AE126,"0"))</f>
        <v>红:极限 增压10 弹药11｜37灵光10 启迪1｜灵犀5｜J燃烧35 敌燃烧15</v>
      </c>
      <c r="U132" s="4" t="str">
        <f>IF(D132="","",后台计算!BX126)</f>
        <v/>
      </c>
    </row>
    <row r="133" spans="1:21" ht="38.1" customHeight="1">
      <c r="A133" s="1">
        <f t="shared" si="4"/>
        <v>125</v>
      </c>
      <c r="B133" s="3" t="s">
        <v>556</v>
      </c>
      <c r="C133" s="3">
        <v>15</v>
      </c>
      <c r="D133" s="3" t="s">
        <v>121</v>
      </c>
      <c r="E133" s="3" t="s">
        <v>613</v>
      </c>
      <c r="F133" s="5">
        <v>31498</v>
      </c>
      <c r="G133" s="5">
        <v>0</v>
      </c>
      <c r="H133" s="5"/>
      <c r="I133" s="5"/>
      <c r="J133" s="6" t="str">
        <f>IF(D133="","",后台计算!E127)</f>
        <v>37</v>
      </c>
      <c r="K133" s="6">
        <f>IF(D133="","",后台计算!AY127)</f>
        <v>3517</v>
      </c>
      <c r="L133" s="7">
        <f>IF(D133="","",后台计算!AZ127)</f>
        <v>0.76</v>
      </c>
      <c r="M133" s="7">
        <f>IF(D133="","",后台计算!BA127)</f>
        <v>2.4780000000000002</v>
      </c>
      <c r="N133" s="4">
        <f>IF(D133="","",后台计算!BG127)</f>
        <v>8</v>
      </c>
      <c r="O133" s="6">
        <f>IF(D133="","",后台计算!BU127)</f>
        <v>31498</v>
      </c>
      <c r="P133" s="6">
        <f>IF(D133="","",后台计算!BV127)</f>
        <v>74903</v>
      </c>
      <c r="Q133" s="6">
        <f t="shared" si="5"/>
        <v>31498</v>
      </c>
      <c r="R133" s="6">
        <f t="shared" si="6"/>
        <v>31498</v>
      </c>
      <c r="S133" s="6">
        <f t="shared" si="7"/>
        <v>0</v>
      </c>
      <c r="T133" s="4" t="str">
        <f>IF(D133="","","红:"&amp;IF(后台计算!U127=0,"无",IF(后台计算!U127=1,"雷鸣","极限"))&amp;" 增压"&amp;TEXT(后台计算!W127,"0")&amp;" 弹药"&amp;TEXT(后台计算!X127,"0")&amp;"｜37灵光"&amp;TEXT(后台计算!AB127,"0")&amp;" 启迪"&amp;TEXT(后台计算!AC127,"0")&amp;"｜灵犀"&amp;TEXT(后台计算!AV127,"0")&amp;"｜J燃烧"&amp;TEXT(后台计算!AD127,"0")&amp;" 敌燃烧"&amp;TEXT(后台计算!AE127,"0"))</f>
        <v>红:极限 增压10 弹药12｜37灵光10 启迪1｜灵犀5｜J燃烧35 敌燃烧15</v>
      </c>
      <c r="U133" s="4" t="str">
        <f>IF(D133="","",后台计算!BX127)</f>
        <v/>
      </c>
    </row>
    <row r="134" spans="1:21" ht="38.1" customHeight="1">
      <c r="A134" s="1">
        <f t="shared" si="4"/>
        <v>126</v>
      </c>
      <c r="B134" s="3" t="s">
        <v>556</v>
      </c>
      <c r="C134" s="3">
        <v>16</v>
      </c>
      <c r="D134" s="3" t="s">
        <v>121</v>
      </c>
      <c r="E134" s="3" t="s">
        <v>612</v>
      </c>
      <c r="F134" s="5">
        <v>74903</v>
      </c>
      <c r="G134" s="5">
        <v>0</v>
      </c>
      <c r="H134" s="5">
        <v>29961</v>
      </c>
      <c r="I134" s="5" t="s">
        <v>619</v>
      </c>
      <c r="J134" s="6" t="str">
        <f>IF(D134="","",后台计算!E128)</f>
        <v>37</v>
      </c>
      <c r="K134" s="6">
        <f>IF(D134="","",后台计算!AY128)</f>
        <v>3517</v>
      </c>
      <c r="L134" s="7">
        <f>IF(D134="","",后台计算!AZ128)</f>
        <v>0.76</v>
      </c>
      <c r="M134" s="7">
        <f>IF(D134="","",后台计算!BA128)</f>
        <v>2.4780000000000002</v>
      </c>
      <c r="N134" s="4">
        <f>IF(D134="","",后台计算!BG128)</f>
        <v>8</v>
      </c>
      <c r="O134" s="6">
        <f>IF(D134="","",后台计算!BU128)</f>
        <v>44097</v>
      </c>
      <c r="P134" s="6">
        <f>IF(D134="","",后台计算!BV128)</f>
        <v>104864</v>
      </c>
      <c r="Q134" s="6">
        <f t="shared" si="5"/>
        <v>104864</v>
      </c>
      <c r="R134" s="6">
        <f t="shared" si="6"/>
        <v>104864</v>
      </c>
      <c r="S134" s="6">
        <f t="shared" si="7"/>
        <v>0</v>
      </c>
      <c r="T134" s="4" t="str">
        <f>IF(D134="","","红:"&amp;IF(后台计算!U128=0,"无",IF(后台计算!U128=1,"雷鸣","极限"))&amp;" 增压"&amp;TEXT(后台计算!W128,"0")&amp;" 弹药"&amp;TEXT(后台计算!X128,"0")&amp;"｜37灵光"&amp;TEXT(后台计算!AB128,"0")&amp;" 启迪"&amp;TEXT(后台计算!AC128,"0")&amp;"｜灵犀"&amp;TEXT(后台计算!AV128,"0")&amp;"｜J燃烧"&amp;TEXT(后台计算!AD128,"0")&amp;" 敌燃烧"&amp;TEXT(后台计算!AE128,"0"))</f>
        <v>红:极限 增压10 弹药12｜37灵光10 启迪1｜灵犀5｜J燃烧35 敌燃烧15</v>
      </c>
      <c r="U134" s="4" t="str">
        <f>IF(D134="","",后台计算!BX128)</f>
        <v/>
      </c>
    </row>
    <row r="135" spans="1:21" ht="38.1" customHeight="1">
      <c r="A135" s="1">
        <f t="shared" si="4"/>
        <v>127</v>
      </c>
      <c r="B135" s="3" t="s">
        <v>556</v>
      </c>
      <c r="C135" s="3">
        <v>17</v>
      </c>
      <c r="D135" s="3" t="s">
        <v>85</v>
      </c>
      <c r="E135" s="3" t="s">
        <v>612</v>
      </c>
      <c r="F135" s="5">
        <v>1974775</v>
      </c>
      <c r="G135" s="5">
        <v>0</v>
      </c>
      <c r="H135" s="5">
        <v>789910</v>
      </c>
      <c r="I135" s="5" t="s">
        <v>619</v>
      </c>
      <c r="J135" s="6" t="str">
        <f>IF(D135="","",后台计算!E129)</f>
        <v>红弩箭</v>
      </c>
      <c r="K135" s="6">
        <f>IF(D135="","",后台计算!AY129)</f>
        <v>3505</v>
      </c>
      <c r="L135" s="7">
        <f>IF(D135="","",后台计算!AZ129)</f>
        <v>1</v>
      </c>
      <c r="M135" s="7">
        <f>IF(D135="","",后台计算!BA129)</f>
        <v>3.3050000000000002</v>
      </c>
      <c r="N135" s="4">
        <f>IF(D135="","",后台计算!BG129)</f>
        <v>90</v>
      </c>
      <c r="O135" s="6">
        <f>IF(D135="","",后台计算!BU129)</f>
        <v>862615</v>
      </c>
      <c r="P135" s="6">
        <f>IF(D135="","",后台计算!BV129)</f>
        <v>2764685</v>
      </c>
      <c r="Q135" s="6">
        <f t="shared" si="5"/>
        <v>2764685</v>
      </c>
      <c r="R135" s="6">
        <f t="shared" si="6"/>
        <v>2764685</v>
      </c>
      <c r="S135" s="6">
        <f t="shared" si="7"/>
        <v>0</v>
      </c>
      <c r="T135" s="4" t="str">
        <f>IF(D135="","","红:"&amp;IF(后台计算!U129=0,"无",IF(后台计算!U129=1,"雷鸣","极限"))&amp;" 增压"&amp;TEXT(后台计算!W129,"0")&amp;" 弹药"&amp;TEXT(后台计算!X129,"0")&amp;"｜37灵光"&amp;TEXT(后台计算!AB129,"0")&amp;" 启迪"&amp;TEXT(后台计算!AC129,"0")&amp;"｜灵犀"&amp;TEXT(后台计算!AV129,"0")&amp;"｜J燃烧"&amp;TEXT(后台计算!AD129,"0")&amp;" 敌燃烧"&amp;TEXT(后台计算!AE129,"0"))</f>
        <v>红:极限 增压10 弹药12｜37灵光10 启迪1｜灵犀5｜J燃烧35 敌燃烧15</v>
      </c>
      <c r="U135" s="4" t="str">
        <f>IF(D135="","",后台计算!BX129)</f>
        <v/>
      </c>
    </row>
    <row r="136" spans="1:21" ht="38.1" customHeight="1">
      <c r="A136" s="1" t="str">
        <f t="shared" si="4"/>
        <v/>
      </c>
      <c r="B136" s="3"/>
      <c r="C136" s="3"/>
      <c r="D136" s="3"/>
      <c r="E136" s="3"/>
      <c r="F136" s="5"/>
      <c r="G136" s="5"/>
      <c r="H136" s="5"/>
      <c r="I136" s="5"/>
      <c r="J136" s="6" t="str">
        <f>IF(D136="","",后台计算!E130)</f>
        <v/>
      </c>
      <c r="K136" s="6" t="str">
        <f>IF(D136="","",后台计算!AY130)</f>
        <v/>
      </c>
      <c r="L136" s="7" t="str">
        <f>IF(D136="","",后台计算!AZ130)</f>
        <v/>
      </c>
      <c r="M136" s="7" t="str">
        <f>IF(D136="","",后台计算!BA130)</f>
        <v/>
      </c>
      <c r="N136" s="4" t="str">
        <f>IF(D136="","",后台计算!BG130)</f>
        <v/>
      </c>
      <c r="O136" s="6" t="str">
        <f>IF(D136="","",后台计算!BU130)</f>
        <v/>
      </c>
      <c r="P136" s="6" t="str">
        <f>IF(D136="","",后台计算!BV130)</f>
        <v/>
      </c>
      <c r="Q136" s="6" t="str">
        <f t="shared" si="5"/>
        <v/>
      </c>
      <c r="R136" s="6" t="str">
        <f t="shared" si="6"/>
        <v/>
      </c>
      <c r="S136" s="6" t="str">
        <f t="shared" si="7"/>
        <v/>
      </c>
      <c r="T136" s="4" t="str">
        <f>IF(D136="","","红:"&amp;IF(后台计算!U130=0,"无",IF(后台计算!U130=1,"雷鸣","极限"))&amp;" 增压"&amp;TEXT(后台计算!W130,"0")&amp;" 弹药"&amp;TEXT(后台计算!X130,"0")&amp;"｜37灵光"&amp;TEXT(后台计算!AB130,"0")&amp;" 启迪"&amp;TEXT(后台计算!AC130,"0")&amp;"｜灵犀"&amp;TEXT(后台计算!AV130,"0")&amp;"｜J燃烧"&amp;TEXT(后台计算!AD130,"0")&amp;" 敌燃烧"&amp;TEXT(后台计算!AE130,"0"))</f>
        <v/>
      </c>
      <c r="U136" s="4" t="str">
        <f>IF(D136="","",后台计算!BX130)</f>
        <v/>
      </c>
    </row>
    <row r="137" spans="1:21" ht="38.1" customHeight="1">
      <c r="A137" s="1" t="str">
        <f t="shared" ref="A137:A200" si="8">IF(D137="","",ROW()-8)</f>
        <v/>
      </c>
      <c r="B137" s="3"/>
      <c r="C137" s="3"/>
      <c r="D137" s="3"/>
      <c r="E137" s="3"/>
      <c r="F137" s="5"/>
      <c r="G137" s="5"/>
      <c r="H137" s="5"/>
      <c r="I137" s="5"/>
      <c r="J137" s="6" t="str">
        <f>IF(D137="","",后台计算!E131)</f>
        <v/>
      </c>
      <c r="K137" s="6" t="str">
        <f>IF(D137="","",后台计算!AY131)</f>
        <v/>
      </c>
      <c r="L137" s="7" t="str">
        <f>IF(D137="","",后台计算!AZ131)</f>
        <v/>
      </c>
      <c r="M137" s="7" t="str">
        <f>IF(D137="","",后台计算!BA131)</f>
        <v/>
      </c>
      <c r="N137" s="4" t="str">
        <f>IF(D137="","",后台计算!BG131)</f>
        <v/>
      </c>
      <c r="O137" s="6" t="str">
        <f>IF(D137="","",后台计算!BU131)</f>
        <v/>
      </c>
      <c r="P137" s="6" t="str">
        <f>IF(D137="","",后台计算!BV131)</f>
        <v/>
      </c>
      <c r="Q137" s="6" t="str">
        <f t="shared" ref="Q137:Q200" si="9">IF(D137="","",IF(E137="是",P137,IF(E137="否",O137,"")))</f>
        <v/>
      </c>
      <c r="R137" s="6" t="str">
        <f t="shared" ref="R137:R200" si="10">IF(COUNT(F137:H137)=0,"",SUM(F137:H137))</f>
        <v/>
      </c>
      <c r="S137" s="6" t="str">
        <f t="shared" ref="S137:S200" si="11">IF(AND(ISNUMBER(Q137),ISNUMBER(R137)),Q137-R137,"")</f>
        <v/>
      </c>
      <c r="T137" s="4" t="str">
        <f>IF(D137="","","红:"&amp;IF(后台计算!U131=0,"无",IF(后台计算!U131=1,"雷鸣","极限"))&amp;" 增压"&amp;TEXT(后台计算!W131,"0")&amp;" 弹药"&amp;TEXT(后台计算!X131,"0")&amp;"｜37灵光"&amp;TEXT(后台计算!AB131,"0")&amp;" 启迪"&amp;TEXT(后台计算!AC131,"0")&amp;"｜灵犀"&amp;TEXT(后台计算!AV131,"0")&amp;"｜J燃烧"&amp;TEXT(后台计算!AD131,"0")&amp;" 敌燃烧"&amp;TEXT(后台计算!AE131,"0"))</f>
        <v/>
      </c>
      <c r="U137" s="4" t="str">
        <f>IF(D137="","",后台计算!BX131)</f>
        <v/>
      </c>
    </row>
    <row r="138" spans="1:21" ht="38.1" customHeight="1">
      <c r="A138" s="1" t="str">
        <f t="shared" si="8"/>
        <v/>
      </c>
      <c r="B138" s="3"/>
      <c r="C138" s="3"/>
      <c r="D138" s="3"/>
      <c r="E138" s="3"/>
      <c r="F138" s="5"/>
      <c r="G138" s="5"/>
      <c r="H138" s="5"/>
      <c r="I138" s="5"/>
      <c r="J138" s="6" t="str">
        <f>IF(D138="","",后台计算!E132)</f>
        <v/>
      </c>
      <c r="K138" s="6" t="str">
        <f>IF(D138="","",后台计算!AY132)</f>
        <v/>
      </c>
      <c r="L138" s="7" t="str">
        <f>IF(D138="","",后台计算!AZ132)</f>
        <v/>
      </c>
      <c r="M138" s="7" t="str">
        <f>IF(D138="","",后台计算!BA132)</f>
        <v/>
      </c>
      <c r="N138" s="4" t="str">
        <f>IF(D138="","",后台计算!BG132)</f>
        <v/>
      </c>
      <c r="O138" s="6" t="str">
        <f>IF(D138="","",后台计算!BU132)</f>
        <v/>
      </c>
      <c r="P138" s="6" t="str">
        <f>IF(D138="","",后台计算!BV132)</f>
        <v/>
      </c>
      <c r="Q138" s="6" t="str">
        <f t="shared" si="9"/>
        <v/>
      </c>
      <c r="R138" s="6" t="str">
        <f t="shared" si="10"/>
        <v/>
      </c>
      <c r="S138" s="6" t="str">
        <f t="shared" si="11"/>
        <v/>
      </c>
      <c r="T138" s="4" t="str">
        <f>IF(D138="","","红:"&amp;IF(后台计算!U132=0,"无",IF(后台计算!U132=1,"雷鸣","极限"))&amp;" 增压"&amp;TEXT(后台计算!W132,"0")&amp;" 弹药"&amp;TEXT(后台计算!X132,"0")&amp;"｜37灵光"&amp;TEXT(后台计算!AB132,"0")&amp;" 启迪"&amp;TEXT(后台计算!AC132,"0")&amp;"｜灵犀"&amp;TEXT(后台计算!AV132,"0")&amp;"｜J燃烧"&amp;TEXT(后台计算!AD132,"0")&amp;" 敌燃烧"&amp;TEXT(后台计算!AE132,"0"))</f>
        <v/>
      </c>
      <c r="U138" s="4" t="str">
        <f>IF(D138="","",后台计算!BX132)</f>
        <v/>
      </c>
    </row>
    <row r="139" spans="1:21" ht="38.1" customHeight="1">
      <c r="A139" s="1" t="str">
        <f t="shared" si="8"/>
        <v/>
      </c>
      <c r="B139" s="3"/>
      <c r="C139" s="3"/>
      <c r="D139" s="3"/>
      <c r="E139" s="3"/>
      <c r="F139" s="5"/>
      <c r="G139" s="5"/>
      <c r="H139" s="5"/>
      <c r="I139" s="5"/>
      <c r="J139" s="6" t="str">
        <f>IF(D139="","",后台计算!E133)</f>
        <v/>
      </c>
      <c r="K139" s="6" t="str">
        <f>IF(D139="","",后台计算!AY133)</f>
        <v/>
      </c>
      <c r="L139" s="7" t="str">
        <f>IF(D139="","",后台计算!AZ133)</f>
        <v/>
      </c>
      <c r="M139" s="7" t="str">
        <f>IF(D139="","",后台计算!BA133)</f>
        <v/>
      </c>
      <c r="N139" s="4" t="str">
        <f>IF(D139="","",后台计算!BG133)</f>
        <v/>
      </c>
      <c r="O139" s="6" t="str">
        <f>IF(D139="","",后台计算!BU133)</f>
        <v/>
      </c>
      <c r="P139" s="6" t="str">
        <f>IF(D139="","",后台计算!BV133)</f>
        <v/>
      </c>
      <c r="Q139" s="6" t="str">
        <f t="shared" si="9"/>
        <v/>
      </c>
      <c r="R139" s="6" t="str">
        <f t="shared" si="10"/>
        <v/>
      </c>
      <c r="S139" s="6" t="str">
        <f t="shared" si="11"/>
        <v/>
      </c>
      <c r="T139" s="4" t="str">
        <f>IF(D139="","","红:"&amp;IF(后台计算!U133=0,"无",IF(后台计算!U133=1,"雷鸣","极限"))&amp;" 增压"&amp;TEXT(后台计算!W133,"0")&amp;" 弹药"&amp;TEXT(后台计算!X133,"0")&amp;"｜37灵光"&amp;TEXT(后台计算!AB133,"0")&amp;" 启迪"&amp;TEXT(后台计算!AC133,"0")&amp;"｜灵犀"&amp;TEXT(后台计算!AV133,"0")&amp;"｜J燃烧"&amp;TEXT(后台计算!AD133,"0")&amp;" 敌燃烧"&amp;TEXT(后台计算!AE133,"0"))</f>
        <v/>
      </c>
      <c r="U139" s="4" t="str">
        <f>IF(D139="","",后台计算!BX133)</f>
        <v/>
      </c>
    </row>
    <row r="140" spans="1:21" ht="38.1" customHeight="1">
      <c r="A140" s="1" t="str">
        <f t="shared" si="8"/>
        <v/>
      </c>
      <c r="B140" s="3"/>
      <c r="C140" s="3"/>
      <c r="D140" s="3"/>
      <c r="E140" s="3"/>
      <c r="F140" s="5"/>
      <c r="G140" s="5"/>
      <c r="H140" s="5"/>
      <c r="I140" s="5"/>
      <c r="J140" s="6" t="str">
        <f>IF(D140="","",后台计算!E134)</f>
        <v/>
      </c>
      <c r="K140" s="6" t="str">
        <f>IF(D140="","",后台计算!AY134)</f>
        <v/>
      </c>
      <c r="L140" s="7" t="str">
        <f>IF(D140="","",后台计算!AZ134)</f>
        <v/>
      </c>
      <c r="M140" s="7" t="str">
        <f>IF(D140="","",后台计算!BA134)</f>
        <v/>
      </c>
      <c r="N140" s="4" t="str">
        <f>IF(D140="","",后台计算!BG134)</f>
        <v/>
      </c>
      <c r="O140" s="6" t="str">
        <f>IF(D140="","",后台计算!BU134)</f>
        <v/>
      </c>
      <c r="P140" s="6" t="str">
        <f>IF(D140="","",后台计算!BV134)</f>
        <v/>
      </c>
      <c r="Q140" s="6" t="str">
        <f t="shared" si="9"/>
        <v/>
      </c>
      <c r="R140" s="6" t="str">
        <f t="shared" si="10"/>
        <v/>
      </c>
      <c r="S140" s="6" t="str">
        <f t="shared" si="11"/>
        <v/>
      </c>
      <c r="T140" s="4" t="str">
        <f>IF(D140="","","红:"&amp;IF(后台计算!U134=0,"无",IF(后台计算!U134=1,"雷鸣","极限"))&amp;" 增压"&amp;TEXT(后台计算!W134,"0")&amp;" 弹药"&amp;TEXT(后台计算!X134,"0")&amp;"｜37灵光"&amp;TEXT(后台计算!AB134,"0")&amp;" 启迪"&amp;TEXT(后台计算!AC134,"0")&amp;"｜灵犀"&amp;TEXT(后台计算!AV134,"0")&amp;"｜J燃烧"&amp;TEXT(后台计算!AD134,"0")&amp;" 敌燃烧"&amp;TEXT(后台计算!AE134,"0"))</f>
        <v/>
      </c>
      <c r="U140" s="4" t="str">
        <f>IF(D140="","",后台计算!BX134)</f>
        <v/>
      </c>
    </row>
    <row r="141" spans="1:21" ht="38.1" customHeight="1">
      <c r="A141" s="1" t="str">
        <f t="shared" si="8"/>
        <v/>
      </c>
      <c r="B141" s="3"/>
      <c r="C141" s="3"/>
      <c r="D141" s="3"/>
      <c r="E141" s="3"/>
      <c r="F141" s="5"/>
      <c r="G141" s="5"/>
      <c r="H141" s="5"/>
      <c r="I141" s="5"/>
      <c r="J141" s="6" t="str">
        <f>IF(D141="","",后台计算!E135)</f>
        <v/>
      </c>
      <c r="K141" s="6" t="str">
        <f>IF(D141="","",后台计算!AY135)</f>
        <v/>
      </c>
      <c r="L141" s="7" t="str">
        <f>IF(D141="","",后台计算!AZ135)</f>
        <v/>
      </c>
      <c r="M141" s="7" t="str">
        <f>IF(D141="","",后台计算!BA135)</f>
        <v/>
      </c>
      <c r="N141" s="4" t="str">
        <f>IF(D141="","",后台计算!BG135)</f>
        <v/>
      </c>
      <c r="O141" s="6" t="str">
        <f>IF(D141="","",后台计算!BU135)</f>
        <v/>
      </c>
      <c r="P141" s="6" t="str">
        <f>IF(D141="","",后台计算!BV135)</f>
        <v/>
      </c>
      <c r="Q141" s="6" t="str">
        <f t="shared" si="9"/>
        <v/>
      </c>
      <c r="R141" s="6" t="str">
        <f t="shared" si="10"/>
        <v/>
      </c>
      <c r="S141" s="6" t="str">
        <f t="shared" si="11"/>
        <v/>
      </c>
      <c r="T141" s="4" t="str">
        <f>IF(D141="","","红:"&amp;IF(后台计算!U135=0,"无",IF(后台计算!U135=1,"雷鸣","极限"))&amp;" 增压"&amp;TEXT(后台计算!W135,"0")&amp;" 弹药"&amp;TEXT(后台计算!X135,"0")&amp;"｜37灵光"&amp;TEXT(后台计算!AB135,"0")&amp;" 启迪"&amp;TEXT(后台计算!AC135,"0")&amp;"｜灵犀"&amp;TEXT(后台计算!AV135,"0")&amp;"｜J燃烧"&amp;TEXT(后台计算!AD135,"0")&amp;" 敌燃烧"&amp;TEXT(后台计算!AE135,"0"))</f>
        <v/>
      </c>
      <c r="U141" s="4" t="str">
        <f>IF(D141="","",后台计算!BX135)</f>
        <v/>
      </c>
    </row>
    <row r="142" spans="1:21" ht="38.1" customHeight="1">
      <c r="A142" s="1" t="str">
        <f t="shared" si="8"/>
        <v/>
      </c>
      <c r="B142" s="3"/>
      <c r="C142" s="3"/>
      <c r="D142" s="3"/>
      <c r="E142" s="3"/>
      <c r="F142" s="5"/>
      <c r="G142" s="5"/>
      <c r="H142" s="5"/>
      <c r="I142" s="5"/>
      <c r="J142" s="6" t="str">
        <f>IF(D142="","",后台计算!E136)</f>
        <v/>
      </c>
      <c r="K142" s="6" t="str">
        <f>IF(D142="","",后台计算!AY136)</f>
        <v/>
      </c>
      <c r="L142" s="7" t="str">
        <f>IF(D142="","",后台计算!AZ136)</f>
        <v/>
      </c>
      <c r="M142" s="7" t="str">
        <f>IF(D142="","",后台计算!BA136)</f>
        <v/>
      </c>
      <c r="N142" s="4" t="str">
        <f>IF(D142="","",后台计算!BG136)</f>
        <v/>
      </c>
      <c r="O142" s="6" t="str">
        <f>IF(D142="","",后台计算!BU136)</f>
        <v/>
      </c>
      <c r="P142" s="6" t="str">
        <f>IF(D142="","",后台计算!BV136)</f>
        <v/>
      </c>
      <c r="Q142" s="6" t="str">
        <f t="shared" si="9"/>
        <v/>
      </c>
      <c r="R142" s="6" t="str">
        <f t="shared" si="10"/>
        <v/>
      </c>
      <c r="S142" s="6" t="str">
        <f t="shared" si="11"/>
        <v/>
      </c>
      <c r="T142" s="4" t="str">
        <f>IF(D142="","","红:"&amp;IF(后台计算!U136=0,"无",IF(后台计算!U136=1,"雷鸣","极限"))&amp;" 增压"&amp;TEXT(后台计算!W136,"0")&amp;" 弹药"&amp;TEXT(后台计算!X136,"0")&amp;"｜37灵光"&amp;TEXT(后台计算!AB136,"0")&amp;" 启迪"&amp;TEXT(后台计算!AC136,"0")&amp;"｜灵犀"&amp;TEXT(后台计算!AV136,"0")&amp;"｜J燃烧"&amp;TEXT(后台计算!AD136,"0")&amp;" 敌燃烧"&amp;TEXT(后台计算!AE136,"0"))</f>
        <v/>
      </c>
      <c r="U142" s="4" t="str">
        <f>IF(D142="","",后台计算!BX136)</f>
        <v/>
      </c>
    </row>
    <row r="143" spans="1:21" ht="38.1" customHeight="1">
      <c r="A143" s="1" t="str">
        <f t="shared" si="8"/>
        <v/>
      </c>
      <c r="B143" s="3"/>
      <c r="C143" s="3"/>
      <c r="D143" s="3"/>
      <c r="E143" s="3"/>
      <c r="F143" s="5"/>
      <c r="G143" s="5"/>
      <c r="H143" s="5"/>
      <c r="I143" s="5"/>
      <c r="J143" s="6" t="str">
        <f>IF(D143="","",后台计算!E137)</f>
        <v/>
      </c>
      <c r="K143" s="6" t="str">
        <f>IF(D143="","",后台计算!AY137)</f>
        <v/>
      </c>
      <c r="L143" s="7" t="str">
        <f>IF(D143="","",后台计算!AZ137)</f>
        <v/>
      </c>
      <c r="M143" s="7" t="str">
        <f>IF(D143="","",后台计算!BA137)</f>
        <v/>
      </c>
      <c r="N143" s="4" t="str">
        <f>IF(D143="","",后台计算!BG137)</f>
        <v/>
      </c>
      <c r="O143" s="6" t="str">
        <f>IF(D143="","",后台计算!BU137)</f>
        <v/>
      </c>
      <c r="P143" s="6" t="str">
        <f>IF(D143="","",后台计算!BV137)</f>
        <v/>
      </c>
      <c r="Q143" s="6" t="str">
        <f t="shared" si="9"/>
        <v/>
      </c>
      <c r="R143" s="6" t="str">
        <f t="shared" si="10"/>
        <v/>
      </c>
      <c r="S143" s="6" t="str">
        <f t="shared" si="11"/>
        <v/>
      </c>
      <c r="T143" s="4" t="str">
        <f>IF(D143="","","红:"&amp;IF(后台计算!U137=0,"无",IF(后台计算!U137=1,"雷鸣","极限"))&amp;" 增压"&amp;TEXT(后台计算!W137,"0")&amp;" 弹药"&amp;TEXT(后台计算!X137,"0")&amp;"｜37灵光"&amp;TEXT(后台计算!AB137,"0")&amp;" 启迪"&amp;TEXT(后台计算!AC137,"0")&amp;"｜灵犀"&amp;TEXT(后台计算!AV137,"0")&amp;"｜J燃烧"&amp;TEXT(后台计算!AD137,"0")&amp;" 敌燃烧"&amp;TEXT(后台计算!AE137,"0"))</f>
        <v/>
      </c>
      <c r="U143" s="4" t="str">
        <f>IF(D143="","",后台计算!BX137)</f>
        <v/>
      </c>
    </row>
    <row r="144" spans="1:21" ht="38.1" customHeight="1">
      <c r="A144" s="1" t="str">
        <f t="shared" si="8"/>
        <v/>
      </c>
      <c r="B144" s="3"/>
      <c r="C144" s="3"/>
      <c r="D144" s="3"/>
      <c r="E144" s="3"/>
      <c r="F144" s="5"/>
      <c r="G144" s="5"/>
      <c r="H144" s="5"/>
      <c r="I144" s="5"/>
      <c r="J144" s="6" t="str">
        <f>IF(D144="","",后台计算!E138)</f>
        <v/>
      </c>
      <c r="K144" s="6" t="str">
        <f>IF(D144="","",后台计算!AY138)</f>
        <v/>
      </c>
      <c r="L144" s="7" t="str">
        <f>IF(D144="","",后台计算!AZ138)</f>
        <v/>
      </c>
      <c r="M144" s="7" t="str">
        <f>IF(D144="","",后台计算!BA138)</f>
        <v/>
      </c>
      <c r="N144" s="4" t="str">
        <f>IF(D144="","",后台计算!BG138)</f>
        <v/>
      </c>
      <c r="O144" s="6" t="str">
        <f>IF(D144="","",后台计算!BU138)</f>
        <v/>
      </c>
      <c r="P144" s="6" t="str">
        <f>IF(D144="","",后台计算!BV138)</f>
        <v/>
      </c>
      <c r="Q144" s="6" t="str">
        <f t="shared" si="9"/>
        <v/>
      </c>
      <c r="R144" s="6" t="str">
        <f t="shared" si="10"/>
        <v/>
      </c>
      <c r="S144" s="6" t="str">
        <f t="shared" si="11"/>
        <v/>
      </c>
      <c r="T144" s="4" t="str">
        <f>IF(D144="","","红:"&amp;IF(后台计算!U138=0,"无",IF(后台计算!U138=1,"雷鸣","极限"))&amp;" 增压"&amp;TEXT(后台计算!W138,"0")&amp;" 弹药"&amp;TEXT(后台计算!X138,"0")&amp;"｜37灵光"&amp;TEXT(后台计算!AB138,"0")&amp;" 启迪"&amp;TEXT(后台计算!AC138,"0")&amp;"｜灵犀"&amp;TEXT(后台计算!AV138,"0")&amp;"｜J燃烧"&amp;TEXT(后台计算!AD138,"0")&amp;" 敌燃烧"&amp;TEXT(后台计算!AE138,"0"))</f>
        <v/>
      </c>
      <c r="U144" s="4" t="str">
        <f>IF(D144="","",后台计算!BX138)</f>
        <v/>
      </c>
    </row>
    <row r="145" spans="1:21" ht="38.1" customHeight="1">
      <c r="A145" s="1" t="str">
        <f t="shared" si="8"/>
        <v/>
      </c>
      <c r="B145" s="3"/>
      <c r="C145" s="3"/>
      <c r="D145" s="3"/>
      <c r="E145" s="3"/>
      <c r="F145" s="5"/>
      <c r="G145" s="5"/>
      <c r="H145" s="5"/>
      <c r="I145" s="5"/>
      <c r="J145" s="6" t="str">
        <f>IF(D145="","",后台计算!E139)</f>
        <v/>
      </c>
      <c r="K145" s="6" t="str">
        <f>IF(D145="","",后台计算!AY139)</f>
        <v/>
      </c>
      <c r="L145" s="7" t="str">
        <f>IF(D145="","",后台计算!AZ139)</f>
        <v/>
      </c>
      <c r="M145" s="7" t="str">
        <f>IF(D145="","",后台计算!BA139)</f>
        <v/>
      </c>
      <c r="N145" s="4" t="str">
        <f>IF(D145="","",后台计算!BG139)</f>
        <v/>
      </c>
      <c r="O145" s="6" t="str">
        <f>IF(D145="","",后台计算!BU139)</f>
        <v/>
      </c>
      <c r="P145" s="6" t="str">
        <f>IF(D145="","",后台计算!BV139)</f>
        <v/>
      </c>
      <c r="Q145" s="6" t="str">
        <f t="shared" si="9"/>
        <v/>
      </c>
      <c r="R145" s="6" t="str">
        <f t="shared" si="10"/>
        <v/>
      </c>
      <c r="S145" s="6" t="str">
        <f t="shared" si="11"/>
        <v/>
      </c>
      <c r="T145" s="4" t="str">
        <f>IF(D145="","","红:"&amp;IF(后台计算!U139=0,"无",IF(后台计算!U139=1,"雷鸣","极限"))&amp;" 增压"&amp;TEXT(后台计算!W139,"0")&amp;" 弹药"&amp;TEXT(后台计算!X139,"0")&amp;"｜37灵光"&amp;TEXT(后台计算!AB139,"0")&amp;" 启迪"&amp;TEXT(后台计算!AC139,"0")&amp;"｜灵犀"&amp;TEXT(后台计算!AV139,"0")&amp;"｜J燃烧"&amp;TEXT(后台计算!AD139,"0")&amp;" 敌燃烧"&amp;TEXT(后台计算!AE139,"0"))</f>
        <v/>
      </c>
      <c r="U145" s="4" t="str">
        <f>IF(D145="","",后台计算!BX139)</f>
        <v/>
      </c>
    </row>
    <row r="146" spans="1:21" ht="38.1" customHeight="1">
      <c r="A146" s="1" t="str">
        <f t="shared" si="8"/>
        <v/>
      </c>
      <c r="B146" s="3"/>
      <c r="C146" s="3"/>
      <c r="D146" s="3"/>
      <c r="E146" s="3"/>
      <c r="F146" s="5"/>
      <c r="G146" s="5"/>
      <c r="H146" s="5"/>
      <c r="I146" s="5"/>
      <c r="J146" s="6" t="str">
        <f>IF(D146="","",后台计算!E140)</f>
        <v/>
      </c>
      <c r="K146" s="6" t="str">
        <f>IF(D146="","",后台计算!AY140)</f>
        <v/>
      </c>
      <c r="L146" s="7" t="str">
        <f>IF(D146="","",后台计算!AZ140)</f>
        <v/>
      </c>
      <c r="M146" s="7" t="str">
        <f>IF(D146="","",后台计算!BA140)</f>
        <v/>
      </c>
      <c r="N146" s="4" t="str">
        <f>IF(D146="","",后台计算!BG140)</f>
        <v/>
      </c>
      <c r="O146" s="6" t="str">
        <f>IF(D146="","",后台计算!BU140)</f>
        <v/>
      </c>
      <c r="P146" s="6" t="str">
        <f>IF(D146="","",后台计算!BV140)</f>
        <v/>
      </c>
      <c r="Q146" s="6" t="str">
        <f t="shared" si="9"/>
        <v/>
      </c>
      <c r="R146" s="6" t="str">
        <f t="shared" si="10"/>
        <v/>
      </c>
      <c r="S146" s="6" t="str">
        <f t="shared" si="11"/>
        <v/>
      </c>
      <c r="T146" s="4" t="str">
        <f>IF(D146="","","红:"&amp;IF(后台计算!U140=0,"无",IF(后台计算!U140=1,"雷鸣","极限"))&amp;" 增压"&amp;TEXT(后台计算!W140,"0")&amp;" 弹药"&amp;TEXT(后台计算!X140,"0")&amp;"｜37灵光"&amp;TEXT(后台计算!AB140,"0")&amp;" 启迪"&amp;TEXT(后台计算!AC140,"0")&amp;"｜灵犀"&amp;TEXT(后台计算!AV140,"0")&amp;"｜J燃烧"&amp;TEXT(后台计算!AD140,"0")&amp;" 敌燃烧"&amp;TEXT(后台计算!AE140,"0"))</f>
        <v/>
      </c>
      <c r="U146" s="4" t="str">
        <f>IF(D146="","",后台计算!BX140)</f>
        <v/>
      </c>
    </row>
    <row r="147" spans="1:21" ht="38.1" customHeight="1">
      <c r="A147" s="1" t="str">
        <f t="shared" si="8"/>
        <v/>
      </c>
      <c r="B147" s="3"/>
      <c r="C147" s="3"/>
      <c r="D147" s="3"/>
      <c r="E147" s="3"/>
      <c r="F147" s="5"/>
      <c r="G147" s="5"/>
      <c r="H147" s="5"/>
      <c r="I147" s="5"/>
      <c r="J147" s="6" t="str">
        <f>IF(D147="","",后台计算!E141)</f>
        <v/>
      </c>
      <c r="K147" s="6" t="str">
        <f>IF(D147="","",后台计算!AY141)</f>
        <v/>
      </c>
      <c r="L147" s="7" t="str">
        <f>IF(D147="","",后台计算!AZ141)</f>
        <v/>
      </c>
      <c r="M147" s="7" t="str">
        <f>IF(D147="","",后台计算!BA141)</f>
        <v/>
      </c>
      <c r="N147" s="4" t="str">
        <f>IF(D147="","",后台计算!BG141)</f>
        <v/>
      </c>
      <c r="O147" s="6" t="str">
        <f>IF(D147="","",后台计算!BU141)</f>
        <v/>
      </c>
      <c r="P147" s="6" t="str">
        <f>IF(D147="","",后台计算!BV141)</f>
        <v/>
      </c>
      <c r="Q147" s="6" t="str">
        <f t="shared" si="9"/>
        <v/>
      </c>
      <c r="R147" s="6" t="str">
        <f t="shared" si="10"/>
        <v/>
      </c>
      <c r="S147" s="6" t="str">
        <f t="shared" si="11"/>
        <v/>
      </c>
      <c r="T147" s="4" t="str">
        <f>IF(D147="","","红:"&amp;IF(后台计算!U141=0,"无",IF(后台计算!U141=1,"雷鸣","极限"))&amp;" 增压"&amp;TEXT(后台计算!W141,"0")&amp;" 弹药"&amp;TEXT(后台计算!X141,"0")&amp;"｜37灵光"&amp;TEXT(后台计算!AB141,"0")&amp;" 启迪"&amp;TEXT(后台计算!AC141,"0")&amp;"｜灵犀"&amp;TEXT(后台计算!AV141,"0")&amp;"｜J燃烧"&amp;TEXT(后台计算!AD141,"0")&amp;" 敌燃烧"&amp;TEXT(后台计算!AE141,"0"))</f>
        <v/>
      </c>
      <c r="U147" s="4" t="str">
        <f>IF(D147="","",后台计算!BX141)</f>
        <v/>
      </c>
    </row>
    <row r="148" spans="1:21" ht="38.1" customHeight="1">
      <c r="A148" s="1" t="str">
        <f t="shared" si="8"/>
        <v/>
      </c>
      <c r="B148" s="3"/>
      <c r="C148" s="3"/>
      <c r="D148" s="3"/>
      <c r="E148" s="3"/>
      <c r="F148" s="5"/>
      <c r="G148" s="5"/>
      <c r="H148" s="5"/>
      <c r="I148" s="5"/>
      <c r="J148" s="6" t="str">
        <f>IF(D148="","",后台计算!E142)</f>
        <v/>
      </c>
      <c r="K148" s="6" t="str">
        <f>IF(D148="","",后台计算!AY142)</f>
        <v/>
      </c>
      <c r="L148" s="7" t="str">
        <f>IF(D148="","",后台计算!AZ142)</f>
        <v/>
      </c>
      <c r="M148" s="7" t="str">
        <f>IF(D148="","",后台计算!BA142)</f>
        <v/>
      </c>
      <c r="N148" s="4" t="str">
        <f>IF(D148="","",后台计算!BG142)</f>
        <v/>
      </c>
      <c r="O148" s="6" t="str">
        <f>IF(D148="","",后台计算!BU142)</f>
        <v/>
      </c>
      <c r="P148" s="6" t="str">
        <f>IF(D148="","",后台计算!BV142)</f>
        <v/>
      </c>
      <c r="Q148" s="6" t="str">
        <f t="shared" si="9"/>
        <v/>
      </c>
      <c r="R148" s="6" t="str">
        <f t="shared" si="10"/>
        <v/>
      </c>
      <c r="S148" s="6" t="str">
        <f t="shared" si="11"/>
        <v/>
      </c>
      <c r="T148" s="4" t="str">
        <f>IF(D148="","","红:"&amp;IF(后台计算!U142=0,"无",IF(后台计算!U142=1,"雷鸣","极限"))&amp;" 增压"&amp;TEXT(后台计算!W142,"0")&amp;" 弹药"&amp;TEXT(后台计算!X142,"0")&amp;"｜37灵光"&amp;TEXT(后台计算!AB142,"0")&amp;" 启迪"&amp;TEXT(后台计算!AC142,"0")&amp;"｜灵犀"&amp;TEXT(后台计算!AV142,"0")&amp;"｜J燃烧"&amp;TEXT(后台计算!AD142,"0")&amp;" 敌燃烧"&amp;TEXT(后台计算!AE142,"0"))</f>
        <v/>
      </c>
      <c r="U148" s="4" t="str">
        <f>IF(D148="","",后台计算!BX142)</f>
        <v/>
      </c>
    </row>
    <row r="149" spans="1:21" ht="38.1" customHeight="1">
      <c r="A149" s="1" t="str">
        <f t="shared" si="8"/>
        <v/>
      </c>
      <c r="B149" s="3"/>
      <c r="C149" s="3"/>
      <c r="D149" s="3"/>
      <c r="E149" s="3"/>
      <c r="F149" s="5"/>
      <c r="G149" s="5"/>
      <c r="H149" s="5"/>
      <c r="I149" s="5"/>
      <c r="J149" s="6" t="str">
        <f>IF(D149="","",后台计算!E143)</f>
        <v/>
      </c>
      <c r="K149" s="6" t="str">
        <f>IF(D149="","",后台计算!AY143)</f>
        <v/>
      </c>
      <c r="L149" s="7" t="str">
        <f>IF(D149="","",后台计算!AZ143)</f>
        <v/>
      </c>
      <c r="M149" s="7" t="str">
        <f>IF(D149="","",后台计算!BA143)</f>
        <v/>
      </c>
      <c r="N149" s="4" t="str">
        <f>IF(D149="","",后台计算!BG143)</f>
        <v/>
      </c>
      <c r="O149" s="6" t="str">
        <f>IF(D149="","",后台计算!BU143)</f>
        <v/>
      </c>
      <c r="P149" s="6" t="str">
        <f>IF(D149="","",后台计算!BV143)</f>
        <v/>
      </c>
      <c r="Q149" s="6" t="str">
        <f t="shared" si="9"/>
        <v/>
      </c>
      <c r="R149" s="6" t="str">
        <f t="shared" si="10"/>
        <v/>
      </c>
      <c r="S149" s="6" t="str">
        <f t="shared" si="11"/>
        <v/>
      </c>
      <c r="T149" s="4" t="str">
        <f>IF(D149="","","红:"&amp;IF(后台计算!U143=0,"无",IF(后台计算!U143=1,"雷鸣","极限"))&amp;" 增压"&amp;TEXT(后台计算!W143,"0")&amp;" 弹药"&amp;TEXT(后台计算!X143,"0")&amp;"｜37灵光"&amp;TEXT(后台计算!AB143,"0")&amp;" 启迪"&amp;TEXT(后台计算!AC143,"0")&amp;"｜灵犀"&amp;TEXT(后台计算!AV143,"0")&amp;"｜J燃烧"&amp;TEXT(后台计算!AD143,"0")&amp;" 敌燃烧"&amp;TEXT(后台计算!AE143,"0"))</f>
        <v/>
      </c>
      <c r="U149" s="4" t="str">
        <f>IF(D149="","",后台计算!BX143)</f>
        <v/>
      </c>
    </row>
    <row r="150" spans="1:21" ht="38.1" customHeight="1">
      <c r="A150" s="1" t="str">
        <f t="shared" si="8"/>
        <v/>
      </c>
      <c r="B150" s="3"/>
      <c r="C150" s="3"/>
      <c r="D150" s="3"/>
      <c r="E150" s="3"/>
      <c r="F150" s="5"/>
      <c r="G150" s="5"/>
      <c r="H150" s="5"/>
      <c r="I150" s="5"/>
      <c r="J150" s="6" t="str">
        <f>IF(D150="","",后台计算!E144)</f>
        <v/>
      </c>
      <c r="K150" s="6" t="str">
        <f>IF(D150="","",后台计算!AY144)</f>
        <v/>
      </c>
      <c r="L150" s="7" t="str">
        <f>IF(D150="","",后台计算!AZ144)</f>
        <v/>
      </c>
      <c r="M150" s="7" t="str">
        <f>IF(D150="","",后台计算!BA144)</f>
        <v/>
      </c>
      <c r="N150" s="4" t="str">
        <f>IF(D150="","",后台计算!BG144)</f>
        <v/>
      </c>
      <c r="O150" s="6" t="str">
        <f>IF(D150="","",后台计算!BU144)</f>
        <v/>
      </c>
      <c r="P150" s="6" t="str">
        <f>IF(D150="","",后台计算!BV144)</f>
        <v/>
      </c>
      <c r="Q150" s="6" t="str">
        <f t="shared" si="9"/>
        <v/>
      </c>
      <c r="R150" s="6" t="str">
        <f t="shared" si="10"/>
        <v/>
      </c>
      <c r="S150" s="6" t="str">
        <f t="shared" si="11"/>
        <v/>
      </c>
      <c r="T150" s="4" t="str">
        <f>IF(D150="","","红:"&amp;IF(后台计算!U144=0,"无",IF(后台计算!U144=1,"雷鸣","极限"))&amp;" 增压"&amp;TEXT(后台计算!W144,"0")&amp;" 弹药"&amp;TEXT(后台计算!X144,"0")&amp;"｜37灵光"&amp;TEXT(后台计算!AB144,"0")&amp;" 启迪"&amp;TEXT(后台计算!AC144,"0")&amp;"｜灵犀"&amp;TEXT(后台计算!AV144,"0")&amp;"｜J燃烧"&amp;TEXT(后台计算!AD144,"0")&amp;" 敌燃烧"&amp;TEXT(后台计算!AE144,"0"))</f>
        <v/>
      </c>
      <c r="U150" s="4" t="str">
        <f>IF(D150="","",后台计算!BX144)</f>
        <v/>
      </c>
    </row>
    <row r="151" spans="1:21" ht="38.1" customHeight="1">
      <c r="A151" s="1" t="str">
        <f t="shared" si="8"/>
        <v/>
      </c>
      <c r="B151" s="3"/>
      <c r="C151" s="3"/>
      <c r="D151" s="3"/>
      <c r="E151" s="3"/>
      <c r="F151" s="5"/>
      <c r="G151" s="5"/>
      <c r="H151" s="5"/>
      <c r="I151" s="5"/>
      <c r="J151" s="6" t="str">
        <f>IF(D151="","",后台计算!E145)</f>
        <v/>
      </c>
      <c r="K151" s="6" t="str">
        <f>IF(D151="","",后台计算!AY145)</f>
        <v/>
      </c>
      <c r="L151" s="7" t="str">
        <f>IF(D151="","",后台计算!AZ145)</f>
        <v/>
      </c>
      <c r="M151" s="7" t="str">
        <f>IF(D151="","",后台计算!BA145)</f>
        <v/>
      </c>
      <c r="N151" s="4" t="str">
        <f>IF(D151="","",后台计算!BG145)</f>
        <v/>
      </c>
      <c r="O151" s="6" t="str">
        <f>IF(D151="","",后台计算!BU145)</f>
        <v/>
      </c>
      <c r="P151" s="6" t="str">
        <f>IF(D151="","",后台计算!BV145)</f>
        <v/>
      </c>
      <c r="Q151" s="6" t="str">
        <f t="shared" si="9"/>
        <v/>
      </c>
      <c r="R151" s="6" t="str">
        <f t="shared" si="10"/>
        <v/>
      </c>
      <c r="S151" s="6" t="str">
        <f t="shared" si="11"/>
        <v/>
      </c>
      <c r="T151" s="4" t="str">
        <f>IF(D151="","","红:"&amp;IF(后台计算!U145=0,"无",IF(后台计算!U145=1,"雷鸣","极限"))&amp;" 增压"&amp;TEXT(后台计算!W145,"0")&amp;" 弹药"&amp;TEXT(后台计算!X145,"0")&amp;"｜37灵光"&amp;TEXT(后台计算!AB145,"0")&amp;" 启迪"&amp;TEXT(后台计算!AC145,"0")&amp;"｜灵犀"&amp;TEXT(后台计算!AV145,"0")&amp;"｜J燃烧"&amp;TEXT(后台计算!AD145,"0")&amp;" 敌燃烧"&amp;TEXT(后台计算!AE145,"0"))</f>
        <v/>
      </c>
      <c r="U151" s="4" t="str">
        <f>IF(D151="","",后台计算!BX145)</f>
        <v/>
      </c>
    </row>
    <row r="152" spans="1:21" ht="38.1" customHeight="1">
      <c r="A152" s="1" t="str">
        <f t="shared" si="8"/>
        <v/>
      </c>
      <c r="B152" s="3"/>
      <c r="C152" s="3"/>
      <c r="D152" s="3"/>
      <c r="E152" s="3"/>
      <c r="F152" s="5"/>
      <c r="G152" s="5"/>
      <c r="H152" s="5"/>
      <c r="I152" s="5"/>
      <c r="J152" s="6" t="str">
        <f>IF(D152="","",后台计算!E146)</f>
        <v/>
      </c>
      <c r="K152" s="6" t="str">
        <f>IF(D152="","",后台计算!AY146)</f>
        <v/>
      </c>
      <c r="L152" s="7" t="str">
        <f>IF(D152="","",后台计算!AZ146)</f>
        <v/>
      </c>
      <c r="M152" s="7" t="str">
        <f>IF(D152="","",后台计算!BA146)</f>
        <v/>
      </c>
      <c r="N152" s="4" t="str">
        <f>IF(D152="","",后台计算!BG146)</f>
        <v/>
      </c>
      <c r="O152" s="6" t="str">
        <f>IF(D152="","",后台计算!BU146)</f>
        <v/>
      </c>
      <c r="P152" s="6" t="str">
        <f>IF(D152="","",后台计算!BV146)</f>
        <v/>
      </c>
      <c r="Q152" s="6" t="str">
        <f t="shared" si="9"/>
        <v/>
      </c>
      <c r="R152" s="6" t="str">
        <f t="shared" si="10"/>
        <v/>
      </c>
      <c r="S152" s="6" t="str">
        <f t="shared" si="11"/>
        <v/>
      </c>
      <c r="T152" s="4" t="str">
        <f>IF(D152="","","红:"&amp;IF(后台计算!U146=0,"无",IF(后台计算!U146=1,"雷鸣","极限"))&amp;" 增压"&amp;TEXT(后台计算!W146,"0")&amp;" 弹药"&amp;TEXT(后台计算!X146,"0")&amp;"｜37灵光"&amp;TEXT(后台计算!AB146,"0")&amp;" 启迪"&amp;TEXT(后台计算!AC146,"0")&amp;"｜灵犀"&amp;TEXT(后台计算!AV146,"0")&amp;"｜J燃烧"&amp;TEXT(后台计算!AD146,"0")&amp;" 敌燃烧"&amp;TEXT(后台计算!AE146,"0"))</f>
        <v/>
      </c>
      <c r="U152" s="4" t="str">
        <f>IF(D152="","",后台计算!BX146)</f>
        <v/>
      </c>
    </row>
    <row r="153" spans="1:21" ht="38.1" customHeight="1">
      <c r="A153" s="1" t="str">
        <f t="shared" si="8"/>
        <v/>
      </c>
      <c r="B153" s="3"/>
      <c r="C153" s="3"/>
      <c r="D153" s="3"/>
      <c r="E153" s="3"/>
      <c r="F153" s="5"/>
      <c r="G153" s="5"/>
      <c r="H153" s="5"/>
      <c r="I153" s="5"/>
      <c r="J153" s="6" t="str">
        <f>IF(D153="","",后台计算!E147)</f>
        <v/>
      </c>
      <c r="K153" s="6" t="str">
        <f>IF(D153="","",后台计算!AY147)</f>
        <v/>
      </c>
      <c r="L153" s="7" t="str">
        <f>IF(D153="","",后台计算!AZ147)</f>
        <v/>
      </c>
      <c r="M153" s="7" t="str">
        <f>IF(D153="","",后台计算!BA147)</f>
        <v/>
      </c>
      <c r="N153" s="4" t="str">
        <f>IF(D153="","",后台计算!BG147)</f>
        <v/>
      </c>
      <c r="O153" s="6" t="str">
        <f>IF(D153="","",后台计算!BU147)</f>
        <v/>
      </c>
      <c r="P153" s="6" t="str">
        <f>IF(D153="","",后台计算!BV147)</f>
        <v/>
      </c>
      <c r="Q153" s="6" t="str">
        <f t="shared" si="9"/>
        <v/>
      </c>
      <c r="R153" s="6" t="str">
        <f t="shared" si="10"/>
        <v/>
      </c>
      <c r="S153" s="6" t="str">
        <f t="shared" si="11"/>
        <v/>
      </c>
      <c r="T153" s="4" t="str">
        <f>IF(D153="","","红:"&amp;IF(后台计算!U147=0,"无",IF(后台计算!U147=1,"雷鸣","极限"))&amp;" 增压"&amp;TEXT(后台计算!W147,"0")&amp;" 弹药"&amp;TEXT(后台计算!X147,"0")&amp;"｜37灵光"&amp;TEXT(后台计算!AB147,"0")&amp;" 启迪"&amp;TEXT(后台计算!AC147,"0")&amp;"｜灵犀"&amp;TEXT(后台计算!AV147,"0")&amp;"｜J燃烧"&amp;TEXT(后台计算!AD147,"0")&amp;" 敌燃烧"&amp;TEXT(后台计算!AE147,"0"))</f>
        <v/>
      </c>
      <c r="U153" s="4" t="str">
        <f>IF(D153="","",后台计算!BX147)</f>
        <v/>
      </c>
    </row>
    <row r="154" spans="1:21" ht="38.1" customHeight="1">
      <c r="A154" s="1" t="str">
        <f t="shared" si="8"/>
        <v/>
      </c>
      <c r="B154" s="3"/>
      <c r="C154" s="3"/>
      <c r="D154" s="3"/>
      <c r="E154" s="3"/>
      <c r="F154" s="5"/>
      <c r="G154" s="5"/>
      <c r="H154" s="5"/>
      <c r="I154" s="5"/>
      <c r="J154" s="6" t="str">
        <f>IF(D154="","",后台计算!E148)</f>
        <v/>
      </c>
      <c r="K154" s="6" t="str">
        <f>IF(D154="","",后台计算!AY148)</f>
        <v/>
      </c>
      <c r="L154" s="7" t="str">
        <f>IF(D154="","",后台计算!AZ148)</f>
        <v/>
      </c>
      <c r="M154" s="7" t="str">
        <f>IF(D154="","",后台计算!BA148)</f>
        <v/>
      </c>
      <c r="N154" s="4" t="str">
        <f>IF(D154="","",后台计算!BG148)</f>
        <v/>
      </c>
      <c r="O154" s="6" t="str">
        <f>IF(D154="","",后台计算!BU148)</f>
        <v/>
      </c>
      <c r="P154" s="6" t="str">
        <f>IF(D154="","",后台计算!BV148)</f>
        <v/>
      </c>
      <c r="Q154" s="6" t="str">
        <f t="shared" si="9"/>
        <v/>
      </c>
      <c r="R154" s="6" t="str">
        <f t="shared" si="10"/>
        <v/>
      </c>
      <c r="S154" s="6" t="str">
        <f t="shared" si="11"/>
        <v/>
      </c>
      <c r="T154" s="4" t="str">
        <f>IF(D154="","","红:"&amp;IF(后台计算!U148=0,"无",IF(后台计算!U148=1,"雷鸣","极限"))&amp;" 增压"&amp;TEXT(后台计算!W148,"0")&amp;" 弹药"&amp;TEXT(后台计算!X148,"0")&amp;"｜37灵光"&amp;TEXT(后台计算!AB148,"0")&amp;" 启迪"&amp;TEXT(后台计算!AC148,"0")&amp;"｜灵犀"&amp;TEXT(后台计算!AV148,"0")&amp;"｜J燃烧"&amp;TEXT(后台计算!AD148,"0")&amp;" 敌燃烧"&amp;TEXT(后台计算!AE148,"0"))</f>
        <v/>
      </c>
      <c r="U154" s="4" t="str">
        <f>IF(D154="","",后台计算!BX148)</f>
        <v/>
      </c>
    </row>
    <row r="155" spans="1:21" ht="38.1" customHeight="1">
      <c r="A155" s="1" t="str">
        <f t="shared" si="8"/>
        <v/>
      </c>
      <c r="B155" s="3"/>
      <c r="C155" s="3"/>
      <c r="D155" s="3"/>
      <c r="E155" s="3"/>
      <c r="F155" s="5"/>
      <c r="G155" s="5"/>
      <c r="H155" s="5"/>
      <c r="I155" s="5"/>
      <c r="J155" s="6" t="str">
        <f>IF(D155="","",后台计算!E149)</f>
        <v/>
      </c>
      <c r="K155" s="6" t="str">
        <f>IF(D155="","",后台计算!AY149)</f>
        <v/>
      </c>
      <c r="L155" s="7" t="str">
        <f>IF(D155="","",后台计算!AZ149)</f>
        <v/>
      </c>
      <c r="M155" s="7" t="str">
        <f>IF(D155="","",后台计算!BA149)</f>
        <v/>
      </c>
      <c r="N155" s="4" t="str">
        <f>IF(D155="","",后台计算!BG149)</f>
        <v/>
      </c>
      <c r="O155" s="6" t="str">
        <f>IF(D155="","",后台计算!BU149)</f>
        <v/>
      </c>
      <c r="P155" s="6" t="str">
        <f>IF(D155="","",后台计算!BV149)</f>
        <v/>
      </c>
      <c r="Q155" s="6" t="str">
        <f t="shared" si="9"/>
        <v/>
      </c>
      <c r="R155" s="6" t="str">
        <f t="shared" si="10"/>
        <v/>
      </c>
      <c r="S155" s="6" t="str">
        <f t="shared" si="11"/>
        <v/>
      </c>
      <c r="T155" s="4" t="str">
        <f>IF(D155="","","红:"&amp;IF(后台计算!U149=0,"无",IF(后台计算!U149=1,"雷鸣","极限"))&amp;" 增压"&amp;TEXT(后台计算!W149,"0")&amp;" 弹药"&amp;TEXT(后台计算!X149,"0")&amp;"｜37灵光"&amp;TEXT(后台计算!AB149,"0")&amp;" 启迪"&amp;TEXT(后台计算!AC149,"0")&amp;"｜灵犀"&amp;TEXT(后台计算!AV149,"0")&amp;"｜J燃烧"&amp;TEXT(后台计算!AD149,"0")&amp;" 敌燃烧"&amp;TEXT(后台计算!AE149,"0"))</f>
        <v/>
      </c>
      <c r="U155" s="4" t="str">
        <f>IF(D155="","",后台计算!BX149)</f>
        <v/>
      </c>
    </row>
    <row r="156" spans="1:21" ht="38.1" customHeight="1">
      <c r="A156" s="1" t="str">
        <f t="shared" si="8"/>
        <v/>
      </c>
      <c r="B156" s="3"/>
      <c r="C156" s="3"/>
      <c r="D156" s="3"/>
      <c r="E156" s="3"/>
      <c r="F156" s="5"/>
      <c r="G156" s="5"/>
      <c r="H156" s="5"/>
      <c r="I156" s="5"/>
      <c r="J156" s="6" t="str">
        <f>IF(D156="","",后台计算!E150)</f>
        <v/>
      </c>
      <c r="K156" s="6" t="str">
        <f>IF(D156="","",后台计算!AY150)</f>
        <v/>
      </c>
      <c r="L156" s="7" t="str">
        <f>IF(D156="","",后台计算!AZ150)</f>
        <v/>
      </c>
      <c r="M156" s="7" t="str">
        <f>IF(D156="","",后台计算!BA150)</f>
        <v/>
      </c>
      <c r="N156" s="4" t="str">
        <f>IF(D156="","",后台计算!BG150)</f>
        <v/>
      </c>
      <c r="O156" s="6" t="str">
        <f>IF(D156="","",后台计算!BU150)</f>
        <v/>
      </c>
      <c r="P156" s="6" t="str">
        <f>IF(D156="","",后台计算!BV150)</f>
        <v/>
      </c>
      <c r="Q156" s="6" t="str">
        <f t="shared" si="9"/>
        <v/>
      </c>
      <c r="R156" s="6" t="str">
        <f t="shared" si="10"/>
        <v/>
      </c>
      <c r="S156" s="6" t="str">
        <f t="shared" si="11"/>
        <v/>
      </c>
      <c r="T156" s="4" t="str">
        <f>IF(D156="","","红:"&amp;IF(后台计算!U150=0,"无",IF(后台计算!U150=1,"雷鸣","极限"))&amp;" 增压"&amp;TEXT(后台计算!W150,"0")&amp;" 弹药"&amp;TEXT(后台计算!X150,"0")&amp;"｜37灵光"&amp;TEXT(后台计算!AB150,"0")&amp;" 启迪"&amp;TEXT(后台计算!AC150,"0")&amp;"｜灵犀"&amp;TEXT(后台计算!AV150,"0")&amp;"｜J燃烧"&amp;TEXT(后台计算!AD150,"0")&amp;" 敌燃烧"&amp;TEXT(后台计算!AE150,"0"))</f>
        <v/>
      </c>
      <c r="U156" s="4" t="str">
        <f>IF(D156="","",后台计算!BX150)</f>
        <v/>
      </c>
    </row>
    <row r="157" spans="1:21" ht="38.1" customHeight="1">
      <c r="A157" s="1" t="str">
        <f t="shared" si="8"/>
        <v/>
      </c>
      <c r="B157" s="3"/>
      <c r="C157" s="3"/>
      <c r="D157" s="3"/>
      <c r="E157" s="3"/>
      <c r="F157" s="5"/>
      <c r="G157" s="5"/>
      <c r="H157" s="5"/>
      <c r="I157" s="5"/>
      <c r="J157" s="6" t="str">
        <f>IF(D157="","",后台计算!E151)</f>
        <v/>
      </c>
      <c r="K157" s="6" t="str">
        <f>IF(D157="","",后台计算!AY151)</f>
        <v/>
      </c>
      <c r="L157" s="7" t="str">
        <f>IF(D157="","",后台计算!AZ151)</f>
        <v/>
      </c>
      <c r="M157" s="7" t="str">
        <f>IF(D157="","",后台计算!BA151)</f>
        <v/>
      </c>
      <c r="N157" s="4" t="str">
        <f>IF(D157="","",后台计算!BG151)</f>
        <v/>
      </c>
      <c r="O157" s="6" t="str">
        <f>IF(D157="","",后台计算!BU151)</f>
        <v/>
      </c>
      <c r="P157" s="6" t="str">
        <f>IF(D157="","",后台计算!BV151)</f>
        <v/>
      </c>
      <c r="Q157" s="6" t="str">
        <f t="shared" si="9"/>
        <v/>
      </c>
      <c r="R157" s="6" t="str">
        <f t="shared" si="10"/>
        <v/>
      </c>
      <c r="S157" s="6" t="str">
        <f t="shared" si="11"/>
        <v/>
      </c>
      <c r="T157" s="4" t="str">
        <f>IF(D157="","","红:"&amp;IF(后台计算!U151=0,"无",IF(后台计算!U151=1,"雷鸣","极限"))&amp;" 增压"&amp;TEXT(后台计算!W151,"0")&amp;" 弹药"&amp;TEXT(后台计算!X151,"0")&amp;"｜37灵光"&amp;TEXT(后台计算!AB151,"0")&amp;" 启迪"&amp;TEXT(后台计算!AC151,"0")&amp;"｜灵犀"&amp;TEXT(后台计算!AV151,"0")&amp;"｜J燃烧"&amp;TEXT(后台计算!AD151,"0")&amp;" 敌燃烧"&amp;TEXT(后台计算!AE151,"0"))</f>
        <v/>
      </c>
      <c r="U157" s="4" t="str">
        <f>IF(D157="","",后台计算!BX151)</f>
        <v/>
      </c>
    </row>
    <row r="158" spans="1:21" ht="38.1" customHeight="1">
      <c r="A158" s="1" t="str">
        <f t="shared" si="8"/>
        <v/>
      </c>
      <c r="B158" s="3"/>
      <c r="C158" s="3"/>
      <c r="D158" s="3"/>
      <c r="E158" s="3"/>
      <c r="F158" s="5"/>
      <c r="G158" s="5"/>
      <c r="H158" s="5"/>
      <c r="I158" s="5"/>
      <c r="J158" s="6" t="str">
        <f>IF(D158="","",后台计算!E152)</f>
        <v/>
      </c>
      <c r="K158" s="6" t="str">
        <f>IF(D158="","",后台计算!AY152)</f>
        <v/>
      </c>
      <c r="L158" s="7" t="str">
        <f>IF(D158="","",后台计算!AZ152)</f>
        <v/>
      </c>
      <c r="M158" s="7" t="str">
        <f>IF(D158="","",后台计算!BA152)</f>
        <v/>
      </c>
      <c r="N158" s="4" t="str">
        <f>IF(D158="","",后台计算!BG152)</f>
        <v/>
      </c>
      <c r="O158" s="6" t="str">
        <f>IF(D158="","",后台计算!BU152)</f>
        <v/>
      </c>
      <c r="P158" s="6" t="str">
        <f>IF(D158="","",后台计算!BV152)</f>
        <v/>
      </c>
      <c r="Q158" s="6" t="str">
        <f t="shared" si="9"/>
        <v/>
      </c>
      <c r="R158" s="6" t="str">
        <f t="shared" si="10"/>
        <v/>
      </c>
      <c r="S158" s="6" t="str">
        <f t="shared" si="11"/>
        <v/>
      </c>
      <c r="T158" s="4" t="str">
        <f>IF(D158="","","红:"&amp;IF(后台计算!U152=0,"无",IF(后台计算!U152=1,"雷鸣","极限"))&amp;" 增压"&amp;TEXT(后台计算!W152,"0")&amp;" 弹药"&amp;TEXT(后台计算!X152,"0")&amp;"｜37灵光"&amp;TEXT(后台计算!AB152,"0")&amp;" 启迪"&amp;TEXT(后台计算!AC152,"0")&amp;"｜灵犀"&amp;TEXT(后台计算!AV152,"0")&amp;"｜J燃烧"&amp;TEXT(后台计算!AD152,"0")&amp;" 敌燃烧"&amp;TEXT(后台计算!AE152,"0"))</f>
        <v/>
      </c>
      <c r="U158" s="4" t="str">
        <f>IF(D158="","",后台计算!BX152)</f>
        <v/>
      </c>
    </row>
    <row r="159" spans="1:21" ht="38.1" customHeight="1">
      <c r="A159" s="1" t="str">
        <f t="shared" si="8"/>
        <v/>
      </c>
      <c r="B159" s="3"/>
      <c r="C159" s="3"/>
      <c r="D159" s="3"/>
      <c r="E159" s="3"/>
      <c r="F159" s="5"/>
      <c r="G159" s="5"/>
      <c r="H159" s="5"/>
      <c r="I159" s="5"/>
      <c r="J159" s="6" t="str">
        <f>IF(D159="","",后台计算!E153)</f>
        <v/>
      </c>
      <c r="K159" s="6" t="str">
        <f>IF(D159="","",后台计算!AY153)</f>
        <v/>
      </c>
      <c r="L159" s="7" t="str">
        <f>IF(D159="","",后台计算!AZ153)</f>
        <v/>
      </c>
      <c r="M159" s="7" t="str">
        <f>IF(D159="","",后台计算!BA153)</f>
        <v/>
      </c>
      <c r="N159" s="4" t="str">
        <f>IF(D159="","",后台计算!BG153)</f>
        <v/>
      </c>
      <c r="O159" s="6" t="str">
        <f>IF(D159="","",后台计算!BU153)</f>
        <v/>
      </c>
      <c r="P159" s="6" t="str">
        <f>IF(D159="","",后台计算!BV153)</f>
        <v/>
      </c>
      <c r="Q159" s="6" t="str">
        <f t="shared" si="9"/>
        <v/>
      </c>
      <c r="R159" s="6" t="str">
        <f t="shared" si="10"/>
        <v/>
      </c>
      <c r="S159" s="6" t="str">
        <f t="shared" si="11"/>
        <v/>
      </c>
      <c r="T159" s="4" t="str">
        <f>IF(D159="","","红:"&amp;IF(后台计算!U153=0,"无",IF(后台计算!U153=1,"雷鸣","极限"))&amp;" 增压"&amp;TEXT(后台计算!W153,"0")&amp;" 弹药"&amp;TEXT(后台计算!X153,"0")&amp;"｜37灵光"&amp;TEXT(后台计算!AB153,"0")&amp;" 启迪"&amp;TEXT(后台计算!AC153,"0")&amp;"｜灵犀"&amp;TEXT(后台计算!AV153,"0")&amp;"｜J燃烧"&amp;TEXT(后台计算!AD153,"0")&amp;" 敌燃烧"&amp;TEXT(后台计算!AE153,"0"))</f>
        <v/>
      </c>
      <c r="U159" s="4" t="str">
        <f>IF(D159="","",后台计算!BX153)</f>
        <v/>
      </c>
    </row>
    <row r="160" spans="1:21" ht="38.1" customHeight="1">
      <c r="A160" s="1" t="str">
        <f t="shared" si="8"/>
        <v/>
      </c>
      <c r="B160" s="3"/>
      <c r="C160" s="3"/>
      <c r="D160" s="3"/>
      <c r="E160" s="3"/>
      <c r="F160" s="5"/>
      <c r="G160" s="5"/>
      <c r="H160" s="5"/>
      <c r="I160" s="5"/>
      <c r="J160" s="6" t="str">
        <f>IF(D160="","",后台计算!E154)</f>
        <v/>
      </c>
      <c r="K160" s="6" t="str">
        <f>IF(D160="","",后台计算!AY154)</f>
        <v/>
      </c>
      <c r="L160" s="7" t="str">
        <f>IF(D160="","",后台计算!AZ154)</f>
        <v/>
      </c>
      <c r="M160" s="7" t="str">
        <f>IF(D160="","",后台计算!BA154)</f>
        <v/>
      </c>
      <c r="N160" s="4" t="str">
        <f>IF(D160="","",后台计算!BG154)</f>
        <v/>
      </c>
      <c r="O160" s="6" t="str">
        <f>IF(D160="","",后台计算!BU154)</f>
        <v/>
      </c>
      <c r="P160" s="6" t="str">
        <f>IF(D160="","",后台计算!BV154)</f>
        <v/>
      </c>
      <c r="Q160" s="6" t="str">
        <f t="shared" si="9"/>
        <v/>
      </c>
      <c r="R160" s="6" t="str">
        <f t="shared" si="10"/>
        <v/>
      </c>
      <c r="S160" s="6" t="str">
        <f t="shared" si="11"/>
        <v/>
      </c>
      <c r="T160" s="4" t="str">
        <f>IF(D160="","","红:"&amp;IF(后台计算!U154=0,"无",IF(后台计算!U154=1,"雷鸣","极限"))&amp;" 增压"&amp;TEXT(后台计算!W154,"0")&amp;" 弹药"&amp;TEXT(后台计算!X154,"0")&amp;"｜37灵光"&amp;TEXT(后台计算!AB154,"0")&amp;" 启迪"&amp;TEXT(后台计算!AC154,"0")&amp;"｜灵犀"&amp;TEXT(后台计算!AV154,"0")&amp;"｜J燃烧"&amp;TEXT(后台计算!AD154,"0")&amp;" 敌燃烧"&amp;TEXT(后台计算!AE154,"0"))</f>
        <v/>
      </c>
      <c r="U160" s="4" t="str">
        <f>IF(D160="","",后台计算!BX154)</f>
        <v/>
      </c>
    </row>
    <row r="161" spans="1:21" ht="38.1" customHeight="1">
      <c r="A161" s="1" t="str">
        <f t="shared" si="8"/>
        <v/>
      </c>
      <c r="B161" s="3"/>
      <c r="C161" s="3"/>
      <c r="D161" s="3"/>
      <c r="E161" s="3"/>
      <c r="F161" s="5"/>
      <c r="G161" s="5"/>
      <c r="H161" s="5"/>
      <c r="I161" s="5"/>
      <c r="J161" s="6" t="str">
        <f>IF(D161="","",后台计算!E155)</f>
        <v/>
      </c>
      <c r="K161" s="6" t="str">
        <f>IF(D161="","",后台计算!AY155)</f>
        <v/>
      </c>
      <c r="L161" s="7" t="str">
        <f>IF(D161="","",后台计算!AZ155)</f>
        <v/>
      </c>
      <c r="M161" s="7" t="str">
        <f>IF(D161="","",后台计算!BA155)</f>
        <v/>
      </c>
      <c r="N161" s="4" t="str">
        <f>IF(D161="","",后台计算!BG155)</f>
        <v/>
      </c>
      <c r="O161" s="6" t="str">
        <f>IF(D161="","",后台计算!BU155)</f>
        <v/>
      </c>
      <c r="P161" s="6" t="str">
        <f>IF(D161="","",后台计算!BV155)</f>
        <v/>
      </c>
      <c r="Q161" s="6" t="str">
        <f t="shared" si="9"/>
        <v/>
      </c>
      <c r="R161" s="6" t="str">
        <f t="shared" si="10"/>
        <v/>
      </c>
      <c r="S161" s="6" t="str">
        <f t="shared" si="11"/>
        <v/>
      </c>
      <c r="T161" s="4" t="str">
        <f>IF(D161="","","红:"&amp;IF(后台计算!U155=0,"无",IF(后台计算!U155=1,"雷鸣","极限"))&amp;" 增压"&amp;TEXT(后台计算!W155,"0")&amp;" 弹药"&amp;TEXT(后台计算!X155,"0")&amp;"｜37灵光"&amp;TEXT(后台计算!AB155,"0")&amp;" 启迪"&amp;TEXT(后台计算!AC155,"0")&amp;"｜灵犀"&amp;TEXT(后台计算!AV155,"0")&amp;"｜J燃烧"&amp;TEXT(后台计算!AD155,"0")&amp;" 敌燃烧"&amp;TEXT(后台计算!AE155,"0"))</f>
        <v/>
      </c>
      <c r="U161" s="4" t="str">
        <f>IF(D161="","",后台计算!BX155)</f>
        <v/>
      </c>
    </row>
    <row r="162" spans="1:21" ht="38.1" customHeight="1">
      <c r="A162" s="1" t="str">
        <f t="shared" si="8"/>
        <v/>
      </c>
      <c r="B162" s="3"/>
      <c r="C162" s="3"/>
      <c r="D162" s="3"/>
      <c r="E162" s="3"/>
      <c r="F162" s="5"/>
      <c r="G162" s="5"/>
      <c r="H162" s="5"/>
      <c r="I162" s="5"/>
      <c r="J162" s="6" t="str">
        <f>IF(D162="","",后台计算!E156)</f>
        <v/>
      </c>
      <c r="K162" s="6" t="str">
        <f>IF(D162="","",后台计算!AY156)</f>
        <v/>
      </c>
      <c r="L162" s="7" t="str">
        <f>IF(D162="","",后台计算!AZ156)</f>
        <v/>
      </c>
      <c r="M162" s="7" t="str">
        <f>IF(D162="","",后台计算!BA156)</f>
        <v/>
      </c>
      <c r="N162" s="4" t="str">
        <f>IF(D162="","",后台计算!BG156)</f>
        <v/>
      </c>
      <c r="O162" s="6" t="str">
        <f>IF(D162="","",后台计算!BU156)</f>
        <v/>
      </c>
      <c r="P162" s="6" t="str">
        <f>IF(D162="","",后台计算!BV156)</f>
        <v/>
      </c>
      <c r="Q162" s="6" t="str">
        <f t="shared" si="9"/>
        <v/>
      </c>
      <c r="R162" s="6" t="str">
        <f t="shared" si="10"/>
        <v/>
      </c>
      <c r="S162" s="6" t="str">
        <f t="shared" si="11"/>
        <v/>
      </c>
      <c r="T162" s="4" t="str">
        <f>IF(D162="","","红:"&amp;IF(后台计算!U156=0,"无",IF(后台计算!U156=1,"雷鸣","极限"))&amp;" 增压"&amp;TEXT(后台计算!W156,"0")&amp;" 弹药"&amp;TEXT(后台计算!X156,"0")&amp;"｜37灵光"&amp;TEXT(后台计算!AB156,"0")&amp;" 启迪"&amp;TEXT(后台计算!AC156,"0")&amp;"｜灵犀"&amp;TEXT(后台计算!AV156,"0")&amp;"｜J燃烧"&amp;TEXT(后台计算!AD156,"0")&amp;" 敌燃烧"&amp;TEXT(后台计算!AE156,"0"))</f>
        <v/>
      </c>
      <c r="U162" s="4" t="str">
        <f>IF(D162="","",后台计算!BX156)</f>
        <v/>
      </c>
    </row>
    <row r="163" spans="1:21" ht="38.1" customHeight="1">
      <c r="A163" s="1" t="str">
        <f t="shared" si="8"/>
        <v/>
      </c>
      <c r="B163" s="3"/>
      <c r="C163" s="3"/>
      <c r="D163" s="3"/>
      <c r="E163" s="3"/>
      <c r="F163" s="5"/>
      <c r="G163" s="5"/>
      <c r="H163" s="5"/>
      <c r="I163" s="5"/>
      <c r="J163" s="6" t="str">
        <f>IF(D163="","",后台计算!E157)</f>
        <v/>
      </c>
      <c r="K163" s="6" t="str">
        <f>IF(D163="","",后台计算!AY157)</f>
        <v/>
      </c>
      <c r="L163" s="7" t="str">
        <f>IF(D163="","",后台计算!AZ157)</f>
        <v/>
      </c>
      <c r="M163" s="7" t="str">
        <f>IF(D163="","",后台计算!BA157)</f>
        <v/>
      </c>
      <c r="N163" s="4" t="str">
        <f>IF(D163="","",后台计算!BG157)</f>
        <v/>
      </c>
      <c r="O163" s="6" t="str">
        <f>IF(D163="","",后台计算!BU157)</f>
        <v/>
      </c>
      <c r="P163" s="6" t="str">
        <f>IF(D163="","",后台计算!BV157)</f>
        <v/>
      </c>
      <c r="Q163" s="6" t="str">
        <f t="shared" si="9"/>
        <v/>
      </c>
      <c r="R163" s="6" t="str">
        <f t="shared" si="10"/>
        <v/>
      </c>
      <c r="S163" s="6" t="str">
        <f t="shared" si="11"/>
        <v/>
      </c>
      <c r="T163" s="4" t="str">
        <f>IF(D163="","","红:"&amp;IF(后台计算!U157=0,"无",IF(后台计算!U157=1,"雷鸣","极限"))&amp;" 增压"&amp;TEXT(后台计算!W157,"0")&amp;" 弹药"&amp;TEXT(后台计算!X157,"0")&amp;"｜37灵光"&amp;TEXT(后台计算!AB157,"0")&amp;" 启迪"&amp;TEXT(后台计算!AC157,"0")&amp;"｜灵犀"&amp;TEXT(后台计算!AV157,"0")&amp;"｜J燃烧"&amp;TEXT(后台计算!AD157,"0")&amp;" 敌燃烧"&amp;TEXT(后台计算!AE157,"0"))</f>
        <v/>
      </c>
      <c r="U163" s="4" t="str">
        <f>IF(D163="","",后台计算!BX157)</f>
        <v/>
      </c>
    </row>
    <row r="164" spans="1:21" ht="38.1" customHeight="1">
      <c r="A164" s="1" t="str">
        <f t="shared" si="8"/>
        <v/>
      </c>
      <c r="B164" s="3"/>
      <c r="C164" s="3"/>
      <c r="D164" s="3"/>
      <c r="E164" s="3"/>
      <c r="F164" s="5"/>
      <c r="G164" s="5"/>
      <c r="H164" s="5"/>
      <c r="I164" s="5"/>
      <c r="J164" s="6" t="str">
        <f>IF(D164="","",后台计算!E158)</f>
        <v/>
      </c>
      <c r="K164" s="6" t="str">
        <f>IF(D164="","",后台计算!AY158)</f>
        <v/>
      </c>
      <c r="L164" s="7" t="str">
        <f>IF(D164="","",后台计算!AZ158)</f>
        <v/>
      </c>
      <c r="M164" s="7" t="str">
        <f>IF(D164="","",后台计算!BA158)</f>
        <v/>
      </c>
      <c r="N164" s="4" t="str">
        <f>IF(D164="","",后台计算!BG158)</f>
        <v/>
      </c>
      <c r="O164" s="6" t="str">
        <f>IF(D164="","",后台计算!BU158)</f>
        <v/>
      </c>
      <c r="P164" s="6" t="str">
        <f>IF(D164="","",后台计算!BV158)</f>
        <v/>
      </c>
      <c r="Q164" s="6" t="str">
        <f t="shared" si="9"/>
        <v/>
      </c>
      <c r="R164" s="6" t="str">
        <f t="shared" si="10"/>
        <v/>
      </c>
      <c r="S164" s="6" t="str">
        <f t="shared" si="11"/>
        <v/>
      </c>
      <c r="T164" s="4" t="str">
        <f>IF(D164="","","红:"&amp;IF(后台计算!U158=0,"无",IF(后台计算!U158=1,"雷鸣","极限"))&amp;" 增压"&amp;TEXT(后台计算!W158,"0")&amp;" 弹药"&amp;TEXT(后台计算!X158,"0")&amp;"｜37灵光"&amp;TEXT(后台计算!AB158,"0")&amp;" 启迪"&amp;TEXT(后台计算!AC158,"0")&amp;"｜灵犀"&amp;TEXT(后台计算!AV158,"0")&amp;"｜J燃烧"&amp;TEXT(后台计算!AD158,"0")&amp;" 敌燃烧"&amp;TEXT(后台计算!AE158,"0"))</f>
        <v/>
      </c>
      <c r="U164" s="4" t="str">
        <f>IF(D164="","",后台计算!BX158)</f>
        <v/>
      </c>
    </row>
    <row r="165" spans="1:21" ht="38.1" customHeight="1">
      <c r="A165" s="1" t="str">
        <f t="shared" si="8"/>
        <v/>
      </c>
      <c r="B165" s="3"/>
      <c r="C165" s="3"/>
      <c r="D165" s="3"/>
      <c r="E165" s="3"/>
      <c r="F165" s="5"/>
      <c r="G165" s="5"/>
      <c r="H165" s="5"/>
      <c r="I165" s="5"/>
      <c r="J165" s="6" t="str">
        <f>IF(D165="","",后台计算!E159)</f>
        <v/>
      </c>
      <c r="K165" s="6" t="str">
        <f>IF(D165="","",后台计算!AY159)</f>
        <v/>
      </c>
      <c r="L165" s="7" t="str">
        <f>IF(D165="","",后台计算!AZ159)</f>
        <v/>
      </c>
      <c r="M165" s="7" t="str">
        <f>IF(D165="","",后台计算!BA159)</f>
        <v/>
      </c>
      <c r="N165" s="4" t="str">
        <f>IF(D165="","",后台计算!BG159)</f>
        <v/>
      </c>
      <c r="O165" s="6" t="str">
        <f>IF(D165="","",后台计算!BU159)</f>
        <v/>
      </c>
      <c r="P165" s="6" t="str">
        <f>IF(D165="","",后台计算!BV159)</f>
        <v/>
      </c>
      <c r="Q165" s="6" t="str">
        <f t="shared" si="9"/>
        <v/>
      </c>
      <c r="R165" s="6" t="str">
        <f t="shared" si="10"/>
        <v/>
      </c>
      <c r="S165" s="6" t="str">
        <f t="shared" si="11"/>
        <v/>
      </c>
      <c r="T165" s="4" t="str">
        <f>IF(D165="","","红:"&amp;IF(后台计算!U159=0,"无",IF(后台计算!U159=1,"雷鸣","极限"))&amp;" 增压"&amp;TEXT(后台计算!W159,"0")&amp;" 弹药"&amp;TEXT(后台计算!X159,"0")&amp;"｜37灵光"&amp;TEXT(后台计算!AB159,"0")&amp;" 启迪"&amp;TEXT(后台计算!AC159,"0")&amp;"｜灵犀"&amp;TEXT(后台计算!AV159,"0")&amp;"｜J燃烧"&amp;TEXT(后台计算!AD159,"0")&amp;" 敌燃烧"&amp;TEXT(后台计算!AE159,"0"))</f>
        <v/>
      </c>
      <c r="U165" s="4" t="str">
        <f>IF(D165="","",后台计算!BX159)</f>
        <v/>
      </c>
    </row>
    <row r="166" spans="1:21" ht="38.1" customHeight="1">
      <c r="A166" s="1" t="str">
        <f t="shared" si="8"/>
        <v/>
      </c>
      <c r="B166" s="3"/>
      <c r="C166" s="3"/>
      <c r="D166" s="3"/>
      <c r="E166" s="3"/>
      <c r="F166" s="5"/>
      <c r="G166" s="5"/>
      <c r="H166" s="5"/>
      <c r="I166" s="5"/>
      <c r="J166" s="6" t="str">
        <f>IF(D166="","",后台计算!E160)</f>
        <v/>
      </c>
      <c r="K166" s="6" t="str">
        <f>IF(D166="","",后台计算!AY160)</f>
        <v/>
      </c>
      <c r="L166" s="7" t="str">
        <f>IF(D166="","",后台计算!AZ160)</f>
        <v/>
      </c>
      <c r="M166" s="7" t="str">
        <f>IF(D166="","",后台计算!BA160)</f>
        <v/>
      </c>
      <c r="N166" s="4" t="str">
        <f>IF(D166="","",后台计算!BG160)</f>
        <v/>
      </c>
      <c r="O166" s="6" t="str">
        <f>IF(D166="","",后台计算!BU160)</f>
        <v/>
      </c>
      <c r="P166" s="6" t="str">
        <f>IF(D166="","",后台计算!BV160)</f>
        <v/>
      </c>
      <c r="Q166" s="6" t="str">
        <f t="shared" si="9"/>
        <v/>
      </c>
      <c r="R166" s="6" t="str">
        <f t="shared" si="10"/>
        <v/>
      </c>
      <c r="S166" s="6" t="str">
        <f t="shared" si="11"/>
        <v/>
      </c>
      <c r="T166" s="4" t="str">
        <f>IF(D166="","","红:"&amp;IF(后台计算!U160=0,"无",IF(后台计算!U160=1,"雷鸣","极限"))&amp;" 增压"&amp;TEXT(后台计算!W160,"0")&amp;" 弹药"&amp;TEXT(后台计算!X160,"0")&amp;"｜37灵光"&amp;TEXT(后台计算!AB160,"0")&amp;" 启迪"&amp;TEXT(后台计算!AC160,"0")&amp;"｜灵犀"&amp;TEXT(后台计算!AV160,"0")&amp;"｜J燃烧"&amp;TEXT(后台计算!AD160,"0")&amp;" 敌燃烧"&amp;TEXT(后台计算!AE160,"0"))</f>
        <v/>
      </c>
      <c r="U166" s="4" t="str">
        <f>IF(D166="","",后台计算!BX160)</f>
        <v/>
      </c>
    </row>
    <row r="167" spans="1:21" ht="38.1" customHeight="1">
      <c r="A167" s="1" t="str">
        <f t="shared" si="8"/>
        <v/>
      </c>
      <c r="B167" s="3"/>
      <c r="C167" s="3"/>
      <c r="D167" s="3"/>
      <c r="E167" s="3"/>
      <c r="F167" s="5"/>
      <c r="G167" s="5"/>
      <c r="H167" s="5"/>
      <c r="I167" s="5"/>
      <c r="J167" s="6" t="str">
        <f>IF(D167="","",后台计算!E161)</f>
        <v/>
      </c>
      <c r="K167" s="6" t="str">
        <f>IF(D167="","",后台计算!AY161)</f>
        <v/>
      </c>
      <c r="L167" s="7" t="str">
        <f>IF(D167="","",后台计算!AZ161)</f>
        <v/>
      </c>
      <c r="M167" s="7" t="str">
        <f>IF(D167="","",后台计算!BA161)</f>
        <v/>
      </c>
      <c r="N167" s="4" t="str">
        <f>IF(D167="","",后台计算!BG161)</f>
        <v/>
      </c>
      <c r="O167" s="6" t="str">
        <f>IF(D167="","",后台计算!BU161)</f>
        <v/>
      </c>
      <c r="P167" s="6" t="str">
        <f>IF(D167="","",后台计算!BV161)</f>
        <v/>
      </c>
      <c r="Q167" s="6" t="str">
        <f t="shared" si="9"/>
        <v/>
      </c>
      <c r="R167" s="6" t="str">
        <f t="shared" si="10"/>
        <v/>
      </c>
      <c r="S167" s="6" t="str">
        <f t="shared" si="11"/>
        <v/>
      </c>
      <c r="T167" s="4" t="str">
        <f>IF(D167="","","红:"&amp;IF(后台计算!U161=0,"无",IF(后台计算!U161=1,"雷鸣","极限"))&amp;" 增压"&amp;TEXT(后台计算!W161,"0")&amp;" 弹药"&amp;TEXT(后台计算!X161,"0")&amp;"｜37灵光"&amp;TEXT(后台计算!AB161,"0")&amp;" 启迪"&amp;TEXT(后台计算!AC161,"0")&amp;"｜灵犀"&amp;TEXT(后台计算!AV161,"0")&amp;"｜J燃烧"&amp;TEXT(后台计算!AD161,"0")&amp;" 敌燃烧"&amp;TEXT(后台计算!AE161,"0"))</f>
        <v/>
      </c>
      <c r="U167" s="4" t="str">
        <f>IF(D167="","",后台计算!BX161)</f>
        <v/>
      </c>
    </row>
    <row r="168" spans="1:21" ht="38.1" customHeight="1">
      <c r="A168" s="1" t="str">
        <f t="shared" si="8"/>
        <v/>
      </c>
      <c r="B168" s="3"/>
      <c r="C168" s="3"/>
      <c r="D168" s="3"/>
      <c r="E168" s="3"/>
      <c r="F168" s="5"/>
      <c r="G168" s="5"/>
      <c r="H168" s="5"/>
      <c r="I168" s="5"/>
      <c r="J168" s="6" t="str">
        <f>IF(D168="","",后台计算!E162)</f>
        <v/>
      </c>
      <c r="K168" s="6" t="str">
        <f>IF(D168="","",后台计算!AY162)</f>
        <v/>
      </c>
      <c r="L168" s="7" t="str">
        <f>IF(D168="","",后台计算!AZ162)</f>
        <v/>
      </c>
      <c r="M168" s="7" t="str">
        <f>IF(D168="","",后台计算!BA162)</f>
        <v/>
      </c>
      <c r="N168" s="4" t="str">
        <f>IF(D168="","",后台计算!BG162)</f>
        <v/>
      </c>
      <c r="O168" s="6" t="str">
        <f>IF(D168="","",后台计算!BU162)</f>
        <v/>
      </c>
      <c r="P168" s="6" t="str">
        <f>IF(D168="","",后台计算!BV162)</f>
        <v/>
      </c>
      <c r="Q168" s="6" t="str">
        <f t="shared" si="9"/>
        <v/>
      </c>
      <c r="R168" s="6" t="str">
        <f t="shared" si="10"/>
        <v/>
      </c>
      <c r="S168" s="6" t="str">
        <f t="shared" si="11"/>
        <v/>
      </c>
      <c r="T168" s="4" t="str">
        <f>IF(D168="","","红:"&amp;IF(后台计算!U162=0,"无",IF(后台计算!U162=1,"雷鸣","极限"))&amp;" 增压"&amp;TEXT(后台计算!W162,"0")&amp;" 弹药"&amp;TEXT(后台计算!X162,"0")&amp;"｜37灵光"&amp;TEXT(后台计算!AB162,"0")&amp;" 启迪"&amp;TEXT(后台计算!AC162,"0")&amp;"｜灵犀"&amp;TEXT(后台计算!AV162,"0")&amp;"｜J燃烧"&amp;TEXT(后台计算!AD162,"0")&amp;" 敌燃烧"&amp;TEXT(后台计算!AE162,"0"))</f>
        <v/>
      </c>
      <c r="U168" s="4" t="str">
        <f>IF(D168="","",后台计算!BX162)</f>
        <v/>
      </c>
    </row>
    <row r="169" spans="1:21" ht="38.1" customHeight="1">
      <c r="A169" s="1" t="str">
        <f t="shared" si="8"/>
        <v/>
      </c>
      <c r="B169" s="3"/>
      <c r="C169" s="3"/>
      <c r="D169" s="3"/>
      <c r="E169" s="3"/>
      <c r="F169" s="5"/>
      <c r="G169" s="5"/>
      <c r="H169" s="5"/>
      <c r="I169" s="5"/>
      <c r="J169" s="6" t="str">
        <f>IF(D169="","",后台计算!E163)</f>
        <v/>
      </c>
      <c r="K169" s="6" t="str">
        <f>IF(D169="","",后台计算!AY163)</f>
        <v/>
      </c>
      <c r="L169" s="7" t="str">
        <f>IF(D169="","",后台计算!AZ163)</f>
        <v/>
      </c>
      <c r="M169" s="7" t="str">
        <f>IF(D169="","",后台计算!BA163)</f>
        <v/>
      </c>
      <c r="N169" s="4" t="str">
        <f>IF(D169="","",后台计算!BG163)</f>
        <v/>
      </c>
      <c r="O169" s="6" t="str">
        <f>IF(D169="","",后台计算!BU163)</f>
        <v/>
      </c>
      <c r="P169" s="6" t="str">
        <f>IF(D169="","",后台计算!BV163)</f>
        <v/>
      </c>
      <c r="Q169" s="6" t="str">
        <f t="shared" si="9"/>
        <v/>
      </c>
      <c r="R169" s="6" t="str">
        <f t="shared" si="10"/>
        <v/>
      </c>
      <c r="S169" s="6" t="str">
        <f t="shared" si="11"/>
        <v/>
      </c>
      <c r="T169" s="4" t="str">
        <f>IF(D169="","","红:"&amp;IF(后台计算!U163=0,"无",IF(后台计算!U163=1,"雷鸣","极限"))&amp;" 增压"&amp;TEXT(后台计算!W163,"0")&amp;" 弹药"&amp;TEXT(后台计算!X163,"0")&amp;"｜37灵光"&amp;TEXT(后台计算!AB163,"0")&amp;" 启迪"&amp;TEXT(后台计算!AC163,"0")&amp;"｜灵犀"&amp;TEXT(后台计算!AV163,"0")&amp;"｜J燃烧"&amp;TEXT(后台计算!AD163,"0")&amp;" 敌燃烧"&amp;TEXT(后台计算!AE163,"0"))</f>
        <v/>
      </c>
      <c r="U169" s="4" t="str">
        <f>IF(D169="","",后台计算!BX163)</f>
        <v/>
      </c>
    </row>
    <row r="170" spans="1:21" ht="38.1" customHeight="1">
      <c r="A170" s="1" t="str">
        <f t="shared" si="8"/>
        <v/>
      </c>
      <c r="B170" s="3"/>
      <c r="C170" s="3"/>
      <c r="D170" s="3"/>
      <c r="E170" s="3"/>
      <c r="F170" s="5"/>
      <c r="G170" s="5"/>
      <c r="H170" s="5"/>
      <c r="I170" s="5"/>
      <c r="J170" s="6" t="str">
        <f>IF(D170="","",后台计算!E164)</f>
        <v/>
      </c>
      <c r="K170" s="6" t="str">
        <f>IF(D170="","",后台计算!AY164)</f>
        <v/>
      </c>
      <c r="L170" s="7" t="str">
        <f>IF(D170="","",后台计算!AZ164)</f>
        <v/>
      </c>
      <c r="M170" s="7" t="str">
        <f>IF(D170="","",后台计算!BA164)</f>
        <v/>
      </c>
      <c r="N170" s="4" t="str">
        <f>IF(D170="","",后台计算!BG164)</f>
        <v/>
      </c>
      <c r="O170" s="6" t="str">
        <f>IF(D170="","",后台计算!BU164)</f>
        <v/>
      </c>
      <c r="P170" s="6" t="str">
        <f>IF(D170="","",后台计算!BV164)</f>
        <v/>
      </c>
      <c r="Q170" s="6" t="str">
        <f t="shared" si="9"/>
        <v/>
      </c>
      <c r="R170" s="6" t="str">
        <f t="shared" si="10"/>
        <v/>
      </c>
      <c r="S170" s="6" t="str">
        <f t="shared" si="11"/>
        <v/>
      </c>
      <c r="T170" s="4" t="str">
        <f>IF(D170="","","红:"&amp;IF(后台计算!U164=0,"无",IF(后台计算!U164=1,"雷鸣","极限"))&amp;" 增压"&amp;TEXT(后台计算!W164,"0")&amp;" 弹药"&amp;TEXT(后台计算!X164,"0")&amp;"｜37灵光"&amp;TEXT(后台计算!AB164,"0")&amp;" 启迪"&amp;TEXT(后台计算!AC164,"0")&amp;"｜灵犀"&amp;TEXT(后台计算!AV164,"0")&amp;"｜J燃烧"&amp;TEXT(后台计算!AD164,"0")&amp;" 敌燃烧"&amp;TEXT(后台计算!AE164,"0"))</f>
        <v/>
      </c>
      <c r="U170" s="4" t="str">
        <f>IF(D170="","",后台计算!BX164)</f>
        <v/>
      </c>
    </row>
    <row r="171" spans="1:21" ht="38.1" customHeight="1">
      <c r="A171" s="1" t="str">
        <f t="shared" si="8"/>
        <v/>
      </c>
      <c r="B171" s="3"/>
      <c r="C171" s="3"/>
      <c r="D171" s="3"/>
      <c r="E171" s="3"/>
      <c r="F171" s="5"/>
      <c r="G171" s="5"/>
      <c r="H171" s="5"/>
      <c r="I171" s="5"/>
      <c r="J171" s="6" t="str">
        <f>IF(D171="","",后台计算!E165)</f>
        <v/>
      </c>
      <c r="K171" s="6" t="str">
        <f>IF(D171="","",后台计算!AY165)</f>
        <v/>
      </c>
      <c r="L171" s="7" t="str">
        <f>IF(D171="","",后台计算!AZ165)</f>
        <v/>
      </c>
      <c r="M171" s="7" t="str">
        <f>IF(D171="","",后台计算!BA165)</f>
        <v/>
      </c>
      <c r="N171" s="4" t="str">
        <f>IF(D171="","",后台计算!BG165)</f>
        <v/>
      </c>
      <c r="O171" s="6" t="str">
        <f>IF(D171="","",后台计算!BU165)</f>
        <v/>
      </c>
      <c r="P171" s="6" t="str">
        <f>IF(D171="","",后台计算!BV165)</f>
        <v/>
      </c>
      <c r="Q171" s="6" t="str">
        <f t="shared" si="9"/>
        <v/>
      </c>
      <c r="R171" s="6" t="str">
        <f t="shared" si="10"/>
        <v/>
      </c>
      <c r="S171" s="6" t="str">
        <f t="shared" si="11"/>
        <v/>
      </c>
      <c r="T171" s="4" t="str">
        <f>IF(D171="","","红:"&amp;IF(后台计算!U165=0,"无",IF(后台计算!U165=1,"雷鸣","极限"))&amp;" 增压"&amp;TEXT(后台计算!W165,"0")&amp;" 弹药"&amp;TEXT(后台计算!X165,"0")&amp;"｜37灵光"&amp;TEXT(后台计算!AB165,"0")&amp;" 启迪"&amp;TEXT(后台计算!AC165,"0")&amp;"｜灵犀"&amp;TEXT(后台计算!AV165,"0")&amp;"｜J燃烧"&amp;TEXT(后台计算!AD165,"0")&amp;" 敌燃烧"&amp;TEXT(后台计算!AE165,"0"))</f>
        <v/>
      </c>
      <c r="U171" s="4" t="str">
        <f>IF(D171="","",后台计算!BX165)</f>
        <v/>
      </c>
    </row>
    <row r="172" spans="1:21" ht="38.1" customHeight="1">
      <c r="A172" s="1" t="str">
        <f t="shared" si="8"/>
        <v/>
      </c>
      <c r="B172" s="3"/>
      <c r="C172" s="3"/>
      <c r="D172" s="3"/>
      <c r="E172" s="3"/>
      <c r="F172" s="5"/>
      <c r="G172" s="5"/>
      <c r="H172" s="5"/>
      <c r="I172" s="5"/>
      <c r="J172" s="6" t="str">
        <f>IF(D172="","",后台计算!E166)</f>
        <v/>
      </c>
      <c r="K172" s="6" t="str">
        <f>IF(D172="","",后台计算!AY166)</f>
        <v/>
      </c>
      <c r="L172" s="7" t="str">
        <f>IF(D172="","",后台计算!AZ166)</f>
        <v/>
      </c>
      <c r="M172" s="7" t="str">
        <f>IF(D172="","",后台计算!BA166)</f>
        <v/>
      </c>
      <c r="N172" s="4" t="str">
        <f>IF(D172="","",后台计算!BG166)</f>
        <v/>
      </c>
      <c r="O172" s="6" t="str">
        <f>IF(D172="","",后台计算!BU166)</f>
        <v/>
      </c>
      <c r="P172" s="6" t="str">
        <f>IF(D172="","",后台计算!BV166)</f>
        <v/>
      </c>
      <c r="Q172" s="6" t="str">
        <f t="shared" si="9"/>
        <v/>
      </c>
      <c r="R172" s="6" t="str">
        <f t="shared" si="10"/>
        <v/>
      </c>
      <c r="S172" s="6" t="str">
        <f t="shared" si="11"/>
        <v/>
      </c>
      <c r="T172" s="4" t="str">
        <f>IF(D172="","","红:"&amp;IF(后台计算!U166=0,"无",IF(后台计算!U166=1,"雷鸣","极限"))&amp;" 增压"&amp;TEXT(后台计算!W166,"0")&amp;" 弹药"&amp;TEXT(后台计算!X166,"0")&amp;"｜37灵光"&amp;TEXT(后台计算!AB166,"0")&amp;" 启迪"&amp;TEXT(后台计算!AC166,"0")&amp;"｜灵犀"&amp;TEXT(后台计算!AV166,"0")&amp;"｜J燃烧"&amp;TEXT(后台计算!AD166,"0")&amp;" 敌燃烧"&amp;TEXT(后台计算!AE166,"0"))</f>
        <v/>
      </c>
      <c r="U172" s="4" t="str">
        <f>IF(D172="","",后台计算!BX166)</f>
        <v/>
      </c>
    </row>
    <row r="173" spans="1:21" ht="38.1" customHeight="1">
      <c r="A173" s="1" t="str">
        <f t="shared" si="8"/>
        <v/>
      </c>
      <c r="B173" s="3"/>
      <c r="C173" s="3"/>
      <c r="D173" s="3"/>
      <c r="E173" s="3"/>
      <c r="F173" s="5"/>
      <c r="G173" s="5"/>
      <c r="H173" s="5"/>
      <c r="I173" s="5"/>
      <c r="J173" s="6" t="str">
        <f>IF(D173="","",后台计算!E167)</f>
        <v/>
      </c>
      <c r="K173" s="6" t="str">
        <f>IF(D173="","",后台计算!AY167)</f>
        <v/>
      </c>
      <c r="L173" s="7" t="str">
        <f>IF(D173="","",后台计算!AZ167)</f>
        <v/>
      </c>
      <c r="M173" s="7" t="str">
        <f>IF(D173="","",后台计算!BA167)</f>
        <v/>
      </c>
      <c r="N173" s="4" t="str">
        <f>IF(D173="","",后台计算!BG167)</f>
        <v/>
      </c>
      <c r="O173" s="6" t="str">
        <f>IF(D173="","",后台计算!BU167)</f>
        <v/>
      </c>
      <c r="P173" s="6" t="str">
        <f>IF(D173="","",后台计算!BV167)</f>
        <v/>
      </c>
      <c r="Q173" s="6" t="str">
        <f t="shared" si="9"/>
        <v/>
      </c>
      <c r="R173" s="6" t="str">
        <f t="shared" si="10"/>
        <v/>
      </c>
      <c r="S173" s="6" t="str">
        <f t="shared" si="11"/>
        <v/>
      </c>
      <c r="T173" s="4" t="str">
        <f>IF(D173="","","红:"&amp;IF(后台计算!U167=0,"无",IF(后台计算!U167=1,"雷鸣","极限"))&amp;" 增压"&amp;TEXT(后台计算!W167,"0")&amp;" 弹药"&amp;TEXT(后台计算!X167,"0")&amp;"｜37灵光"&amp;TEXT(后台计算!AB167,"0")&amp;" 启迪"&amp;TEXT(后台计算!AC167,"0")&amp;"｜灵犀"&amp;TEXT(后台计算!AV167,"0")&amp;"｜J燃烧"&amp;TEXT(后台计算!AD167,"0")&amp;" 敌燃烧"&amp;TEXT(后台计算!AE167,"0"))</f>
        <v/>
      </c>
      <c r="U173" s="4" t="str">
        <f>IF(D173="","",后台计算!BX167)</f>
        <v/>
      </c>
    </row>
    <row r="174" spans="1:21" ht="38.1" customHeight="1">
      <c r="A174" s="1" t="str">
        <f t="shared" si="8"/>
        <v/>
      </c>
      <c r="B174" s="3"/>
      <c r="C174" s="3"/>
      <c r="D174" s="3"/>
      <c r="E174" s="3"/>
      <c r="F174" s="5"/>
      <c r="G174" s="5"/>
      <c r="H174" s="5"/>
      <c r="I174" s="5"/>
      <c r="J174" s="6" t="str">
        <f>IF(D174="","",后台计算!E168)</f>
        <v/>
      </c>
      <c r="K174" s="6" t="str">
        <f>IF(D174="","",后台计算!AY168)</f>
        <v/>
      </c>
      <c r="L174" s="7" t="str">
        <f>IF(D174="","",后台计算!AZ168)</f>
        <v/>
      </c>
      <c r="M174" s="7" t="str">
        <f>IF(D174="","",后台计算!BA168)</f>
        <v/>
      </c>
      <c r="N174" s="4" t="str">
        <f>IF(D174="","",后台计算!BG168)</f>
        <v/>
      </c>
      <c r="O174" s="6" t="str">
        <f>IF(D174="","",后台计算!BU168)</f>
        <v/>
      </c>
      <c r="P174" s="6" t="str">
        <f>IF(D174="","",后台计算!BV168)</f>
        <v/>
      </c>
      <c r="Q174" s="6" t="str">
        <f t="shared" si="9"/>
        <v/>
      </c>
      <c r="R174" s="6" t="str">
        <f t="shared" si="10"/>
        <v/>
      </c>
      <c r="S174" s="6" t="str">
        <f t="shared" si="11"/>
        <v/>
      </c>
      <c r="T174" s="4" t="str">
        <f>IF(D174="","","红:"&amp;IF(后台计算!U168=0,"无",IF(后台计算!U168=1,"雷鸣","极限"))&amp;" 增压"&amp;TEXT(后台计算!W168,"0")&amp;" 弹药"&amp;TEXT(后台计算!X168,"0")&amp;"｜37灵光"&amp;TEXT(后台计算!AB168,"0")&amp;" 启迪"&amp;TEXT(后台计算!AC168,"0")&amp;"｜灵犀"&amp;TEXT(后台计算!AV168,"0")&amp;"｜J燃烧"&amp;TEXT(后台计算!AD168,"0")&amp;" 敌燃烧"&amp;TEXT(后台计算!AE168,"0"))</f>
        <v/>
      </c>
      <c r="U174" s="4" t="str">
        <f>IF(D174="","",后台计算!BX168)</f>
        <v/>
      </c>
    </row>
    <row r="175" spans="1:21" ht="38.1" customHeight="1">
      <c r="A175" s="1" t="str">
        <f t="shared" si="8"/>
        <v/>
      </c>
      <c r="B175" s="3"/>
      <c r="C175" s="3"/>
      <c r="D175" s="3"/>
      <c r="E175" s="3"/>
      <c r="F175" s="5"/>
      <c r="G175" s="5"/>
      <c r="H175" s="5"/>
      <c r="I175" s="5"/>
      <c r="J175" s="6" t="str">
        <f>IF(D175="","",后台计算!E169)</f>
        <v/>
      </c>
      <c r="K175" s="6" t="str">
        <f>IF(D175="","",后台计算!AY169)</f>
        <v/>
      </c>
      <c r="L175" s="7" t="str">
        <f>IF(D175="","",后台计算!AZ169)</f>
        <v/>
      </c>
      <c r="M175" s="7" t="str">
        <f>IF(D175="","",后台计算!BA169)</f>
        <v/>
      </c>
      <c r="N175" s="4" t="str">
        <f>IF(D175="","",后台计算!BG169)</f>
        <v/>
      </c>
      <c r="O175" s="6" t="str">
        <f>IF(D175="","",后台计算!BU169)</f>
        <v/>
      </c>
      <c r="P175" s="6" t="str">
        <f>IF(D175="","",后台计算!BV169)</f>
        <v/>
      </c>
      <c r="Q175" s="6" t="str">
        <f t="shared" si="9"/>
        <v/>
      </c>
      <c r="R175" s="6" t="str">
        <f t="shared" si="10"/>
        <v/>
      </c>
      <c r="S175" s="6" t="str">
        <f t="shared" si="11"/>
        <v/>
      </c>
      <c r="T175" s="4" t="str">
        <f>IF(D175="","","红:"&amp;IF(后台计算!U169=0,"无",IF(后台计算!U169=1,"雷鸣","极限"))&amp;" 增压"&amp;TEXT(后台计算!W169,"0")&amp;" 弹药"&amp;TEXT(后台计算!X169,"0")&amp;"｜37灵光"&amp;TEXT(后台计算!AB169,"0")&amp;" 启迪"&amp;TEXT(后台计算!AC169,"0")&amp;"｜灵犀"&amp;TEXT(后台计算!AV169,"0")&amp;"｜J燃烧"&amp;TEXT(后台计算!AD169,"0")&amp;" 敌燃烧"&amp;TEXT(后台计算!AE169,"0"))</f>
        <v/>
      </c>
      <c r="U175" s="4" t="str">
        <f>IF(D175="","",后台计算!BX169)</f>
        <v/>
      </c>
    </row>
    <row r="176" spans="1:21" ht="38.1" customHeight="1">
      <c r="A176" s="1" t="str">
        <f t="shared" si="8"/>
        <v/>
      </c>
      <c r="B176" s="3"/>
      <c r="C176" s="3"/>
      <c r="D176" s="3"/>
      <c r="E176" s="3"/>
      <c r="F176" s="5"/>
      <c r="G176" s="5"/>
      <c r="H176" s="5"/>
      <c r="I176" s="5"/>
      <c r="J176" s="6" t="str">
        <f>IF(D176="","",后台计算!E170)</f>
        <v/>
      </c>
      <c r="K176" s="6" t="str">
        <f>IF(D176="","",后台计算!AY170)</f>
        <v/>
      </c>
      <c r="L176" s="7" t="str">
        <f>IF(D176="","",后台计算!AZ170)</f>
        <v/>
      </c>
      <c r="M176" s="7" t="str">
        <f>IF(D176="","",后台计算!BA170)</f>
        <v/>
      </c>
      <c r="N176" s="4" t="str">
        <f>IF(D176="","",后台计算!BG170)</f>
        <v/>
      </c>
      <c r="O176" s="6" t="str">
        <f>IF(D176="","",后台计算!BU170)</f>
        <v/>
      </c>
      <c r="P176" s="6" t="str">
        <f>IF(D176="","",后台计算!BV170)</f>
        <v/>
      </c>
      <c r="Q176" s="6" t="str">
        <f t="shared" si="9"/>
        <v/>
      </c>
      <c r="R176" s="6" t="str">
        <f t="shared" si="10"/>
        <v/>
      </c>
      <c r="S176" s="6" t="str">
        <f t="shared" si="11"/>
        <v/>
      </c>
      <c r="T176" s="4" t="str">
        <f>IF(D176="","","红:"&amp;IF(后台计算!U170=0,"无",IF(后台计算!U170=1,"雷鸣","极限"))&amp;" 增压"&amp;TEXT(后台计算!W170,"0")&amp;" 弹药"&amp;TEXT(后台计算!X170,"0")&amp;"｜37灵光"&amp;TEXT(后台计算!AB170,"0")&amp;" 启迪"&amp;TEXT(后台计算!AC170,"0")&amp;"｜灵犀"&amp;TEXT(后台计算!AV170,"0")&amp;"｜J燃烧"&amp;TEXT(后台计算!AD170,"0")&amp;" 敌燃烧"&amp;TEXT(后台计算!AE170,"0"))</f>
        <v/>
      </c>
      <c r="U176" s="4" t="str">
        <f>IF(D176="","",后台计算!BX170)</f>
        <v/>
      </c>
    </row>
    <row r="177" spans="1:21" ht="38.1" customHeight="1">
      <c r="A177" s="1" t="str">
        <f t="shared" si="8"/>
        <v/>
      </c>
      <c r="B177" s="3"/>
      <c r="C177" s="3"/>
      <c r="D177" s="3"/>
      <c r="E177" s="3"/>
      <c r="F177" s="5"/>
      <c r="G177" s="5"/>
      <c r="H177" s="5"/>
      <c r="I177" s="5"/>
      <c r="J177" s="6" t="str">
        <f>IF(D177="","",后台计算!E171)</f>
        <v/>
      </c>
      <c r="K177" s="6" t="str">
        <f>IF(D177="","",后台计算!AY171)</f>
        <v/>
      </c>
      <c r="L177" s="7" t="str">
        <f>IF(D177="","",后台计算!AZ171)</f>
        <v/>
      </c>
      <c r="M177" s="7" t="str">
        <f>IF(D177="","",后台计算!BA171)</f>
        <v/>
      </c>
      <c r="N177" s="4" t="str">
        <f>IF(D177="","",后台计算!BG171)</f>
        <v/>
      </c>
      <c r="O177" s="6" t="str">
        <f>IF(D177="","",后台计算!BU171)</f>
        <v/>
      </c>
      <c r="P177" s="6" t="str">
        <f>IF(D177="","",后台计算!BV171)</f>
        <v/>
      </c>
      <c r="Q177" s="6" t="str">
        <f t="shared" si="9"/>
        <v/>
      </c>
      <c r="R177" s="6" t="str">
        <f t="shared" si="10"/>
        <v/>
      </c>
      <c r="S177" s="6" t="str">
        <f t="shared" si="11"/>
        <v/>
      </c>
      <c r="T177" s="4" t="str">
        <f>IF(D177="","","红:"&amp;IF(后台计算!U171=0,"无",IF(后台计算!U171=1,"雷鸣","极限"))&amp;" 增压"&amp;TEXT(后台计算!W171,"0")&amp;" 弹药"&amp;TEXT(后台计算!X171,"0")&amp;"｜37灵光"&amp;TEXT(后台计算!AB171,"0")&amp;" 启迪"&amp;TEXT(后台计算!AC171,"0")&amp;"｜灵犀"&amp;TEXT(后台计算!AV171,"0")&amp;"｜J燃烧"&amp;TEXT(后台计算!AD171,"0")&amp;" 敌燃烧"&amp;TEXT(后台计算!AE171,"0"))</f>
        <v/>
      </c>
      <c r="U177" s="4" t="str">
        <f>IF(D177="","",后台计算!BX171)</f>
        <v/>
      </c>
    </row>
    <row r="178" spans="1:21" ht="38.1" customHeight="1">
      <c r="A178" s="1" t="str">
        <f t="shared" si="8"/>
        <v/>
      </c>
      <c r="B178" s="3"/>
      <c r="C178" s="3"/>
      <c r="D178" s="3"/>
      <c r="E178" s="3"/>
      <c r="F178" s="5"/>
      <c r="G178" s="5"/>
      <c r="H178" s="5"/>
      <c r="I178" s="5"/>
      <c r="J178" s="6" t="str">
        <f>IF(D178="","",后台计算!E172)</f>
        <v/>
      </c>
      <c r="K178" s="6" t="str">
        <f>IF(D178="","",后台计算!AY172)</f>
        <v/>
      </c>
      <c r="L178" s="7" t="str">
        <f>IF(D178="","",后台计算!AZ172)</f>
        <v/>
      </c>
      <c r="M178" s="7" t="str">
        <f>IF(D178="","",后台计算!BA172)</f>
        <v/>
      </c>
      <c r="N178" s="4" t="str">
        <f>IF(D178="","",后台计算!BG172)</f>
        <v/>
      </c>
      <c r="O178" s="6" t="str">
        <f>IF(D178="","",后台计算!BU172)</f>
        <v/>
      </c>
      <c r="P178" s="6" t="str">
        <f>IF(D178="","",后台计算!BV172)</f>
        <v/>
      </c>
      <c r="Q178" s="6" t="str">
        <f t="shared" si="9"/>
        <v/>
      </c>
      <c r="R178" s="6" t="str">
        <f t="shared" si="10"/>
        <v/>
      </c>
      <c r="S178" s="6" t="str">
        <f t="shared" si="11"/>
        <v/>
      </c>
      <c r="T178" s="4" t="str">
        <f>IF(D178="","","红:"&amp;IF(后台计算!U172=0,"无",IF(后台计算!U172=1,"雷鸣","极限"))&amp;" 增压"&amp;TEXT(后台计算!W172,"0")&amp;" 弹药"&amp;TEXT(后台计算!X172,"0")&amp;"｜37灵光"&amp;TEXT(后台计算!AB172,"0")&amp;" 启迪"&amp;TEXT(后台计算!AC172,"0")&amp;"｜灵犀"&amp;TEXT(后台计算!AV172,"0")&amp;"｜J燃烧"&amp;TEXT(后台计算!AD172,"0")&amp;" 敌燃烧"&amp;TEXT(后台计算!AE172,"0"))</f>
        <v/>
      </c>
      <c r="U178" s="4" t="str">
        <f>IF(D178="","",后台计算!BX172)</f>
        <v/>
      </c>
    </row>
    <row r="179" spans="1:21" ht="38.1" customHeight="1">
      <c r="A179" s="1" t="str">
        <f t="shared" si="8"/>
        <v/>
      </c>
      <c r="B179" s="3"/>
      <c r="C179" s="3"/>
      <c r="D179" s="3"/>
      <c r="E179" s="3"/>
      <c r="F179" s="5"/>
      <c r="G179" s="5"/>
      <c r="H179" s="5"/>
      <c r="I179" s="5"/>
      <c r="J179" s="6" t="str">
        <f>IF(D179="","",后台计算!E173)</f>
        <v/>
      </c>
      <c r="K179" s="6" t="str">
        <f>IF(D179="","",后台计算!AY173)</f>
        <v/>
      </c>
      <c r="L179" s="7" t="str">
        <f>IF(D179="","",后台计算!AZ173)</f>
        <v/>
      </c>
      <c r="M179" s="7" t="str">
        <f>IF(D179="","",后台计算!BA173)</f>
        <v/>
      </c>
      <c r="N179" s="4" t="str">
        <f>IF(D179="","",后台计算!BG173)</f>
        <v/>
      </c>
      <c r="O179" s="6" t="str">
        <f>IF(D179="","",后台计算!BU173)</f>
        <v/>
      </c>
      <c r="P179" s="6" t="str">
        <f>IF(D179="","",后台计算!BV173)</f>
        <v/>
      </c>
      <c r="Q179" s="6" t="str">
        <f t="shared" si="9"/>
        <v/>
      </c>
      <c r="R179" s="6" t="str">
        <f t="shared" si="10"/>
        <v/>
      </c>
      <c r="S179" s="6" t="str">
        <f t="shared" si="11"/>
        <v/>
      </c>
      <c r="T179" s="4" t="str">
        <f>IF(D179="","","红:"&amp;IF(后台计算!U173=0,"无",IF(后台计算!U173=1,"雷鸣","极限"))&amp;" 增压"&amp;TEXT(后台计算!W173,"0")&amp;" 弹药"&amp;TEXT(后台计算!X173,"0")&amp;"｜37灵光"&amp;TEXT(后台计算!AB173,"0")&amp;" 启迪"&amp;TEXT(后台计算!AC173,"0")&amp;"｜灵犀"&amp;TEXT(后台计算!AV173,"0")&amp;"｜J燃烧"&amp;TEXT(后台计算!AD173,"0")&amp;" 敌燃烧"&amp;TEXT(后台计算!AE173,"0"))</f>
        <v/>
      </c>
      <c r="U179" s="4" t="str">
        <f>IF(D179="","",后台计算!BX173)</f>
        <v/>
      </c>
    </row>
    <row r="180" spans="1:21" ht="38.1" customHeight="1">
      <c r="A180" s="1" t="str">
        <f t="shared" si="8"/>
        <v/>
      </c>
      <c r="B180" s="3"/>
      <c r="C180" s="3"/>
      <c r="D180" s="3"/>
      <c r="E180" s="3"/>
      <c r="F180" s="5"/>
      <c r="G180" s="5"/>
      <c r="H180" s="5"/>
      <c r="I180" s="5"/>
      <c r="J180" s="6" t="str">
        <f>IF(D180="","",后台计算!E174)</f>
        <v/>
      </c>
      <c r="K180" s="6" t="str">
        <f>IF(D180="","",后台计算!AY174)</f>
        <v/>
      </c>
      <c r="L180" s="7" t="str">
        <f>IF(D180="","",后台计算!AZ174)</f>
        <v/>
      </c>
      <c r="M180" s="7" t="str">
        <f>IF(D180="","",后台计算!BA174)</f>
        <v/>
      </c>
      <c r="N180" s="4" t="str">
        <f>IF(D180="","",后台计算!BG174)</f>
        <v/>
      </c>
      <c r="O180" s="6" t="str">
        <f>IF(D180="","",后台计算!BU174)</f>
        <v/>
      </c>
      <c r="P180" s="6" t="str">
        <f>IF(D180="","",后台计算!BV174)</f>
        <v/>
      </c>
      <c r="Q180" s="6" t="str">
        <f t="shared" si="9"/>
        <v/>
      </c>
      <c r="R180" s="6" t="str">
        <f t="shared" si="10"/>
        <v/>
      </c>
      <c r="S180" s="6" t="str">
        <f t="shared" si="11"/>
        <v/>
      </c>
      <c r="T180" s="4" t="str">
        <f>IF(D180="","","红:"&amp;IF(后台计算!U174=0,"无",IF(后台计算!U174=1,"雷鸣","极限"))&amp;" 增压"&amp;TEXT(后台计算!W174,"0")&amp;" 弹药"&amp;TEXT(后台计算!X174,"0")&amp;"｜37灵光"&amp;TEXT(后台计算!AB174,"0")&amp;" 启迪"&amp;TEXT(后台计算!AC174,"0")&amp;"｜灵犀"&amp;TEXT(后台计算!AV174,"0")&amp;"｜J燃烧"&amp;TEXT(后台计算!AD174,"0")&amp;" 敌燃烧"&amp;TEXT(后台计算!AE174,"0"))</f>
        <v/>
      </c>
      <c r="U180" s="4" t="str">
        <f>IF(D180="","",后台计算!BX174)</f>
        <v/>
      </c>
    </row>
    <row r="181" spans="1:21" ht="38.1" customHeight="1">
      <c r="A181" s="1" t="str">
        <f t="shared" si="8"/>
        <v/>
      </c>
      <c r="B181" s="3"/>
      <c r="C181" s="3"/>
      <c r="D181" s="3"/>
      <c r="E181" s="3"/>
      <c r="F181" s="5"/>
      <c r="G181" s="5"/>
      <c r="H181" s="5"/>
      <c r="I181" s="5"/>
      <c r="J181" s="6" t="str">
        <f>IF(D181="","",后台计算!E175)</f>
        <v/>
      </c>
      <c r="K181" s="6" t="str">
        <f>IF(D181="","",后台计算!AY175)</f>
        <v/>
      </c>
      <c r="L181" s="7" t="str">
        <f>IF(D181="","",后台计算!AZ175)</f>
        <v/>
      </c>
      <c r="M181" s="7" t="str">
        <f>IF(D181="","",后台计算!BA175)</f>
        <v/>
      </c>
      <c r="N181" s="4" t="str">
        <f>IF(D181="","",后台计算!BG175)</f>
        <v/>
      </c>
      <c r="O181" s="6" t="str">
        <f>IF(D181="","",后台计算!BU175)</f>
        <v/>
      </c>
      <c r="P181" s="6" t="str">
        <f>IF(D181="","",后台计算!BV175)</f>
        <v/>
      </c>
      <c r="Q181" s="6" t="str">
        <f t="shared" si="9"/>
        <v/>
      </c>
      <c r="R181" s="6" t="str">
        <f t="shared" si="10"/>
        <v/>
      </c>
      <c r="S181" s="6" t="str">
        <f t="shared" si="11"/>
        <v/>
      </c>
      <c r="T181" s="4" t="str">
        <f>IF(D181="","","红:"&amp;IF(后台计算!U175=0,"无",IF(后台计算!U175=1,"雷鸣","极限"))&amp;" 增压"&amp;TEXT(后台计算!W175,"0")&amp;" 弹药"&amp;TEXT(后台计算!X175,"0")&amp;"｜37灵光"&amp;TEXT(后台计算!AB175,"0")&amp;" 启迪"&amp;TEXT(后台计算!AC175,"0")&amp;"｜灵犀"&amp;TEXT(后台计算!AV175,"0")&amp;"｜J燃烧"&amp;TEXT(后台计算!AD175,"0")&amp;" 敌燃烧"&amp;TEXT(后台计算!AE175,"0"))</f>
        <v/>
      </c>
      <c r="U181" s="4" t="str">
        <f>IF(D181="","",后台计算!BX175)</f>
        <v/>
      </c>
    </row>
    <row r="182" spans="1:21" ht="38.1" customHeight="1">
      <c r="A182" s="1" t="str">
        <f t="shared" si="8"/>
        <v/>
      </c>
      <c r="B182" s="3"/>
      <c r="C182" s="3"/>
      <c r="D182" s="3"/>
      <c r="E182" s="3"/>
      <c r="F182" s="5"/>
      <c r="G182" s="5"/>
      <c r="H182" s="5"/>
      <c r="I182" s="5"/>
      <c r="J182" s="6" t="str">
        <f>IF(D182="","",后台计算!E176)</f>
        <v/>
      </c>
      <c r="K182" s="6" t="str">
        <f>IF(D182="","",后台计算!AY176)</f>
        <v/>
      </c>
      <c r="L182" s="7" t="str">
        <f>IF(D182="","",后台计算!AZ176)</f>
        <v/>
      </c>
      <c r="M182" s="7" t="str">
        <f>IF(D182="","",后台计算!BA176)</f>
        <v/>
      </c>
      <c r="N182" s="4" t="str">
        <f>IF(D182="","",后台计算!BG176)</f>
        <v/>
      </c>
      <c r="O182" s="6" t="str">
        <f>IF(D182="","",后台计算!BU176)</f>
        <v/>
      </c>
      <c r="P182" s="6" t="str">
        <f>IF(D182="","",后台计算!BV176)</f>
        <v/>
      </c>
      <c r="Q182" s="6" t="str">
        <f t="shared" si="9"/>
        <v/>
      </c>
      <c r="R182" s="6" t="str">
        <f t="shared" si="10"/>
        <v/>
      </c>
      <c r="S182" s="6" t="str">
        <f t="shared" si="11"/>
        <v/>
      </c>
      <c r="T182" s="4" t="str">
        <f>IF(D182="","","红:"&amp;IF(后台计算!U176=0,"无",IF(后台计算!U176=1,"雷鸣","极限"))&amp;" 增压"&amp;TEXT(后台计算!W176,"0")&amp;" 弹药"&amp;TEXT(后台计算!X176,"0")&amp;"｜37灵光"&amp;TEXT(后台计算!AB176,"0")&amp;" 启迪"&amp;TEXT(后台计算!AC176,"0")&amp;"｜灵犀"&amp;TEXT(后台计算!AV176,"0")&amp;"｜J燃烧"&amp;TEXT(后台计算!AD176,"0")&amp;" 敌燃烧"&amp;TEXT(后台计算!AE176,"0"))</f>
        <v/>
      </c>
      <c r="U182" s="4" t="str">
        <f>IF(D182="","",后台计算!BX176)</f>
        <v/>
      </c>
    </row>
    <row r="183" spans="1:21" ht="38.1" customHeight="1">
      <c r="A183" s="1" t="str">
        <f t="shared" si="8"/>
        <v/>
      </c>
      <c r="B183" s="3"/>
      <c r="C183" s="3"/>
      <c r="D183" s="3"/>
      <c r="E183" s="3"/>
      <c r="F183" s="5"/>
      <c r="G183" s="5"/>
      <c r="H183" s="5"/>
      <c r="I183" s="5"/>
      <c r="J183" s="6" t="str">
        <f>IF(D183="","",后台计算!E177)</f>
        <v/>
      </c>
      <c r="K183" s="6" t="str">
        <f>IF(D183="","",后台计算!AY177)</f>
        <v/>
      </c>
      <c r="L183" s="7" t="str">
        <f>IF(D183="","",后台计算!AZ177)</f>
        <v/>
      </c>
      <c r="M183" s="7" t="str">
        <f>IF(D183="","",后台计算!BA177)</f>
        <v/>
      </c>
      <c r="N183" s="4" t="str">
        <f>IF(D183="","",后台计算!BG177)</f>
        <v/>
      </c>
      <c r="O183" s="6" t="str">
        <f>IF(D183="","",后台计算!BU177)</f>
        <v/>
      </c>
      <c r="P183" s="6" t="str">
        <f>IF(D183="","",后台计算!BV177)</f>
        <v/>
      </c>
      <c r="Q183" s="6" t="str">
        <f t="shared" si="9"/>
        <v/>
      </c>
      <c r="R183" s="6" t="str">
        <f t="shared" si="10"/>
        <v/>
      </c>
      <c r="S183" s="6" t="str">
        <f t="shared" si="11"/>
        <v/>
      </c>
      <c r="T183" s="4" t="str">
        <f>IF(D183="","","红:"&amp;IF(后台计算!U177=0,"无",IF(后台计算!U177=1,"雷鸣","极限"))&amp;" 增压"&amp;TEXT(后台计算!W177,"0")&amp;" 弹药"&amp;TEXT(后台计算!X177,"0")&amp;"｜37灵光"&amp;TEXT(后台计算!AB177,"0")&amp;" 启迪"&amp;TEXT(后台计算!AC177,"0")&amp;"｜灵犀"&amp;TEXT(后台计算!AV177,"0")&amp;"｜J燃烧"&amp;TEXT(后台计算!AD177,"0")&amp;" 敌燃烧"&amp;TEXT(后台计算!AE177,"0"))</f>
        <v/>
      </c>
      <c r="U183" s="4" t="str">
        <f>IF(D183="","",后台计算!BX177)</f>
        <v/>
      </c>
    </row>
    <row r="184" spans="1:21" ht="38.1" customHeight="1">
      <c r="A184" s="1" t="str">
        <f t="shared" si="8"/>
        <v/>
      </c>
      <c r="B184" s="3"/>
      <c r="C184" s="3"/>
      <c r="D184" s="3"/>
      <c r="E184" s="3"/>
      <c r="F184" s="5"/>
      <c r="G184" s="5"/>
      <c r="H184" s="5"/>
      <c r="I184" s="5"/>
      <c r="J184" s="6" t="str">
        <f>IF(D184="","",后台计算!E178)</f>
        <v/>
      </c>
      <c r="K184" s="6" t="str">
        <f>IF(D184="","",后台计算!AY178)</f>
        <v/>
      </c>
      <c r="L184" s="7" t="str">
        <f>IF(D184="","",后台计算!AZ178)</f>
        <v/>
      </c>
      <c r="M184" s="7" t="str">
        <f>IF(D184="","",后台计算!BA178)</f>
        <v/>
      </c>
      <c r="N184" s="4" t="str">
        <f>IF(D184="","",后台计算!BG178)</f>
        <v/>
      </c>
      <c r="O184" s="6" t="str">
        <f>IF(D184="","",后台计算!BU178)</f>
        <v/>
      </c>
      <c r="P184" s="6" t="str">
        <f>IF(D184="","",后台计算!BV178)</f>
        <v/>
      </c>
      <c r="Q184" s="6" t="str">
        <f t="shared" si="9"/>
        <v/>
      </c>
      <c r="R184" s="6" t="str">
        <f t="shared" si="10"/>
        <v/>
      </c>
      <c r="S184" s="6" t="str">
        <f t="shared" si="11"/>
        <v/>
      </c>
      <c r="T184" s="4" t="str">
        <f>IF(D184="","","红:"&amp;IF(后台计算!U178=0,"无",IF(后台计算!U178=1,"雷鸣","极限"))&amp;" 增压"&amp;TEXT(后台计算!W178,"0")&amp;" 弹药"&amp;TEXT(后台计算!X178,"0")&amp;"｜37灵光"&amp;TEXT(后台计算!AB178,"0")&amp;" 启迪"&amp;TEXT(后台计算!AC178,"0")&amp;"｜灵犀"&amp;TEXT(后台计算!AV178,"0")&amp;"｜J燃烧"&amp;TEXT(后台计算!AD178,"0")&amp;" 敌燃烧"&amp;TEXT(后台计算!AE178,"0"))</f>
        <v/>
      </c>
      <c r="U184" s="4" t="str">
        <f>IF(D184="","",后台计算!BX178)</f>
        <v/>
      </c>
    </row>
    <row r="185" spans="1:21" ht="38.1" customHeight="1">
      <c r="A185" s="1" t="str">
        <f t="shared" si="8"/>
        <v/>
      </c>
      <c r="B185" s="3"/>
      <c r="C185" s="3"/>
      <c r="D185" s="3"/>
      <c r="E185" s="3"/>
      <c r="F185" s="5"/>
      <c r="G185" s="5"/>
      <c r="H185" s="5"/>
      <c r="I185" s="5"/>
      <c r="J185" s="6" t="str">
        <f>IF(D185="","",后台计算!E179)</f>
        <v/>
      </c>
      <c r="K185" s="6" t="str">
        <f>IF(D185="","",后台计算!AY179)</f>
        <v/>
      </c>
      <c r="L185" s="7" t="str">
        <f>IF(D185="","",后台计算!AZ179)</f>
        <v/>
      </c>
      <c r="M185" s="7" t="str">
        <f>IF(D185="","",后台计算!BA179)</f>
        <v/>
      </c>
      <c r="N185" s="4" t="str">
        <f>IF(D185="","",后台计算!BG179)</f>
        <v/>
      </c>
      <c r="O185" s="6" t="str">
        <f>IF(D185="","",后台计算!BU179)</f>
        <v/>
      </c>
      <c r="P185" s="6" t="str">
        <f>IF(D185="","",后台计算!BV179)</f>
        <v/>
      </c>
      <c r="Q185" s="6" t="str">
        <f t="shared" si="9"/>
        <v/>
      </c>
      <c r="R185" s="6" t="str">
        <f t="shared" si="10"/>
        <v/>
      </c>
      <c r="S185" s="6" t="str">
        <f t="shared" si="11"/>
        <v/>
      </c>
      <c r="T185" s="4" t="str">
        <f>IF(D185="","","红:"&amp;IF(后台计算!U179=0,"无",IF(后台计算!U179=1,"雷鸣","极限"))&amp;" 增压"&amp;TEXT(后台计算!W179,"0")&amp;" 弹药"&amp;TEXT(后台计算!X179,"0")&amp;"｜37灵光"&amp;TEXT(后台计算!AB179,"0")&amp;" 启迪"&amp;TEXT(后台计算!AC179,"0")&amp;"｜灵犀"&amp;TEXT(后台计算!AV179,"0")&amp;"｜J燃烧"&amp;TEXT(后台计算!AD179,"0")&amp;" 敌燃烧"&amp;TEXT(后台计算!AE179,"0"))</f>
        <v/>
      </c>
      <c r="U185" s="4" t="str">
        <f>IF(D185="","",后台计算!BX179)</f>
        <v/>
      </c>
    </row>
    <row r="186" spans="1:21" ht="38.1" customHeight="1">
      <c r="A186" s="1" t="str">
        <f t="shared" si="8"/>
        <v/>
      </c>
      <c r="B186" s="3"/>
      <c r="C186" s="3"/>
      <c r="D186" s="3"/>
      <c r="E186" s="3"/>
      <c r="F186" s="5"/>
      <c r="G186" s="5"/>
      <c r="H186" s="5"/>
      <c r="I186" s="5"/>
      <c r="J186" s="6" t="str">
        <f>IF(D186="","",后台计算!E180)</f>
        <v/>
      </c>
      <c r="K186" s="6" t="str">
        <f>IF(D186="","",后台计算!AY180)</f>
        <v/>
      </c>
      <c r="L186" s="7" t="str">
        <f>IF(D186="","",后台计算!AZ180)</f>
        <v/>
      </c>
      <c r="M186" s="7" t="str">
        <f>IF(D186="","",后台计算!BA180)</f>
        <v/>
      </c>
      <c r="N186" s="4" t="str">
        <f>IF(D186="","",后台计算!BG180)</f>
        <v/>
      </c>
      <c r="O186" s="6" t="str">
        <f>IF(D186="","",后台计算!BU180)</f>
        <v/>
      </c>
      <c r="P186" s="6" t="str">
        <f>IF(D186="","",后台计算!BV180)</f>
        <v/>
      </c>
      <c r="Q186" s="6" t="str">
        <f t="shared" si="9"/>
        <v/>
      </c>
      <c r="R186" s="6" t="str">
        <f t="shared" si="10"/>
        <v/>
      </c>
      <c r="S186" s="6" t="str">
        <f t="shared" si="11"/>
        <v/>
      </c>
      <c r="T186" s="4" t="str">
        <f>IF(D186="","","红:"&amp;IF(后台计算!U180=0,"无",IF(后台计算!U180=1,"雷鸣","极限"))&amp;" 增压"&amp;TEXT(后台计算!W180,"0")&amp;" 弹药"&amp;TEXT(后台计算!X180,"0")&amp;"｜37灵光"&amp;TEXT(后台计算!AB180,"0")&amp;" 启迪"&amp;TEXT(后台计算!AC180,"0")&amp;"｜灵犀"&amp;TEXT(后台计算!AV180,"0")&amp;"｜J燃烧"&amp;TEXT(后台计算!AD180,"0")&amp;" 敌燃烧"&amp;TEXT(后台计算!AE180,"0"))</f>
        <v/>
      </c>
      <c r="U186" s="4" t="str">
        <f>IF(D186="","",后台计算!BX180)</f>
        <v/>
      </c>
    </row>
    <row r="187" spans="1:21" ht="38.1" customHeight="1">
      <c r="A187" s="1" t="str">
        <f t="shared" si="8"/>
        <v/>
      </c>
      <c r="B187" s="3"/>
      <c r="C187" s="3"/>
      <c r="D187" s="3"/>
      <c r="E187" s="3"/>
      <c r="F187" s="5"/>
      <c r="G187" s="5"/>
      <c r="H187" s="5"/>
      <c r="I187" s="5"/>
      <c r="J187" s="6" t="str">
        <f>IF(D187="","",后台计算!E181)</f>
        <v/>
      </c>
      <c r="K187" s="6" t="str">
        <f>IF(D187="","",后台计算!AY181)</f>
        <v/>
      </c>
      <c r="L187" s="7" t="str">
        <f>IF(D187="","",后台计算!AZ181)</f>
        <v/>
      </c>
      <c r="M187" s="7" t="str">
        <f>IF(D187="","",后台计算!BA181)</f>
        <v/>
      </c>
      <c r="N187" s="4" t="str">
        <f>IF(D187="","",后台计算!BG181)</f>
        <v/>
      </c>
      <c r="O187" s="6" t="str">
        <f>IF(D187="","",后台计算!BU181)</f>
        <v/>
      </c>
      <c r="P187" s="6" t="str">
        <f>IF(D187="","",后台计算!BV181)</f>
        <v/>
      </c>
      <c r="Q187" s="6" t="str">
        <f t="shared" si="9"/>
        <v/>
      </c>
      <c r="R187" s="6" t="str">
        <f t="shared" si="10"/>
        <v/>
      </c>
      <c r="S187" s="6" t="str">
        <f t="shared" si="11"/>
        <v/>
      </c>
      <c r="T187" s="4" t="str">
        <f>IF(D187="","","红:"&amp;IF(后台计算!U181=0,"无",IF(后台计算!U181=1,"雷鸣","极限"))&amp;" 增压"&amp;TEXT(后台计算!W181,"0")&amp;" 弹药"&amp;TEXT(后台计算!X181,"0")&amp;"｜37灵光"&amp;TEXT(后台计算!AB181,"0")&amp;" 启迪"&amp;TEXT(后台计算!AC181,"0")&amp;"｜灵犀"&amp;TEXT(后台计算!AV181,"0")&amp;"｜J燃烧"&amp;TEXT(后台计算!AD181,"0")&amp;" 敌燃烧"&amp;TEXT(后台计算!AE181,"0"))</f>
        <v/>
      </c>
      <c r="U187" s="4" t="str">
        <f>IF(D187="","",后台计算!BX181)</f>
        <v/>
      </c>
    </row>
    <row r="188" spans="1:21" ht="38.1" customHeight="1">
      <c r="A188" s="1" t="str">
        <f t="shared" si="8"/>
        <v/>
      </c>
      <c r="B188" s="3"/>
      <c r="C188" s="3"/>
      <c r="D188" s="3"/>
      <c r="E188" s="3"/>
      <c r="F188" s="5"/>
      <c r="G188" s="5"/>
      <c r="H188" s="5"/>
      <c r="I188" s="5"/>
      <c r="J188" s="6" t="str">
        <f>IF(D188="","",后台计算!E182)</f>
        <v/>
      </c>
      <c r="K188" s="6" t="str">
        <f>IF(D188="","",后台计算!AY182)</f>
        <v/>
      </c>
      <c r="L188" s="7" t="str">
        <f>IF(D188="","",后台计算!AZ182)</f>
        <v/>
      </c>
      <c r="M188" s="7" t="str">
        <f>IF(D188="","",后台计算!BA182)</f>
        <v/>
      </c>
      <c r="N188" s="4" t="str">
        <f>IF(D188="","",后台计算!BG182)</f>
        <v/>
      </c>
      <c r="O188" s="6" t="str">
        <f>IF(D188="","",后台计算!BU182)</f>
        <v/>
      </c>
      <c r="P188" s="6" t="str">
        <f>IF(D188="","",后台计算!BV182)</f>
        <v/>
      </c>
      <c r="Q188" s="6" t="str">
        <f t="shared" si="9"/>
        <v/>
      </c>
      <c r="R188" s="6" t="str">
        <f t="shared" si="10"/>
        <v/>
      </c>
      <c r="S188" s="6" t="str">
        <f t="shared" si="11"/>
        <v/>
      </c>
      <c r="T188" s="4" t="str">
        <f>IF(D188="","","红:"&amp;IF(后台计算!U182=0,"无",IF(后台计算!U182=1,"雷鸣","极限"))&amp;" 增压"&amp;TEXT(后台计算!W182,"0")&amp;" 弹药"&amp;TEXT(后台计算!X182,"0")&amp;"｜37灵光"&amp;TEXT(后台计算!AB182,"0")&amp;" 启迪"&amp;TEXT(后台计算!AC182,"0")&amp;"｜灵犀"&amp;TEXT(后台计算!AV182,"0")&amp;"｜J燃烧"&amp;TEXT(后台计算!AD182,"0")&amp;" 敌燃烧"&amp;TEXT(后台计算!AE182,"0"))</f>
        <v/>
      </c>
      <c r="U188" s="4" t="str">
        <f>IF(D188="","",后台计算!BX182)</f>
        <v/>
      </c>
    </row>
    <row r="189" spans="1:21" ht="38.1" customHeight="1">
      <c r="A189" s="1" t="str">
        <f t="shared" si="8"/>
        <v/>
      </c>
      <c r="B189" s="3"/>
      <c r="C189" s="3"/>
      <c r="D189" s="3"/>
      <c r="E189" s="3"/>
      <c r="F189" s="5"/>
      <c r="G189" s="5"/>
      <c r="H189" s="5"/>
      <c r="I189" s="5"/>
      <c r="J189" s="6" t="str">
        <f>IF(D189="","",后台计算!E183)</f>
        <v/>
      </c>
      <c r="K189" s="6" t="str">
        <f>IF(D189="","",后台计算!AY183)</f>
        <v/>
      </c>
      <c r="L189" s="7" t="str">
        <f>IF(D189="","",后台计算!AZ183)</f>
        <v/>
      </c>
      <c r="M189" s="7" t="str">
        <f>IF(D189="","",后台计算!BA183)</f>
        <v/>
      </c>
      <c r="N189" s="4" t="str">
        <f>IF(D189="","",后台计算!BG183)</f>
        <v/>
      </c>
      <c r="O189" s="6" t="str">
        <f>IF(D189="","",后台计算!BU183)</f>
        <v/>
      </c>
      <c r="P189" s="6" t="str">
        <f>IF(D189="","",后台计算!BV183)</f>
        <v/>
      </c>
      <c r="Q189" s="6" t="str">
        <f t="shared" si="9"/>
        <v/>
      </c>
      <c r="R189" s="6" t="str">
        <f t="shared" si="10"/>
        <v/>
      </c>
      <c r="S189" s="6" t="str">
        <f t="shared" si="11"/>
        <v/>
      </c>
      <c r="T189" s="4" t="str">
        <f>IF(D189="","","红:"&amp;IF(后台计算!U183=0,"无",IF(后台计算!U183=1,"雷鸣","极限"))&amp;" 增压"&amp;TEXT(后台计算!W183,"0")&amp;" 弹药"&amp;TEXT(后台计算!X183,"0")&amp;"｜37灵光"&amp;TEXT(后台计算!AB183,"0")&amp;" 启迪"&amp;TEXT(后台计算!AC183,"0")&amp;"｜灵犀"&amp;TEXT(后台计算!AV183,"0")&amp;"｜J燃烧"&amp;TEXT(后台计算!AD183,"0")&amp;" 敌燃烧"&amp;TEXT(后台计算!AE183,"0"))</f>
        <v/>
      </c>
      <c r="U189" s="4" t="str">
        <f>IF(D189="","",后台计算!BX183)</f>
        <v/>
      </c>
    </row>
    <row r="190" spans="1:21" ht="38.1" customHeight="1">
      <c r="A190" s="1" t="str">
        <f t="shared" si="8"/>
        <v/>
      </c>
      <c r="B190" s="3"/>
      <c r="C190" s="3"/>
      <c r="D190" s="3"/>
      <c r="E190" s="3"/>
      <c r="F190" s="5"/>
      <c r="G190" s="5"/>
      <c r="H190" s="5"/>
      <c r="I190" s="5"/>
      <c r="J190" s="6" t="str">
        <f>IF(D190="","",后台计算!E184)</f>
        <v/>
      </c>
      <c r="K190" s="6" t="str">
        <f>IF(D190="","",后台计算!AY184)</f>
        <v/>
      </c>
      <c r="L190" s="7" t="str">
        <f>IF(D190="","",后台计算!AZ184)</f>
        <v/>
      </c>
      <c r="M190" s="7" t="str">
        <f>IF(D190="","",后台计算!BA184)</f>
        <v/>
      </c>
      <c r="N190" s="4" t="str">
        <f>IF(D190="","",后台计算!BG184)</f>
        <v/>
      </c>
      <c r="O190" s="6" t="str">
        <f>IF(D190="","",后台计算!BU184)</f>
        <v/>
      </c>
      <c r="P190" s="6" t="str">
        <f>IF(D190="","",后台计算!BV184)</f>
        <v/>
      </c>
      <c r="Q190" s="6" t="str">
        <f t="shared" si="9"/>
        <v/>
      </c>
      <c r="R190" s="6" t="str">
        <f t="shared" si="10"/>
        <v/>
      </c>
      <c r="S190" s="6" t="str">
        <f t="shared" si="11"/>
        <v/>
      </c>
      <c r="T190" s="4" t="str">
        <f>IF(D190="","","红:"&amp;IF(后台计算!U184=0,"无",IF(后台计算!U184=1,"雷鸣","极限"))&amp;" 增压"&amp;TEXT(后台计算!W184,"0")&amp;" 弹药"&amp;TEXT(后台计算!X184,"0")&amp;"｜37灵光"&amp;TEXT(后台计算!AB184,"0")&amp;" 启迪"&amp;TEXT(后台计算!AC184,"0")&amp;"｜灵犀"&amp;TEXT(后台计算!AV184,"0")&amp;"｜J燃烧"&amp;TEXT(后台计算!AD184,"0")&amp;" 敌燃烧"&amp;TEXT(后台计算!AE184,"0"))</f>
        <v/>
      </c>
      <c r="U190" s="4" t="str">
        <f>IF(D190="","",后台计算!BX184)</f>
        <v/>
      </c>
    </row>
    <row r="191" spans="1:21" ht="38.1" customHeight="1">
      <c r="A191" s="1" t="str">
        <f t="shared" si="8"/>
        <v/>
      </c>
      <c r="B191" s="3"/>
      <c r="C191" s="3"/>
      <c r="D191" s="3"/>
      <c r="E191" s="3"/>
      <c r="F191" s="5"/>
      <c r="G191" s="5"/>
      <c r="H191" s="5"/>
      <c r="I191" s="5"/>
      <c r="J191" s="6" t="str">
        <f>IF(D191="","",后台计算!E185)</f>
        <v/>
      </c>
      <c r="K191" s="6" t="str">
        <f>IF(D191="","",后台计算!AY185)</f>
        <v/>
      </c>
      <c r="L191" s="7" t="str">
        <f>IF(D191="","",后台计算!AZ185)</f>
        <v/>
      </c>
      <c r="M191" s="7" t="str">
        <f>IF(D191="","",后台计算!BA185)</f>
        <v/>
      </c>
      <c r="N191" s="4" t="str">
        <f>IF(D191="","",后台计算!BG185)</f>
        <v/>
      </c>
      <c r="O191" s="6" t="str">
        <f>IF(D191="","",后台计算!BU185)</f>
        <v/>
      </c>
      <c r="P191" s="6" t="str">
        <f>IF(D191="","",后台计算!BV185)</f>
        <v/>
      </c>
      <c r="Q191" s="6" t="str">
        <f t="shared" si="9"/>
        <v/>
      </c>
      <c r="R191" s="6" t="str">
        <f t="shared" si="10"/>
        <v/>
      </c>
      <c r="S191" s="6" t="str">
        <f t="shared" si="11"/>
        <v/>
      </c>
      <c r="T191" s="4" t="str">
        <f>IF(D191="","","红:"&amp;IF(后台计算!U185=0,"无",IF(后台计算!U185=1,"雷鸣","极限"))&amp;" 增压"&amp;TEXT(后台计算!W185,"0")&amp;" 弹药"&amp;TEXT(后台计算!X185,"0")&amp;"｜37灵光"&amp;TEXT(后台计算!AB185,"0")&amp;" 启迪"&amp;TEXT(后台计算!AC185,"0")&amp;"｜灵犀"&amp;TEXT(后台计算!AV185,"0")&amp;"｜J燃烧"&amp;TEXT(后台计算!AD185,"0")&amp;" 敌燃烧"&amp;TEXT(后台计算!AE185,"0"))</f>
        <v/>
      </c>
      <c r="U191" s="4" t="str">
        <f>IF(D191="","",后台计算!BX185)</f>
        <v/>
      </c>
    </row>
    <row r="192" spans="1:21" ht="38.1" customHeight="1">
      <c r="A192" s="1" t="str">
        <f t="shared" si="8"/>
        <v/>
      </c>
      <c r="B192" s="3"/>
      <c r="C192" s="3"/>
      <c r="D192" s="3"/>
      <c r="E192" s="3"/>
      <c r="F192" s="5"/>
      <c r="G192" s="5"/>
      <c r="H192" s="5"/>
      <c r="I192" s="5"/>
      <c r="J192" s="6" t="str">
        <f>IF(D192="","",后台计算!E186)</f>
        <v/>
      </c>
      <c r="K192" s="6" t="str">
        <f>IF(D192="","",后台计算!AY186)</f>
        <v/>
      </c>
      <c r="L192" s="7" t="str">
        <f>IF(D192="","",后台计算!AZ186)</f>
        <v/>
      </c>
      <c r="M192" s="7" t="str">
        <f>IF(D192="","",后台计算!BA186)</f>
        <v/>
      </c>
      <c r="N192" s="4" t="str">
        <f>IF(D192="","",后台计算!BG186)</f>
        <v/>
      </c>
      <c r="O192" s="6" t="str">
        <f>IF(D192="","",后台计算!BU186)</f>
        <v/>
      </c>
      <c r="P192" s="6" t="str">
        <f>IF(D192="","",后台计算!BV186)</f>
        <v/>
      </c>
      <c r="Q192" s="6" t="str">
        <f t="shared" si="9"/>
        <v/>
      </c>
      <c r="R192" s="6" t="str">
        <f t="shared" si="10"/>
        <v/>
      </c>
      <c r="S192" s="6" t="str">
        <f t="shared" si="11"/>
        <v/>
      </c>
      <c r="T192" s="4" t="str">
        <f>IF(D192="","","红:"&amp;IF(后台计算!U186=0,"无",IF(后台计算!U186=1,"雷鸣","极限"))&amp;" 增压"&amp;TEXT(后台计算!W186,"0")&amp;" 弹药"&amp;TEXT(后台计算!X186,"0")&amp;"｜37灵光"&amp;TEXT(后台计算!AB186,"0")&amp;" 启迪"&amp;TEXT(后台计算!AC186,"0")&amp;"｜灵犀"&amp;TEXT(后台计算!AV186,"0")&amp;"｜J燃烧"&amp;TEXT(后台计算!AD186,"0")&amp;" 敌燃烧"&amp;TEXT(后台计算!AE186,"0"))</f>
        <v/>
      </c>
      <c r="U192" s="4" t="str">
        <f>IF(D192="","",后台计算!BX186)</f>
        <v/>
      </c>
    </row>
    <row r="193" spans="1:21" ht="38.1" customHeight="1">
      <c r="A193" s="1" t="str">
        <f t="shared" si="8"/>
        <v/>
      </c>
      <c r="B193" s="3"/>
      <c r="C193" s="3"/>
      <c r="D193" s="3"/>
      <c r="E193" s="3"/>
      <c r="F193" s="5"/>
      <c r="G193" s="5"/>
      <c r="H193" s="5"/>
      <c r="I193" s="5"/>
      <c r="J193" s="6" t="str">
        <f>IF(D193="","",后台计算!E187)</f>
        <v/>
      </c>
      <c r="K193" s="6" t="str">
        <f>IF(D193="","",后台计算!AY187)</f>
        <v/>
      </c>
      <c r="L193" s="7" t="str">
        <f>IF(D193="","",后台计算!AZ187)</f>
        <v/>
      </c>
      <c r="M193" s="7" t="str">
        <f>IF(D193="","",后台计算!BA187)</f>
        <v/>
      </c>
      <c r="N193" s="4" t="str">
        <f>IF(D193="","",后台计算!BG187)</f>
        <v/>
      </c>
      <c r="O193" s="6" t="str">
        <f>IF(D193="","",后台计算!BU187)</f>
        <v/>
      </c>
      <c r="P193" s="6" t="str">
        <f>IF(D193="","",后台计算!BV187)</f>
        <v/>
      </c>
      <c r="Q193" s="6" t="str">
        <f t="shared" si="9"/>
        <v/>
      </c>
      <c r="R193" s="6" t="str">
        <f t="shared" si="10"/>
        <v/>
      </c>
      <c r="S193" s="6" t="str">
        <f t="shared" si="11"/>
        <v/>
      </c>
      <c r="T193" s="4" t="str">
        <f>IF(D193="","","红:"&amp;IF(后台计算!U187=0,"无",IF(后台计算!U187=1,"雷鸣","极限"))&amp;" 增压"&amp;TEXT(后台计算!W187,"0")&amp;" 弹药"&amp;TEXT(后台计算!X187,"0")&amp;"｜37灵光"&amp;TEXT(后台计算!AB187,"0")&amp;" 启迪"&amp;TEXT(后台计算!AC187,"0")&amp;"｜灵犀"&amp;TEXT(后台计算!AV187,"0")&amp;"｜J燃烧"&amp;TEXT(后台计算!AD187,"0")&amp;" 敌燃烧"&amp;TEXT(后台计算!AE187,"0"))</f>
        <v/>
      </c>
      <c r="U193" s="4" t="str">
        <f>IF(D193="","",后台计算!BX187)</f>
        <v/>
      </c>
    </row>
    <row r="194" spans="1:21" ht="38.1" customHeight="1">
      <c r="A194" s="1" t="str">
        <f t="shared" si="8"/>
        <v/>
      </c>
      <c r="B194" s="3"/>
      <c r="C194" s="3"/>
      <c r="D194" s="3"/>
      <c r="E194" s="3"/>
      <c r="F194" s="5"/>
      <c r="G194" s="5"/>
      <c r="H194" s="5"/>
      <c r="I194" s="5"/>
      <c r="J194" s="6" t="str">
        <f>IF(D194="","",后台计算!E188)</f>
        <v/>
      </c>
      <c r="K194" s="6" t="str">
        <f>IF(D194="","",后台计算!AY188)</f>
        <v/>
      </c>
      <c r="L194" s="7" t="str">
        <f>IF(D194="","",后台计算!AZ188)</f>
        <v/>
      </c>
      <c r="M194" s="7" t="str">
        <f>IF(D194="","",后台计算!BA188)</f>
        <v/>
      </c>
      <c r="N194" s="4" t="str">
        <f>IF(D194="","",后台计算!BG188)</f>
        <v/>
      </c>
      <c r="O194" s="6" t="str">
        <f>IF(D194="","",后台计算!BU188)</f>
        <v/>
      </c>
      <c r="P194" s="6" t="str">
        <f>IF(D194="","",后台计算!BV188)</f>
        <v/>
      </c>
      <c r="Q194" s="6" t="str">
        <f t="shared" si="9"/>
        <v/>
      </c>
      <c r="R194" s="6" t="str">
        <f t="shared" si="10"/>
        <v/>
      </c>
      <c r="S194" s="6" t="str">
        <f t="shared" si="11"/>
        <v/>
      </c>
      <c r="T194" s="4" t="str">
        <f>IF(D194="","","红:"&amp;IF(后台计算!U188=0,"无",IF(后台计算!U188=1,"雷鸣","极限"))&amp;" 增压"&amp;TEXT(后台计算!W188,"0")&amp;" 弹药"&amp;TEXT(后台计算!X188,"0")&amp;"｜37灵光"&amp;TEXT(后台计算!AB188,"0")&amp;" 启迪"&amp;TEXT(后台计算!AC188,"0")&amp;"｜灵犀"&amp;TEXT(后台计算!AV188,"0")&amp;"｜J燃烧"&amp;TEXT(后台计算!AD188,"0")&amp;" 敌燃烧"&amp;TEXT(后台计算!AE188,"0"))</f>
        <v/>
      </c>
      <c r="U194" s="4" t="str">
        <f>IF(D194="","",后台计算!BX188)</f>
        <v/>
      </c>
    </row>
    <row r="195" spans="1:21" ht="38.1" customHeight="1">
      <c r="A195" s="1" t="str">
        <f t="shared" si="8"/>
        <v/>
      </c>
      <c r="B195" s="3"/>
      <c r="C195" s="3"/>
      <c r="D195" s="3"/>
      <c r="E195" s="3"/>
      <c r="F195" s="5"/>
      <c r="G195" s="5"/>
      <c r="H195" s="5"/>
      <c r="I195" s="5"/>
      <c r="J195" s="6" t="str">
        <f>IF(D195="","",后台计算!E189)</f>
        <v/>
      </c>
      <c r="K195" s="6" t="str">
        <f>IF(D195="","",后台计算!AY189)</f>
        <v/>
      </c>
      <c r="L195" s="7" t="str">
        <f>IF(D195="","",后台计算!AZ189)</f>
        <v/>
      </c>
      <c r="M195" s="7" t="str">
        <f>IF(D195="","",后台计算!BA189)</f>
        <v/>
      </c>
      <c r="N195" s="4" t="str">
        <f>IF(D195="","",后台计算!BG189)</f>
        <v/>
      </c>
      <c r="O195" s="6" t="str">
        <f>IF(D195="","",后台计算!BU189)</f>
        <v/>
      </c>
      <c r="P195" s="6" t="str">
        <f>IF(D195="","",后台计算!BV189)</f>
        <v/>
      </c>
      <c r="Q195" s="6" t="str">
        <f t="shared" si="9"/>
        <v/>
      </c>
      <c r="R195" s="6" t="str">
        <f t="shared" si="10"/>
        <v/>
      </c>
      <c r="S195" s="6" t="str">
        <f t="shared" si="11"/>
        <v/>
      </c>
      <c r="T195" s="4" t="str">
        <f>IF(D195="","","红:"&amp;IF(后台计算!U189=0,"无",IF(后台计算!U189=1,"雷鸣","极限"))&amp;" 增压"&amp;TEXT(后台计算!W189,"0")&amp;" 弹药"&amp;TEXT(后台计算!X189,"0")&amp;"｜37灵光"&amp;TEXT(后台计算!AB189,"0")&amp;" 启迪"&amp;TEXT(后台计算!AC189,"0")&amp;"｜灵犀"&amp;TEXT(后台计算!AV189,"0")&amp;"｜J燃烧"&amp;TEXT(后台计算!AD189,"0")&amp;" 敌燃烧"&amp;TEXT(后台计算!AE189,"0"))</f>
        <v/>
      </c>
      <c r="U195" s="4" t="str">
        <f>IF(D195="","",后台计算!BX189)</f>
        <v/>
      </c>
    </row>
    <row r="196" spans="1:21" ht="38.1" customHeight="1">
      <c r="A196" s="1" t="str">
        <f t="shared" si="8"/>
        <v/>
      </c>
      <c r="B196" s="3"/>
      <c r="C196" s="3"/>
      <c r="D196" s="3"/>
      <c r="E196" s="3"/>
      <c r="F196" s="5"/>
      <c r="G196" s="5"/>
      <c r="H196" s="5"/>
      <c r="I196" s="5"/>
      <c r="J196" s="6" t="str">
        <f>IF(D196="","",后台计算!E190)</f>
        <v/>
      </c>
      <c r="K196" s="6" t="str">
        <f>IF(D196="","",后台计算!AY190)</f>
        <v/>
      </c>
      <c r="L196" s="7" t="str">
        <f>IF(D196="","",后台计算!AZ190)</f>
        <v/>
      </c>
      <c r="M196" s="7" t="str">
        <f>IF(D196="","",后台计算!BA190)</f>
        <v/>
      </c>
      <c r="N196" s="4" t="str">
        <f>IF(D196="","",后台计算!BG190)</f>
        <v/>
      </c>
      <c r="O196" s="6" t="str">
        <f>IF(D196="","",后台计算!BU190)</f>
        <v/>
      </c>
      <c r="P196" s="6" t="str">
        <f>IF(D196="","",后台计算!BV190)</f>
        <v/>
      </c>
      <c r="Q196" s="6" t="str">
        <f t="shared" si="9"/>
        <v/>
      </c>
      <c r="R196" s="6" t="str">
        <f t="shared" si="10"/>
        <v/>
      </c>
      <c r="S196" s="6" t="str">
        <f t="shared" si="11"/>
        <v/>
      </c>
      <c r="T196" s="4" t="str">
        <f>IF(D196="","","红:"&amp;IF(后台计算!U190=0,"无",IF(后台计算!U190=1,"雷鸣","极限"))&amp;" 增压"&amp;TEXT(后台计算!W190,"0")&amp;" 弹药"&amp;TEXT(后台计算!X190,"0")&amp;"｜37灵光"&amp;TEXT(后台计算!AB190,"0")&amp;" 启迪"&amp;TEXT(后台计算!AC190,"0")&amp;"｜灵犀"&amp;TEXT(后台计算!AV190,"0")&amp;"｜J燃烧"&amp;TEXT(后台计算!AD190,"0")&amp;" 敌燃烧"&amp;TEXT(后台计算!AE190,"0"))</f>
        <v/>
      </c>
      <c r="U196" s="4" t="str">
        <f>IF(D196="","",后台计算!BX190)</f>
        <v/>
      </c>
    </row>
    <row r="197" spans="1:21" ht="38.1" customHeight="1">
      <c r="A197" s="1" t="str">
        <f t="shared" si="8"/>
        <v/>
      </c>
      <c r="B197" s="3"/>
      <c r="C197" s="3"/>
      <c r="D197" s="3"/>
      <c r="E197" s="3"/>
      <c r="F197" s="5"/>
      <c r="G197" s="5"/>
      <c r="H197" s="5"/>
      <c r="I197" s="5"/>
      <c r="J197" s="6" t="str">
        <f>IF(D197="","",后台计算!E191)</f>
        <v/>
      </c>
      <c r="K197" s="6" t="str">
        <f>IF(D197="","",后台计算!AY191)</f>
        <v/>
      </c>
      <c r="L197" s="7" t="str">
        <f>IF(D197="","",后台计算!AZ191)</f>
        <v/>
      </c>
      <c r="M197" s="7" t="str">
        <f>IF(D197="","",后台计算!BA191)</f>
        <v/>
      </c>
      <c r="N197" s="4" t="str">
        <f>IF(D197="","",后台计算!BG191)</f>
        <v/>
      </c>
      <c r="O197" s="6" t="str">
        <f>IF(D197="","",后台计算!BU191)</f>
        <v/>
      </c>
      <c r="P197" s="6" t="str">
        <f>IF(D197="","",后台计算!BV191)</f>
        <v/>
      </c>
      <c r="Q197" s="6" t="str">
        <f t="shared" si="9"/>
        <v/>
      </c>
      <c r="R197" s="6" t="str">
        <f t="shared" si="10"/>
        <v/>
      </c>
      <c r="S197" s="6" t="str">
        <f t="shared" si="11"/>
        <v/>
      </c>
      <c r="T197" s="4" t="str">
        <f>IF(D197="","","红:"&amp;IF(后台计算!U191=0,"无",IF(后台计算!U191=1,"雷鸣","极限"))&amp;" 增压"&amp;TEXT(后台计算!W191,"0")&amp;" 弹药"&amp;TEXT(后台计算!X191,"0")&amp;"｜37灵光"&amp;TEXT(后台计算!AB191,"0")&amp;" 启迪"&amp;TEXT(后台计算!AC191,"0")&amp;"｜灵犀"&amp;TEXT(后台计算!AV191,"0")&amp;"｜J燃烧"&amp;TEXT(后台计算!AD191,"0")&amp;" 敌燃烧"&amp;TEXT(后台计算!AE191,"0"))</f>
        <v/>
      </c>
      <c r="U197" s="4" t="str">
        <f>IF(D197="","",后台计算!BX191)</f>
        <v/>
      </c>
    </row>
    <row r="198" spans="1:21" ht="38.1" customHeight="1">
      <c r="A198" s="1" t="str">
        <f t="shared" si="8"/>
        <v/>
      </c>
      <c r="B198" s="3"/>
      <c r="C198" s="3"/>
      <c r="D198" s="3"/>
      <c r="E198" s="3"/>
      <c r="F198" s="5"/>
      <c r="G198" s="5"/>
      <c r="H198" s="5"/>
      <c r="I198" s="5"/>
      <c r="J198" s="6" t="str">
        <f>IF(D198="","",后台计算!E192)</f>
        <v/>
      </c>
      <c r="K198" s="6" t="str">
        <f>IF(D198="","",后台计算!AY192)</f>
        <v/>
      </c>
      <c r="L198" s="7" t="str">
        <f>IF(D198="","",后台计算!AZ192)</f>
        <v/>
      </c>
      <c r="M198" s="7" t="str">
        <f>IF(D198="","",后台计算!BA192)</f>
        <v/>
      </c>
      <c r="N198" s="4" t="str">
        <f>IF(D198="","",后台计算!BG192)</f>
        <v/>
      </c>
      <c r="O198" s="6" t="str">
        <f>IF(D198="","",后台计算!BU192)</f>
        <v/>
      </c>
      <c r="P198" s="6" t="str">
        <f>IF(D198="","",后台计算!BV192)</f>
        <v/>
      </c>
      <c r="Q198" s="6" t="str">
        <f t="shared" si="9"/>
        <v/>
      </c>
      <c r="R198" s="6" t="str">
        <f t="shared" si="10"/>
        <v/>
      </c>
      <c r="S198" s="6" t="str">
        <f t="shared" si="11"/>
        <v/>
      </c>
      <c r="T198" s="4" t="str">
        <f>IF(D198="","","红:"&amp;IF(后台计算!U192=0,"无",IF(后台计算!U192=1,"雷鸣","极限"))&amp;" 增压"&amp;TEXT(后台计算!W192,"0")&amp;" 弹药"&amp;TEXT(后台计算!X192,"0")&amp;"｜37灵光"&amp;TEXT(后台计算!AB192,"0")&amp;" 启迪"&amp;TEXT(后台计算!AC192,"0")&amp;"｜灵犀"&amp;TEXT(后台计算!AV192,"0")&amp;"｜J燃烧"&amp;TEXT(后台计算!AD192,"0")&amp;" 敌燃烧"&amp;TEXT(后台计算!AE192,"0"))</f>
        <v/>
      </c>
      <c r="U198" s="4" t="str">
        <f>IF(D198="","",后台计算!BX192)</f>
        <v/>
      </c>
    </row>
    <row r="199" spans="1:21" ht="38.1" customHeight="1">
      <c r="A199" s="1" t="str">
        <f t="shared" si="8"/>
        <v/>
      </c>
      <c r="B199" s="3"/>
      <c r="C199" s="3"/>
      <c r="D199" s="3"/>
      <c r="E199" s="3"/>
      <c r="F199" s="5"/>
      <c r="G199" s="5"/>
      <c r="H199" s="5"/>
      <c r="I199" s="5"/>
      <c r="J199" s="6" t="str">
        <f>IF(D199="","",后台计算!E193)</f>
        <v/>
      </c>
      <c r="K199" s="6" t="str">
        <f>IF(D199="","",后台计算!AY193)</f>
        <v/>
      </c>
      <c r="L199" s="7" t="str">
        <f>IF(D199="","",后台计算!AZ193)</f>
        <v/>
      </c>
      <c r="M199" s="7" t="str">
        <f>IF(D199="","",后台计算!BA193)</f>
        <v/>
      </c>
      <c r="N199" s="4" t="str">
        <f>IF(D199="","",后台计算!BG193)</f>
        <v/>
      </c>
      <c r="O199" s="6" t="str">
        <f>IF(D199="","",后台计算!BU193)</f>
        <v/>
      </c>
      <c r="P199" s="6" t="str">
        <f>IF(D199="","",后台计算!BV193)</f>
        <v/>
      </c>
      <c r="Q199" s="6" t="str">
        <f t="shared" si="9"/>
        <v/>
      </c>
      <c r="R199" s="6" t="str">
        <f t="shared" si="10"/>
        <v/>
      </c>
      <c r="S199" s="6" t="str">
        <f t="shared" si="11"/>
        <v/>
      </c>
      <c r="T199" s="4" t="str">
        <f>IF(D199="","","红:"&amp;IF(后台计算!U193=0,"无",IF(后台计算!U193=1,"雷鸣","极限"))&amp;" 增压"&amp;TEXT(后台计算!W193,"0")&amp;" 弹药"&amp;TEXT(后台计算!X193,"0")&amp;"｜37灵光"&amp;TEXT(后台计算!AB193,"0")&amp;" 启迪"&amp;TEXT(后台计算!AC193,"0")&amp;"｜灵犀"&amp;TEXT(后台计算!AV193,"0")&amp;"｜J燃烧"&amp;TEXT(后台计算!AD193,"0")&amp;" 敌燃烧"&amp;TEXT(后台计算!AE193,"0"))</f>
        <v/>
      </c>
      <c r="U199" s="4" t="str">
        <f>IF(D199="","",后台计算!BX193)</f>
        <v/>
      </c>
    </row>
    <row r="200" spans="1:21" ht="38.1" customHeight="1">
      <c r="A200" s="1" t="str">
        <f t="shared" si="8"/>
        <v/>
      </c>
      <c r="B200" s="3"/>
      <c r="C200" s="3"/>
      <c r="D200" s="3"/>
      <c r="E200" s="3"/>
      <c r="F200" s="5"/>
      <c r="G200" s="5"/>
      <c r="H200" s="5"/>
      <c r="I200" s="5"/>
      <c r="J200" s="6" t="str">
        <f>IF(D200="","",后台计算!E194)</f>
        <v/>
      </c>
      <c r="K200" s="6" t="str">
        <f>IF(D200="","",后台计算!AY194)</f>
        <v/>
      </c>
      <c r="L200" s="7" t="str">
        <f>IF(D200="","",后台计算!AZ194)</f>
        <v/>
      </c>
      <c r="M200" s="7" t="str">
        <f>IF(D200="","",后台计算!BA194)</f>
        <v/>
      </c>
      <c r="N200" s="4" t="str">
        <f>IF(D200="","",后台计算!BG194)</f>
        <v/>
      </c>
      <c r="O200" s="6" t="str">
        <f>IF(D200="","",后台计算!BU194)</f>
        <v/>
      </c>
      <c r="P200" s="6" t="str">
        <f>IF(D200="","",后台计算!BV194)</f>
        <v/>
      </c>
      <c r="Q200" s="6" t="str">
        <f t="shared" si="9"/>
        <v/>
      </c>
      <c r="R200" s="6" t="str">
        <f t="shared" si="10"/>
        <v/>
      </c>
      <c r="S200" s="6" t="str">
        <f t="shared" si="11"/>
        <v/>
      </c>
      <c r="T200" s="4" t="str">
        <f>IF(D200="","","红:"&amp;IF(后台计算!U194=0,"无",IF(后台计算!U194=1,"雷鸣","极限"))&amp;" 增压"&amp;TEXT(后台计算!W194,"0")&amp;" 弹药"&amp;TEXT(后台计算!X194,"0")&amp;"｜37灵光"&amp;TEXT(后台计算!AB194,"0")&amp;" 启迪"&amp;TEXT(后台计算!AC194,"0")&amp;"｜灵犀"&amp;TEXT(后台计算!AV194,"0")&amp;"｜J燃烧"&amp;TEXT(后台计算!AD194,"0")&amp;" 敌燃烧"&amp;TEXT(后台计算!AE194,"0"))</f>
        <v/>
      </c>
      <c r="U200" s="4" t="str">
        <f>IF(D200="","",后台计算!BX194)</f>
        <v/>
      </c>
    </row>
    <row r="201" spans="1:21" ht="38.1" customHeight="1">
      <c r="A201" s="1" t="str">
        <f t="shared" ref="A201:A249" si="12">IF(D201="","",ROW()-8)</f>
        <v/>
      </c>
      <c r="B201" s="3"/>
      <c r="C201" s="3"/>
      <c r="D201" s="3"/>
      <c r="E201" s="3"/>
      <c r="F201" s="5"/>
      <c r="G201" s="5"/>
      <c r="H201" s="5"/>
      <c r="I201" s="5"/>
      <c r="J201" s="6" t="str">
        <f>IF(D201="","",后台计算!E195)</f>
        <v/>
      </c>
      <c r="K201" s="6" t="str">
        <f>IF(D201="","",后台计算!AY195)</f>
        <v/>
      </c>
      <c r="L201" s="7" t="str">
        <f>IF(D201="","",后台计算!AZ195)</f>
        <v/>
      </c>
      <c r="M201" s="7" t="str">
        <f>IF(D201="","",后台计算!BA195)</f>
        <v/>
      </c>
      <c r="N201" s="4" t="str">
        <f>IF(D201="","",后台计算!BG195)</f>
        <v/>
      </c>
      <c r="O201" s="6" t="str">
        <f>IF(D201="","",后台计算!BU195)</f>
        <v/>
      </c>
      <c r="P201" s="6" t="str">
        <f>IF(D201="","",后台计算!BV195)</f>
        <v/>
      </c>
      <c r="Q201" s="6" t="str">
        <f t="shared" ref="Q201:Q249" si="13">IF(D201="","",IF(E201="是",P201,IF(E201="否",O201,"")))</f>
        <v/>
      </c>
      <c r="R201" s="6" t="str">
        <f t="shared" ref="R201:R249" si="14">IF(COUNT(F201:H201)=0,"",SUM(F201:H201))</f>
        <v/>
      </c>
      <c r="S201" s="6" t="str">
        <f t="shared" ref="S201:S249" si="15">IF(AND(ISNUMBER(Q201),ISNUMBER(R201)),Q201-R201,"")</f>
        <v/>
      </c>
      <c r="T201" s="4" t="str">
        <f>IF(D201="","","红:"&amp;IF(后台计算!U195=0,"无",IF(后台计算!U195=1,"雷鸣","极限"))&amp;" 增压"&amp;TEXT(后台计算!W195,"0")&amp;" 弹药"&amp;TEXT(后台计算!X195,"0")&amp;"｜37灵光"&amp;TEXT(后台计算!AB195,"0")&amp;" 启迪"&amp;TEXT(后台计算!AC195,"0")&amp;"｜灵犀"&amp;TEXT(后台计算!AV195,"0")&amp;"｜J燃烧"&amp;TEXT(后台计算!AD195,"0")&amp;" 敌燃烧"&amp;TEXT(后台计算!AE195,"0"))</f>
        <v/>
      </c>
      <c r="U201" s="4" t="str">
        <f>IF(D201="","",后台计算!BX195)</f>
        <v/>
      </c>
    </row>
    <row r="202" spans="1:21" ht="38.1" customHeight="1">
      <c r="A202" s="1" t="str">
        <f t="shared" si="12"/>
        <v/>
      </c>
      <c r="B202" s="3"/>
      <c r="C202" s="3"/>
      <c r="D202" s="3"/>
      <c r="E202" s="3"/>
      <c r="F202" s="5"/>
      <c r="G202" s="5"/>
      <c r="H202" s="5"/>
      <c r="I202" s="5"/>
      <c r="J202" s="6" t="str">
        <f>IF(D202="","",后台计算!E196)</f>
        <v/>
      </c>
      <c r="K202" s="6" t="str">
        <f>IF(D202="","",后台计算!AY196)</f>
        <v/>
      </c>
      <c r="L202" s="7" t="str">
        <f>IF(D202="","",后台计算!AZ196)</f>
        <v/>
      </c>
      <c r="M202" s="7" t="str">
        <f>IF(D202="","",后台计算!BA196)</f>
        <v/>
      </c>
      <c r="N202" s="4" t="str">
        <f>IF(D202="","",后台计算!BG196)</f>
        <v/>
      </c>
      <c r="O202" s="6" t="str">
        <f>IF(D202="","",后台计算!BU196)</f>
        <v/>
      </c>
      <c r="P202" s="6" t="str">
        <f>IF(D202="","",后台计算!BV196)</f>
        <v/>
      </c>
      <c r="Q202" s="6" t="str">
        <f t="shared" si="13"/>
        <v/>
      </c>
      <c r="R202" s="6" t="str">
        <f t="shared" si="14"/>
        <v/>
      </c>
      <c r="S202" s="6" t="str">
        <f t="shared" si="15"/>
        <v/>
      </c>
      <c r="T202" s="4" t="str">
        <f>IF(D202="","","红:"&amp;IF(后台计算!U196=0,"无",IF(后台计算!U196=1,"雷鸣","极限"))&amp;" 增压"&amp;TEXT(后台计算!W196,"0")&amp;" 弹药"&amp;TEXT(后台计算!X196,"0")&amp;"｜37灵光"&amp;TEXT(后台计算!AB196,"0")&amp;" 启迪"&amp;TEXT(后台计算!AC196,"0")&amp;"｜灵犀"&amp;TEXT(后台计算!AV196,"0")&amp;"｜J燃烧"&amp;TEXT(后台计算!AD196,"0")&amp;" 敌燃烧"&amp;TEXT(后台计算!AE196,"0"))</f>
        <v/>
      </c>
      <c r="U202" s="4" t="str">
        <f>IF(D202="","",后台计算!BX196)</f>
        <v/>
      </c>
    </row>
    <row r="203" spans="1:21" ht="38.1" customHeight="1">
      <c r="A203" s="1" t="str">
        <f t="shared" si="12"/>
        <v/>
      </c>
      <c r="B203" s="3"/>
      <c r="C203" s="3"/>
      <c r="D203" s="3"/>
      <c r="E203" s="3"/>
      <c r="F203" s="5"/>
      <c r="G203" s="5"/>
      <c r="H203" s="5"/>
      <c r="I203" s="5"/>
      <c r="J203" s="6" t="str">
        <f>IF(D203="","",后台计算!E197)</f>
        <v/>
      </c>
      <c r="K203" s="6" t="str">
        <f>IF(D203="","",后台计算!AY197)</f>
        <v/>
      </c>
      <c r="L203" s="7" t="str">
        <f>IF(D203="","",后台计算!AZ197)</f>
        <v/>
      </c>
      <c r="M203" s="7" t="str">
        <f>IF(D203="","",后台计算!BA197)</f>
        <v/>
      </c>
      <c r="N203" s="4" t="str">
        <f>IF(D203="","",后台计算!BG197)</f>
        <v/>
      </c>
      <c r="O203" s="6" t="str">
        <f>IF(D203="","",后台计算!BU197)</f>
        <v/>
      </c>
      <c r="P203" s="6" t="str">
        <f>IF(D203="","",后台计算!BV197)</f>
        <v/>
      </c>
      <c r="Q203" s="6" t="str">
        <f t="shared" si="13"/>
        <v/>
      </c>
      <c r="R203" s="6" t="str">
        <f t="shared" si="14"/>
        <v/>
      </c>
      <c r="S203" s="6" t="str">
        <f t="shared" si="15"/>
        <v/>
      </c>
      <c r="T203" s="4" t="str">
        <f>IF(D203="","","红:"&amp;IF(后台计算!U197=0,"无",IF(后台计算!U197=1,"雷鸣","极限"))&amp;" 增压"&amp;TEXT(后台计算!W197,"0")&amp;" 弹药"&amp;TEXT(后台计算!X197,"0")&amp;"｜37灵光"&amp;TEXT(后台计算!AB197,"0")&amp;" 启迪"&amp;TEXT(后台计算!AC197,"0")&amp;"｜灵犀"&amp;TEXT(后台计算!AV197,"0")&amp;"｜J燃烧"&amp;TEXT(后台计算!AD197,"0")&amp;" 敌燃烧"&amp;TEXT(后台计算!AE197,"0"))</f>
        <v/>
      </c>
      <c r="U203" s="4" t="str">
        <f>IF(D203="","",后台计算!BX197)</f>
        <v/>
      </c>
    </row>
    <row r="204" spans="1:21" ht="38.1" customHeight="1">
      <c r="A204" s="1" t="str">
        <f t="shared" si="12"/>
        <v/>
      </c>
      <c r="B204" s="3"/>
      <c r="C204" s="3"/>
      <c r="D204" s="3"/>
      <c r="E204" s="3"/>
      <c r="F204" s="5"/>
      <c r="G204" s="5"/>
      <c r="H204" s="5"/>
      <c r="I204" s="5"/>
      <c r="J204" s="6" t="str">
        <f>IF(D204="","",后台计算!E198)</f>
        <v/>
      </c>
      <c r="K204" s="6" t="str">
        <f>IF(D204="","",后台计算!AY198)</f>
        <v/>
      </c>
      <c r="L204" s="7" t="str">
        <f>IF(D204="","",后台计算!AZ198)</f>
        <v/>
      </c>
      <c r="M204" s="7" t="str">
        <f>IF(D204="","",后台计算!BA198)</f>
        <v/>
      </c>
      <c r="N204" s="4" t="str">
        <f>IF(D204="","",后台计算!BG198)</f>
        <v/>
      </c>
      <c r="O204" s="6" t="str">
        <f>IF(D204="","",后台计算!BU198)</f>
        <v/>
      </c>
      <c r="P204" s="6" t="str">
        <f>IF(D204="","",后台计算!BV198)</f>
        <v/>
      </c>
      <c r="Q204" s="6" t="str">
        <f t="shared" si="13"/>
        <v/>
      </c>
      <c r="R204" s="6" t="str">
        <f t="shared" si="14"/>
        <v/>
      </c>
      <c r="S204" s="6" t="str">
        <f t="shared" si="15"/>
        <v/>
      </c>
      <c r="T204" s="4" t="str">
        <f>IF(D204="","","红:"&amp;IF(后台计算!U198=0,"无",IF(后台计算!U198=1,"雷鸣","极限"))&amp;" 增压"&amp;TEXT(后台计算!W198,"0")&amp;" 弹药"&amp;TEXT(后台计算!X198,"0")&amp;"｜37灵光"&amp;TEXT(后台计算!AB198,"0")&amp;" 启迪"&amp;TEXT(后台计算!AC198,"0")&amp;"｜灵犀"&amp;TEXT(后台计算!AV198,"0")&amp;"｜J燃烧"&amp;TEXT(后台计算!AD198,"0")&amp;" 敌燃烧"&amp;TEXT(后台计算!AE198,"0"))</f>
        <v/>
      </c>
      <c r="U204" s="4" t="str">
        <f>IF(D204="","",后台计算!BX198)</f>
        <v/>
      </c>
    </row>
    <row r="205" spans="1:21" ht="38.1" customHeight="1">
      <c r="A205" s="1" t="str">
        <f t="shared" si="12"/>
        <v/>
      </c>
      <c r="B205" s="3"/>
      <c r="C205" s="3"/>
      <c r="D205" s="3"/>
      <c r="E205" s="3"/>
      <c r="F205" s="5"/>
      <c r="G205" s="5"/>
      <c r="H205" s="5"/>
      <c r="I205" s="5"/>
      <c r="J205" s="6" t="str">
        <f>IF(D205="","",后台计算!E199)</f>
        <v/>
      </c>
      <c r="K205" s="6" t="str">
        <f>IF(D205="","",后台计算!AY199)</f>
        <v/>
      </c>
      <c r="L205" s="7" t="str">
        <f>IF(D205="","",后台计算!AZ199)</f>
        <v/>
      </c>
      <c r="M205" s="7" t="str">
        <f>IF(D205="","",后台计算!BA199)</f>
        <v/>
      </c>
      <c r="N205" s="4" t="str">
        <f>IF(D205="","",后台计算!BG199)</f>
        <v/>
      </c>
      <c r="O205" s="6" t="str">
        <f>IF(D205="","",后台计算!BU199)</f>
        <v/>
      </c>
      <c r="P205" s="6" t="str">
        <f>IF(D205="","",后台计算!BV199)</f>
        <v/>
      </c>
      <c r="Q205" s="6" t="str">
        <f t="shared" si="13"/>
        <v/>
      </c>
      <c r="R205" s="6" t="str">
        <f t="shared" si="14"/>
        <v/>
      </c>
      <c r="S205" s="6" t="str">
        <f t="shared" si="15"/>
        <v/>
      </c>
      <c r="T205" s="4" t="str">
        <f>IF(D205="","","红:"&amp;IF(后台计算!U199=0,"无",IF(后台计算!U199=1,"雷鸣","极限"))&amp;" 增压"&amp;TEXT(后台计算!W199,"0")&amp;" 弹药"&amp;TEXT(后台计算!X199,"0")&amp;"｜37灵光"&amp;TEXT(后台计算!AB199,"0")&amp;" 启迪"&amp;TEXT(后台计算!AC199,"0")&amp;"｜灵犀"&amp;TEXT(后台计算!AV199,"0")&amp;"｜J燃烧"&amp;TEXT(后台计算!AD199,"0")&amp;" 敌燃烧"&amp;TEXT(后台计算!AE199,"0"))</f>
        <v/>
      </c>
      <c r="U205" s="4" t="str">
        <f>IF(D205="","",后台计算!BX199)</f>
        <v/>
      </c>
    </row>
    <row r="206" spans="1:21" ht="38.1" customHeight="1">
      <c r="A206" s="1" t="str">
        <f t="shared" si="12"/>
        <v/>
      </c>
      <c r="B206" s="3"/>
      <c r="C206" s="3"/>
      <c r="D206" s="3"/>
      <c r="E206" s="3"/>
      <c r="F206" s="5"/>
      <c r="G206" s="5"/>
      <c r="H206" s="5"/>
      <c r="I206" s="5"/>
      <c r="J206" s="6" t="str">
        <f>IF(D206="","",后台计算!E200)</f>
        <v/>
      </c>
      <c r="K206" s="6" t="str">
        <f>IF(D206="","",后台计算!AY200)</f>
        <v/>
      </c>
      <c r="L206" s="7" t="str">
        <f>IF(D206="","",后台计算!AZ200)</f>
        <v/>
      </c>
      <c r="M206" s="7" t="str">
        <f>IF(D206="","",后台计算!BA200)</f>
        <v/>
      </c>
      <c r="N206" s="4" t="str">
        <f>IF(D206="","",后台计算!BG200)</f>
        <v/>
      </c>
      <c r="O206" s="6" t="str">
        <f>IF(D206="","",后台计算!BU200)</f>
        <v/>
      </c>
      <c r="P206" s="6" t="str">
        <f>IF(D206="","",后台计算!BV200)</f>
        <v/>
      </c>
      <c r="Q206" s="6" t="str">
        <f t="shared" si="13"/>
        <v/>
      </c>
      <c r="R206" s="6" t="str">
        <f t="shared" si="14"/>
        <v/>
      </c>
      <c r="S206" s="6" t="str">
        <f t="shared" si="15"/>
        <v/>
      </c>
      <c r="T206" s="4" t="str">
        <f>IF(D206="","","红:"&amp;IF(后台计算!U200=0,"无",IF(后台计算!U200=1,"雷鸣","极限"))&amp;" 增压"&amp;TEXT(后台计算!W200,"0")&amp;" 弹药"&amp;TEXT(后台计算!X200,"0")&amp;"｜37灵光"&amp;TEXT(后台计算!AB200,"0")&amp;" 启迪"&amp;TEXT(后台计算!AC200,"0")&amp;"｜灵犀"&amp;TEXT(后台计算!AV200,"0")&amp;"｜J燃烧"&amp;TEXT(后台计算!AD200,"0")&amp;" 敌燃烧"&amp;TEXT(后台计算!AE200,"0"))</f>
        <v/>
      </c>
      <c r="U206" s="4" t="str">
        <f>IF(D206="","",后台计算!BX200)</f>
        <v/>
      </c>
    </row>
    <row r="207" spans="1:21" ht="38.1" customHeight="1">
      <c r="A207" s="1" t="str">
        <f t="shared" si="12"/>
        <v/>
      </c>
      <c r="B207" s="3"/>
      <c r="C207" s="3"/>
      <c r="D207" s="3"/>
      <c r="E207" s="3"/>
      <c r="F207" s="5"/>
      <c r="G207" s="5"/>
      <c r="H207" s="5"/>
      <c r="I207" s="5"/>
      <c r="J207" s="6" t="str">
        <f>IF(D207="","",后台计算!E201)</f>
        <v/>
      </c>
      <c r="K207" s="6" t="str">
        <f>IF(D207="","",后台计算!AY201)</f>
        <v/>
      </c>
      <c r="L207" s="7" t="str">
        <f>IF(D207="","",后台计算!AZ201)</f>
        <v/>
      </c>
      <c r="M207" s="7" t="str">
        <f>IF(D207="","",后台计算!BA201)</f>
        <v/>
      </c>
      <c r="N207" s="4" t="str">
        <f>IF(D207="","",后台计算!BG201)</f>
        <v/>
      </c>
      <c r="O207" s="6" t="str">
        <f>IF(D207="","",后台计算!BU201)</f>
        <v/>
      </c>
      <c r="P207" s="6" t="str">
        <f>IF(D207="","",后台计算!BV201)</f>
        <v/>
      </c>
      <c r="Q207" s="6" t="str">
        <f t="shared" si="13"/>
        <v/>
      </c>
      <c r="R207" s="6" t="str">
        <f t="shared" si="14"/>
        <v/>
      </c>
      <c r="S207" s="6" t="str">
        <f t="shared" si="15"/>
        <v/>
      </c>
      <c r="T207" s="4" t="str">
        <f>IF(D207="","","红:"&amp;IF(后台计算!U201=0,"无",IF(后台计算!U201=1,"雷鸣","极限"))&amp;" 增压"&amp;TEXT(后台计算!W201,"0")&amp;" 弹药"&amp;TEXT(后台计算!X201,"0")&amp;"｜37灵光"&amp;TEXT(后台计算!AB201,"0")&amp;" 启迪"&amp;TEXT(后台计算!AC201,"0")&amp;"｜灵犀"&amp;TEXT(后台计算!AV201,"0")&amp;"｜J燃烧"&amp;TEXT(后台计算!AD201,"0")&amp;" 敌燃烧"&amp;TEXT(后台计算!AE201,"0"))</f>
        <v/>
      </c>
      <c r="U207" s="4" t="str">
        <f>IF(D207="","",后台计算!BX201)</f>
        <v/>
      </c>
    </row>
    <row r="208" spans="1:21" ht="38.1" customHeight="1">
      <c r="A208" s="1" t="str">
        <f t="shared" si="12"/>
        <v/>
      </c>
      <c r="B208" s="3"/>
      <c r="C208" s="3"/>
      <c r="D208" s="3"/>
      <c r="E208" s="3"/>
      <c r="F208" s="5"/>
      <c r="G208" s="5"/>
      <c r="H208" s="5"/>
      <c r="I208" s="5"/>
      <c r="J208" s="6" t="str">
        <f>IF(D208="","",后台计算!E202)</f>
        <v/>
      </c>
      <c r="K208" s="6" t="str">
        <f>IF(D208="","",后台计算!AY202)</f>
        <v/>
      </c>
      <c r="L208" s="7" t="str">
        <f>IF(D208="","",后台计算!AZ202)</f>
        <v/>
      </c>
      <c r="M208" s="7" t="str">
        <f>IF(D208="","",后台计算!BA202)</f>
        <v/>
      </c>
      <c r="N208" s="4" t="str">
        <f>IF(D208="","",后台计算!BG202)</f>
        <v/>
      </c>
      <c r="O208" s="6" t="str">
        <f>IF(D208="","",后台计算!BU202)</f>
        <v/>
      </c>
      <c r="P208" s="6" t="str">
        <f>IF(D208="","",后台计算!BV202)</f>
        <v/>
      </c>
      <c r="Q208" s="6" t="str">
        <f t="shared" si="13"/>
        <v/>
      </c>
      <c r="R208" s="6" t="str">
        <f t="shared" si="14"/>
        <v/>
      </c>
      <c r="S208" s="6" t="str">
        <f t="shared" si="15"/>
        <v/>
      </c>
      <c r="T208" s="4" t="str">
        <f>IF(D208="","","红:"&amp;IF(后台计算!U202=0,"无",IF(后台计算!U202=1,"雷鸣","极限"))&amp;" 增压"&amp;TEXT(后台计算!W202,"0")&amp;" 弹药"&amp;TEXT(后台计算!X202,"0")&amp;"｜37灵光"&amp;TEXT(后台计算!AB202,"0")&amp;" 启迪"&amp;TEXT(后台计算!AC202,"0")&amp;"｜灵犀"&amp;TEXT(后台计算!AV202,"0")&amp;"｜J燃烧"&amp;TEXT(后台计算!AD202,"0")&amp;" 敌燃烧"&amp;TEXT(后台计算!AE202,"0"))</f>
        <v/>
      </c>
      <c r="U208" s="4" t="str">
        <f>IF(D208="","",后台计算!BX202)</f>
        <v/>
      </c>
    </row>
    <row r="209" spans="1:21" ht="38.1" customHeight="1">
      <c r="A209" s="1" t="str">
        <f t="shared" si="12"/>
        <v/>
      </c>
      <c r="B209" s="3"/>
      <c r="C209" s="3"/>
      <c r="D209" s="3"/>
      <c r="E209" s="3"/>
      <c r="F209" s="5"/>
      <c r="G209" s="5"/>
      <c r="H209" s="5"/>
      <c r="I209" s="5"/>
      <c r="J209" s="6" t="str">
        <f>IF(D209="","",后台计算!E203)</f>
        <v/>
      </c>
      <c r="K209" s="6" t="str">
        <f>IF(D209="","",后台计算!AY203)</f>
        <v/>
      </c>
      <c r="L209" s="7" t="str">
        <f>IF(D209="","",后台计算!AZ203)</f>
        <v/>
      </c>
      <c r="M209" s="7" t="str">
        <f>IF(D209="","",后台计算!BA203)</f>
        <v/>
      </c>
      <c r="N209" s="4" t="str">
        <f>IF(D209="","",后台计算!BG203)</f>
        <v/>
      </c>
      <c r="O209" s="6" t="str">
        <f>IF(D209="","",后台计算!BU203)</f>
        <v/>
      </c>
      <c r="P209" s="6" t="str">
        <f>IF(D209="","",后台计算!BV203)</f>
        <v/>
      </c>
      <c r="Q209" s="6" t="str">
        <f t="shared" si="13"/>
        <v/>
      </c>
      <c r="R209" s="6" t="str">
        <f t="shared" si="14"/>
        <v/>
      </c>
      <c r="S209" s="6" t="str">
        <f t="shared" si="15"/>
        <v/>
      </c>
      <c r="T209" s="4" t="str">
        <f>IF(D209="","","红:"&amp;IF(后台计算!U203=0,"无",IF(后台计算!U203=1,"雷鸣","极限"))&amp;" 增压"&amp;TEXT(后台计算!W203,"0")&amp;" 弹药"&amp;TEXT(后台计算!X203,"0")&amp;"｜37灵光"&amp;TEXT(后台计算!AB203,"0")&amp;" 启迪"&amp;TEXT(后台计算!AC203,"0")&amp;"｜灵犀"&amp;TEXT(后台计算!AV203,"0")&amp;"｜J燃烧"&amp;TEXT(后台计算!AD203,"0")&amp;" 敌燃烧"&amp;TEXT(后台计算!AE203,"0"))</f>
        <v/>
      </c>
      <c r="U209" s="4" t="str">
        <f>IF(D209="","",后台计算!BX203)</f>
        <v/>
      </c>
    </row>
    <row r="210" spans="1:21" ht="38.1" customHeight="1">
      <c r="A210" s="1" t="str">
        <f t="shared" si="12"/>
        <v/>
      </c>
      <c r="B210" s="3"/>
      <c r="C210" s="3"/>
      <c r="D210" s="3"/>
      <c r="E210" s="3"/>
      <c r="F210" s="5"/>
      <c r="G210" s="5"/>
      <c r="H210" s="5"/>
      <c r="I210" s="5"/>
      <c r="J210" s="6" t="str">
        <f>IF(D210="","",后台计算!E204)</f>
        <v/>
      </c>
      <c r="K210" s="6" t="str">
        <f>IF(D210="","",后台计算!AY204)</f>
        <v/>
      </c>
      <c r="L210" s="7" t="str">
        <f>IF(D210="","",后台计算!AZ204)</f>
        <v/>
      </c>
      <c r="M210" s="7" t="str">
        <f>IF(D210="","",后台计算!BA204)</f>
        <v/>
      </c>
      <c r="N210" s="4" t="str">
        <f>IF(D210="","",后台计算!BG204)</f>
        <v/>
      </c>
      <c r="O210" s="6" t="str">
        <f>IF(D210="","",后台计算!BU204)</f>
        <v/>
      </c>
      <c r="P210" s="6" t="str">
        <f>IF(D210="","",后台计算!BV204)</f>
        <v/>
      </c>
      <c r="Q210" s="6" t="str">
        <f t="shared" si="13"/>
        <v/>
      </c>
      <c r="R210" s="6" t="str">
        <f t="shared" si="14"/>
        <v/>
      </c>
      <c r="S210" s="6" t="str">
        <f t="shared" si="15"/>
        <v/>
      </c>
      <c r="T210" s="4" t="str">
        <f>IF(D210="","","红:"&amp;IF(后台计算!U204=0,"无",IF(后台计算!U204=1,"雷鸣","极限"))&amp;" 增压"&amp;TEXT(后台计算!W204,"0")&amp;" 弹药"&amp;TEXT(后台计算!X204,"0")&amp;"｜37灵光"&amp;TEXT(后台计算!AB204,"0")&amp;" 启迪"&amp;TEXT(后台计算!AC204,"0")&amp;"｜灵犀"&amp;TEXT(后台计算!AV204,"0")&amp;"｜J燃烧"&amp;TEXT(后台计算!AD204,"0")&amp;" 敌燃烧"&amp;TEXT(后台计算!AE204,"0"))</f>
        <v/>
      </c>
      <c r="U210" s="4" t="str">
        <f>IF(D210="","",后台计算!BX204)</f>
        <v/>
      </c>
    </row>
    <row r="211" spans="1:21" ht="38.1" customHeight="1">
      <c r="A211" s="1" t="str">
        <f t="shared" si="12"/>
        <v/>
      </c>
      <c r="B211" s="3"/>
      <c r="C211" s="3"/>
      <c r="D211" s="3"/>
      <c r="E211" s="3"/>
      <c r="F211" s="5"/>
      <c r="G211" s="5"/>
      <c r="H211" s="5"/>
      <c r="I211" s="5"/>
      <c r="J211" s="6" t="str">
        <f>IF(D211="","",后台计算!E205)</f>
        <v/>
      </c>
      <c r="K211" s="6" t="str">
        <f>IF(D211="","",后台计算!AY205)</f>
        <v/>
      </c>
      <c r="L211" s="7" t="str">
        <f>IF(D211="","",后台计算!AZ205)</f>
        <v/>
      </c>
      <c r="M211" s="7" t="str">
        <f>IF(D211="","",后台计算!BA205)</f>
        <v/>
      </c>
      <c r="N211" s="4" t="str">
        <f>IF(D211="","",后台计算!BG205)</f>
        <v/>
      </c>
      <c r="O211" s="6" t="str">
        <f>IF(D211="","",后台计算!BU205)</f>
        <v/>
      </c>
      <c r="P211" s="6" t="str">
        <f>IF(D211="","",后台计算!BV205)</f>
        <v/>
      </c>
      <c r="Q211" s="6" t="str">
        <f t="shared" si="13"/>
        <v/>
      </c>
      <c r="R211" s="6" t="str">
        <f t="shared" si="14"/>
        <v/>
      </c>
      <c r="S211" s="6" t="str">
        <f t="shared" si="15"/>
        <v/>
      </c>
      <c r="T211" s="4" t="str">
        <f>IF(D211="","","红:"&amp;IF(后台计算!U205=0,"无",IF(后台计算!U205=1,"雷鸣","极限"))&amp;" 增压"&amp;TEXT(后台计算!W205,"0")&amp;" 弹药"&amp;TEXT(后台计算!X205,"0")&amp;"｜37灵光"&amp;TEXT(后台计算!AB205,"0")&amp;" 启迪"&amp;TEXT(后台计算!AC205,"0")&amp;"｜灵犀"&amp;TEXT(后台计算!AV205,"0")&amp;"｜J燃烧"&amp;TEXT(后台计算!AD205,"0")&amp;" 敌燃烧"&amp;TEXT(后台计算!AE205,"0"))</f>
        <v/>
      </c>
      <c r="U211" s="4" t="str">
        <f>IF(D211="","",后台计算!BX205)</f>
        <v/>
      </c>
    </row>
    <row r="212" spans="1:21" ht="38.1" customHeight="1">
      <c r="A212" s="1" t="str">
        <f t="shared" si="12"/>
        <v/>
      </c>
      <c r="B212" s="3"/>
      <c r="C212" s="3"/>
      <c r="D212" s="3"/>
      <c r="E212" s="3"/>
      <c r="F212" s="5"/>
      <c r="G212" s="5"/>
      <c r="H212" s="5"/>
      <c r="I212" s="5"/>
      <c r="J212" s="6" t="str">
        <f>IF(D212="","",后台计算!E206)</f>
        <v/>
      </c>
      <c r="K212" s="6" t="str">
        <f>IF(D212="","",后台计算!AY206)</f>
        <v/>
      </c>
      <c r="L212" s="7" t="str">
        <f>IF(D212="","",后台计算!AZ206)</f>
        <v/>
      </c>
      <c r="M212" s="7" t="str">
        <f>IF(D212="","",后台计算!BA206)</f>
        <v/>
      </c>
      <c r="N212" s="4" t="str">
        <f>IF(D212="","",后台计算!BG206)</f>
        <v/>
      </c>
      <c r="O212" s="6" t="str">
        <f>IF(D212="","",后台计算!BU206)</f>
        <v/>
      </c>
      <c r="P212" s="6" t="str">
        <f>IF(D212="","",后台计算!BV206)</f>
        <v/>
      </c>
      <c r="Q212" s="6" t="str">
        <f t="shared" si="13"/>
        <v/>
      </c>
      <c r="R212" s="6" t="str">
        <f t="shared" si="14"/>
        <v/>
      </c>
      <c r="S212" s="6" t="str">
        <f t="shared" si="15"/>
        <v/>
      </c>
      <c r="T212" s="4" t="str">
        <f>IF(D212="","","红:"&amp;IF(后台计算!U206=0,"无",IF(后台计算!U206=1,"雷鸣","极限"))&amp;" 增压"&amp;TEXT(后台计算!W206,"0")&amp;" 弹药"&amp;TEXT(后台计算!X206,"0")&amp;"｜37灵光"&amp;TEXT(后台计算!AB206,"0")&amp;" 启迪"&amp;TEXT(后台计算!AC206,"0")&amp;"｜灵犀"&amp;TEXT(后台计算!AV206,"0")&amp;"｜J燃烧"&amp;TEXT(后台计算!AD206,"0")&amp;" 敌燃烧"&amp;TEXT(后台计算!AE206,"0"))</f>
        <v/>
      </c>
      <c r="U212" s="4" t="str">
        <f>IF(D212="","",后台计算!BX206)</f>
        <v/>
      </c>
    </row>
    <row r="213" spans="1:21" ht="38.1" customHeight="1">
      <c r="A213" s="1" t="str">
        <f t="shared" si="12"/>
        <v/>
      </c>
      <c r="B213" s="3"/>
      <c r="C213" s="3"/>
      <c r="D213" s="3"/>
      <c r="E213" s="3"/>
      <c r="F213" s="5"/>
      <c r="G213" s="5"/>
      <c r="H213" s="5"/>
      <c r="I213" s="5"/>
      <c r="J213" s="6" t="str">
        <f>IF(D213="","",后台计算!E207)</f>
        <v/>
      </c>
      <c r="K213" s="6" t="str">
        <f>IF(D213="","",后台计算!AY207)</f>
        <v/>
      </c>
      <c r="L213" s="7" t="str">
        <f>IF(D213="","",后台计算!AZ207)</f>
        <v/>
      </c>
      <c r="M213" s="7" t="str">
        <f>IF(D213="","",后台计算!BA207)</f>
        <v/>
      </c>
      <c r="N213" s="4" t="str">
        <f>IF(D213="","",后台计算!BG207)</f>
        <v/>
      </c>
      <c r="O213" s="6" t="str">
        <f>IF(D213="","",后台计算!BU207)</f>
        <v/>
      </c>
      <c r="P213" s="6" t="str">
        <f>IF(D213="","",后台计算!BV207)</f>
        <v/>
      </c>
      <c r="Q213" s="6" t="str">
        <f t="shared" si="13"/>
        <v/>
      </c>
      <c r="R213" s="6" t="str">
        <f t="shared" si="14"/>
        <v/>
      </c>
      <c r="S213" s="6" t="str">
        <f t="shared" si="15"/>
        <v/>
      </c>
      <c r="T213" s="4" t="str">
        <f>IF(D213="","","红:"&amp;IF(后台计算!U207=0,"无",IF(后台计算!U207=1,"雷鸣","极限"))&amp;" 增压"&amp;TEXT(后台计算!W207,"0")&amp;" 弹药"&amp;TEXT(后台计算!X207,"0")&amp;"｜37灵光"&amp;TEXT(后台计算!AB207,"0")&amp;" 启迪"&amp;TEXT(后台计算!AC207,"0")&amp;"｜灵犀"&amp;TEXT(后台计算!AV207,"0")&amp;"｜J燃烧"&amp;TEXT(后台计算!AD207,"0")&amp;" 敌燃烧"&amp;TEXT(后台计算!AE207,"0"))</f>
        <v/>
      </c>
      <c r="U213" s="4" t="str">
        <f>IF(D213="","",后台计算!BX207)</f>
        <v/>
      </c>
    </row>
    <row r="214" spans="1:21" ht="38.1" customHeight="1">
      <c r="A214" s="1" t="str">
        <f t="shared" si="12"/>
        <v/>
      </c>
      <c r="B214" s="3"/>
      <c r="C214" s="3"/>
      <c r="D214" s="3"/>
      <c r="E214" s="3"/>
      <c r="F214" s="5"/>
      <c r="G214" s="5"/>
      <c r="H214" s="5"/>
      <c r="I214" s="5"/>
      <c r="J214" s="6" t="str">
        <f>IF(D214="","",后台计算!E208)</f>
        <v/>
      </c>
      <c r="K214" s="6" t="str">
        <f>IF(D214="","",后台计算!AY208)</f>
        <v/>
      </c>
      <c r="L214" s="7" t="str">
        <f>IF(D214="","",后台计算!AZ208)</f>
        <v/>
      </c>
      <c r="M214" s="7" t="str">
        <f>IF(D214="","",后台计算!BA208)</f>
        <v/>
      </c>
      <c r="N214" s="4" t="str">
        <f>IF(D214="","",后台计算!BG208)</f>
        <v/>
      </c>
      <c r="O214" s="6" t="str">
        <f>IF(D214="","",后台计算!BU208)</f>
        <v/>
      </c>
      <c r="P214" s="6" t="str">
        <f>IF(D214="","",后台计算!BV208)</f>
        <v/>
      </c>
      <c r="Q214" s="6" t="str">
        <f t="shared" si="13"/>
        <v/>
      </c>
      <c r="R214" s="6" t="str">
        <f t="shared" si="14"/>
        <v/>
      </c>
      <c r="S214" s="6" t="str">
        <f t="shared" si="15"/>
        <v/>
      </c>
      <c r="T214" s="4" t="str">
        <f>IF(D214="","","红:"&amp;IF(后台计算!U208=0,"无",IF(后台计算!U208=1,"雷鸣","极限"))&amp;" 增压"&amp;TEXT(后台计算!W208,"0")&amp;" 弹药"&amp;TEXT(后台计算!X208,"0")&amp;"｜37灵光"&amp;TEXT(后台计算!AB208,"0")&amp;" 启迪"&amp;TEXT(后台计算!AC208,"0")&amp;"｜灵犀"&amp;TEXT(后台计算!AV208,"0")&amp;"｜J燃烧"&amp;TEXT(后台计算!AD208,"0")&amp;" 敌燃烧"&amp;TEXT(后台计算!AE208,"0"))</f>
        <v/>
      </c>
      <c r="U214" s="4" t="str">
        <f>IF(D214="","",后台计算!BX208)</f>
        <v/>
      </c>
    </row>
    <row r="215" spans="1:21" ht="38.1" customHeight="1">
      <c r="A215" s="1" t="str">
        <f t="shared" si="12"/>
        <v/>
      </c>
      <c r="B215" s="3"/>
      <c r="C215" s="3"/>
      <c r="D215" s="3"/>
      <c r="E215" s="3"/>
      <c r="F215" s="5"/>
      <c r="G215" s="5"/>
      <c r="H215" s="5"/>
      <c r="I215" s="5"/>
      <c r="J215" s="6" t="str">
        <f>IF(D215="","",后台计算!E209)</f>
        <v/>
      </c>
      <c r="K215" s="6" t="str">
        <f>IF(D215="","",后台计算!AY209)</f>
        <v/>
      </c>
      <c r="L215" s="7" t="str">
        <f>IF(D215="","",后台计算!AZ209)</f>
        <v/>
      </c>
      <c r="M215" s="7" t="str">
        <f>IF(D215="","",后台计算!BA209)</f>
        <v/>
      </c>
      <c r="N215" s="4" t="str">
        <f>IF(D215="","",后台计算!BG209)</f>
        <v/>
      </c>
      <c r="O215" s="6" t="str">
        <f>IF(D215="","",后台计算!BU209)</f>
        <v/>
      </c>
      <c r="P215" s="6" t="str">
        <f>IF(D215="","",后台计算!BV209)</f>
        <v/>
      </c>
      <c r="Q215" s="6" t="str">
        <f t="shared" si="13"/>
        <v/>
      </c>
      <c r="R215" s="6" t="str">
        <f t="shared" si="14"/>
        <v/>
      </c>
      <c r="S215" s="6" t="str">
        <f t="shared" si="15"/>
        <v/>
      </c>
      <c r="T215" s="4" t="str">
        <f>IF(D215="","","红:"&amp;IF(后台计算!U209=0,"无",IF(后台计算!U209=1,"雷鸣","极限"))&amp;" 增压"&amp;TEXT(后台计算!W209,"0")&amp;" 弹药"&amp;TEXT(后台计算!X209,"0")&amp;"｜37灵光"&amp;TEXT(后台计算!AB209,"0")&amp;" 启迪"&amp;TEXT(后台计算!AC209,"0")&amp;"｜灵犀"&amp;TEXT(后台计算!AV209,"0")&amp;"｜J燃烧"&amp;TEXT(后台计算!AD209,"0")&amp;" 敌燃烧"&amp;TEXT(后台计算!AE209,"0"))</f>
        <v/>
      </c>
      <c r="U215" s="4" t="str">
        <f>IF(D215="","",后台计算!BX209)</f>
        <v/>
      </c>
    </row>
    <row r="216" spans="1:21" ht="38.1" customHeight="1">
      <c r="A216" s="1" t="str">
        <f t="shared" si="12"/>
        <v/>
      </c>
      <c r="B216" s="3"/>
      <c r="C216" s="3"/>
      <c r="D216" s="3"/>
      <c r="E216" s="3"/>
      <c r="F216" s="5"/>
      <c r="G216" s="5"/>
      <c r="H216" s="5"/>
      <c r="I216" s="5"/>
      <c r="J216" s="6" t="str">
        <f>IF(D216="","",后台计算!E210)</f>
        <v/>
      </c>
      <c r="K216" s="6" t="str">
        <f>IF(D216="","",后台计算!AY210)</f>
        <v/>
      </c>
      <c r="L216" s="7" t="str">
        <f>IF(D216="","",后台计算!AZ210)</f>
        <v/>
      </c>
      <c r="M216" s="7" t="str">
        <f>IF(D216="","",后台计算!BA210)</f>
        <v/>
      </c>
      <c r="N216" s="4" t="str">
        <f>IF(D216="","",后台计算!BG210)</f>
        <v/>
      </c>
      <c r="O216" s="6" t="str">
        <f>IF(D216="","",后台计算!BU210)</f>
        <v/>
      </c>
      <c r="P216" s="6" t="str">
        <f>IF(D216="","",后台计算!BV210)</f>
        <v/>
      </c>
      <c r="Q216" s="6" t="str">
        <f t="shared" si="13"/>
        <v/>
      </c>
      <c r="R216" s="6" t="str">
        <f t="shared" si="14"/>
        <v/>
      </c>
      <c r="S216" s="6" t="str">
        <f t="shared" si="15"/>
        <v/>
      </c>
      <c r="T216" s="4" t="str">
        <f>IF(D216="","","红:"&amp;IF(后台计算!U210=0,"无",IF(后台计算!U210=1,"雷鸣","极限"))&amp;" 增压"&amp;TEXT(后台计算!W210,"0")&amp;" 弹药"&amp;TEXT(后台计算!X210,"0")&amp;"｜37灵光"&amp;TEXT(后台计算!AB210,"0")&amp;" 启迪"&amp;TEXT(后台计算!AC210,"0")&amp;"｜灵犀"&amp;TEXT(后台计算!AV210,"0")&amp;"｜J燃烧"&amp;TEXT(后台计算!AD210,"0")&amp;" 敌燃烧"&amp;TEXT(后台计算!AE210,"0"))</f>
        <v/>
      </c>
      <c r="U216" s="4" t="str">
        <f>IF(D216="","",后台计算!BX210)</f>
        <v/>
      </c>
    </row>
    <row r="217" spans="1:21" ht="38.1" customHeight="1">
      <c r="A217" s="1" t="str">
        <f t="shared" si="12"/>
        <v/>
      </c>
      <c r="B217" s="3"/>
      <c r="C217" s="3"/>
      <c r="D217" s="3"/>
      <c r="E217" s="3"/>
      <c r="F217" s="5"/>
      <c r="G217" s="5"/>
      <c r="H217" s="5"/>
      <c r="I217" s="5"/>
      <c r="J217" s="6" t="str">
        <f>IF(D217="","",后台计算!E211)</f>
        <v/>
      </c>
      <c r="K217" s="6" t="str">
        <f>IF(D217="","",后台计算!AY211)</f>
        <v/>
      </c>
      <c r="L217" s="7" t="str">
        <f>IF(D217="","",后台计算!AZ211)</f>
        <v/>
      </c>
      <c r="M217" s="7" t="str">
        <f>IF(D217="","",后台计算!BA211)</f>
        <v/>
      </c>
      <c r="N217" s="4" t="str">
        <f>IF(D217="","",后台计算!BG211)</f>
        <v/>
      </c>
      <c r="O217" s="6" t="str">
        <f>IF(D217="","",后台计算!BU211)</f>
        <v/>
      </c>
      <c r="P217" s="6" t="str">
        <f>IF(D217="","",后台计算!BV211)</f>
        <v/>
      </c>
      <c r="Q217" s="6" t="str">
        <f t="shared" si="13"/>
        <v/>
      </c>
      <c r="R217" s="6" t="str">
        <f t="shared" si="14"/>
        <v/>
      </c>
      <c r="S217" s="6" t="str">
        <f t="shared" si="15"/>
        <v/>
      </c>
      <c r="T217" s="4" t="str">
        <f>IF(D217="","","红:"&amp;IF(后台计算!U211=0,"无",IF(后台计算!U211=1,"雷鸣","极限"))&amp;" 增压"&amp;TEXT(后台计算!W211,"0")&amp;" 弹药"&amp;TEXT(后台计算!X211,"0")&amp;"｜37灵光"&amp;TEXT(后台计算!AB211,"0")&amp;" 启迪"&amp;TEXT(后台计算!AC211,"0")&amp;"｜灵犀"&amp;TEXT(后台计算!AV211,"0")&amp;"｜J燃烧"&amp;TEXT(后台计算!AD211,"0")&amp;" 敌燃烧"&amp;TEXT(后台计算!AE211,"0"))</f>
        <v/>
      </c>
      <c r="U217" s="4" t="str">
        <f>IF(D217="","",后台计算!BX211)</f>
        <v/>
      </c>
    </row>
    <row r="218" spans="1:21" ht="38.1" customHeight="1">
      <c r="A218" s="1" t="str">
        <f t="shared" si="12"/>
        <v/>
      </c>
      <c r="B218" s="3"/>
      <c r="C218" s="3"/>
      <c r="D218" s="3"/>
      <c r="E218" s="3"/>
      <c r="F218" s="5"/>
      <c r="G218" s="5"/>
      <c r="H218" s="5"/>
      <c r="I218" s="5"/>
      <c r="J218" s="6" t="str">
        <f>IF(D218="","",后台计算!E212)</f>
        <v/>
      </c>
      <c r="K218" s="6" t="str">
        <f>IF(D218="","",后台计算!AY212)</f>
        <v/>
      </c>
      <c r="L218" s="7" t="str">
        <f>IF(D218="","",后台计算!AZ212)</f>
        <v/>
      </c>
      <c r="M218" s="7" t="str">
        <f>IF(D218="","",后台计算!BA212)</f>
        <v/>
      </c>
      <c r="N218" s="4" t="str">
        <f>IF(D218="","",后台计算!BG212)</f>
        <v/>
      </c>
      <c r="O218" s="6" t="str">
        <f>IF(D218="","",后台计算!BU212)</f>
        <v/>
      </c>
      <c r="P218" s="6" t="str">
        <f>IF(D218="","",后台计算!BV212)</f>
        <v/>
      </c>
      <c r="Q218" s="6" t="str">
        <f t="shared" si="13"/>
        <v/>
      </c>
      <c r="R218" s="6" t="str">
        <f t="shared" si="14"/>
        <v/>
      </c>
      <c r="S218" s="6" t="str">
        <f t="shared" si="15"/>
        <v/>
      </c>
      <c r="T218" s="4" t="str">
        <f>IF(D218="","","红:"&amp;IF(后台计算!U212=0,"无",IF(后台计算!U212=1,"雷鸣","极限"))&amp;" 增压"&amp;TEXT(后台计算!W212,"0")&amp;" 弹药"&amp;TEXT(后台计算!X212,"0")&amp;"｜37灵光"&amp;TEXT(后台计算!AB212,"0")&amp;" 启迪"&amp;TEXT(后台计算!AC212,"0")&amp;"｜灵犀"&amp;TEXT(后台计算!AV212,"0")&amp;"｜J燃烧"&amp;TEXT(后台计算!AD212,"0")&amp;" 敌燃烧"&amp;TEXT(后台计算!AE212,"0"))</f>
        <v/>
      </c>
      <c r="U218" s="4" t="str">
        <f>IF(D218="","",后台计算!BX212)</f>
        <v/>
      </c>
    </row>
    <row r="219" spans="1:21" ht="38.1" customHeight="1">
      <c r="A219" s="1" t="str">
        <f t="shared" si="12"/>
        <v/>
      </c>
      <c r="B219" s="3"/>
      <c r="C219" s="3"/>
      <c r="D219" s="3"/>
      <c r="E219" s="3"/>
      <c r="F219" s="5"/>
      <c r="G219" s="5"/>
      <c r="H219" s="5"/>
      <c r="I219" s="5"/>
      <c r="J219" s="6" t="str">
        <f>IF(D219="","",后台计算!E213)</f>
        <v/>
      </c>
      <c r="K219" s="6" t="str">
        <f>IF(D219="","",后台计算!AY213)</f>
        <v/>
      </c>
      <c r="L219" s="7" t="str">
        <f>IF(D219="","",后台计算!AZ213)</f>
        <v/>
      </c>
      <c r="M219" s="7" t="str">
        <f>IF(D219="","",后台计算!BA213)</f>
        <v/>
      </c>
      <c r="N219" s="4" t="str">
        <f>IF(D219="","",后台计算!BG213)</f>
        <v/>
      </c>
      <c r="O219" s="6" t="str">
        <f>IF(D219="","",后台计算!BU213)</f>
        <v/>
      </c>
      <c r="P219" s="6" t="str">
        <f>IF(D219="","",后台计算!BV213)</f>
        <v/>
      </c>
      <c r="Q219" s="6" t="str">
        <f t="shared" si="13"/>
        <v/>
      </c>
      <c r="R219" s="6" t="str">
        <f t="shared" si="14"/>
        <v/>
      </c>
      <c r="S219" s="6" t="str">
        <f t="shared" si="15"/>
        <v/>
      </c>
      <c r="T219" s="4" t="str">
        <f>IF(D219="","","红:"&amp;IF(后台计算!U213=0,"无",IF(后台计算!U213=1,"雷鸣","极限"))&amp;" 增压"&amp;TEXT(后台计算!W213,"0")&amp;" 弹药"&amp;TEXT(后台计算!X213,"0")&amp;"｜37灵光"&amp;TEXT(后台计算!AB213,"0")&amp;" 启迪"&amp;TEXT(后台计算!AC213,"0")&amp;"｜灵犀"&amp;TEXT(后台计算!AV213,"0")&amp;"｜J燃烧"&amp;TEXT(后台计算!AD213,"0")&amp;" 敌燃烧"&amp;TEXT(后台计算!AE213,"0"))</f>
        <v/>
      </c>
      <c r="U219" s="4" t="str">
        <f>IF(D219="","",后台计算!BX213)</f>
        <v/>
      </c>
    </row>
    <row r="220" spans="1:21" ht="38.1" customHeight="1">
      <c r="A220" s="1" t="str">
        <f t="shared" si="12"/>
        <v/>
      </c>
      <c r="B220" s="3"/>
      <c r="C220" s="3"/>
      <c r="D220" s="3"/>
      <c r="E220" s="3"/>
      <c r="F220" s="5"/>
      <c r="G220" s="5"/>
      <c r="H220" s="5"/>
      <c r="I220" s="5"/>
      <c r="J220" s="6" t="str">
        <f>IF(D220="","",后台计算!E214)</f>
        <v/>
      </c>
      <c r="K220" s="6" t="str">
        <f>IF(D220="","",后台计算!AY214)</f>
        <v/>
      </c>
      <c r="L220" s="7" t="str">
        <f>IF(D220="","",后台计算!AZ214)</f>
        <v/>
      </c>
      <c r="M220" s="7" t="str">
        <f>IF(D220="","",后台计算!BA214)</f>
        <v/>
      </c>
      <c r="N220" s="4" t="str">
        <f>IF(D220="","",后台计算!BG214)</f>
        <v/>
      </c>
      <c r="O220" s="6" t="str">
        <f>IF(D220="","",后台计算!BU214)</f>
        <v/>
      </c>
      <c r="P220" s="6" t="str">
        <f>IF(D220="","",后台计算!BV214)</f>
        <v/>
      </c>
      <c r="Q220" s="6" t="str">
        <f t="shared" si="13"/>
        <v/>
      </c>
      <c r="R220" s="6" t="str">
        <f t="shared" si="14"/>
        <v/>
      </c>
      <c r="S220" s="6" t="str">
        <f t="shared" si="15"/>
        <v/>
      </c>
      <c r="T220" s="4" t="str">
        <f>IF(D220="","","红:"&amp;IF(后台计算!U214=0,"无",IF(后台计算!U214=1,"雷鸣","极限"))&amp;" 增压"&amp;TEXT(后台计算!W214,"0")&amp;" 弹药"&amp;TEXT(后台计算!X214,"0")&amp;"｜37灵光"&amp;TEXT(后台计算!AB214,"0")&amp;" 启迪"&amp;TEXT(后台计算!AC214,"0")&amp;"｜灵犀"&amp;TEXT(后台计算!AV214,"0")&amp;"｜J燃烧"&amp;TEXT(后台计算!AD214,"0")&amp;" 敌燃烧"&amp;TEXT(后台计算!AE214,"0"))</f>
        <v/>
      </c>
      <c r="U220" s="4" t="str">
        <f>IF(D220="","",后台计算!BX214)</f>
        <v/>
      </c>
    </row>
    <row r="221" spans="1:21" ht="38.1" customHeight="1">
      <c r="A221" s="1" t="str">
        <f t="shared" si="12"/>
        <v/>
      </c>
      <c r="B221" s="3"/>
      <c r="C221" s="3"/>
      <c r="D221" s="3"/>
      <c r="E221" s="3"/>
      <c r="F221" s="5"/>
      <c r="G221" s="5"/>
      <c r="H221" s="5"/>
      <c r="I221" s="5"/>
      <c r="J221" s="6" t="str">
        <f>IF(D221="","",后台计算!E215)</f>
        <v/>
      </c>
      <c r="K221" s="6" t="str">
        <f>IF(D221="","",后台计算!AY215)</f>
        <v/>
      </c>
      <c r="L221" s="7" t="str">
        <f>IF(D221="","",后台计算!AZ215)</f>
        <v/>
      </c>
      <c r="M221" s="7" t="str">
        <f>IF(D221="","",后台计算!BA215)</f>
        <v/>
      </c>
      <c r="N221" s="4" t="str">
        <f>IF(D221="","",后台计算!BG215)</f>
        <v/>
      </c>
      <c r="O221" s="6" t="str">
        <f>IF(D221="","",后台计算!BU215)</f>
        <v/>
      </c>
      <c r="P221" s="6" t="str">
        <f>IF(D221="","",后台计算!BV215)</f>
        <v/>
      </c>
      <c r="Q221" s="6" t="str">
        <f t="shared" si="13"/>
        <v/>
      </c>
      <c r="R221" s="6" t="str">
        <f t="shared" si="14"/>
        <v/>
      </c>
      <c r="S221" s="6" t="str">
        <f t="shared" si="15"/>
        <v/>
      </c>
      <c r="T221" s="4" t="str">
        <f>IF(D221="","","红:"&amp;IF(后台计算!U215=0,"无",IF(后台计算!U215=1,"雷鸣","极限"))&amp;" 增压"&amp;TEXT(后台计算!W215,"0")&amp;" 弹药"&amp;TEXT(后台计算!X215,"0")&amp;"｜37灵光"&amp;TEXT(后台计算!AB215,"0")&amp;" 启迪"&amp;TEXT(后台计算!AC215,"0")&amp;"｜灵犀"&amp;TEXT(后台计算!AV215,"0")&amp;"｜J燃烧"&amp;TEXT(后台计算!AD215,"0")&amp;" 敌燃烧"&amp;TEXT(后台计算!AE215,"0"))</f>
        <v/>
      </c>
      <c r="U221" s="4" t="str">
        <f>IF(D221="","",后台计算!BX215)</f>
        <v/>
      </c>
    </row>
    <row r="222" spans="1:21" ht="38.1" customHeight="1">
      <c r="A222" s="1" t="str">
        <f t="shared" si="12"/>
        <v/>
      </c>
      <c r="B222" s="3"/>
      <c r="C222" s="3"/>
      <c r="D222" s="3"/>
      <c r="E222" s="3"/>
      <c r="F222" s="5"/>
      <c r="G222" s="5"/>
      <c r="H222" s="5"/>
      <c r="I222" s="5"/>
      <c r="J222" s="6" t="str">
        <f>IF(D222="","",后台计算!E216)</f>
        <v/>
      </c>
      <c r="K222" s="6" t="str">
        <f>IF(D222="","",后台计算!AY216)</f>
        <v/>
      </c>
      <c r="L222" s="7" t="str">
        <f>IF(D222="","",后台计算!AZ216)</f>
        <v/>
      </c>
      <c r="M222" s="7" t="str">
        <f>IF(D222="","",后台计算!BA216)</f>
        <v/>
      </c>
      <c r="N222" s="4" t="str">
        <f>IF(D222="","",后台计算!BG216)</f>
        <v/>
      </c>
      <c r="O222" s="6" t="str">
        <f>IF(D222="","",后台计算!BU216)</f>
        <v/>
      </c>
      <c r="P222" s="6" t="str">
        <f>IF(D222="","",后台计算!BV216)</f>
        <v/>
      </c>
      <c r="Q222" s="6" t="str">
        <f t="shared" si="13"/>
        <v/>
      </c>
      <c r="R222" s="6" t="str">
        <f t="shared" si="14"/>
        <v/>
      </c>
      <c r="S222" s="6" t="str">
        <f t="shared" si="15"/>
        <v/>
      </c>
      <c r="T222" s="4" t="str">
        <f>IF(D222="","","红:"&amp;IF(后台计算!U216=0,"无",IF(后台计算!U216=1,"雷鸣","极限"))&amp;" 增压"&amp;TEXT(后台计算!W216,"0")&amp;" 弹药"&amp;TEXT(后台计算!X216,"0")&amp;"｜37灵光"&amp;TEXT(后台计算!AB216,"0")&amp;" 启迪"&amp;TEXT(后台计算!AC216,"0")&amp;"｜灵犀"&amp;TEXT(后台计算!AV216,"0")&amp;"｜J燃烧"&amp;TEXT(后台计算!AD216,"0")&amp;" 敌燃烧"&amp;TEXT(后台计算!AE216,"0"))</f>
        <v/>
      </c>
      <c r="U222" s="4" t="str">
        <f>IF(D222="","",后台计算!BX216)</f>
        <v/>
      </c>
    </row>
    <row r="223" spans="1:21" ht="38.1" customHeight="1">
      <c r="A223" s="1" t="str">
        <f t="shared" si="12"/>
        <v/>
      </c>
      <c r="B223" s="3"/>
      <c r="C223" s="3"/>
      <c r="D223" s="3"/>
      <c r="E223" s="3"/>
      <c r="F223" s="5"/>
      <c r="G223" s="5"/>
      <c r="H223" s="5"/>
      <c r="I223" s="5"/>
      <c r="J223" s="6" t="str">
        <f>IF(D223="","",后台计算!E217)</f>
        <v/>
      </c>
      <c r="K223" s="6" t="str">
        <f>IF(D223="","",后台计算!AY217)</f>
        <v/>
      </c>
      <c r="L223" s="7" t="str">
        <f>IF(D223="","",后台计算!AZ217)</f>
        <v/>
      </c>
      <c r="M223" s="7" t="str">
        <f>IF(D223="","",后台计算!BA217)</f>
        <v/>
      </c>
      <c r="N223" s="4" t="str">
        <f>IF(D223="","",后台计算!BG217)</f>
        <v/>
      </c>
      <c r="O223" s="6" t="str">
        <f>IF(D223="","",后台计算!BU217)</f>
        <v/>
      </c>
      <c r="P223" s="6" t="str">
        <f>IF(D223="","",后台计算!BV217)</f>
        <v/>
      </c>
      <c r="Q223" s="6" t="str">
        <f t="shared" si="13"/>
        <v/>
      </c>
      <c r="R223" s="6" t="str">
        <f t="shared" si="14"/>
        <v/>
      </c>
      <c r="S223" s="6" t="str">
        <f t="shared" si="15"/>
        <v/>
      </c>
      <c r="T223" s="4" t="str">
        <f>IF(D223="","","红:"&amp;IF(后台计算!U217=0,"无",IF(后台计算!U217=1,"雷鸣","极限"))&amp;" 增压"&amp;TEXT(后台计算!W217,"0")&amp;" 弹药"&amp;TEXT(后台计算!X217,"0")&amp;"｜37灵光"&amp;TEXT(后台计算!AB217,"0")&amp;" 启迪"&amp;TEXT(后台计算!AC217,"0")&amp;"｜灵犀"&amp;TEXT(后台计算!AV217,"0")&amp;"｜J燃烧"&amp;TEXT(后台计算!AD217,"0")&amp;" 敌燃烧"&amp;TEXT(后台计算!AE217,"0"))</f>
        <v/>
      </c>
      <c r="U223" s="4" t="str">
        <f>IF(D223="","",后台计算!BX217)</f>
        <v/>
      </c>
    </row>
    <row r="224" spans="1:21" ht="38.1" customHeight="1">
      <c r="A224" s="1" t="str">
        <f t="shared" si="12"/>
        <v/>
      </c>
      <c r="B224" s="3"/>
      <c r="C224" s="3"/>
      <c r="D224" s="3"/>
      <c r="E224" s="3"/>
      <c r="F224" s="5"/>
      <c r="G224" s="5"/>
      <c r="H224" s="5"/>
      <c r="I224" s="5"/>
      <c r="J224" s="6" t="str">
        <f>IF(D224="","",后台计算!E218)</f>
        <v/>
      </c>
      <c r="K224" s="6" t="str">
        <f>IF(D224="","",后台计算!AY218)</f>
        <v/>
      </c>
      <c r="L224" s="7" t="str">
        <f>IF(D224="","",后台计算!AZ218)</f>
        <v/>
      </c>
      <c r="M224" s="7" t="str">
        <f>IF(D224="","",后台计算!BA218)</f>
        <v/>
      </c>
      <c r="N224" s="4" t="str">
        <f>IF(D224="","",后台计算!BG218)</f>
        <v/>
      </c>
      <c r="O224" s="6" t="str">
        <f>IF(D224="","",后台计算!BU218)</f>
        <v/>
      </c>
      <c r="P224" s="6" t="str">
        <f>IF(D224="","",后台计算!BV218)</f>
        <v/>
      </c>
      <c r="Q224" s="6" t="str">
        <f t="shared" si="13"/>
        <v/>
      </c>
      <c r="R224" s="6" t="str">
        <f t="shared" si="14"/>
        <v/>
      </c>
      <c r="S224" s="6" t="str">
        <f t="shared" si="15"/>
        <v/>
      </c>
      <c r="T224" s="4" t="str">
        <f>IF(D224="","","红:"&amp;IF(后台计算!U218=0,"无",IF(后台计算!U218=1,"雷鸣","极限"))&amp;" 增压"&amp;TEXT(后台计算!W218,"0")&amp;" 弹药"&amp;TEXT(后台计算!X218,"0")&amp;"｜37灵光"&amp;TEXT(后台计算!AB218,"0")&amp;" 启迪"&amp;TEXT(后台计算!AC218,"0")&amp;"｜灵犀"&amp;TEXT(后台计算!AV218,"0")&amp;"｜J燃烧"&amp;TEXT(后台计算!AD218,"0")&amp;" 敌燃烧"&amp;TEXT(后台计算!AE218,"0"))</f>
        <v/>
      </c>
      <c r="U224" s="4" t="str">
        <f>IF(D224="","",后台计算!BX218)</f>
        <v/>
      </c>
    </row>
    <row r="225" spans="1:21" ht="38.1" customHeight="1">
      <c r="A225" s="1" t="str">
        <f t="shared" si="12"/>
        <v/>
      </c>
      <c r="B225" s="3"/>
      <c r="C225" s="3"/>
      <c r="D225" s="3"/>
      <c r="E225" s="3"/>
      <c r="F225" s="5"/>
      <c r="G225" s="5"/>
      <c r="H225" s="5"/>
      <c r="I225" s="5"/>
      <c r="J225" s="6" t="str">
        <f>IF(D225="","",后台计算!E219)</f>
        <v/>
      </c>
      <c r="K225" s="6" t="str">
        <f>IF(D225="","",后台计算!AY219)</f>
        <v/>
      </c>
      <c r="L225" s="7" t="str">
        <f>IF(D225="","",后台计算!AZ219)</f>
        <v/>
      </c>
      <c r="M225" s="7" t="str">
        <f>IF(D225="","",后台计算!BA219)</f>
        <v/>
      </c>
      <c r="N225" s="4" t="str">
        <f>IF(D225="","",后台计算!BG219)</f>
        <v/>
      </c>
      <c r="O225" s="6" t="str">
        <f>IF(D225="","",后台计算!BU219)</f>
        <v/>
      </c>
      <c r="P225" s="6" t="str">
        <f>IF(D225="","",后台计算!BV219)</f>
        <v/>
      </c>
      <c r="Q225" s="6" t="str">
        <f t="shared" si="13"/>
        <v/>
      </c>
      <c r="R225" s="6" t="str">
        <f t="shared" si="14"/>
        <v/>
      </c>
      <c r="S225" s="6" t="str">
        <f t="shared" si="15"/>
        <v/>
      </c>
      <c r="T225" s="4" t="str">
        <f>IF(D225="","","红:"&amp;IF(后台计算!U219=0,"无",IF(后台计算!U219=1,"雷鸣","极限"))&amp;" 增压"&amp;TEXT(后台计算!W219,"0")&amp;" 弹药"&amp;TEXT(后台计算!X219,"0")&amp;"｜37灵光"&amp;TEXT(后台计算!AB219,"0")&amp;" 启迪"&amp;TEXT(后台计算!AC219,"0")&amp;"｜灵犀"&amp;TEXT(后台计算!AV219,"0")&amp;"｜J燃烧"&amp;TEXT(后台计算!AD219,"0")&amp;" 敌燃烧"&amp;TEXT(后台计算!AE219,"0"))</f>
        <v/>
      </c>
      <c r="U225" s="4" t="str">
        <f>IF(D225="","",后台计算!BX219)</f>
        <v/>
      </c>
    </row>
    <row r="226" spans="1:21" ht="38.1" customHeight="1">
      <c r="A226" s="1" t="str">
        <f t="shared" si="12"/>
        <v/>
      </c>
      <c r="B226" s="3"/>
      <c r="C226" s="3"/>
      <c r="D226" s="3"/>
      <c r="E226" s="3"/>
      <c r="F226" s="5"/>
      <c r="G226" s="5"/>
      <c r="H226" s="5"/>
      <c r="I226" s="5"/>
      <c r="J226" s="6" t="str">
        <f>IF(D226="","",后台计算!E220)</f>
        <v/>
      </c>
      <c r="K226" s="6" t="str">
        <f>IF(D226="","",后台计算!AY220)</f>
        <v/>
      </c>
      <c r="L226" s="7" t="str">
        <f>IF(D226="","",后台计算!AZ220)</f>
        <v/>
      </c>
      <c r="M226" s="7" t="str">
        <f>IF(D226="","",后台计算!BA220)</f>
        <v/>
      </c>
      <c r="N226" s="4" t="str">
        <f>IF(D226="","",后台计算!BG220)</f>
        <v/>
      </c>
      <c r="O226" s="6" t="str">
        <f>IF(D226="","",后台计算!BU220)</f>
        <v/>
      </c>
      <c r="P226" s="6" t="str">
        <f>IF(D226="","",后台计算!BV220)</f>
        <v/>
      </c>
      <c r="Q226" s="6" t="str">
        <f t="shared" si="13"/>
        <v/>
      </c>
      <c r="R226" s="6" t="str">
        <f t="shared" si="14"/>
        <v/>
      </c>
      <c r="S226" s="6" t="str">
        <f t="shared" si="15"/>
        <v/>
      </c>
      <c r="T226" s="4" t="str">
        <f>IF(D226="","","红:"&amp;IF(后台计算!U220=0,"无",IF(后台计算!U220=1,"雷鸣","极限"))&amp;" 增压"&amp;TEXT(后台计算!W220,"0")&amp;" 弹药"&amp;TEXT(后台计算!X220,"0")&amp;"｜37灵光"&amp;TEXT(后台计算!AB220,"0")&amp;" 启迪"&amp;TEXT(后台计算!AC220,"0")&amp;"｜灵犀"&amp;TEXT(后台计算!AV220,"0")&amp;"｜J燃烧"&amp;TEXT(后台计算!AD220,"0")&amp;" 敌燃烧"&amp;TEXT(后台计算!AE220,"0"))</f>
        <v/>
      </c>
      <c r="U226" s="4" t="str">
        <f>IF(D226="","",后台计算!BX220)</f>
        <v/>
      </c>
    </row>
    <row r="227" spans="1:21" ht="38.1" customHeight="1">
      <c r="A227" s="1" t="str">
        <f t="shared" si="12"/>
        <v/>
      </c>
      <c r="B227" s="3"/>
      <c r="C227" s="3"/>
      <c r="D227" s="3"/>
      <c r="E227" s="3"/>
      <c r="F227" s="5"/>
      <c r="G227" s="5"/>
      <c r="H227" s="5"/>
      <c r="I227" s="5"/>
      <c r="J227" s="6" t="str">
        <f>IF(D227="","",后台计算!E221)</f>
        <v/>
      </c>
      <c r="K227" s="6" t="str">
        <f>IF(D227="","",后台计算!AY221)</f>
        <v/>
      </c>
      <c r="L227" s="7" t="str">
        <f>IF(D227="","",后台计算!AZ221)</f>
        <v/>
      </c>
      <c r="M227" s="7" t="str">
        <f>IF(D227="","",后台计算!BA221)</f>
        <v/>
      </c>
      <c r="N227" s="4" t="str">
        <f>IF(D227="","",后台计算!BG221)</f>
        <v/>
      </c>
      <c r="O227" s="6" t="str">
        <f>IF(D227="","",后台计算!BU221)</f>
        <v/>
      </c>
      <c r="P227" s="6" t="str">
        <f>IF(D227="","",后台计算!BV221)</f>
        <v/>
      </c>
      <c r="Q227" s="6" t="str">
        <f t="shared" si="13"/>
        <v/>
      </c>
      <c r="R227" s="6" t="str">
        <f t="shared" si="14"/>
        <v/>
      </c>
      <c r="S227" s="6" t="str">
        <f t="shared" si="15"/>
        <v/>
      </c>
      <c r="T227" s="4" t="str">
        <f>IF(D227="","","红:"&amp;IF(后台计算!U221=0,"无",IF(后台计算!U221=1,"雷鸣","极限"))&amp;" 增压"&amp;TEXT(后台计算!W221,"0")&amp;" 弹药"&amp;TEXT(后台计算!X221,"0")&amp;"｜37灵光"&amp;TEXT(后台计算!AB221,"0")&amp;" 启迪"&amp;TEXT(后台计算!AC221,"0")&amp;"｜灵犀"&amp;TEXT(后台计算!AV221,"0")&amp;"｜J燃烧"&amp;TEXT(后台计算!AD221,"0")&amp;" 敌燃烧"&amp;TEXT(后台计算!AE221,"0"))</f>
        <v/>
      </c>
      <c r="U227" s="4" t="str">
        <f>IF(D227="","",后台计算!BX221)</f>
        <v/>
      </c>
    </row>
    <row r="228" spans="1:21" ht="38.1" customHeight="1">
      <c r="A228" s="1" t="str">
        <f t="shared" si="12"/>
        <v/>
      </c>
      <c r="B228" s="3"/>
      <c r="C228" s="3"/>
      <c r="D228" s="3"/>
      <c r="E228" s="3"/>
      <c r="F228" s="5"/>
      <c r="G228" s="5"/>
      <c r="H228" s="5"/>
      <c r="I228" s="5"/>
      <c r="J228" s="6" t="str">
        <f>IF(D228="","",后台计算!E222)</f>
        <v/>
      </c>
      <c r="K228" s="6" t="str">
        <f>IF(D228="","",后台计算!AY222)</f>
        <v/>
      </c>
      <c r="L228" s="7" t="str">
        <f>IF(D228="","",后台计算!AZ222)</f>
        <v/>
      </c>
      <c r="M228" s="7" t="str">
        <f>IF(D228="","",后台计算!BA222)</f>
        <v/>
      </c>
      <c r="N228" s="4" t="str">
        <f>IF(D228="","",后台计算!BG222)</f>
        <v/>
      </c>
      <c r="O228" s="6" t="str">
        <f>IF(D228="","",后台计算!BU222)</f>
        <v/>
      </c>
      <c r="P228" s="6" t="str">
        <f>IF(D228="","",后台计算!BV222)</f>
        <v/>
      </c>
      <c r="Q228" s="6" t="str">
        <f t="shared" si="13"/>
        <v/>
      </c>
      <c r="R228" s="6" t="str">
        <f t="shared" si="14"/>
        <v/>
      </c>
      <c r="S228" s="6" t="str">
        <f t="shared" si="15"/>
        <v/>
      </c>
      <c r="T228" s="4" t="str">
        <f>IF(D228="","","红:"&amp;IF(后台计算!U222=0,"无",IF(后台计算!U222=1,"雷鸣","极限"))&amp;" 增压"&amp;TEXT(后台计算!W222,"0")&amp;" 弹药"&amp;TEXT(后台计算!X222,"0")&amp;"｜37灵光"&amp;TEXT(后台计算!AB222,"0")&amp;" 启迪"&amp;TEXT(后台计算!AC222,"0")&amp;"｜灵犀"&amp;TEXT(后台计算!AV222,"0")&amp;"｜J燃烧"&amp;TEXT(后台计算!AD222,"0")&amp;" 敌燃烧"&amp;TEXT(后台计算!AE222,"0"))</f>
        <v/>
      </c>
      <c r="U228" s="4" t="str">
        <f>IF(D228="","",后台计算!BX222)</f>
        <v/>
      </c>
    </row>
    <row r="229" spans="1:21" ht="38.1" customHeight="1">
      <c r="A229" s="1" t="str">
        <f t="shared" si="12"/>
        <v/>
      </c>
      <c r="B229" s="3"/>
      <c r="C229" s="3"/>
      <c r="D229" s="3"/>
      <c r="E229" s="3"/>
      <c r="F229" s="5"/>
      <c r="G229" s="5"/>
      <c r="H229" s="5"/>
      <c r="I229" s="5"/>
      <c r="J229" s="6" t="str">
        <f>IF(D229="","",后台计算!E223)</f>
        <v/>
      </c>
      <c r="K229" s="6" t="str">
        <f>IF(D229="","",后台计算!AY223)</f>
        <v/>
      </c>
      <c r="L229" s="7" t="str">
        <f>IF(D229="","",后台计算!AZ223)</f>
        <v/>
      </c>
      <c r="M229" s="7" t="str">
        <f>IF(D229="","",后台计算!BA223)</f>
        <v/>
      </c>
      <c r="N229" s="4" t="str">
        <f>IF(D229="","",后台计算!BG223)</f>
        <v/>
      </c>
      <c r="O229" s="6" t="str">
        <f>IF(D229="","",后台计算!BU223)</f>
        <v/>
      </c>
      <c r="P229" s="6" t="str">
        <f>IF(D229="","",后台计算!BV223)</f>
        <v/>
      </c>
      <c r="Q229" s="6" t="str">
        <f t="shared" si="13"/>
        <v/>
      </c>
      <c r="R229" s="6" t="str">
        <f t="shared" si="14"/>
        <v/>
      </c>
      <c r="S229" s="6" t="str">
        <f t="shared" si="15"/>
        <v/>
      </c>
      <c r="T229" s="4" t="str">
        <f>IF(D229="","","红:"&amp;IF(后台计算!U223=0,"无",IF(后台计算!U223=1,"雷鸣","极限"))&amp;" 增压"&amp;TEXT(后台计算!W223,"0")&amp;" 弹药"&amp;TEXT(后台计算!X223,"0")&amp;"｜37灵光"&amp;TEXT(后台计算!AB223,"0")&amp;" 启迪"&amp;TEXT(后台计算!AC223,"0")&amp;"｜灵犀"&amp;TEXT(后台计算!AV223,"0")&amp;"｜J燃烧"&amp;TEXT(后台计算!AD223,"0")&amp;" 敌燃烧"&amp;TEXT(后台计算!AE223,"0"))</f>
        <v/>
      </c>
      <c r="U229" s="4" t="str">
        <f>IF(D229="","",后台计算!BX223)</f>
        <v/>
      </c>
    </row>
    <row r="230" spans="1:21" ht="38.1" customHeight="1">
      <c r="A230" s="1" t="str">
        <f t="shared" si="12"/>
        <v/>
      </c>
      <c r="B230" s="3"/>
      <c r="C230" s="3"/>
      <c r="D230" s="3"/>
      <c r="E230" s="3"/>
      <c r="F230" s="5"/>
      <c r="G230" s="5"/>
      <c r="H230" s="5"/>
      <c r="I230" s="5"/>
      <c r="J230" s="6" t="str">
        <f>IF(D230="","",后台计算!E224)</f>
        <v/>
      </c>
      <c r="K230" s="6" t="str">
        <f>IF(D230="","",后台计算!AY224)</f>
        <v/>
      </c>
      <c r="L230" s="7" t="str">
        <f>IF(D230="","",后台计算!AZ224)</f>
        <v/>
      </c>
      <c r="M230" s="7" t="str">
        <f>IF(D230="","",后台计算!BA224)</f>
        <v/>
      </c>
      <c r="N230" s="4" t="str">
        <f>IF(D230="","",后台计算!BG224)</f>
        <v/>
      </c>
      <c r="O230" s="6" t="str">
        <f>IF(D230="","",后台计算!BU224)</f>
        <v/>
      </c>
      <c r="P230" s="6" t="str">
        <f>IF(D230="","",后台计算!BV224)</f>
        <v/>
      </c>
      <c r="Q230" s="6" t="str">
        <f t="shared" si="13"/>
        <v/>
      </c>
      <c r="R230" s="6" t="str">
        <f t="shared" si="14"/>
        <v/>
      </c>
      <c r="S230" s="6" t="str">
        <f t="shared" si="15"/>
        <v/>
      </c>
      <c r="T230" s="4" t="str">
        <f>IF(D230="","","红:"&amp;IF(后台计算!U224=0,"无",IF(后台计算!U224=1,"雷鸣","极限"))&amp;" 增压"&amp;TEXT(后台计算!W224,"0")&amp;" 弹药"&amp;TEXT(后台计算!X224,"0")&amp;"｜37灵光"&amp;TEXT(后台计算!AB224,"0")&amp;" 启迪"&amp;TEXT(后台计算!AC224,"0")&amp;"｜灵犀"&amp;TEXT(后台计算!AV224,"0")&amp;"｜J燃烧"&amp;TEXT(后台计算!AD224,"0")&amp;" 敌燃烧"&amp;TEXT(后台计算!AE224,"0"))</f>
        <v/>
      </c>
      <c r="U230" s="4" t="str">
        <f>IF(D230="","",后台计算!BX224)</f>
        <v/>
      </c>
    </row>
    <row r="231" spans="1:21" ht="38.1" customHeight="1">
      <c r="A231" s="1" t="str">
        <f t="shared" si="12"/>
        <v/>
      </c>
      <c r="B231" s="3"/>
      <c r="C231" s="3"/>
      <c r="D231" s="3"/>
      <c r="E231" s="3"/>
      <c r="F231" s="5"/>
      <c r="G231" s="5"/>
      <c r="H231" s="5"/>
      <c r="I231" s="5"/>
      <c r="J231" s="6" t="str">
        <f>IF(D231="","",后台计算!E225)</f>
        <v/>
      </c>
      <c r="K231" s="6" t="str">
        <f>IF(D231="","",后台计算!AY225)</f>
        <v/>
      </c>
      <c r="L231" s="7" t="str">
        <f>IF(D231="","",后台计算!AZ225)</f>
        <v/>
      </c>
      <c r="M231" s="7" t="str">
        <f>IF(D231="","",后台计算!BA225)</f>
        <v/>
      </c>
      <c r="N231" s="4" t="str">
        <f>IF(D231="","",后台计算!BG225)</f>
        <v/>
      </c>
      <c r="O231" s="6" t="str">
        <f>IF(D231="","",后台计算!BU225)</f>
        <v/>
      </c>
      <c r="P231" s="6" t="str">
        <f>IF(D231="","",后台计算!BV225)</f>
        <v/>
      </c>
      <c r="Q231" s="6" t="str">
        <f t="shared" si="13"/>
        <v/>
      </c>
      <c r="R231" s="6" t="str">
        <f t="shared" si="14"/>
        <v/>
      </c>
      <c r="S231" s="6" t="str">
        <f t="shared" si="15"/>
        <v/>
      </c>
      <c r="T231" s="4" t="str">
        <f>IF(D231="","","红:"&amp;IF(后台计算!U225=0,"无",IF(后台计算!U225=1,"雷鸣","极限"))&amp;" 增压"&amp;TEXT(后台计算!W225,"0")&amp;" 弹药"&amp;TEXT(后台计算!X225,"0")&amp;"｜37灵光"&amp;TEXT(后台计算!AB225,"0")&amp;" 启迪"&amp;TEXT(后台计算!AC225,"0")&amp;"｜灵犀"&amp;TEXT(后台计算!AV225,"0")&amp;"｜J燃烧"&amp;TEXT(后台计算!AD225,"0")&amp;" 敌燃烧"&amp;TEXT(后台计算!AE225,"0"))</f>
        <v/>
      </c>
      <c r="U231" s="4" t="str">
        <f>IF(D231="","",后台计算!BX225)</f>
        <v/>
      </c>
    </row>
    <row r="232" spans="1:21" ht="38.1" customHeight="1">
      <c r="A232" s="1" t="str">
        <f t="shared" si="12"/>
        <v/>
      </c>
      <c r="B232" s="3"/>
      <c r="C232" s="3"/>
      <c r="D232" s="3"/>
      <c r="E232" s="3"/>
      <c r="F232" s="5"/>
      <c r="G232" s="5"/>
      <c r="H232" s="5"/>
      <c r="I232" s="5"/>
      <c r="J232" s="6" t="str">
        <f>IF(D232="","",后台计算!E226)</f>
        <v/>
      </c>
      <c r="K232" s="6" t="str">
        <f>IF(D232="","",后台计算!AY226)</f>
        <v/>
      </c>
      <c r="L232" s="7" t="str">
        <f>IF(D232="","",后台计算!AZ226)</f>
        <v/>
      </c>
      <c r="M232" s="7" t="str">
        <f>IF(D232="","",后台计算!BA226)</f>
        <v/>
      </c>
      <c r="N232" s="4" t="str">
        <f>IF(D232="","",后台计算!BG226)</f>
        <v/>
      </c>
      <c r="O232" s="6" t="str">
        <f>IF(D232="","",后台计算!BU226)</f>
        <v/>
      </c>
      <c r="P232" s="6" t="str">
        <f>IF(D232="","",后台计算!BV226)</f>
        <v/>
      </c>
      <c r="Q232" s="6" t="str">
        <f t="shared" si="13"/>
        <v/>
      </c>
      <c r="R232" s="6" t="str">
        <f t="shared" si="14"/>
        <v/>
      </c>
      <c r="S232" s="6" t="str">
        <f t="shared" si="15"/>
        <v/>
      </c>
      <c r="T232" s="4" t="str">
        <f>IF(D232="","","红:"&amp;IF(后台计算!U226=0,"无",IF(后台计算!U226=1,"雷鸣","极限"))&amp;" 增压"&amp;TEXT(后台计算!W226,"0")&amp;" 弹药"&amp;TEXT(后台计算!X226,"0")&amp;"｜37灵光"&amp;TEXT(后台计算!AB226,"0")&amp;" 启迪"&amp;TEXT(后台计算!AC226,"0")&amp;"｜灵犀"&amp;TEXT(后台计算!AV226,"0")&amp;"｜J燃烧"&amp;TEXT(后台计算!AD226,"0")&amp;" 敌燃烧"&amp;TEXT(后台计算!AE226,"0"))</f>
        <v/>
      </c>
      <c r="U232" s="4" t="str">
        <f>IF(D232="","",后台计算!BX226)</f>
        <v/>
      </c>
    </row>
    <row r="233" spans="1:21" ht="38.1" customHeight="1">
      <c r="A233" s="1" t="str">
        <f t="shared" si="12"/>
        <v/>
      </c>
      <c r="B233" s="3"/>
      <c r="C233" s="3"/>
      <c r="D233" s="3"/>
      <c r="E233" s="3"/>
      <c r="F233" s="5"/>
      <c r="G233" s="5"/>
      <c r="H233" s="5"/>
      <c r="I233" s="5"/>
      <c r="J233" s="6" t="str">
        <f>IF(D233="","",后台计算!E227)</f>
        <v/>
      </c>
      <c r="K233" s="6" t="str">
        <f>IF(D233="","",后台计算!AY227)</f>
        <v/>
      </c>
      <c r="L233" s="7" t="str">
        <f>IF(D233="","",后台计算!AZ227)</f>
        <v/>
      </c>
      <c r="M233" s="7" t="str">
        <f>IF(D233="","",后台计算!BA227)</f>
        <v/>
      </c>
      <c r="N233" s="4" t="str">
        <f>IF(D233="","",后台计算!BG227)</f>
        <v/>
      </c>
      <c r="O233" s="6" t="str">
        <f>IF(D233="","",后台计算!BU227)</f>
        <v/>
      </c>
      <c r="P233" s="6" t="str">
        <f>IF(D233="","",后台计算!BV227)</f>
        <v/>
      </c>
      <c r="Q233" s="6" t="str">
        <f t="shared" si="13"/>
        <v/>
      </c>
      <c r="R233" s="6" t="str">
        <f t="shared" si="14"/>
        <v/>
      </c>
      <c r="S233" s="6" t="str">
        <f t="shared" si="15"/>
        <v/>
      </c>
      <c r="T233" s="4" t="str">
        <f>IF(D233="","","红:"&amp;IF(后台计算!U227=0,"无",IF(后台计算!U227=1,"雷鸣","极限"))&amp;" 增压"&amp;TEXT(后台计算!W227,"0")&amp;" 弹药"&amp;TEXT(后台计算!X227,"0")&amp;"｜37灵光"&amp;TEXT(后台计算!AB227,"0")&amp;" 启迪"&amp;TEXT(后台计算!AC227,"0")&amp;"｜灵犀"&amp;TEXT(后台计算!AV227,"0")&amp;"｜J燃烧"&amp;TEXT(后台计算!AD227,"0")&amp;" 敌燃烧"&amp;TEXT(后台计算!AE227,"0"))</f>
        <v/>
      </c>
      <c r="U233" s="4" t="str">
        <f>IF(D233="","",后台计算!BX227)</f>
        <v/>
      </c>
    </row>
    <row r="234" spans="1:21" ht="38.1" customHeight="1">
      <c r="A234" s="1" t="str">
        <f t="shared" si="12"/>
        <v/>
      </c>
      <c r="B234" s="3"/>
      <c r="C234" s="3"/>
      <c r="D234" s="3"/>
      <c r="E234" s="3"/>
      <c r="F234" s="5"/>
      <c r="G234" s="5"/>
      <c r="H234" s="5"/>
      <c r="I234" s="5"/>
      <c r="J234" s="6" t="str">
        <f>IF(D234="","",后台计算!E228)</f>
        <v/>
      </c>
      <c r="K234" s="6" t="str">
        <f>IF(D234="","",后台计算!AY228)</f>
        <v/>
      </c>
      <c r="L234" s="7" t="str">
        <f>IF(D234="","",后台计算!AZ228)</f>
        <v/>
      </c>
      <c r="M234" s="7" t="str">
        <f>IF(D234="","",后台计算!BA228)</f>
        <v/>
      </c>
      <c r="N234" s="4" t="str">
        <f>IF(D234="","",后台计算!BG228)</f>
        <v/>
      </c>
      <c r="O234" s="6" t="str">
        <f>IF(D234="","",后台计算!BU228)</f>
        <v/>
      </c>
      <c r="P234" s="6" t="str">
        <f>IF(D234="","",后台计算!BV228)</f>
        <v/>
      </c>
      <c r="Q234" s="6" t="str">
        <f t="shared" si="13"/>
        <v/>
      </c>
      <c r="R234" s="6" t="str">
        <f t="shared" si="14"/>
        <v/>
      </c>
      <c r="S234" s="6" t="str">
        <f t="shared" si="15"/>
        <v/>
      </c>
      <c r="T234" s="4" t="str">
        <f>IF(D234="","","红:"&amp;IF(后台计算!U228=0,"无",IF(后台计算!U228=1,"雷鸣","极限"))&amp;" 增压"&amp;TEXT(后台计算!W228,"0")&amp;" 弹药"&amp;TEXT(后台计算!X228,"0")&amp;"｜37灵光"&amp;TEXT(后台计算!AB228,"0")&amp;" 启迪"&amp;TEXT(后台计算!AC228,"0")&amp;"｜灵犀"&amp;TEXT(后台计算!AV228,"0")&amp;"｜J燃烧"&amp;TEXT(后台计算!AD228,"0")&amp;" 敌燃烧"&amp;TEXT(后台计算!AE228,"0"))</f>
        <v/>
      </c>
      <c r="U234" s="4" t="str">
        <f>IF(D234="","",后台计算!BX228)</f>
        <v/>
      </c>
    </row>
    <row r="235" spans="1:21" ht="38.1" customHeight="1">
      <c r="A235" s="1" t="str">
        <f t="shared" si="12"/>
        <v/>
      </c>
      <c r="B235" s="3"/>
      <c r="C235" s="3"/>
      <c r="D235" s="3"/>
      <c r="E235" s="3"/>
      <c r="F235" s="5"/>
      <c r="G235" s="5"/>
      <c r="H235" s="5"/>
      <c r="I235" s="5"/>
      <c r="J235" s="6" t="str">
        <f>IF(D235="","",后台计算!E229)</f>
        <v/>
      </c>
      <c r="K235" s="6" t="str">
        <f>IF(D235="","",后台计算!AY229)</f>
        <v/>
      </c>
      <c r="L235" s="7" t="str">
        <f>IF(D235="","",后台计算!AZ229)</f>
        <v/>
      </c>
      <c r="M235" s="7" t="str">
        <f>IF(D235="","",后台计算!BA229)</f>
        <v/>
      </c>
      <c r="N235" s="4" t="str">
        <f>IF(D235="","",后台计算!BG229)</f>
        <v/>
      </c>
      <c r="O235" s="6" t="str">
        <f>IF(D235="","",后台计算!BU229)</f>
        <v/>
      </c>
      <c r="P235" s="6" t="str">
        <f>IF(D235="","",后台计算!BV229)</f>
        <v/>
      </c>
      <c r="Q235" s="6" t="str">
        <f t="shared" si="13"/>
        <v/>
      </c>
      <c r="R235" s="6" t="str">
        <f t="shared" si="14"/>
        <v/>
      </c>
      <c r="S235" s="6" t="str">
        <f t="shared" si="15"/>
        <v/>
      </c>
      <c r="T235" s="4" t="str">
        <f>IF(D235="","","红:"&amp;IF(后台计算!U229=0,"无",IF(后台计算!U229=1,"雷鸣","极限"))&amp;" 增压"&amp;TEXT(后台计算!W229,"0")&amp;" 弹药"&amp;TEXT(后台计算!X229,"0")&amp;"｜37灵光"&amp;TEXT(后台计算!AB229,"0")&amp;" 启迪"&amp;TEXT(后台计算!AC229,"0")&amp;"｜灵犀"&amp;TEXT(后台计算!AV229,"0")&amp;"｜J燃烧"&amp;TEXT(后台计算!AD229,"0")&amp;" 敌燃烧"&amp;TEXT(后台计算!AE229,"0"))</f>
        <v/>
      </c>
      <c r="U235" s="4" t="str">
        <f>IF(D235="","",后台计算!BX229)</f>
        <v/>
      </c>
    </row>
    <row r="236" spans="1:21" ht="38.1" customHeight="1">
      <c r="A236" s="1" t="str">
        <f t="shared" si="12"/>
        <v/>
      </c>
      <c r="B236" s="3"/>
      <c r="C236" s="3"/>
      <c r="D236" s="3"/>
      <c r="E236" s="3"/>
      <c r="F236" s="5"/>
      <c r="G236" s="5"/>
      <c r="H236" s="5"/>
      <c r="I236" s="5"/>
      <c r="J236" s="6" t="str">
        <f>IF(D236="","",后台计算!E230)</f>
        <v/>
      </c>
      <c r="K236" s="6" t="str">
        <f>IF(D236="","",后台计算!AY230)</f>
        <v/>
      </c>
      <c r="L236" s="7" t="str">
        <f>IF(D236="","",后台计算!AZ230)</f>
        <v/>
      </c>
      <c r="M236" s="7" t="str">
        <f>IF(D236="","",后台计算!BA230)</f>
        <v/>
      </c>
      <c r="N236" s="4" t="str">
        <f>IF(D236="","",后台计算!BG230)</f>
        <v/>
      </c>
      <c r="O236" s="6" t="str">
        <f>IF(D236="","",后台计算!BU230)</f>
        <v/>
      </c>
      <c r="P236" s="6" t="str">
        <f>IF(D236="","",后台计算!BV230)</f>
        <v/>
      </c>
      <c r="Q236" s="6" t="str">
        <f t="shared" si="13"/>
        <v/>
      </c>
      <c r="R236" s="6" t="str">
        <f t="shared" si="14"/>
        <v/>
      </c>
      <c r="S236" s="6" t="str">
        <f t="shared" si="15"/>
        <v/>
      </c>
      <c r="T236" s="4" t="str">
        <f>IF(D236="","","红:"&amp;IF(后台计算!U230=0,"无",IF(后台计算!U230=1,"雷鸣","极限"))&amp;" 增压"&amp;TEXT(后台计算!W230,"0")&amp;" 弹药"&amp;TEXT(后台计算!X230,"0")&amp;"｜37灵光"&amp;TEXT(后台计算!AB230,"0")&amp;" 启迪"&amp;TEXT(后台计算!AC230,"0")&amp;"｜灵犀"&amp;TEXT(后台计算!AV230,"0")&amp;"｜J燃烧"&amp;TEXT(后台计算!AD230,"0")&amp;" 敌燃烧"&amp;TEXT(后台计算!AE230,"0"))</f>
        <v/>
      </c>
      <c r="U236" s="4" t="str">
        <f>IF(D236="","",后台计算!BX230)</f>
        <v/>
      </c>
    </row>
    <row r="237" spans="1:21" ht="38.1" customHeight="1">
      <c r="A237" s="1" t="str">
        <f t="shared" si="12"/>
        <v/>
      </c>
      <c r="B237" s="3"/>
      <c r="C237" s="3"/>
      <c r="D237" s="3"/>
      <c r="E237" s="3"/>
      <c r="F237" s="5"/>
      <c r="G237" s="5"/>
      <c r="H237" s="5"/>
      <c r="I237" s="5"/>
      <c r="J237" s="6" t="str">
        <f>IF(D237="","",后台计算!E231)</f>
        <v/>
      </c>
      <c r="K237" s="6" t="str">
        <f>IF(D237="","",后台计算!AY231)</f>
        <v/>
      </c>
      <c r="L237" s="7" t="str">
        <f>IF(D237="","",后台计算!AZ231)</f>
        <v/>
      </c>
      <c r="M237" s="7" t="str">
        <f>IF(D237="","",后台计算!BA231)</f>
        <v/>
      </c>
      <c r="N237" s="4" t="str">
        <f>IF(D237="","",后台计算!BG231)</f>
        <v/>
      </c>
      <c r="O237" s="6" t="str">
        <f>IF(D237="","",后台计算!BU231)</f>
        <v/>
      </c>
      <c r="P237" s="6" t="str">
        <f>IF(D237="","",后台计算!BV231)</f>
        <v/>
      </c>
      <c r="Q237" s="6" t="str">
        <f t="shared" si="13"/>
        <v/>
      </c>
      <c r="R237" s="6" t="str">
        <f t="shared" si="14"/>
        <v/>
      </c>
      <c r="S237" s="6" t="str">
        <f t="shared" si="15"/>
        <v/>
      </c>
      <c r="T237" s="4" t="str">
        <f>IF(D237="","","红:"&amp;IF(后台计算!U231=0,"无",IF(后台计算!U231=1,"雷鸣","极限"))&amp;" 增压"&amp;TEXT(后台计算!W231,"0")&amp;" 弹药"&amp;TEXT(后台计算!X231,"0")&amp;"｜37灵光"&amp;TEXT(后台计算!AB231,"0")&amp;" 启迪"&amp;TEXT(后台计算!AC231,"0")&amp;"｜灵犀"&amp;TEXT(后台计算!AV231,"0")&amp;"｜J燃烧"&amp;TEXT(后台计算!AD231,"0")&amp;" 敌燃烧"&amp;TEXT(后台计算!AE231,"0"))</f>
        <v/>
      </c>
      <c r="U237" s="4" t="str">
        <f>IF(D237="","",后台计算!BX231)</f>
        <v/>
      </c>
    </row>
    <row r="238" spans="1:21" ht="38.1" customHeight="1">
      <c r="A238" s="1" t="str">
        <f t="shared" si="12"/>
        <v/>
      </c>
      <c r="B238" s="3"/>
      <c r="C238" s="3"/>
      <c r="D238" s="3"/>
      <c r="E238" s="3"/>
      <c r="F238" s="5"/>
      <c r="G238" s="5"/>
      <c r="H238" s="5"/>
      <c r="I238" s="5"/>
      <c r="J238" s="6" t="str">
        <f>IF(D238="","",后台计算!E232)</f>
        <v/>
      </c>
      <c r="K238" s="6" t="str">
        <f>IF(D238="","",后台计算!AY232)</f>
        <v/>
      </c>
      <c r="L238" s="7" t="str">
        <f>IF(D238="","",后台计算!AZ232)</f>
        <v/>
      </c>
      <c r="M238" s="7" t="str">
        <f>IF(D238="","",后台计算!BA232)</f>
        <v/>
      </c>
      <c r="N238" s="4" t="str">
        <f>IF(D238="","",后台计算!BG232)</f>
        <v/>
      </c>
      <c r="O238" s="6" t="str">
        <f>IF(D238="","",后台计算!BU232)</f>
        <v/>
      </c>
      <c r="P238" s="6" t="str">
        <f>IF(D238="","",后台计算!BV232)</f>
        <v/>
      </c>
      <c r="Q238" s="6" t="str">
        <f t="shared" si="13"/>
        <v/>
      </c>
      <c r="R238" s="6" t="str">
        <f t="shared" si="14"/>
        <v/>
      </c>
      <c r="S238" s="6" t="str">
        <f t="shared" si="15"/>
        <v/>
      </c>
      <c r="T238" s="4" t="str">
        <f>IF(D238="","","红:"&amp;IF(后台计算!U232=0,"无",IF(后台计算!U232=1,"雷鸣","极限"))&amp;" 增压"&amp;TEXT(后台计算!W232,"0")&amp;" 弹药"&amp;TEXT(后台计算!X232,"0")&amp;"｜37灵光"&amp;TEXT(后台计算!AB232,"0")&amp;" 启迪"&amp;TEXT(后台计算!AC232,"0")&amp;"｜灵犀"&amp;TEXT(后台计算!AV232,"0")&amp;"｜J燃烧"&amp;TEXT(后台计算!AD232,"0")&amp;" 敌燃烧"&amp;TEXT(后台计算!AE232,"0"))</f>
        <v/>
      </c>
      <c r="U238" s="4" t="str">
        <f>IF(D238="","",后台计算!BX232)</f>
        <v/>
      </c>
    </row>
    <row r="239" spans="1:21" ht="38.1" customHeight="1">
      <c r="A239" s="1" t="str">
        <f t="shared" si="12"/>
        <v/>
      </c>
      <c r="B239" s="3"/>
      <c r="C239" s="3"/>
      <c r="D239" s="3"/>
      <c r="E239" s="3"/>
      <c r="F239" s="5"/>
      <c r="G239" s="5"/>
      <c r="H239" s="5"/>
      <c r="I239" s="5"/>
      <c r="J239" s="6" t="str">
        <f>IF(D239="","",后台计算!E233)</f>
        <v/>
      </c>
      <c r="K239" s="6" t="str">
        <f>IF(D239="","",后台计算!AY233)</f>
        <v/>
      </c>
      <c r="L239" s="7" t="str">
        <f>IF(D239="","",后台计算!AZ233)</f>
        <v/>
      </c>
      <c r="M239" s="7" t="str">
        <f>IF(D239="","",后台计算!BA233)</f>
        <v/>
      </c>
      <c r="N239" s="4" t="str">
        <f>IF(D239="","",后台计算!BG233)</f>
        <v/>
      </c>
      <c r="O239" s="6" t="str">
        <f>IF(D239="","",后台计算!BU233)</f>
        <v/>
      </c>
      <c r="P239" s="6" t="str">
        <f>IF(D239="","",后台计算!BV233)</f>
        <v/>
      </c>
      <c r="Q239" s="6" t="str">
        <f t="shared" si="13"/>
        <v/>
      </c>
      <c r="R239" s="6" t="str">
        <f t="shared" si="14"/>
        <v/>
      </c>
      <c r="S239" s="6" t="str">
        <f t="shared" si="15"/>
        <v/>
      </c>
      <c r="T239" s="4" t="str">
        <f>IF(D239="","","红:"&amp;IF(后台计算!U233=0,"无",IF(后台计算!U233=1,"雷鸣","极限"))&amp;" 增压"&amp;TEXT(后台计算!W233,"0")&amp;" 弹药"&amp;TEXT(后台计算!X233,"0")&amp;"｜37灵光"&amp;TEXT(后台计算!AB233,"0")&amp;" 启迪"&amp;TEXT(后台计算!AC233,"0")&amp;"｜灵犀"&amp;TEXT(后台计算!AV233,"0")&amp;"｜J燃烧"&amp;TEXT(后台计算!AD233,"0")&amp;" 敌燃烧"&amp;TEXT(后台计算!AE233,"0"))</f>
        <v/>
      </c>
      <c r="U239" s="4" t="str">
        <f>IF(D239="","",后台计算!BX233)</f>
        <v/>
      </c>
    </row>
    <row r="240" spans="1:21" ht="38.1" customHeight="1">
      <c r="A240" s="1" t="str">
        <f t="shared" si="12"/>
        <v/>
      </c>
      <c r="B240" s="3"/>
      <c r="C240" s="3"/>
      <c r="D240" s="3"/>
      <c r="E240" s="3"/>
      <c r="F240" s="5"/>
      <c r="G240" s="5"/>
      <c r="H240" s="5"/>
      <c r="I240" s="5"/>
      <c r="J240" s="6" t="str">
        <f>IF(D240="","",后台计算!E234)</f>
        <v/>
      </c>
      <c r="K240" s="6" t="str">
        <f>IF(D240="","",后台计算!AY234)</f>
        <v/>
      </c>
      <c r="L240" s="7" t="str">
        <f>IF(D240="","",后台计算!AZ234)</f>
        <v/>
      </c>
      <c r="M240" s="7" t="str">
        <f>IF(D240="","",后台计算!BA234)</f>
        <v/>
      </c>
      <c r="N240" s="4" t="str">
        <f>IF(D240="","",后台计算!BG234)</f>
        <v/>
      </c>
      <c r="O240" s="6" t="str">
        <f>IF(D240="","",后台计算!BU234)</f>
        <v/>
      </c>
      <c r="P240" s="6" t="str">
        <f>IF(D240="","",后台计算!BV234)</f>
        <v/>
      </c>
      <c r="Q240" s="6" t="str">
        <f t="shared" si="13"/>
        <v/>
      </c>
      <c r="R240" s="6" t="str">
        <f t="shared" si="14"/>
        <v/>
      </c>
      <c r="S240" s="6" t="str">
        <f t="shared" si="15"/>
        <v/>
      </c>
      <c r="T240" s="4" t="str">
        <f>IF(D240="","","红:"&amp;IF(后台计算!U234=0,"无",IF(后台计算!U234=1,"雷鸣","极限"))&amp;" 增压"&amp;TEXT(后台计算!W234,"0")&amp;" 弹药"&amp;TEXT(后台计算!X234,"0")&amp;"｜37灵光"&amp;TEXT(后台计算!AB234,"0")&amp;" 启迪"&amp;TEXT(后台计算!AC234,"0")&amp;"｜灵犀"&amp;TEXT(后台计算!AV234,"0")&amp;"｜J燃烧"&amp;TEXT(后台计算!AD234,"0")&amp;" 敌燃烧"&amp;TEXT(后台计算!AE234,"0"))</f>
        <v/>
      </c>
      <c r="U240" s="4" t="str">
        <f>IF(D240="","",后台计算!BX234)</f>
        <v/>
      </c>
    </row>
    <row r="241" spans="1:21" ht="38.1" customHeight="1">
      <c r="A241" s="1" t="str">
        <f t="shared" si="12"/>
        <v/>
      </c>
      <c r="B241" s="3"/>
      <c r="C241" s="3"/>
      <c r="D241" s="3"/>
      <c r="E241" s="3"/>
      <c r="F241" s="5"/>
      <c r="G241" s="5"/>
      <c r="H241" s="5"/>
      <c r="I241" s="5"/>
      <c r="J241" s="6" t="str">
        <f>IF(D241="","",后台计算!E235)</f>
        <v/>
      </c>
      <c r="K241" s="6" t="str">
        <f>IF(D241="","",后台计算!AY235)</f>
        <v/>
      </c>
      <c r="L241" s="7" t="str">
        <f>IF(D241="","",后台计算!AZ235)</f>
        <v/>
      </c>
      <c r="M241" s="7" t="str">
        <f>IF(D241="","",后台计算!BA235)</f>
        <v/>
      </c>
      <c r="N241" s="4" t="str">
        <f>IF(D241="","",后台计算!BG235)</f>
        <v/>
      </c>
      <c r="O241" s="6" t="str">
        <f>IF(D241="","",后台计算!BU235)</f>
        <v/>
      </c>
      <c r="P241" s="6" t="str">
        <f>IF(D241="","",后台计算!BV235)</f>
        <v/>
      </c>
      <c r="Q241" s="6" t="str">
        <f t="shared" si="13"/>
        <v/>
      </c>
      <c r="R241" s="6" t="str">
        <f t="shared" si="14"/>
        <v/>
      </c>
      <c r="S241" s="6" t="str">
        <f t="shared" si="15"/>
        <v/>
      </c>
      <c r="T241" s="4" t="str">
        <f>IF(D241="","","红:"&amp;IF(后台计算!U235=0,"无",IF(后台计算!U235=1,"雷鸣","极限"))&amp;" 增压"&amp;TEXT(后台计算!W235,"0")&amp;" 弹药"&amp;TEXT(后台计算!X235,"0")&amp;"｜37灵光"&amp;TEXT(后台计算!AB235,"0")&amp;" 启迪"&amp;TEXT(后台计算!AC235,"0")&amp;"｜灵犀"&amp;TEXT(后台计算!AV235,"0")&amp;"｜J燃烧"&amp;TEXT(后台计算!AD235,"0")&amp;" 敌燃烧"&amp;TEXT(后台计算!AE235,"0"))</f>
        <v/>
      </c>
      <c r="U241" s="4" t="str">
        <f>IF(D241="","",后台计算!BX235)</f>
        <v/>
      </c>
    </row>
    <row r="242" spans="1:21" ht="38.1" customHeight="1">
      <c r="A242" s="1" t="str">
        <f t="shared" si="12"/>
        <v/>
      </c>
      <c r="B242" s="3"/>
      <c r="C242" s="3"/>
      <c r="D242" s="3"/>
      <c r="E242" s="3"/>
      <c r="F242" s="5"/>
      <c r="G242" s="5"/>
      <c r="H242" s="5"/>
      <c r="I242" s="5"/>
      <c r="J242" s="6" t="str">
        <f>IF(D242="","",后台计算!E236)</f>
        <v/>
      </c>
      <c r="K242" s="6" t="str">
        <f>IF(D242="","",后台计算!AY236)</f>
        <v/>
      </c>
      <c r="L242" s="7" t="str">
        <f>IF(D242="","",后台计算!AZ236)</f>
        <v/>
      </c>
      <c r="M242" s="7" t="str">
        <f>IF(D242="","",后台计算!BA236)</f>
        <v/>
      </c>
      <c r="N242" s="4" t="str">
        <f>IF(D242="","",后台计算!BG236)</f>
        <v/>
      </c>
      <c r="O242" s="6" t="str">
        <f>IF(D242="","",后台计算!BU236)</f>
        <v/>
      </c>
      <c r="P242" s="6" t="str">
        <f>IF(D242="","",后台计算!BV236)</f>
        <v/>
      </c>
      <c r="Q242" s="6" t="str">
        <f t="shared" si="13"/>
        <v/>
      </c>
      <c r="R242" s="6" t="str">
        <f t="shared" si="14"/>
        <v/>
      </c>
      <c r="S242" s="6" t="str">
        <f t="shared" si="15"/>
        <v/>
      </c>
      <c r="T242" s="4" t="str">
        <f>IF(D242="","","红:"&amp;IF(后台计算!U236=0,"无",IF(后台计算!U236=1,"雷鸣","极限"))&amp;" 增压"&amp;TEXT(后台计算!W236,"0")&amp;" 弹药"&amp;TEXT(后台计算!X236,"0")&amp;"｜37灵光"&amp;TEXT(后台计算!AB236,"0")&amp;" 启迪"&amp;TEXT(后台计算!AC236,"0")&amp;"｜灵犀"&amp;TEXT(后台计算!AV236,"0")&amp;"｜J燃烧"&amp;TEXT(后台计算!AD236,"0")&amp;" 敌燃烧"&amp;TEXT(后台计算!AE236,"0"))</f>
        <v/>
      </c>
      <c r="U242" s="4" t="str">
        <f>IF(D242="","",后台计算!BX236)</f>
        <v/>
      </c>
    </row>
    <row r="243" spans="1:21" ht="38.1" customHeight="1">
      <c r="A243" s="1" t="str">
        <f t="shared" si="12"/>
        <v/>
      </c>
      <c r="B243" s="3"/>
      <c r="C243" s="3"/>
      <c r="D243" s="3"/>
      <c r="E243" s="3"/>
      <c r="F243" s="5"/>
      <c r="G243" s="5"/>
      <c r="H243" s="5"/>
      <c r="I243" s="5"/>
      <c r="J243" s="6" t="str">
        <f>IF(D243="","",后台计算!E237)</f>
        <v/>
      </c>
      <c r="K243" s="6" t="str">
        <f>IF(D243="","",后台计算!AY237)</f>
        <v/>
      </c>
      <c r="L243" s="7" t="str">
        <f>IF(D243="","",后台计算!AZ237)</f>
        <v/>
      </c>
      <c r="M243" s="7" t="str">
        <f>IF(D243="","",后台计算!BA237)</f>
        <v/>
      </c>
      <c r="N243" s="4" t="str">
        <f>IF(D243="","",后台计算!BG237)</f>
        <v/>
      </c>
      <c r="O243" s="6" t="str">
        <f>IF(D243="","",后台计算!BU237)</f>
        <v/>
      </c>
      <c r="P243" s="6" t="str">
        <f>IF(D243="","",后台计算!BV237)</f>
        <v/>
      </c>
      <c r="Q243" s="6" t="str">
        <f t="shared" si="13"/>
        <v/>
      </c>
      <c r="R243" s="6" t="str">
        <f t="shared" si="14"/>
        <v/>
      </c>
      <c r="S243" s="6" t="str">
        <f t="shared" si="15"/>
        <v/>
      </c>
      <c r="T243" s="4" t="str">
        <f>IF(D243="","","红:"&amp;IF(后台计算!U237=0,"无",IF(后台计算!U237=1,"雷鸣","极限"))&amp;" 增压"&amp;TEXT(后台计算!W237,"0")&amp;" 弹药"&amp;TEXT(后台计算!X237,"0")&amp;"｜37灵光"&amp;TEXT(后台计算!AB237,"0")&amp;" 启迪"&amp;TEXT(后台计算!AC237,"0")&amp;"｜灵犀"&amp;TEXT(后台计算!AV237,"0")&amp;"｜J燃烧"&amp;TEXT(后台计算!AD237,"0")&amp;" 敌燃烧"&amp;TEXT(后台计算!AE237,"0"))</f>
        <v/>
      </c>
      <c r="U243" s="4" t="str">
        <f>IF(D243="","",后台计算!BX237)</f>
        <v/>
      </c>
    </row>
    <row r="244" spans="1:21" ht="38.1" customHeight="1">
      <c r="A244" s="1" t="str">
        <f t="shared" si="12"/>
        <v/>
      </c>
      <c r="B244" s="3"/>
      <c r="C244" s="3"/>
      <c r="D244" s="3"/>
      <c r="E244" s="3"/>
      <c r="F244" s="5"/>
      <c r="G244" s="5"/>
      <c r="H244" s="5"/>
      <c r="I244" s="5"/>
      <c r="J244" s="6" t="str">
        <f>IF(D244="","",后台计算!E238)</f>
        <v/>
      </c>
      <c r="K244" s="6" t="str">
        <f>IF(D244="","",后台计算!AY238)</f>
        <v/>
      </c>
      <c r="L244" s="7" t="str">
        <f>IF(D244="","",后台计算!AZ238)</f>
        <v/>
      </c>
      <c r="M244" s="7" t="str">
        <f>IF(D244="","",后台计算!BA238)</f>
        <v/>
      </c>
      <c r="N244" s="4" t="str">
        <f>IF(D244="","",后台计算!BG238)</f>
        <v/>
      </c>
      <c r="O244" s="6" t="str">
        <f>IF(D244="","",后台计算!BU238)</f>
        <v/>
      </c>
      <c r="P244" s="6" t="str">
        <f>IF(D244="","",后台计算!BV238)</f>
        <v/>
      </c>
      <c r="Q244" s="6" t="str">
        <f t="shared" si="13"/>
        <v/>
      </c>
      <c r="R244" s="6" t="str">
        <f t="shared" si="14"/>
        <v/>
      </c>
      <c r="S244" s="6" t="str">
        <f t="shared" si="15"/>
        <v/>
      </c>
      <c r="T244" s="4" t="str">
        <f>IF(D244="","","红:"&amp;IF(后台计算!U238=0,"无",IF(后台计算!U238=1,"雷鸣","极限"))&amp;" 增压"&amp;TEXT(后台计算!W238,"0")&amp;" 弹药"&amp;TEXT(后台计算!X238,"0")&amp;"｜37灵光"&amp;TEXT(后台计算!AB238,"0")&amp;" 启迪"&amp;TEXT(后台计算!AC238,"0")&amp;"｜灵犀"&amp;TEXT(后台计算!AV238,"0")&amp;"｜J燃烧"&amp;TEXT(后台计算!AD238,"0")&amp;" 敌燃烧"&amp;TEXT(后台计算!AE238,"0"))</f>
        <v/>
      </c>
      <c r="U244" s="4" t="str">
        <f>IF(D244="","",后台计算!BX238)</f>
        <v/>
      </c>
    </row>
    <row r="245" spans="1:21" ht="38.1" customHeight="1">
      <c r="A245" s="1" t="str">
        <f t="shared" si="12"/>
        <v/>
      </c>
      <c r="B245" s="3"/>
      <c r="C245" s="3"/>
      <c r="D245" s="3"/>
      <c r="E245" s="3"/>
      <c r="F245" s="5"/>
      <c r="G245" s="5"/>
      <c r="H245" s="5"/>
      <c r="I245" s="5"/>
      <c r="J245" s="6" t="str">
        <f>IF(D245="","",后台计算!E239)</f>
        <v/>
      </c>
      <c r="K245" s="6" t="str">
        <f>IF(D245="","",后台计算!AY239)</f>
        <v/>
      </c>
      <c r="L245" s="7" t="str">
        <f>IF(D245="","",后台计算!AZ239)</f>
        <v/>
      </c>
      <c r="M245" s="7" t="str">
        <f>IF(D245="","",后台计算!BA239)</f>
        <v/>
      </c>
      <c r="N245" s="4" t="str">
        <f>IF(D245="","",后台计算!BG239)</f>
        <v/>
      </c>
      <c r="O245" s="6" t="str">
        <f>IF(D245="","",后台计算!BU239)</f>
        <v/>
      </c>
      <c r="P245" s="6" t="str">
        <f>IF(D245="","",后台计算!BV239)</f>
        <v/>
      </c>
      <c r="Q245" s="6" t="str">
        <f t="shared" si="13"/>
        <v/>
      </c>
      <c r="R245" s="6" t="str">
        <f t="shared" si="14"/>
        <v/>
      </c>
      <c r="S245" s="6" t="str">
        <f t="shared" si="15"/>
        <v/>
      </c>
      <c r="T245" s="4" t="str">
        <f>IF(D245="","","红:"&amp;IF(后台计算!U239=0,"无",IF(后台计算!U239=1,"雷鸣","极限"))&amp;" 增压"&amp;TEXT(后台计算!W239,"0")&amp;" 弹药"&amp;TEXT(后台计算!X239,"0")&amp;"｜37灵光"&amp;TEXT(后台计算!AB239,"0")&amp;" 启迪"&amp;TEXT(后台计算!AC239,"0")&amp;"｜灵犀"&amp;TEXT(后台计算!AV239,"0")&amp;"｜J燃烧"&amp;TEXT(后台计算!AD239,"0")&amp;" 敌燃烧"&amp;TEXT(后台计算!AE239,"0"))</f>
        <v/>
      </c>
      <c r="U245" s="4" t="str">
        <f>IF(D245="","",后台计算!BX239)</f>
        <v/>
      </c>
    </row>
    <row r="246" spans="1:21" ht="38.1" customHeight="1">
      <c r="A246" s="1" t="str">
        <f t="shared" si="12"/>
        <v/>
      </c>
      <c r="B246" s="3"/>
      <c r="C246" s="3"/>
      <c r="D246" s="3"/>
      <c r="E246" s="3"/>
      <c r="F246" s="5"/>
      <c r="G246" s="5"/>
      <c r="H246" s="5"/>
      <c r="I246" s="5"/>
      <c r="J246" s="6" t="str">
        <f>IF(D246="","",后台计算!E240)</f>
        <v/>
      </c>
      <c r="K246" s="6" t="str">
        <f>IF(D246="","",后台计算!AY240)</f>
        <v/>
      </c>
      <c r="L246" s="7" t="str">
        <f>IF(D246="","",后台计算!AZ240)</f>
        <v/>
      </c>
      <c r="M246" s="7" t="str">
        <f>IF(D246="","",后台计算!BA240)</f>
        <v/>
      </c>
      <c r="N246" s="4" t="str">
        <f>IF(D246="","",后台计算!BG240)</f>
        <v/>
      </c>
      <c r="O246" s="6" t="str">
        <f>IF(D246="","",后台计算!BU240)</f>
        <v/>
      </c>
      <c r="P246" s="6" t="str">
        <f>IF(D246="","",后台计算!BV240)</f>
        <v/>
      </c>
      <c r="Q246" s="6" t="str">
        <f t="shared" si="13"/>
        <v/>
      </c>
      <c r="R246" s="6" t="str">
        <f t="shared" si="14"/>
        <v/>
      </c>
      <c r="S246" s="6" t="str">
        <f t="shared" si="15"/>
        <v/>
      </c>
      <c r="T246" s="4" t="str">
        <f>IF(D246="","","红:"&amp;IF(后台计算!U240=0,"无",IF(后台计算!U240=1,"雷鸣","极限"))&amp;" 增压"&amp;TEXT(后台计算!W240,"0")&amp;" 弹药"&amp;TEXT(后台计算!X240,"0")&amp;"｜37灵光"&amp;TEXT(后台计算!AB240,"0")&amp;" 启迪"&amp;TEXT(后台计算!AC240,"0")&amp;"｜灵犀"&amp;TEXT(后台计算!AV240,"0")&amp;"｜J燃烧"&amp;TEXT(后台计算!AD240,"0")&amp;" 敌燃烧"&amp;TEXT(后台计算!AE240,"0"))</f>
        <v/>
      </c>
      <c r="U246" s="4" t="str">
        <f>IF(D246="","",后台计算!BX240)</f>
        <v/>
      </c>
    </row>
    <row r="247" spans="1:21" ht="38.1" customHeight="1">
      <c r="A247" s="1" t="str">
        <f t="shared" si="12"/>
        <v/>
      </c>
      <c r="B247" s="3"/>
      <c r="C247" s="3"/>
      <c r="D247" s="3"/>
      <c r="E247" s="3"/>
      <c r="F247" s="5"/>
      <c r="G247" s="5"/>
      <c r="H247" s="5"/>
      <c r="I247" s="5"/>
      <c r="J247" s="6" t="str">
        <f>IF(D247="","",后台计算!E241)</f>
        <v/>
      </c>
      <c r="K247" s="6" t="str">
        <f>IF(D247="","",后台计算!AY241)</f>
        <v/>
      </c>
      <c r="L247" s="7" t="str">
        <f>IF(D247="","",后台计算!AZ241)</f>
        <v/>
      </c>
      <c r="M247" s="7" t="str">
        <f>IF(D247="","",后台计算!BA241)</f>
        <v/>
      </c>
      <c r="N247" s="4" t="str">
        <f>IF(D247="","",后台计算!BG241)</f>
        <v/>
      </c>
      <c r="O247" s="6" t="str">
        <f>IF(D247="","",后台计算!BU241)</f>
        <v/>
      </c>
      <c r="P247" s="6" t="str">
        <f>IF(D247="","",后台计算!BV241)</f>
        <v/>
      </c>
      <c r="Q247" s="6" t="str">
        <f t="shared" si="13"/>
        <v/>
      </c>
      <c r="R247" s="6" t="str">
        <f t="shared" si="14"/>
        <v/>
      </c>
      <c r="S247" s="6" t="str">
        <f t="shared" si="15"/>
        <v/>
      </c>
      <c r="T247" s="4" t="str">
        <f>IF(D247="","","红:"&amp;IF(后台计算!U241=0,"无",IF(后台计算!U241=1,"雷鸣","极限"))&amp;" 增压"&amp;TEXT(后台计算!W241,"0")&amp;" 弹药"&amp;TEXT(后台计算!X241,"0")&amp;"｜37灵光"&amp;TEXT(后台计算!AB241,"0")&amp;" 启迪"&amp;TEXT(后台计算!AC241,"0")&amp;"｜灵犀"&amp;TEXT(后台计算!AV241,"0")&amp;"｜J燃烧"&amp;TEXT(后台计算!AD241,"0")&amp;" 敌燃烧"&amp;TEXT(后台计算!AE241,"0"))</f>
        <v/>
      </c>
      <c r="U247" s="4" t="str">
        <f>IF(D247="","",后台计算!BX241)</f>
        <v/>
      </c>
    </row>
    <row r="248" spans="1:21" ht="38.1" customHeight="1">
      <c r="A248" s="1" t="str">
        <f t="shared" si="12"/>
        <v/>
      </c>
      <c r="B248" s="3"/>
      <c r="C248" s="3"/>
      <c r="D248" s="3"/>
      <c r="E248" s="3"/>
      <c r="F248" s="5"/>
      <c r="G248" s="5"/>
      <c r="H248" s="5"/>
      <c r="I248" s="5"/>
      <c r="J248" s="6" t="str">
        <f>IF(D248="","",后台计算!E242)</f>
        <v/>
      </c>
      <c r="K248" s="6" t="str">
        <f>IF(D248="","",后台计算!AY242)</f>
        <v/>
      </c>
      <c r="L248" s="7" t="str">
        <f>IF(D248="","",后台计算!AZ242)</f>
        <v/>
      </c>
      <c r="M248" s="7" t="str">
        <f>IF(D248="","",后台计算!BA242)</f>
        <v/>
      </c>
      <c r="N248" s="4" t="str">
        <f>IF(D248="","",后台计算!BG242)</f>
        <v/>
      </c>
      <c r="O248" s="6" t="str">
        <f>IF(D248="","",后台计算!BU242)</f>
        <v/>
      </c>
      <c r="P248" s="6" t="str">
        <f>IF(D248="","",后台计算!BV242)</f>
        <v/>
      </c>
      <c r="Q248" s="6" t="str">
        <f t="shared" si="13"/>
        <v/>
      </c>
      <c r="R248" s="6" t="str">
        <f t="shared" si="14"/>
        <v/>
      </c>
      <c r="S248" s="6" t="str">
        <f t="shared" si="15"/>
        <v/>
      </c>
      <c r="T248" s="4" t="str">
        <f>IF(D248="","","红:"&amp;IF(后台计算!U242=0,"无",IF(后台计算!U242=1,"雷鸣","极限"))&amp;" 增压"&amp;TEXT(后台计算!W242,"0")&amp;" 弹药"&amp;TEXT(后台计算!X242,"0")&amp;"｜37灵光"&amp;TEXT(后台计算!AB242,"0")&amp;" 启迪"&amp;TEXT(后台计算!AC242,"0")&amp;"｜灵犀"&amp;TEXT(后台计算!AV242,"0")&amp;"｜J燃烧"&amp;TEXT(后台计算!AD242,"0")&amp;" 敌燃烧"&amp;TEXT(后台计算!AE242,"0"))</f>
        <v/>
      </c>
      <c r="U248" s="4" t="str">
        <f>IF(D248="","",后台计算!BX242)</f>
        <v/>
      </c>
    </row>
    <row r="249" spans="1:21" ht="38.1" customHeight="1">
      <c r="A249" s="1" t="str">
        <f t="shared" si="12"/>
        <v/>
      </c>
      <c r="B249" s="3"/>
      <c r="C249" s="3"/>
      <c r="D249" s="3"/>
      <c r="E249" s="3"/>
      <c r="F249" s="5"/>
      <c r="G249" s="5"/>
      <c r="H249" s="5"/>
      <c r="I249" s="5"/>
      <c r="J249" s="6" t="str">
        <f>IF(D249="","",后台计算!E243)</f>
        <v/>
      </c>
      <c r="K249" s="6" t="str">
        <f>IF(D249="","",后台计算!AY243)</f>
        <v/>
      </c>
      <c r="L249" s="7" t="str">
        <f>IF(D249="","",后台计算!AZ243)</f>
        <v/>
      </c>
      <c r="M249" s="7" t="str">
        <f>IF(D249="","",后台计算!BA243)</f>
        <v/>
      </c>
      <c r="N249" s="4" t="str">
        <f>IF(D249="","",后台计算!BG243)</f>
        <v/>
      </c>
      <c r="O249" s="6" t="str">
        <f>IF(D249="","",后台计算!BU243)</f>
        <v/>
      </c>
      <c r="P249" s="6" t="str">
        <f>IF(D249="","",后台计算!BV243)</f>
        <v/>
      </c>
      <c r="Q249" s="6" t="str">
        <f t="shared" si="13"/>
        <v/>
      </c>
      <c r="R249" s="6" t="str">
        <f t="shared" si="14"/>
        <v/>
      </c>
      <c r="S249" s="6" t="str">
        <f t="shared" si="15"/>
        <v/>
      </c>
      <c r="T249" s="4" t="str">
        <f>IF(D249="","","红:"&amp;IF(后台计算!U243=0,"无",IF(后台计算!U243=1,"雷鸣","极限"))&amp;" 增压"&amp;TEXT(后台计算!W243,"0")&amp;" 弹药"&amp;TEXT(后台计算!X243,"0")&amp;"｜37灵光"&amp;TEXT(后台计算!AB243,"0")&amp;" 启迪"&amp;TEXT(后台计算!AC243,"0")&amp;"｜灵犀"&amp;TEXT(后台计算!AV243,"0")&amp;"｜J燃烧"&amp;TEXT(后台计算!AD243,"0")&amp;" 敌燃烧"&amp;TEXT(后台计算!AE243,"0"))</f>
        <v/>
      </c>
      <c r="U249" s="4" t="str">
        <f>IF(D249="","",后台计算!BX243)</f>
        <v/>
      </c>
    </row>
  </sheetData>
  <sheetProtection algorithmName="SHA-512" hashValue="olzdGdxSBIqvkKebNldPaZLktcj5WsJZdlih///dD7KSqZX49Z/P/MpPJx++KlQIQqWE1tP5yYYnNUU7oGX9eg==" saltValue="JD7GQZHyzZMFNJ6LAe38LA==" spinCount="100000" sheet="1" objects="1" scenarios="1"/>
  <mergeCells count="2">
    <mergeCell ref="A1:U1"/>
    <mergeCell ref="A2:U2"/>
  </mergeCells>
  <phoneticPr fontId="4" type="noConversion"/>
  <dataValidations count="3">
    <dataValidation type="list" sqref="B9:B249" xr:uid="{00000000-0002-0000-0300-000000000000}">
      <formula1>"1,2,3,洞知,小瑞安侬额外回合,4,5,6,7（目击）,洞知2,第8回合出牌前"</formula1>
    </dataValidation>
    <dataValidation type="list" sqref="D9:D249" xr:uid="{00000000-0002-0000-0300-000001000000}">
      <formula1>INDIRECT("'技能数据库'!$A$4:$A$38")</formula1>
    </dataValidation>
    <dataValidation type="list" sqref="E9:E249" xr:uid="{00000000-0002-0000-0300-000002000000}">
      <formula1>"是,否,—"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48"/>
  <sheetViews>
    <sheetView workbookViewId="0">
      <pane xSplit="1" ySplit="8" topLeftCell="B9" activePane="bottomRight" state="frozen"/>
      <selection activeCell="B11" sqref="B11"/>
      <selection pane="topRight" activeCell="B11" sqref="B11"/>
      <selection pane="bottomLeft" activeCell="B11" sqref="B11"/>
      <selection pane="bottomRight" activeCell="B8" sqref="B8"/>
    </sheetView>
  </sheetViews>
  <sheetFormatPr defaultRowHeight="14.25"/>
  <cols>
    <col min="1" max="1" width="55" customWidth="1"/>
    <col min="2" max="2" width="14" customWidth="1"/>
    <col min="3" max="3" width="29" customWidth="1"/>
    <col min="4" max="4" width="25" customWidth="1"/>
    <col min="5" max="12" width="14" customWidth="1"/>
    <col min="13" max="13" width="29" customWidth="1"/>
    <col min="14" max="14" width="14" customWidth="1"/>
    <col min="15" max="15" width="16" customWidth="1"/>
    <col min="16" max="16" width="14" customWidth="1"/>
    <col min="17" max="17" width="16" customWidth="1"/>
    <col min="18" max="19" width="14" customWidth="1"/>
    <col min="20" max="20" width="45" customWidth="1"/>
    <col min="21" max="21" width="19" customWidth="1"/>
    <col min="22" max="23" width="14" customWidth="1"/>
    <col min="24" max="24" width="23" customWidth="1"/>
    <col min="25" max="25" width="19" customWidth="1"/>
  </cols>
  <sheetData>
    <row r="1" spans="1:25" ht="38.1" customHeight="1">
      <c r="A1" s="1" t="s">
        <v>385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8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8.1" customHeight="1">
      <c r="A3" s="1" t="s">
        <v>386</v>
      </c>
      <c r="B3" s="1" t="s">
        <v>180</v>
      </c>
      <c r="C3" s="1" t="s">
        <v>34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8.1" customHeight="1">
      <c r="A4" s="1" t="s">
        <v>387</v>
      </c>
      <c r="B4" s="9">
        <f>COUNT(H9:H88)</f>
        <v>64</v>
      </c>
      <c r="C4" s="1" t="s">
        <v>388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8.1" customHeight="1">
      <c r="A5" s="1" t="s">
        <v>389</v>
      </c>
      <c r="B5" s="10">
        <f>IF(SUM(H9:H88)=0,"",SUM(K9:K88)/SUM(H9:H88))</f>
        <v>0</v>
      </c>
      <c r="C5" s="1" t="s">
        <v>390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69" customHeight="1">
      <c r="A6" s="1" t="s">
        <v>391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8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8.1" customHeight="1">
      <c r="A8" s="2" t="s">
        <v>365</v>
      </c>
      <c r="B8" s="2" t="s">
        <v>392</v>
      </c>
      <c r="C8" s="2" t="s">
        <v>393</v>
      </c>
      <c r="D8" s="2" t="s">
        <v>38</v>
      </c>
      <c r="E8" s="2" t="s">
        <v>394</v>
      </c>
      <c r="F8" s="2" t="s">
        <v>395</v>
      </c>
      <c r="G8" s="2" t="s">
        <v>369</v>
      </c>
      <c r="H8" s="2" t="s">
        <v>396</v>
      </c>
      <c r="I8" s="2" t="s">
        <v>380</v>
      </c>
      <c r="J8" s="2" t="s">
        <v>397</v>
      </c>
      <c r="K8" s="2" t="s">
        <v>398</v>
      </c>
      <c r="L8" s="2" t="s">
        <v>399</v>
      </c>
      <c r="M8" s="2" t="s">
        <v>373</v>
      </c>
      <c r="N8" s="2" t="s">
        <v>400</v>
      </c>
      <c r="O8" s="2" t="s">
        <v>401</v>
      </c>
      <c r="P8" s="2" t="s">
        <v>402</v>
      </c>
      <c r="Q8" s="2" t="s">
        <v>403</v>
      </c>
      <c r="R8" s="2" t="s">
        <v>404</v>
      </c>
      <c r="S8" s="2" t="s">
        <v>405</v>
      </c>
      <c r="T8" s="2" t="s">
        <v>406</v>
      </c>
      <c r="U8" s="2" t="s">
        <v>407</v>
      </c>
      <c r="V8" s="2" t="s">
        <v>408</v>
      </c>
      <c r="W8" s="2" t="s">
        <v>409</v>
      </c>
      <c r="X8" s="2" t="s">
        <v>410</v>
      </c>
      <c r="Y8" s="2" t="s">
        <v>411</v>
      </c>
    </row>
    <row r="9" spans="1:25" ht="38.1" customHeight="1">
      <c r="A9" s="1">
        <f>行动模拟!A9</f>
        <v>1</v>
      </c>
      <c r="B9" s="1">
        <f>行动模拟!B9</f>
        <v>1</v>
      </c>
      <c r="C9" s="1">
        <f>行动模拟!C9</f>
        <v>1</v>
      </c>
      <c r="D9" s="1" t="str">
        <f>行动模拟!D9</f>
        <v>小瑞安侬｜悄冥冥术阵</v>
      </c>
      <c r="E9" s="9">
        <f>行动模拟!O9</f>
        <v>0</v>
      </c>
      <c r="F9" s="9">
        <f>行动模拟!P9</f>
        <v>0</v>
      </c>
      <c r="G9" s="1" t="str">
        <f>IF(行动模拟!D9="","",行动模拟!E9)</f>
        <v>—</v>
      </c>
      <c r="H9" s="9" t="str">
        <f>IF(COUNT(行动模拟!F9:H9)=0,"",SUM(行动模拟!F9:H9))</f>
        <v/>
      </c>
      <c r="I9" s="9" t="str">
        <f t="shared" ref="I9:I72" si="0">IF(H9="","",IF(G9="是",F9,IF(G9="否",E9,"")))</f>
        <v/>
      </c>
      <c r="J9" s="9" t="str">
        <f t="shared" ref="J9:J72" si="1">IF(OR(H9="",I9=""),"",H9-I9)</f>
        <v/>
      </c>
      <c r="K9" s="9" t="str">
        <f t="shared" ref="K9:K72" si="2">IF(J9="","",ABS(J9))</f>
        <v/>
      </c>
      <c r="L9" s="10" t="str">
        <f t="shared" ref="L9:L72" si="3">IF(OR(H9="",I9=""),"",IF(H9=0,IF(I9=0,0,"实测为0"),ABS(J9)/H9))</f>
        <v/>
      </c>
      <c r="M9" s="1" t="str">
        <f t="shared" ref="M9:M72" si="4">IF(H9="","",IF(AND(G9&lt;&gt;"是",G9&lt;&gt;"否"),"缺少暴击判定",IF(L9&gt;0.03,"存在差异：请看核对说明并核对行动状态","数值差异≤3%；机制仍需核实")))</f>
        <v/>
      </c>
      <c r="N9" s="12" t="str">
        <f>IF(ISNUMBER(行动模拟!F9),行动模拟!F9,"")</f>
        <v/>
      </c>
      <c r="O9" s="12" t="str">
        <f>IF(COUNT(行动模拟!G9:H9)=0,"",SUM(行动模拟!G9:H9))</f>
        <v/>
      </c>
      <c r="P9" s="12" t="str">
        <f>IF(H9="","",IF(G9="是",后台计算!DX3,IF(G9="否",后台计算!DW3,"")))</f>
        <v/>
      </c>
      <c r="Q9" s="12" t="str">
        <f>IF(H9="","",IF(G9="是",后台计算!BV3-后台计算!DX3,IF(G9="否",后台计算!BU3-后台计算!DW3,"")))</f>
        <v/>
      </c>
      <c r="R9" s="12" t="str">
        <f t="shared" ref="R9:R72" si="5">IF(OR(N9="",P9=""),"",N9-P9)</f>
        <v/>
      </c>
      <c r="S9" s="12" t="str">
        <f t="shared" ref="S9:S72" si="6">IF(OR(O9="",Q9=""),"",O9-Q9)</f>
        <v/>
      </c>
      <c r="T9" s="1" t="str">
        <f>IF(AND(后台计算!DH3="洞穿",O9&gt;0),IF(O9=ROUNDDOWN(N9*0.4,0),"实测附加=floor(主伤害×40%)；稳态来源待确认","实测附加关系需核对"),"")</f>
        <v/>
      </c>
      <c r="U9" s="1">
        <f>IF(D9="","",后台计算!EQ3)</f>
        <v>0</v>
      </c>
      <c r="V9" s="11">
        <f>IF(D9="","",后台计算!ER3)</f>
        <v>0</v>
      </c>
      <c r="W9" s="11">
        <f>IF(D9="","",后台计算!ES3)</f>
        <v>0</v>
      </c>
      <c r="X9" s="1" t="str">
        <f>IF(D9="","",IF(Boss参数!$B$60=1,"此前实测；缺失用预测","此前预测"))</f>
        <v>此前实测；缺失用预测</v>
      </c>
      <c r="Y9" s="1" t="str">
        <f>IF(H9="","",IF(H9&gt;Boss参数!$B$63*Boss参数!$B$62,"超过暂定合计上限",""))</f>
        <v/>
      </c>
    </row>
    <row r="10" spans="1:25" ht="38.1" customHeight="1">
      <c r="A10" s="1">
        <f>行动模拟!A10</f>
        <v>2</v>
      </c>
      <c r="B10" s="1">
        <f>行动模拟!B10</f>
        <v>1</v>
      </c>
      <c r="C10" s="1">
        <f>行动模拟!C10</f>
        <v>2</v>
      </c>
      <c r="D10" s="1" t="str">
        <f>行动模拟!D10</f>
        <v>J｜热处理</v>
      </c>
      <c r="E10" s="9">
        <f>行动模拟!O10</f>
        <v>0</v>
      </c>
      <c r="F10" s="9">
        <f>行动模拟!P10</f>
        <v>0</v>
      </c>
      <c r="G10" s="1" t="str">
        <f>IF(行动模拟!D10="","",行动模拟!E10)</f>
        <v>—</v>
      </c>
      <c r="H10" s="9" t="str">
        <f>IF(COUNT(行动模拟!F10:H10)=0,"",SUM(行动模拟!F10:H10))</f>
        <v/>
      </c>
      <c r="I10" s="9" t="str">
        <f t="shared" si="0"/>
        <v/>
      </c>
      <c r="J10" s="9" t="str">
        <f t="shared" si="1"/>
        <v/>
      </c>
      <c r="K10" s="9" t="str">
        <f t="shared" si="2"/>
        <v/>
      </c>
      <c r="L10" s="10" t="str">
        <f t="shared" si="3"/>
        <v/>
      </c>
      <c r="M10" s="1" t="str">
        <f t="shared" si="4"/>
        <v/>
      </c>
      <c r="N10" s="12" t="str">
        <f>IF(ISNUMBER(行动模拟!F10),行动模拟!F10,"")</f>
        <v/>
      </c>
      <c r="O10" s="12" t="str">
        <f>IF(COUNT(行动模拟!G10:H10)=0,"",SUM(行动模拟!G10:H10))</f>
        <v/>
      </c>
      <c r="P10" s="12" t="str">
        <f>IF(H10="","",IF(G10="是",后台计算!DX4,IF(G10="否",后台计算!DW4,"")))</f>
        <v/>
      </c>
      <c r="Q10" s="12" t="str">
        <f>IF(H10="","",IF(G10="是",后台计算!BV4-后台计算!DX4,IF(G10="否",后台计算!BU4-后台计算!DW4,"")))</f>
        <v/>
      </c>
      <c r="R10" s="12" t="str">
        <f t="shared" si="5"/>
        <v/>
      </c>
      <c r="S10" s="12" t="str">
        <f t="shared" si="6"/>
        <v/>
      </c>
      <c r="T10" s="1" t="str">
        <f>IF(AND(后台计算!DH4="洞穿",O10&gt;0),IF(O10=ROUNDDOWN(N10*0.4,0),"实测附加=floor(主伤害×40%)；稳态来源待确认","实测附加关系需核对"),"")</f>
        <v/>
      </c>
      <c r="U10" s="1">
        <f>IF(D10="","",后台计算!EQ4)</f>
        <v>0</v>
      </c>
      <c r="V10" s="11">
        <f>IF(D10="","",后台计算!ER4)</f>
        <v>0</v>
      </c>
      <c r="W10" s="11">
        <f>IF(D10="","",后台计算!ES4)</f>
        <v>0</v>
      </c>
      <c r="X10" s="1" t="str">
        <f>IF(D10="","",IF(Boss参数!$B$60=1,"此前实测；缺失用预测","此前预测"))</f>
        <v>此前实测；缺失用预测</v>
      </c>
      <c r="Y10" s="1" t="str">
        <f>IF(H10="","",IF(H10&gt;Boss参数!$B$63*Boss参数!$B$62,"超过暂定合计上限",""))</f>
        <v/>
      </c>
    </row>
    <row r="11" spans="1:25" ht="38.1" customHeight="1">
      <c r="A11" s="1">
        <f>行动模拟!A11</f>
        <v>3</v>
      </c>
      <c r="B11" s="1">
        <f>行动模拟!B11</f>
        <v>1</v>
      </c>
      <c r="C11" s="1">
        <f>行动模拟!C11</f>
        <v>3</v>
      </c>
      <c r="D11" s="1" t="str">
        <f>行动模拟!D11</f>
        <v>红弩箭｜眼镜蛇机动</v>
      </c>
      <c r="E11" s="9">
        <f>行动模拟!O11</f>
        <v>0</v>
      </c>
      <c r="F11" s="9">
        <f>行动模拟!P11</f>
        <v>0</v>
      </c>
      <c r="G11" s="1" t="str">
        <f>IF(行动模拟!D11="","",行动模拟!E11)</f>
        <v>—</v>
      </c>
      <c r="H11" s="9" t="str">
        <f>IF(COUNT(行动模拟!F11:H11)=0,"",SUM(行动模拟!F11:H11))</f>
        <v/>
      </c>
      <c r="I11" s="9" t="str">
        <f t="shared" si="0"/>
        <v/>
      </c>
      <c r="J11" s="9" t="str">
        <f t="shared" si="1"/>
        <v/>
      </c>
      <c r="K11" s="9" t="str">
        <f t="shared" si="2"/>
        <v/>
      </c>
      <c r="L11" s="10" t="str">
        <f t="shared" si="3"/>
        <v/>
      </c>
      <c r="M11" s="1" t="str">
        <f t="shared" si="4"/>
        <v/>
      </c>
      <c r="N11" s="12" t="str">
        <f>IF(ISNUMBER(行动模拟!F11),行动模拟!F11,"")</f>
        <v/>
      </c>
      <c r="O11" s="12" t="str">
        <f>IF(COUNT(行动模拟!G11:H11)=0,"",SUM(行动模拟!G11:H11))</f>
        <v/>
      </c>
      <c r="P11" s="12" t="str">
        <f>IF(H11="","",IF(G11="是",后台计算!DX5,IF(G11="否",后台计算!DW5,"")))</f>
        <v/>
      </c>
      <c r="Q11" s="12" t="str">
        <f>IF(H11="","",IF(G11="是",后台计算!BV5-后台计算!DX5,IF(G11="否",后台计算!BU5-后台计算!DW5,"")))</f>
        <v/>
      </c>
      <c r="R11" s="12" t="str">
        <f t="shared" si="5"/>
        <v/>
      </c>
      <c r="S11" s="12" t="str">
        <f t="shared" si="6"/>
        <v/>
      </c>
      <c r="T11" s="1" t="str">
        <f>IF(AND(后台计算!DH5="洞穿",O11&gt;0),IF(O11=ROUNDDOWN(N11*0.4,0),"实测附加=floor(主伤害×40%)；稳态来源待确认","实测附加关系需核对"),"")</f>
        <v/>
      </c>
      <c r="U11" s="1">
        <f>IF(D11="","",后台计算!EQ5)</f>
        <v>0</v>
      </c>
      <c r="V11" s="11">
        <f>IF(D11="","",后台计算!ER5)</f>
        <v>0</v>
      </c>
      <c r="W11" s="11">
        <f>IF(D11="","",后台计算!ES5)</f>
        <v>0</v>
      </c>
      <c r="X11" s="1" t="str">
        <f>IF(D11="","",IF(Boss参数!$B$60=1,"此前实测；缺失用预测","此前预测"))</f>
        <v>此前实测；缺失用预测</v>
      </c>
      <c r="Y11" s="1" t="str">
        <f>IF(H11="","",IF(H11&gt;Boss参数!$B$63*Boss参数!$B$62,"超过暂定合计上限",""))</f>
        <v/>
      </c>
    </row>
    <row r="12" spans="1:25" ht="38.1" customHeight="1">
      <c r="A12" s="1">
        <f>行动模拟!A12</f>
        <v>4</v>
      </c>
      <c r="B12" s="1">
        <f>行动模拟!B12</f>
        <v>1</v>
      </c>
      <c r="C12" s="1">
        <f>行动模拟!C12</f>
        <v>4</v>
      </c>
      <c r="D12" s="1" t="str">
        <f>行动模拟!D12</f>
        <v>红弩箭｜极限俯冲Ⅰ</v>
      </c>
      <c r="E12" s="9">
        <f>行动模拟!O12</f>
        <v>45071</v>
      </c>
      <c r="F12" s="9">
        <f>行动模拟!P12</f>
        <v>73241</v>
      </c>
      <c r="G12" s="1" t="str">
        <f>IF(行动模拟!D12="","",行动模拟!E12)</f>
        <v>是</v>
      </c>
      <c r="H12" s="9">
        <f>IF(COUNT(行动模拟!F12:H12)=0,"",SUM(行动模拟!F12:H12))</f>
        <v>73241</v>
      </c>
      <c r="I12" s="9">
        <f t="shared" si="0"/>
        <v>73241</v>
      </c>
      <c r="J12" s="9">
        <f t="shared" si="1"/>
        <v>0</v>
      </c>
      <c r="K12" s="9">
        <f t="shared" si="2"/>
        <v>0</v>
      </c>
      <c r="L12" s="10">
        <f t="shared" si="3"/>
        <v>0</v>
      </c>
      <c r="M12" s="1" t="str">
        <f t="shared" si="4"/>
        <v>数值差异≤3%；机制仍需核实</v>
      </c>
      <c r="N12" s="12">
        <f>IF(ISNUMBER(行动模拟!F12),行动模拟!F12,"")</f>
        <v>73241</v>
      </c>
      <c r="O12" s="12">
        <f>IF(COUNT(行动模拟!G12:H12)=0,"",SUM(行动模拟!G12:H12))</f>
        <v>0</v>
      </c>
      <c r="P12" s="12">
        <f>IF(H12="","",IF(G12="是",后台计算!DX6,IF(G12="否",后台计算!DW6,"")))</f>
        <v>73241</v>
      </c>
      <c r="Q12" s="12">
        <f>IF(H12="","",IF(G12="是",后台计算!BV6-后台计算!DX6,IF(G12="否",后台计算!BU6-后台计算!DW6,"")))</f>
        <v>0</v>
      </c>
      <c r="R12" s="12">
        <f t="shared" si="5"/>
        <v>0</v>
      </c>
      <c r="S12" s="12">
        <f t="shared" si="6"/>
        <v>0</v>
      </c>
      <c r="T12" s="1" t="str">
        <f>IF(AND(后台计算!DH6="洞穿",O12&gt;0),IF(O12=ROUNDDOWN(N12*0.4,0),"实测附加=floor(主伤害×40%)；稳态来源待确认","实测附加关系需核对"),"")</f>
        <v/>
      </c>
      <c r="U12" s="1">
        <f>IF(D12="","",后台计算!EQ6)</f>
        <v>0</v>
      </c>
      <c r="V12" s="11">
        <f>IF(D12="","",后台计算!ER6)</f>
        <v>0</v>
      </c>
      <c r="W12" s="11">
        <f>IF(D12="","",后台计算!ES6)</f>
        <v>0</v>
      </c>
      <c r="X12" s="1" t="str">
        <f>IF(D12="","",IF(Boss参数!$B$60=1,"此前实测；缺失用预测","此前预测"))</f>
        <v>此前实测；缺失用预测</v>
      </c>
      <c r="Y12" s="1" t="str">
        <f>IF(H12="","",IF(H12&gt;Boss参数!$B$63*Boss参数!$B$62,"超过暂定合计上限",""))</f>
        <v/>
      </c>
    </row>
    <row r="13" spans="1:25" ht="38.1" customHeight="1">
      <c r="A13" s="1">
        <f>行动模拟!A13</f>
        <v>5</v>
      </c>
      <c r="B13" s="1">
        <f>行动模拟!B13</f>
        <v>1</v>
      </c>
      <c r="C13" s="1">
        <f>行动模拟!C13</f>
        <v>5</v>
      </c>
      <c r="D13" s="1" t="str">
        <f>行动模拟!D13</f>
        <v>J｜高温回火</v>
      </c>
      <c r="E13" s="9">
        <f>行动模拟!O13</f>
        <v>1231</v>
      </c>
      <c r="F13" s="9">
        <f>行动模拟!P13</f>
        <v>1354</v>
      </c>
      <c r="G13" s="1" t="str">
        <f>IF(行动模拟!D13="","",行动模拟!E13)</f>
        <v>否</v>
      </c>
      <c r="H13" s="9">
        <f>IF(COUNT(行动模拟!F13:H13)=0,"",SUM(行动模拟!F13:H13))</f>
        <v>1231</v>
      </c>
      <c r="I13" s="9">
        <f t="shared" si="0"/>
        <v>1231</v>
      </c>
      <c r="J13" s="9">
        <f t="shared" si="1"/>
        <v>0</v>
      </c>
      <c r="K13" s="9">
        <f t="shared" si="2"/>
        <v>0</v>
      </c>
      <c r="L13" s="10">
        <f t="shared" si="3"/>
        <v>0</v>
      </c>
      <c r="M13" s="1" t="str">
        <f t="shared" si="4"/>
        <v>数值差异≤3%；机制仍需核实</v>
      </c>
      <c r="N13" s="12">
        <f>IF(ISNUMBER(行动模拟!F13),行动模拟!F13,"")</f>
        <v>1231</v>
      </c>
      <c r="O13" s="12">
        <f>IF(COUNT(行动模拟!G13:H13)=0,"",SUM(行动模拟!G13:H13))</f>
        <v>0</v>
      </c>
      <c r="P13" s="12">
        <f>IF(H13="","",IF(G13="是",后台计算!DX7,IF(G13="否",后台计算!DW7,"")))</f>
        <v>1231</v>
      </c>
      <c r="Q13" s="12">
        <f>IF(H13="","",IF(G13="是",后台计算!BV7-后台计算!DX7,IF(G13="否",后台计算!BU7-后台计算!DW7,"")))</f>
        <v>0</v>
      </c>
      <c r="R13" s="12">
        <f t="shared" si="5"/>
        <v>0</v>
      </c>
      <c r="S13" s="12">
        <f t="shared" si="6"/>
        <v>0</v>
      </c>
      <c r="T13" s="1" t="str">
        <f>IF(AND(后台计算!DH7="洞穿",O13&gt;0),IF(O13=ROUNDDOWN(N13*0.4,0),"实测附加=floor(主伤害×40%)；稳态来源待确认","实测附加关系需核对"),"")</f>
        <v/>
      </c>
      <c r="U13" s="1">
        <f>IF(D13="","",后台计算!EQ7)</f>
        <v>0</v>
      </c>
      <c r="V13" s="11">
        <f>IF(D13="","",后台计算!ER7)</f>
        <v>0</v>
      </c>
      <c r="W13" s="11">
        <f>IF(D13="","",后台计算!ES7)</f>
        <v>0</v>
      </c>
      <c r="X13" s="1" t="str">
        <f>IF(D13="","",IF(Boss参数!$B$60=1,"此前实测；缺失用预测","此前预测"))</f>
        <v>此前实测；缺失用预测</v>
      </c>
      <c r="Y13" s="1" t="str">
        <f>IF(H13="","",IF(H13&gt;Boss参数!$B$63*Boss参数!$B$62,"超过暂定合计上限",""))</f>
        <v/>
      </c>
    </row>
    <row r="14" spans="1:25" ht="38.1" customHeight="1">
      <c r="A14" s="1">
        <f>行动模拟!A14</f>
        <v>6</v>
      </c>
      <c r="B14" s="1">
        <f>行动模拟!B14</f>
        <v>1</v>
      </c>
      <c r="C14" s="1">
        <f>行动模拟!C14</f>
        <v>6</v>
      </c>
      <c r="D14" s="1" t="str">
        <f>行动模拟!D14</f>
        <v>37｜补充算式</v>
      </c>
      <c r="E14" s="9">
        <f>行动模拟!O14</f>
        <v>4679</v>
      </c>
      <c r="F14" s="9">
        <f>行动模拟!P14</f>
        <v>8414</v>
      </c>
      <c r="G14" s="1" t="str">
        <f>IF(行动模拟!D14="","",行动模拟!E14)</f>
        <v>是</v>
      </c>
      <c r="H14" s="9">
        <f>IF(COUNT(行动模拟!F14:H14)=0,"",SUM(行动模拟!F14:H14))</f>
        <v>8414</v>
      </c>
      <c r="I14" s="9">
        <f t="shared" si="0"/>
        <v>8414</v>
      </c>
      <c r="J14" s="9">
        <f t="shared" si="1"/>
        <v>0</v>
      </c>
      <c r="K14" s="9">
        <f t="shared" si="2"/>
        <v>0</v>
      </c>
      <c r="L14" s="10">
        <f t="shared" si="3"/>
        <v>0</v>
      </c>
      <c r="M14" s="1" t="str">
        <f t="shared" si="4"/>
        <v>数值差异≤3%；机制仍需核实</v>
      </c>
      <c r="N14" s="12">
        <f>IF(ISNUMBER(行动模拟!F14),行动模拟!F14,"")</f>
        <v>4932</v>
      </c>
      <c r="O14" s="12">
        <f>IF(COUNT(行动模拟!G14:H14)=0,"",SUM(行动模拟!G14:H14))</f>
        <v>3482</v>
      </c>
      <c r="P14" s="12">
        <f>IF(H14="","",IF(G14="是",后台计算!DX8,IF(G14="否",后台计算!DW8,"")))</f>
        <v>4932</v>
      </c>
      <c r="Q14" s="12">
        <f>IF(H14="","",IF(G14="是",后台计算!BV8-后台计算!DX8,IF(G14="否",后台计算!BU8-后台计算!DW8,"")))</f>
        <v>3482</v>
      </c>
      <c r="R14" s="12">
        <f t="shared" si="5"/>
        <v>0</v>
      </c>
      <c r="S14" s="12">
        <f t="shared" si="6"/>
        <v>0</v>
      </c>
      <c r="T14" s="1" t="str">
        <f>IF(AND(后台计算!DH8="洞穿",O14&gt;0),IF(O14=ROUNDDOWN(N14*0.4,0),"实测附加=floor(主伤害×40%)；稳态来源待确认","实测附加关系需核对"),"")</f>
        <v/>
      </c>
      <c r="U14" s="1">
        <f>IF(D14="","",后台计算!EQ8)</f>
        <v>0</v>
      </c>
      <c r="V14" s="11">
        <f>IF(D14="","",后台计算!ER8)</f>
        <v>0</v>
      </c>
      <c r="W14" s="11">
        <f>IF(D14="","",后台计算!ES8)</f>
        <v>0</v>
      </c>
      <c r="X14" s="1" t="str">
        <f>IF(D14="","",IF(Boss参数!$B$60=1,"此前实测；缺失用预测","此前预测"))</f>
        <v>此前实测；缺失用预测</v>
      </c>
      <c r="Y14" s="1" t="str">
        <f>IF(H14="","",IF(H14&gt;Boss参数!$B$63*Boss参数!$B$62,"超过暂定合计上限",""))</f>
        <v/>
      </c>
    </row>
    <row r="15" spans="1:25" ht="38.1" customHeight="1">
      <c r="A15" s="1">
        <f>行动模拟!A15</f>
        <v>7</v>
      </c>
      <c r="B15" s="1">
        <f>行动模拟!B15</f>
        <v>1</v>
      </c>
      <c r="C15" s="1">
        <f>行动模拟!C15</f>
        <v>7</v>
      </c>
      <c r="D15" s="1" t="str">
        <f>行动模拟!D15</f>
        <v>J｜高温回火</v>
      </c>
      <c r="E15" s="9">
        <f>行动模拟!O15</f>
        <v>1340</v>
      </c>
      <c r="F15" s="9">
        <f>行动模拟!P15</f>
        <v>1474</v>
      </c>
      <c r="G15" s="1" t="str">
        <f>IF(行动模拟!D15="","",行动模拟!E15)</f>
        <v>是</v>
      </c>
      <c r="H15" s="9">
        <f>IF(COUNT(行动模拟!F15:H15)=0,"",SUM(行动模拟!F15:H15))</f>
        <v>1474</v>
      </c>
      <c r="I15" s="9">
        <f t="shared" si="0"/>
        <v>1474</v>
      </c>
      <c r="J15" s="9">
        <f t="shared" si="1"/>
        <v>0</v>
      </c>
      <c r="K15" s="9">
        <f t="shared" si="2"/>
        <v>0</v>
      </c>
      <c r="L15" s="10">
        <f t="shared" si="3"/>
        <v>0</v>
      </c>
      <c r="M15" s="1" t="str">
        <f t="shared" si="4"/>
        <v>数值差异≤3%；机制仍需核实</v>
      </c>
      <c r="N15" s="12">
        <f>IF(ISNUMBER(行动模拟!F15),行动模拟!F15,"")</f>
        <v>1474</v>
      </c>
      <c r="O15" s="12">
        <f>IF(COUNT(行动模拟!G15:H15)=0,"",SUM(行动模拟!G15:H15))</f>
        <v>0</v>
      </c>
      <c r="P15" s="12">
        <f>IF(H15="","",IF(G15="是",后台计算!DX9,IF(G15="否",后台计算!DW9,"")))</f>
        <v>1474</v>
      </c>
      <c r="Q15" s="12">
        <f>IF(H15="","",IF(G15="是",后台计算!BV9-后台计算!DX9,IF(G15="否",后台计算!BU9-后台计算!DW9,"")))</f>
        <v>0</v>
      </c>
      <c r="R15" s="12">
        <f t="shared" si="5"/>
        <v>0</v>
      </c>
      <c r="S15" s="12">
        <f t="shared" si="6"/>
        <v>0</v>
      </c>
      <c r="T15" s="1" t="str">
        <f>IF(AND(后台计算!DH9="洞穿",O15&gt;0),IF(O15=ROUNDDOWN(N15*0.4,0),"实测附加=floor(主伤害×40%)；稳态来源待确认","实测附加关系需核对"),"")</f>
        <v/>
      </c>
      <c r="U15" s="1">
        <f>IF(D15="","",后台计算!EQ9)</f>
        <v>0</v>
      </c>
      <c r="V15" s="11">
        <f>IF(D15="","",后台计算!ER9)</f>
        <v>0</v>
      </c>
      <c r="W15" s="11">
        <f>IF(D15="","",后台计算!ES9)</f>
        <v>0</v>
      </c>
      <c r="X15" s="1" t="str">
        <f>IF(D15="","",IF(Boss参数!$B$60=1,"此前实测；缺失用预测","此前预测"))</f>
        <v>此前实测；缺失用预测</v>
      </c>
      <c r="Y15" s="1" t="str">
        <f>IF(H15="","",IF(H15&gt;Boss参数!$B$63*Boss参数!$B$62,"超过暂定合计上限",""))</f>
        <v/>
      </c>
    </row>
    <row r="16" spans="1:25" ht="38.1" customHeight="1">
      <c r="A16" s="1">
        <f>行动模拟!A16</f>
        <v>8</v>
      </c>
      <c r="B16" s="1">
        <f>行动模拟!B16</f>
        <v>1</v>
      </c>
      <c r="C16" s="1">
        <f>行动模拟!C16</f>
        <v>8</v>
      </c>
      <c r="D16" s="1" t="str">
        <f>行动模拟!D16</f>
        <v>J｜高温回火</v>
      </c>
      <c r="E16" s="9">
        <f>行动模拟!O16</f>
        <v>1745</v>
      </c>
      <c r="F16" s="9">
        <f>行动模拟!P16</f>
        <v>1919</v>
      </c>
      <c r="G16" s="1" t="str">
        <f>IF(行动模拟!D16="","",行动模拟!E16)</f>
        <v>否</v>
      </c>
      <c r="H16" s="9">
        <f>IF(COUNT(行动模拟!F16:H16)=0,"",SUM(行动模拟!F16:H16))</f>
        <v>1745</v>
      </c>
      <c r="I16" s="9">
        <f t="shared" si="0"/>
        <v>1745</v>
      </c>
      <c r="J16" s="9">
        <f t="shared" si="1"/>
        <v>0</v>
      </c>
      <c r="K16" s="9">
        <f t="shared" si="2"/>
        <v>0</v>
      </c>
      <c r="L16" s="10">
        <f t="shared" si="3"/>
        <v>0</v>
      </c>
      <c r="M16" s="1" t="str">
        <f t="shared" si="4"/>
        <v>数值差异≤3%；机制仍需核实</v>
      </c>
      <c r="N16" s="12">
        <f>IF(ISNUMBER(行动模拟!F16),行动模拟!F16,"")</f>
        <v>1745</v>
      </c>
      <c r="O16" s="12">
        <f>IF(COUNT(行动模拟!G16:H16)=0,"",SUM(行动模拟!G16:H16))</f>
        <v>0</v>
      </c>
      <c r="P16" s="12">
        <f>IF(H16="","",IF(G16="是",后台计算!DX10,IF(G16="否",后台计算!DW10,"")))</f>
        <v>1745</v>
      </c>
      <c r="Q16" s="12">
        <f>IF(H16="","",IF(G16="是",后台计算!BV10-后台计算!DX10,IF(G16="否",后台计算!BU10-后台计算!DW10,"")))</f>
        <v>0</v>
      </c>
      <c r="R16" s="12">
        <f t="shared" si="5"/>
        <v>0</v>
      </c>
      <c r="S16" s="12">
        <f t="shared" si="6"/>
        <v>0</v>
      </c>
      <c r="T16" s="1" t="str">
        <f>IF(AND(后台计算!DH10="洞穿",O16&gt;0),IF(O16=ROUNDDOWN(N16*0.4,0),"实测附加=floor(主伤害×40%)；稳态来源待确认","实测附加关系需核对"),"")</f>
        <v/>
      </c>
      <c r="U16" s="1">
        <f>IF(D16="","",后台计算!EQ10)</f>
        <v>0</v>
      </c>
      <c r="V16" s="11">
        <f>IF(D16="","",后台计算!ER10)</f>
        <v>0</v>
      </c>
      <c r="W16" s="11">
        <f>IF(D16="","",后台计算!ES10)</f>
        <v>0</v>
      </c>
      <c r="X16" s="1" t="str">
        <f>IF(D16="","",IF(Boss参数!$B$60=1,"此前实测；缺失用预测","此前预测"))</f>
        <v>此前实测；缺失用预测</v>
      </c>
      <c r="Y16" s="1" t="str">
        <f>IF(H16="","",IF(H16&gt;Boss参数!$B$63*Boss参数!$B$62,"超过暂定合计上限",""))</f>
        <v/>
      </c>
    </row>
    <row r="17" spans="1:25" ht="38.1" customHeight="1">
      <c r="A17" s="1">
        <f>行动模拟!A17</f>
        <v>9</v>
      </c>
      <c r="B17" s="1">
        <f>行动模拟!B17</f>
        <v>1</v>
      </c>
      <c r="C17" s="1">
        <f>行动模拟!C17</f>
        <v>9</v>
      </c>
      <c r="D17" s="1" t="str">
        <f>行动模拟!D17</f>
        <v>J｜高温回火</v>
      </c>
      <c r="E17" s="9">
        <f>行动模拟!O17</f>
        <v>1887</v>
      </c>
      <c r="F17" s="9">
        <f>行动模拟!P17</f>
        <v>2076</v>
      </c>
      <c r="G17" s="1" t="str">
        <f>IF(行动模拟!D17="","",行动模拟!E17)</f>
        <v>是</v>
      </c>
      <c r="H17" s="9">
        <f>IF(COUNT(行动模拟!F17:H17)=0,"",SUM(行动模拟!F17:H17))</f>
        <v>2076</v>
      </c>
      <c r="I17" s="9">
        <f t="shared" si="0"/>
        <v>2076</v>
      </c>
      <c r="J17" s="9">
        <f t="shared" si="1"/>
        <v>0</v>
      </c>
      <c r="K17" s="9">
        <f t="shared" si="2"/>
        <v>0</v>
      </c>
      <c r="L17" s="10">
        <f t="shared" si="3"/>
        <v>0</v>
      </c>
      <c r="M17" s="1" t="str">
        <f t="shared" si="4"/>
        <v>数值差异≤3%；机制仍需核实</v>
      </c>
      <c r="N17" s="12">
        <f>IF(ISNUMBER(行动模拟!F17),行动模拟!F17,"")</f>
        <v>2076</v>
      </c>
      <c r="O17" s="12">
        <f>IF(COUNT(行动模拟!G17:H17)=0,"",SUM(行动模拟!G17:H17))</f>
        <v>0</v>
      </c>
      <c r="P17" s="12">
        <f>IF(H17="","",IF(G17="是",后台计算!DX11,IF(G17="否",后台计算!DW11,"")))</f>
        <v>2076</v>
      </c>
      <c r="Q17" s="12">
        <f>IF(H17="","",IF(G17="是",后台计算!BV11-后台计算!DX11,IF(G17="否",后台计算!BU11-后台计算!DW11,"")))</f>
        <v>0</v>
      </c>
      <c r="R17" s="12">
        <f t="shared" si="5"/>
        <v>0</v>
      </c>
      <c r="S17" s="12">
        <f t="shared" si="6"/>
        <v>0</v>
      </c>
      <c r="T17" s="1" t="str">
        <f>IF(AND(后台计算!DH11="洞穿",O17&gt;0),IF(O17=ROUNDDOWN(N17*0.4,0),"实测附加=floor(主伤害×40%)；稳态来源待确认","实测附加关系需核对"),"")</f>
        <v/>
      </c>
      <c r="U17" s="1">
        <f>IF(D17="","",后台计算!EQ11)</f>
        <v>0</v>
      </c>
      <c r="V17" s="11">
        <f>IF(D17="","",后台计算!ER11)</f>
        <v>0</v>
      </c>
      <c r="W17" s="11">
        <f>IF(D17="","",后台计算!ES11)</f>
        <v>0</v>
      </c>
      <c r="X17" s="1" t="str">
        <f>IF(D17="","",IF(Boss参数!$B$60=1,"此前实测；缺失用预测","此前预测"))</f>
        <v>此前实测；缺失用预测</v>
      </c>
      <c r="Y17" s="1" t="str">
        <f>IF(H17="","",IF(H17&gt;Boss参数!$B$63*Boss参数!$B$62,"超过暂定合计上限",""))</f>
        <v/>
      </c>
    </row>
    <row r="18" spans="1:25" ht="38.1" customHeight="1">
      <c r="A18" s="1">
        <f>行动模拟!A18</f>
        <v>10</v>
      </c>
      <c r="B18" s="1">
        <f>行动模拟!B18</f>
        <v>2</v>
      </c>
      <c r="C18" s="1">
        <f>行动模拟!C18</f>
        <v>1</v>
      </c>
      <c r="D18" s="1" t="str">
        <f>行动模拟!D18</f>
        <v>小瑞安侬｜唱予无忧之诗</v>
      </c>
      <c r="E18" s="9">
        <f>行动模拟!O18</f>
        <v>0</v>
      </c>
      <c r="F18" s="9">
        <f>行动模拟!P18</f>
        <v>0</v>
      </c>
      <c r="G18" s="1" t="str">
        <f>IF(行动模拟!D18="","",行动模拟!E18)</f>
        <v>—</v>
      </c>
      <c r="H18" s="9" t="str">
        <f>IF(COUNT(行动模拟!F18:H18)=0,"",SUM(行动模拟!F18:H18))</f>
        <v/>
      </c>
      <c r="I18" s="9" t="str">
        <f t="shared" si="0"/>
        <v/>
      </c>
      <c r="J18" s="9" t="str">
        <f t="shared" si="1"/>
        <v/>
      </c>
      <c r="K18" s="9" t="str">
        <f t="shared" si="2"/>
        <v/>
      </c>
      <c r="L18" s="10" t="str">
        <f t="shared" si="3"/>
        <v/>
      </c>
      <c r="M18" s="1" t="str">
        <f t="shared" si="4"/>
        <v/>
      </c>
      <c r="N18" s="12" t="str">
        <f>IF(ISNUMBER(行动模拟!F18),行动模拟!F18,"")</f>
        <v/>
      </c>
      <c r="O18" s="12" t="str">
        <f>IF(COUNT(行动模拟!G18:H18)=0,"",SUM(行动模拟!G18:H18))</f>
        <v/>
      </c>
      <c r="P18" s="12" t="str">
        <f>IF(H18="","",IF(G18="是",后台计算!DX12,IF(G18="否",后台计算!DW12,"")))</f>
        <v/>
      </c>
      <c r="Q18" s="12" t="str">
        <f>IF(H18="","",IF(G18="是",后台计算!BV12-后台计算!DX12,IF(G18="否",后台计算!BU12-后台计算!DW12,"")))</f>
        <v/>
      </c>
      <c r="R18" s="12" t="str">
        <f t="shared" si="5"/>
        <v/>
      </c>
      <c r="S18" s="12" t="str">
        <f t="shared" si="6"/>
        <v/>
      </c>
      <c r="T18" s="1" t="str">
        <f>IF(AND(后台计算!DH12="洞穿",O18&gt;0),IF(O18=ROUNDDOWN(N18*0.4,0),"实测附加=floor(主伤害×40%)；稳态来源待确认","实测附加关系需核对"),"")</f>
        <v/>
      </c>
      <c r="U18" s="1">
        <f>IF(D18="","",后台计算!EQ12)</f>
        <v>0</v>
      </c>
      <c r="V18" s="11">
        <f>IF(D18="","",后台计算!ER12)</f>
        <v>0</v>
      </c>
      <c r="W18" s="11">
        <f>IF(D18="","",后台计算!ES12)</f>
        <v>0</v>
      </c>
      <c r="X18" s="1" t="str">
        <f>IF(D18="","",IF(Boss参数!$B$60=1,"此前实测；缺失用预测","此前预测"))</f>
        <v>此前实测；缺失用预测</v>
      </c>
      <c r="Y18" s="1" t="str">
        <f>IF(H18="","",IF(H18&gt;Boss参数!$B$63*Boss参数!$B$62,"超过暂定合计上限",""))</f>
        <v/>
      </c>
    </row>
    <row r="19" spans="1:25" ht="38.1" customHeight="1">
      <c r="A19" s="1">
        <f>行动模拟!A19</f>
        <v>11</v>
      </c>
      <c r="B19" s="1">
        <f>行动模拟!B19</f>
        <v>2</v>
      </c>
      <c r="C19" s="1">
        <f>行动模拟!C19</f>
        <v>2</v>
      </c>
      <c r="D19" s="1" t="str">
        <f>行动模拟!D19</f>
        <v>J｜热处理</v>
      </c>
      <c r="E19" s="9">
        <f>行动模拟!O19</f>
        <v>0</v>
      </c>
      <c r="F19" s="9">
        <f>行动模拟!P19</f>
        <v>0</v>
      </c>
      <c r="G19" s="1" t="str">
        <f>IF(行动模拟!D19="","",行动模拟!E19)</f>
        <v>—</v>
      </c>
      <c r="H19" s="9" t="str">
        <f>IF(COUNT(行动模拟!F19:H19)=0,"",SUM(行动模拟!F19:H19))</f>
        <v/>
      </c>
      <c r="I19" s="9" t="str">
        <f t="shared" si="0"/>
        <v/>
      </c>
      <c r="J19" s="9" t="str">
        <f t="shared" si="1"/>
        <v/>
      </c>
      <c r="K19" s="9" t="str">
        <f t="shared" si="2"/>
        <v/>
      </c>
      <c r="L19" s="10" t="str">
        <f t="shared" si="3"/>
        <v/>
      </c>
      <c r="M19" s="1" t="str">
        <f t="shared" si="4"/>
        <v/>
      </c>
      <c r="N19" s="12" t="str">
        <f>IF(ISNUMBER(行动模拟!F19),行动模拟!F19,"")</f>
        <v/>
      </c>
      <c r="O19" s="12" t="str">
        <f>IF(COUNT(行动模拟!G19:H19)=0,"",SUM(行动模拟!G19:H19))</f>
        <v/>
      </c>
      <c r="P19" s="12" t="str">
        <f>IF(H19="","",IF(G19="是",后台计算!DX13,IF(G19="否",后台计算!DW13,"")))</f>
        <v/>
      </c>
      <c r="Q19" s="12" t="str">
        <f>IF(H19="","",IF(G19="是",后台计算!BV13-后台计算!DX13,IF(G19="否",后台计算!BU13-后台计算!DW13,"")))</f>
        <v/>
      </c>
      <c r="R19" s="12" t="str">
        <f t="shared" si="5"/>
        <v/>
      </c>
      <c r="S19" s="12" t="str">
        <f t="shared" si="6"/>
        <v/>
      </c>
      <c r="T19" s="1" t="str">
        <f>IF(AND(后台计算!DH13="洞穿",O19&gt;0),IF(O19=ROUNDDOWN(N19*0.4,0),"实测附加=floor(主伤害×40%)；稳态来源待确认","实测附加关系需核对"),"")</f>
        <v/>
      </c>
      <c r="U19" s="1">
        <f>IF(D19="","",后台计算!EQ13)</f>
        <v>0</v>
      </c>
      <c r="V19" s="11">
        <f>IF(D19="","",后台计算!ER13)</f>
        <v>0</v>
      </c>
      <c r="W19" s="11">
        <f>IF(D19="","",后台计算!ES13)</f>
        <v>0</v>
      </c>
      <c r="X19" s="1" t="str">
        <f>IF(D19="","",IF(Boss参数!$B$60=1,"此前实测；缺失用预测","此前预测"))</f>
        <v>此前实测；缺失用预测</v>
      </c>
      <c r="Y19" s="1" t="str">
        <f>IF(H19="","",IF(H19&gt;Boss参数!$B$63*Boss参数!$B$62,"超过暂定合计上限",""))</f>
        <v/>
      </c>
    </row>
    <row r="20" spans="1:25" ht="38.1" customHeight="1">
      <c r="A20" s="1">
        <f>行动模拟!A20</f>
        <v>12</v>
      </c>
      <c r="B20" s="1">
        <f>行动模拟!B20</f>
        <v>2</v>
      </c>
      <c r="C20" s="1">
        <f>行动模拟!C20</f>
        <v>3</v>
      </c>
      <c r="D20" s="1" t="str">
        <f>行动模拟!D20</f>
        <v>37｜补充算式</v>
      </c>
      <c r="E20" s="9">
        <f>行动模拟!O20</f>
        <v>5324</v>
      </c>
      <c r="F20" s="9">
        <f>行动模拟!P20</f>
        <v>10531</v>
      </c>
      <c r="G20" s="1" t="str">
        <f>IF(行动模拟!D20="","",行动模拟!E20)</f>
        <v>是</v>
      </c>
      <c r="H20" s="9">
        <f>IF(COUNT(行动模拟!F20:H20)=0,"",SUM(行动模拟!F20:H20))</f>
        <v>10531</v>
      </c>
      <c r="I20" s="9">
        <f t="shared" si="0"/>
        <v>10531</v>
      </c>
      <c r="J20" s="9">
        <f t="shared" si="1"/>
        <v>0</v>
      </c>
      <c r="K20" s="9">
        <f t="shared" si="2"/>
        <v>0</v>
      </c>
      <c r="L20" s="10">
        <f t="shared" si="3"/>
        <v>0</v>
      </c>
      <c r="M20" s="1" t="str">
        <f t="shared" si="4"/>
        <v>数值差异≤3%；机制仍需核实</v>
      </c>
      <c r="N20" s="12">
        <f>IF(ISNUMBER(行动模拟!F20),行动模拟!F20,"")</f>
        <v>6371</v>
      </c>
      <c r="O20" s="12">
        <f>IF(COUNT(行动模拟!G20:H20)=0,"",SUM(行动模拟!G20:H20))</f>
        <v>4160</v>
      </c>
      <c r="P20" s="12">
        <f>IF(H20="","",IF(G20="是",后台计算!DX14,IF(G20="否",后台计算!DW14,"")))</f>
        <v>6371</v>
      </c>
      <c r="Q20" s="12">
        <f>IF(H20="","",IF(G20="是",后台计算!BV14-后台计算!DX14,IF(G20="否",后台计算!BU14-后台计算!DW14,"")))</f>
        <v>4160</v>
      </c>
      <c r="R20" s="12">
        <f t="shared" si="5"/>
        <v>0</v>
      </c>
      <c r="S20" s="12">
        <f t="shared" si="6"/>
        <v>0</v>
      </c>
      <c r="T20" s="1" t="str">
        <f>IF(AND(后台计算!DH14="洞穿",O20&gt;0),IF(O20=ROUNDDOWN(N20*0.4,0),"实测附加=floor(主伤害×40%)；稳态来源待确认","实测附加关系需核对"),"")</f>
        <v/>
      </c>
      <c r="U20" s="1">
        <f>IF(D20="","",后台计算!EQ14)</f>
        <v>0</v>
      </c>
      <c r="V20" s="11">
        <f>IF(D20="","",后台计算!ER14)</f>
        <v>0</v>
      </c>
      <c r="W20" s="11">
        <f>IF(D20="","",后台计算!ES14)</f>
        <v>0</v>
      </c>
      <c r="X20" s="1" t="str">
        <f>IF(D20="","",IF(Boss参数!$B$60=1,"此前实测；缺失用预测","此前预测"))</f>
        <v>此前实测；缺失用预测</v>
      </c>
      <c r="Y20" s="1" t="str">
        <f>IF(H20="","",IF(H20&gt;Boss参数!$B$63*Boss参数!$B$62,"超过暂定合计上限",""))</f>
        <v/>
      </c>
    </row>
    <row r="21" spans="1:25" ht="38.1" customHeight="1">
      <c r="A21" s="1">
        <f>行动模拟!A21</f>
        <v>13</v>
      </c>
      <c r="B21" s="1">
        <f>行动模拟!B21</f>
        <v>2</v>
      </c>
      <c r="C21" s="1">
        <f>行动模拟!C21</f>
        <v>4</v>
      </c>
      <c r="D21" s="1" t="str">
        <f>行动模拟!D21</f>
        <v>37｜曲线映射Ⅰ</v>
      </c>
      <c r="E21" s="9">
        <f>行动模拟!O21</f>
        <v>3921</v>
      </c>
      <c r="F21" s="9">
        <f>行动模拟!P21</f>
        <v>7757</v>
      </c>
      <c r="G21" s="1" t="str">
        <f>IF(行动模拟!D21="","",行动模拟!E21)</f>
        <v>否</v>
      </c>
      <c r="H21" s="9">
        <f>IF(COUNT(行动模拟!F21:H21)=0,"",SUM(行动模拟!F21:H21))</f>
        <v>3921</v>
      </c>
      <c r="I21" s="9">
        <f t="shared" si="0"/>
        <v>3921</v>
      </c>
      <c r="J21" s="9">
        <f t="shared" si="1"/>
        <v>0</v>
      </c>
      <c r="K21" s="9">
        <f t="shared" si="2"/>
        <v>0</v>
      </c>
      <c r="L21" s="10">
        <f t="shared" si="3"/>
        <v>0</v>
      </c>
      <c r="M21" s="1" t="str">
        <f t="shared" si="4"/>
        <v>数值差异≤3%；机制仍需核实</v>
      </c>
      <c r="N21" s="12">
        <f>IF(ISNUMBER(行动模拟!F21),行动模拟!F21,"")</f>
        <v>1878</v>
      </c>
      <c r="O21" s="12">
        <f>IF(COUNT(行动模拟!G21:H21)=0,"",SUM(行动模拟!G21:H21))</f>
        <v>2043</v>
      </c>
      <c r="P21" s="12">
        <f>IF(H21="","",IF(G21="是",后台计算!DX15,IF(G21="否",后台计算!DW15,"")))</f>
        <v>1878</v>
      </c>
      <c r="Q21" s="12">
        <f>IF(H21="","",IF(G21="是",后台计算!BV15-后台计算!DX15,IF(G21="否",后台计算!BU15-后台计算!DW15,"")))</f>
        <v>2043</v>
      </c>
      <c r="R21" s="12">
        <f t="shared" si="5"/>
        <v>0</v>
      </c>
      <c r="S21" s="12">
        <f t="shared" si="6"/>
        <v>0</v>
      </c>
      <c r="T21" s="1" t="str">
        <f>IF(AND(后台计算!DH15="洞穿",O21&gt;0),IF(O21=ROUNDDOWN(N21*0.4,0),"实测附加=floor(主伤害×40%)；稳态来源待确认","实测附加关系需核对"),"")</f>
        <v/>
      </c>
      <c r="U21" s="1">
        <f>IF(D21="","",后台计算!EQ15)</f>
        <v>0</v>
      </c>
      <c r="V21" s="11">
        <f>IF(D21="","",后台计算!ER15)</f>
        <v>0</v>
      </c>
      <c r="W21" s="11">
        <f>IF(D21="","",后台计算!ES15)</f>
        <v>0</v>
      </c>
      <c r="X21" s="1" t="str">
        <f>IF(D21="","",IF(Boss参数!$B$60=1,"此前实测；缺失用预测","此前预测"))</f>
        <v>此前实测；缺失用预测</v>
      </c>
      <c r="Y21" s="1" t="str">
        <f>IF(H21="","",IF(H21&gt;Boss参数!$B$63*Boss参数!$B$62,"超过暂定合计上限",""))</f>
        <v/>
      </c>
    </row>
    <row r="22" spans="1:25" ht="38.1" customHeight="1">
      <c r="A22" s="1">
        <f>行动模拟!A22</f>
        <v>14</v>
      </c>
      <c r="B22" s="1">
        <f>行动模拟!B22</f>
        <v>2</v>
      </c>
      <c r="C22" s="1">
        <f>行动模拟!C22</f>
        <v>5</v>
      </c>
      <c r="D22" s="1" t="str">
        <f>行动模拟!D22</f>
        <v>37｜三角正论Ⅰ</v>
      </c>
      <c r="E22" s="9">
        <f>行动模拟!O22</f>
        <v>6913</v>
      </c>
      <c r="F22" s="9">
        <f>行动模拟!P22</f>
        <v>13674</v>
      </c>
      <c r="G22" s="1" t="str">
        <f>IF(行动模拟!D22="","",行动模拟!E22)</f>
        <v>是</v>
      </c>
      <c r="H22" s="9">
        <f>IF(COUNT(行动模拟!F22:H22)=0,"",SUM(行动模拟!F22:H22))</f>
        <v>13674</v>
      </c>
      <c r="I22" s="9">
        <f t="shared" si="0"/>
        <v>13674</v>
      </c>
      <c r="J22" s="9">
        <f t="shared" si="1"/>
        <v>0</v>
      </c>
      <c r="K22" s="9">
        <f t="shared" si="2"/>
        <v>0</v>
      </c>
      <c r="L22" s="10">
        <f t="shared" si="3"/>
        <v>0</v>
      </c>
      <c r="M22" s="1" t="str">
        <f t="shared" si="4"/>
        <v>数值差异≤3%；机制仍需核实</v>
      </c>
      <c r="N22" s="12">
        <f>IF(ISNUMBER(行动模拟!F22),行动模拟!F22,"")</f>
        <v>8919</v>
      </c>
      <c r="O22" s="12">
        <f>IF(COUNT(行动模拟!G22:H22)=0,"",SUM(行动模拟!G22:H22))</f>
        <v>4755</v>
      </c>
      <c r="P22" s="12">
        <f>IF(H22="","",IF(G22="是",后台计算!DX16,IF(G22="否",后台计算!DW16,"")))</f>
        <v>8919</v>
      </c>
      <c r="Q22" s="12">
        <f>IF(H22="","",IF(G22="是",后台计算!BV16-后台计算!DX16,IF(G22="否",后台计算!BU16-后台计算!DW16,"")))</f>
        <v>4755</v>
      </c>
      <c r="R22" s="12">
        <f t="shared" si="5"/>
        <v>0</v>
      </c>
      <c r="S22" s="12">
        <f t="shared" si="6"/>
        <v>0</v>
      </c>
      <c r="T22" s="1" t="str">
        <f>IF(AND(后台计算!DH16="洞穿",O22&gt;0),IF(O22=ROUNDDOWN(N22*0.4,0),"实测附加=floor(主伤害×40%)；稳态来源待确认","实测附加关系需核对"),"")</f>
        <v/>
      </c>
      <c r="U22" s="1">
        <f>IF(D22="","",后台计算!EQ16)</f>
        <v>1</v>
      </c>
      <c r="V22" s="11">
        <f>IF(D22="","",后台计算!ER16)</f>
        <v>0</v>
      </c>
      <c r="W22" s="11">
        <f>IF(D22="","",后台计算!ES16)</f>
        <v>0</v>
      </c>
      <c r="X22" s="1" t="str">
        <f>IF(D22="","",IF(Boss参数!$B$60=1,"此前实测；缺失用预测","此前预测"))</f>
        <v>此前实测；缺失用预测</v>
      </c>
      <c r="Y22" s="1" t="str">
        <f>IF(H22="","",IF(H22&gt;Boss参数!$B$63*Boss参数!$B$62,"超过暂定合计上限",""))</f>
        <v/>
      </c>
    </row>
    <row r="23" spans="1:25" ht="38.1" customHeight="1">
      <c r="A23" s="1">
        <f>行动模拟!A23</f>
        <v>15</v>
      </c>
      <c r="B23" s="1">
        <f>行动模拟!B23</f>
        <v>2</v>
      </c>
      <c r="C23" s="1">
        <f>行动模拟!C23</f>
        <v>6</v>
      </c>
      <c r="D23" s="1" t="str">
        <f>行动模拟!D23</f>
        <v>J｜高温回火</v>
      </c>
      <c r="E23" s="9">
        <f>行动模拟!O23</f>
        <v>2082</v>
      </c>
      <c r="F23" s="9">
        <f>行动模拟!P23</f>
        <v>2290</v>
      </c>
      <c r="G23" s="1" t="str">
        <f>IF(行动模拟!D23="","",行动模拟!E23)</f>
        <v>是</v>
      </c>
      <c r="H23" s="9">
        <f>IF(COUNT(行动模拟!F23:H23)=0,"",SUM(行动模拟!F23:H23))</f>
        <v>2290</v>
      </c>
      <c r="I23" s="9">
        <f t="shared" si="0"/>
        <v>2290</v>
      </c>
      <c r="J23" s="9">
        <f t="shared" si="1"/>
        <v>0</v>
      </c>
      <c r="K23" s="9">
        <f t="shared" si="2"/>
        <v>0</v>
      </c>
      <c r="L23" s="10">
        <f t="shared" si="3"/>
        <v>0</v>
      </c>
      <c r="M23" s="1" t="str">
        <f t="shared" si="4"/>
        <v>数值差异≤3%；机制仍需核实</v>
      </c>
      <c r="N23" s="12">
        <f>IF(ISNUMBER(行动模拟!F23),行动模拟!F23,"")</f>
        <v>2290</v>
      </c>
      <c r="O23" s="12">
        <f>IF(COUNT(行动模拟!G23:H23)=0,"",SUM(行动模拟!G23:H23))</f>
        <v>0</v>
      </c>
      <c r="P23" s="12">
        <f>IF(H23="","",IF(G23="是",后台计算!DX17,IF(G23="否",后台计算!DW17,"")))</f>
        <v>2290</v>
      </c>
      <c r="Q23" s="12">
        <f>IF(H23="","",IF(G23="是",后台计算!BV17-后台计算!DX17,IF(G23="否",后台计算!BU17-后台计算!DW17,"")))</f>
        <v>0</v>
      </c>
      <c r="R23" s="12">
        <f t="shared" si="5"/>
        <v>0</v>
      </c>
      <c r="S23" s="12">
        <f t="shared" si="6"/>
        <v>0</v>
      </c>
      <c r="T23" s="1" t="str">
        <f>IF(AND(后台计算!DH17="洞穿",O23&gt;0),IF(O23=ROUNDDOWN(N23*0.4,0),"实测附加=floor(主伤害×40%)；稳态来源待确认","实测附加关系需核对"),"")</f>
        <v/>
      </c>
      <c r="U23" s="1">
        <f>IF(D23="","",后台计算!EQ17)</f>
        <v>1</v>
      </c>
      <c r="V23" s="11">
        <f>IF(D23="","",后台计算!ER17)</f>
        <v>0</v>
      </c>
      <c r="W23" s="11">
        <f>IF(D23="","",后台计算!ES17)</f>
        <v>0</v>
      </c>
      <c r="X23" s="1" t="str">
        <f>IF(D23="","",IF(Boss参数!$B$60=1,"此前实测；缺失用预测","此前预测"))</f>
        <v>此前实测；缺失用预测</v>
      </c>
      <c r="Y23" s="1" t="str">
        <f>IF(H23="","",IF(H23&gt;Boss参数!$B$63*Boss参数!$B$62,"超过暂定合计上限",""))</f>
        <v/>
      </c>
    </row>
    <row r="24" spans="1:25" ht="38.1" customHeight="1">
      <c r="A24" s="1">
        <f>行动模拟!A24</f>
        <v>16</v>
      </c>
      <c r="B24" s="1">
        <f>行动模拟!B24</f>
        <v>2</v>
      </c>
      <c r="C24" s="1">
        <f>行动模拟!C24</f>
        <v>7</v>
      </c>
      <c r="D24" s="1" t="str">
        <f>行动模拟!D24</f>
        <v>J｜高温回火</v>
      </c>
      <c r="E24" s="9">
        <f>行动模拟!O24</f>
        <v>2661</v>
      </c>
      <c r="F24" s="9">
        <f>行动模拟!P24</f>
        <v>2927</v>
      </c>
      <c r="G24" s="1" t="str">
        <f>IF(行动模拟!D24="","",行动模拟!E24)</f>
        <v>否</v>
      </c>
      <c r="H24" s="9">
        <f>IF(COUNT(行动模拟!F24:H24)=0,"",SUM(行动模拟!F24:H24))</f>
        <v>2661</v>
      </c>
      <c r="I24" s="9">
        <f t="shared" si="0"/>
        <v>2661</v>
      </c>
      <c r="J24" s="9">
        <f t="shared" si="1"/>
        <v>0</v>
      </c>
      <c r="K24" s="9">
        <f t="shared" si="2"/>
        <v>0</v>
      </c>
      <c r="L24" s="10">
        <f t="shared" si="3"/>
        <v>0</v>
      </c>
      <c r="M24" s="1" t="str">
        <f t="shared" si="4"/>
        <v>数值差异≤3%；机制仍需核实</v>
      </c>
      <c r="N24" s="12">
        <f>IF(ISNUMBER(行动模拟!F24),行动模拟!F24,"")</f>
        <v>2661</v>
      </c>
      <c r="O24" s="12">
        <f>IF(COUNT(行动模拟!G24:H24)=0,"",SUM(行动模拟!G24:H24))</f>
        <v>0</v>
      </c>
      <c r="P24" s="12">
        <f>IF(H24="","",IF(G24="是",后台计算!DX18,IF(G24="否",后台计算!DW18,"")))</f>
        <v>2661</v>
      </c>
      <c r="Q24" s="12">
        <f>IF(H24="","",IF(G24="是",后台计算!BV18-后台计算!DX18,IF(G24="否",后台计算!BU18-后台计算!DW18,"")))</f>
        <v>0</v>
      </c>
      <c r="R24" s="12">
        <f t="shared" si="5"/>
        <v>0</v>
      </c>
      <c r="S24" s="12">
        <f t="shared" si="6"/>
        <v>0</v>
      </c>
      <c r="T24" s="1" t="str">
        <f>IF(AND(后台计算!DH18="洞穿",O24&gt;0),IF(O24=ROUNDDOWN(N24*0.4,0),"实测附加=floor(主伤害×40%)；稳态来源待确认","实测附加关系需核对"),"")</f>
        <v/>
      </c>
      <c r="U24" s="1">
        <f>IF(D24="","",后台计算!EQ18)</f>
        <v>1</v>
      </c>
      <c r="V24" s="11">
        <f>IF(D24="","",后台计算!ER18)</f>
        <v>0</v>
      </c>
      <c r="W24" s="11">
        <f>IF(D24="","",后台计算!ES18)</f>
        <v>0</v>
      </c>
      <c r="X24" s="1" t="str">
        <f>IF(D24="","",IF(Boss参数!$B$60=1,"此前实测；缺失用预测","此前预测"))</f>
        <v>此前实测；缺失用预测</v>
      </c>
      <c r="Y24" s="1" t="str">
        <f>IF(H24="","",IF(H24&gt;Boss参数!$B$63*Boss参数!$B$62,"超过暂定合计上限",""))</f>
        <v/>
      </c>
    </row>
    <row r="25" spans="1:25" ht="38.1" customHeight="1">
      <c r="A25" s="1">
        <f>行动模拟!A25</f>
        <v>17</v>
      </c>
      <c r="B25" s="1">
        <f>行动模拟!B25</f>
        <v>2</v>
      </c>
      <c r="C25" s="1">
        <f>行动模拟!C25</f>
        <v>8</v>
      </c>
      <c r="D25" s="1" t="str">
        <f>行动模拟!D25</f>
        <v>J｜高温回火</v>
      </c>
      <c r="E25" s="9">
        <f>行动模拟!O25</f>
        <v>2828</v>
      </c>
      <c r="F25" s="9">
        <f>行动模拟!P25</f>
        <v>3111</v>
      </c>
      <c r="G25" s="1" t="str">
        <f>IF(行动模拟!D25="","",行动模拟!E25)</f>
        <v>是</v>
      </c>
      <c r="H25" s="9">
        <f>IF(COUNT(行动模拟!F25:H25)=0,"",SUM(行动模拟!F25:H25))</f>
        <v>3111</v>
      </c>
      <c r="I25" s="9">
        <f t="shared" si="0"/>
        <v>3111</v>
      </c>
      <c r="J25" s="9">
        <f t="shared" si="1"/>
        <v>0</v>
      </c>
      <c r="K25" s="9">
        <f t="shared" si="2"/>
        <v>0</v>
      </c>
      <c r="L25" s="10">
        <f t="shared" si="3"/>
        <v>0</v>
      </c>
      <c r="M25" s="1" t="str">
        <f t="shared" si="4"/>
        <v>数值差异≤3%；机制仍需核实</v>
      </c>
      <c r="N25" s="12">
        <f>IF(ISNUMBER(行动模拟!F25),行动模拟!F25,"")</f>
        <v>3111</v>
      </c>
      <c r="O25" s="12">
        <f>IF(COUNT(行动模拟!G25:H25)=0,"",SUM(行动模拟!G25:H25))</f>
        <v>0</v>
      </c>
      <c r="P25" s="12">
        <f>IF(H25="","",IF(G25="是",后台计算!DX19,IF(G25="否",后台计算!DW19,"")))</f>
        <v>3111</v>
      </c>
      <c r="Q25" s="12">
        <f>IF(H25="","",IF(G25="是",后台计算!BV19-后台计算!DX19,IF(G25="否",后台计算!BU19-后台计算!DW19,"")))</f>
        <v>0</v>
      </c>
      <c r="R25" s="12">
        <f t="shared" si="5"/>
        <v>0</v>
      </c>
      <c r="S25" s="12">
        <f t="shared" si="6"/>
        <v>0</v>
      </c>
      <c r="T25" s="1" t="str">
        <f>IF(AND(后台计算!DH19="洞穿",O25&gt;0),IF(O25=ROUNDDOWN(N25*0.4,0),"实测附加=floor(主伤害×40%)；稳态来源待确认","实测附加关系需核对"),"")</f>
        <v/>
      </c>
      <c r="U25" s="1">
        <f>IF(D25="","",后台计算!EQ19)</f>
        <v>1</v>
      </c>
      <c r="V25" s="11">
        <f>IF(D25="","",后台计算!ER19)</f>
        <v>0</v>
      </c>
      <c r="W25" s="11">
        <f>IF(D25="","",后台计算!ES19)</f>
        <v>0</v>
      </c>
      <c r="X25" s="1" t="str">
        <f>IF(D25="","",IF(Boss参数!$B$60=1,"此前实测；缺失用预测","此前预测"))</f>
        <v>此前实测；缺失用预测</v>
      </c>
      <c r="Y25" s="1" t="str">
        <f>IF(H25="","",IF(H25&gt;Boss参数!$B$63*Boss参数!$B$62,"超过暂定合计上限",""))</f>
        <v/>
      </c>
    </row>
    <row r="26" spans="1:25" ht="38.1" customHeight="1">
      <c r="A26" s="1">
        <f>行动模拟!A26</f>
        <v>18</v>
      </c>
      <c r="B26" s="1">
        <f>行动模拟!B26</f>
        <v>2</v>
      </c>
      <c r="C26" s="1">
        <f>行动模拟!C26</f>
        <v>9</v>
      </c>
      <c r="D26" s="1" t="str">
        <f>行动模拟!D26</f>
        <v>37｜补充算式</v>
      </c>
      <c r="E26" s="9">
        <f>行动模拟!O26</f>
        <v>8058</v>
      </c>
      <c r="F26" s="9">
        <f>行动模拟!P26</f>
        <v>15939</v>
      </c>
      <c r="G26" s="1" t="str">
        <f>IF(行动模拟!D26="","",行动模拟!E26)</f>
        <v>是</v>
      </c>
      <c r="H26" s="9">
        <f>IF(COUNT(行动模拟!F26:H26)=0,"",SUM(行动模拟!F26:H26))</f>
        <v>15939</v>
      </c>
      <c r="I26" s="9">
        <f t="shared" si="0"/>
        <v>15939</v>
      </c>
      <c r="J26" s="9">
        <f t="shared" si="1"/>
        <v>0</v>
      </c>
      <c r="K26" s="9">
        <f t="shared" si="2"/>
        <v>0</v>
      </c>
      <c r="L26" s="10">
        <f t="shared" si="3"/>
        <v>0</v>
      </c>
      <c r="M26" s="1" t="str">
        <f t="shared" si="4"/>
        <v>数值差异≤3%；机制仍需核实</v>
      </c>
      <c r="N26" s="12">
        <f>IF(ISNUMBER(行动模拟!F26),行动模拟!F26,"")</f>
        <v>5835</v>
      </c>
      <c r="O26" s="12">
        <f>IF(COUNT(行动模拟!G26:H26)=0,"",SUM(行动模拟!G26:H26))</f>
        <v>10104</v>
      </c>
      <c r="P26" s="12">
        <f>IF(H26="","",IF(G26="是",后台计算!DX20,IF(G26="否",后台计算!DW20,"")))</f>
        <v>5835</v>
      </c>
      <c r="Q26" s="12">
        <f>IF(H26="","",IF(G26="是",后台计算!BV20-后台计算!DX20,IF(G26="否",后台计算!BU20-后台计算!DW20,"")))</f>
        <v>10104</v>
      </c>
      <c r="R26" s="12">
        <f t="shared" si="5"/>
        <v>0</v>
      </c>
      <c r="S26" s="12">
        <f t="shared" si="6"/>
        <v>0</v>
      </c>
      <c r="T26" s="1" t="str">
        <f>IF(AND(后台计算!DH20="洞穿",O26&gt;0),IF(O26=ROUNDDOWN(N26*0.4,0),"实测附加=floor(主伤害×40%)；稳态来源待确认","实测附加关系需核对"),"")</f>
        <v/>
      </c>
      <c r="U26" s="1">
        <f>IF(D26="","",后台计算!EQ20)</f>
        <v>1</v>
      </c>
      <c r="V26" s="11">
        <f>IF(D26="","",后台计算!ER20)</f>
        <v>0</v>
      </c>
      <c r="W26" s="11">
        <f>IF(D26="","",后台计算!ES20)</f>
        <v>0</v>
      </c>
      <c r="X26" s="1" t="str">
        <f>IF(D26="","",IF(Boss参数!$B$60=1,"此前实测；缺失用预测","此前预测"))</f>
        <v>此前实测；缺失用预测</v>
      </c>
      <c r="Y26" s="1" t="str">
        <f>IF(H26="","",IF(H26&gt;Boss参数!$B$63*Boss参数!$B$62,"超过暂定合计上限",""))</f>
        <v/>
      </c>
    </row>
    <row r="27" spans="1:25" ht="38.1" customHeight="1">
      <c r="A27" s="1">
        <f>行动模拟!A27</f>
        <v>19</v>
      </c>
      <c r="B27" s="1">
        <f>行动模拟!B27</f>
        <v>2</v>
      </c>
      <c r="C27" s="1">
        <f>行动模拟!C27</f>
        <v>10</v>
      </c>
      <c r="D27" s="1" t="str">
        <f>行动模拟!D27</f>
        <v>J｜高温回火</v>
      </c>
      <c r="E27" s="9">
        <f>行动模拟!O27</f>
        <v>2501</v>
      </c>
      <c r="F27" s="9">
        <f>行动模拟!P27</f>
        <v>2751</v>
      </c>
      <c r="G27" s="1" t="str">
        <f>IF(行动模拟!D27="","",行动模拟!E27)</f>
        <v>否</v>
      </c>
      <c r="H27" s="9">
        <f>IF(COUNT(行动模拟!F27:H27)=0,"",SUM(行动模拟!F27:H27))</f>
        <v>2501</v>
      </c>
      <c r="I27" s="9">
        <f t="shared" si="0"/>
        <v>2501</v>
      </c>
      <c r="J27" s="9">
        <f t="shared" si="1"/>
        <v>0</v>
      </c>
      <c r="K27" s="9">
        <f t="shared" si="2"/>
        <v>0</v>
      </c>
      <c r="L27" s="10">
        <f t="shared" si="3"/>
        <v>0</v>
      </c>
      <c r="M27" s="1" t="str">
        <f t="shared" si="4"/>
        <v>数值差异≤3%；机制仍需核实</v>
      </c>
      <c r="N27" s="12">
        <f>IF(ISNUMBER(行动模拟!F27),行动模拟!F27,"")</f>
        <v>2501</v>
      </c>
      <c r="O27" s="12">
        <f>IF(COUNT(行动模拟!G27:H27)=0,"",SUM(行动模拟!G27:H27))</f>
        <v>0</v>
      </c>
      <c r="P27" s="12">
        <f>IF(H27="","",IF(G27="是",后台计算!DX21,IF(G27="否",后台计算!DW21,"")))</f>
        <v>2501</v>
      </c>
      <c r="Q27" s="12">
        <f>IF(H27="","",IF(G27="是",后台计算!BV21-后台计算!DX21,IF(G27="否",后台计算!BU21-后台计算!DW21,"")))</f>
        <v>0</v>
      </c>
      <c r="R27" s="12">
        <f t="shared" si="5"/>
        <v>0</v>
      </c>
      <c r="S27" s="12">
        <f t="shared" si="6"/>
        <v>0</v>
      </c>
      <c r="T27" s="1" t="str">
        <f>IF(AND(后台计算!DH21="洞穿",O27&gt;0),IF(O27=ROUNDDOWN(N27*0.4,0),"实测附加=floor(主伤害×40%)；稳态来源待确认","实测附加关系需核对"),"")</f>
        <v/>
      </c>
      <c r="U27" s="1">
        <f>IF(D27="","",后台计算!EQ21)</f>
        <v>1</v>
      </c>
      <c r="V27" s="11">
        <f>IF(D27="","",后台计算!ER21)</f>
        <v>0</v>
      </c>
      <c r="W27" s="11">
        <f>IF(D27="","",后台计算!ES21)</f>
        <v>0</v>
      </c>
      <c r="X27" s="1" t="str">
        <f>IF(D27="","",IF(Boss参数!$B$60=1,"此前实测；缺失用预测","此前预测"))</f>
        <v>此前实测；缺失用预测</v>
      </c>
      <c r="Y27" s="1" t="str">
        <f>IF(H27="","",IF(H27&gt;Boss参数!$B$63*Boss参数!$B$62,"超过暂定合计上限",""))</f>
        <v/>
      </c>
    </row>
    <row r="28" spans="1:25" ht="38.1" customHeight="1">
      <c r="A28" s="1">
        <f>行动模拟!A28</f>
        <v>20</v>
      </c>
      <c r="B28" s="1">
        <f>行动模拟!B28</f>
        <v>3</v>
      </c>
      <c r="C28" s="1">
        <f>行动模拟!C28</f>
        <v>1</v>
      </c>
      <c r="D28" s="1" t="str">
        <f>行动模拟!D28</f>
        <v>小瑞安侬｜悄冥冥术阵</v>
      </c>
      <c r="E28" s="9">
        <f>行动模拟!O28</f>
        <v>0</v>
      </c>
      <c r="F28" s="9">
        <f>行动模拟!P28</f>
        <v>0</v>
      </c>
      <c r="G28" s="1" t="str">
        <f>IF(行动模拟!D28="","",行动模拟!E28)</f>
        <v>—</v>
      </c>
      <c r="H28" s="9" t="str">
        <f>IF(COUNT(行动模拟!F28:H28)=0,"",SUM(行动模拟!F28:H28))</f>
        <v/>
      </c>
      <c r="I28" s="9" t="str">
        <f t="shared" si="0"/>
        <v/>
      </c>
      <c r="J28" s="9" t="str">
        <f t="shared" si="1"/>
        <v/>
      </c>
      <c r="K28" s="9" t="str">
        <f t="shared" si="2"/>
        <v/>
      </c>
      <c r="L28" s="10" t="str">
        <f t="shared" si="3"/>
        <v/>
      </c>
      <c r="M28" s="1" t="str">
        <f t="shared" si="4"/>
        <v/>
      </c>
      <c r="N28" s="12" t="str">
        <f>IF(ISNUMBER(行动模拟!F28),行动模拟!F28,"")</f>
        <v/>
      </c>
      <c r="O28" s="12" t="str">
        <f>IF(COUNT(行动模拟!G28:H28)=0,"",SUM(行动模拟!G28:H28))</f>
        <v/>
      </c>
      <c r="P28" s="12" t="str">
        <f>IF(H28="","",IF(G28="是",后台计算!DX22,IF(G28="否",后台计算!DW22,"")))</f>
        <v/>
      </c>
      <c r="Q28" s="12" t="str">
        <f>IF(H28="","",IF(G28="是",后台计算!BV22-后台计算!DX22,IF(G28="否",后台计算!BU22-后台计算!DW22,"")))</f>
        <v/>
      </c>
      <c r="R28" s="12" t="str">
        <f t="shared" si="5"/>
        <v/>
      </c>
      <c r="S28" s="12" t="str">
        <f t="shared" si="6"/>
        <v/>
      </c>
      <c r="T28" s="1" t="str">
        <f>IF(AND(后台计算!DH22="洞穿",O28&gt;0),IF(O28=ROUNDDOWN(N28*0.4,0),"实测附加=floor(主伤害×40%)；稳态来源待确认","实测附加关系需核对"),"")</f>
        <v/>
      </c>
      <c r="U28" s="1">
        <f>IF(D28="","",后台计算!EQ22)</f>
        <v>1</v>
      </c>
      <c r="V28" s="11">
        <f>IF(D28="","",后台计算!ER22)</f>
        <v>0</v>
      </c>
      <c r="W28" s="11">
        <f>IF(D28="","",后台计算!ES22)</f>
        <v>0</v>
      </c>
      <c r="X28" s="1" t="str">
        <f>IF(D28="","",IF(Boss参数!$B$60=1,"此前实测；缺失用预测","此前预测"))</f>
        <v>此前实测；缺失用预测</v>
      </c>
      <c r="Y28" s="1" t="str">
        <f>IF(H28="","",IF(H28&gt;Boss参数!$B$63*Boss参数!$B$62,"超过暂定合计上限",""))</f>
        <v/>
      </c>
    </row>
    <row r="29" spans="1:25" ht="38.1" customHeight="1">
      <c r="A29" s="1">
        <f>行动模拟!A29</f>
        <v>21</v>
      </c>
      <c r="B29" s="1">
        <f>行动模拟!B29</f>
        <v>3</v>
      </c>
      <c r="C29" s="1">
        <f>行动模拟!C29</f>
        <v>2</v>
      </c>
      <c r="D29" s="1" t="str">
        <f>行动模拟!D29</f>
        <v>37｜数与几何的王国</v>
      </c>
      <c r="E29" s="9">
        <f>行动模拟!O29</f>
        <v>0</v>
      </c>
      <c r="F29" s="9">
        <f>行动模拟!P29</f>
        <v>0</v>
      </c>
      <c r="G29" s="1" t="str">
        <f>IF(行动模拟!D29="","",行动模拟!E29)</f>
        <v>—</v>
      </c>
      <c r="H29" s="9" t="str">
        <f>IF(COUNT(行动模拟!F29:H29)=0,"",SUM(行动模拟!F29:H29))</f>
        <v/>
      </c>
      <c r="I29" s="9" t="str">
        <f t="shared" si="0"/>
        <v/>
      </c>
      <c r="J29" s="9" t="str">
        <f t="shared" si="1"/>
        <v/>
      </c>
      <c r="K29" s="9" t="str">
        <f t="shared" si="2"/>
        <v/>
      </c>
      <c r="L29" s="10" t="str">
        <f t="shared" si="3"/>
        <v/>
      </c>
      <c r="M29" s="1" t="str">
        <f t="shared" si="4"/>
        <v/>
      </c>
      <c r="N29" s="12" t="str">
        <f>IF(ISNUMBER(行动模拟!F29),行动模拟!F29,"")</f>
        <v/>
      </c>
      <c r="O29" s="12" t="str">
        <f>IF(COUNT(行动模拟!G29:H29)=0,"",SUM(行动模拟!G29:H29))</f>
        <v/>
      </c>
      <c r="P29" s="12" t="str">
        <f>IF(H29="","",IF(G29="是",后台计算!DX23,IF(G29="否",后台计算!DW23,"")))</f>
        <v/>
      </c>
      <c r="Q29" s="12" t="str">
        <f>IF(H29="","",IF(G29="是",后台计算!BV23-后台计算!DX23,IF(G29="否",后台计算!BU23-后台计算!DW23,"")))</f>
        <v/>
      </c>
      <c r="R29" s="12" t="str">
        <f t="shared" si="5"/>
        <v/>
      </c>
      <c r="S29" s="12" t="str">
        <f t="shared" si="6"/>
        <v/>
      </c>
      <c r="T29" s="1" t="str">
        <f>IF(AND(后台计算!DH23="洞穿",O29&gt;0),IF(O29=ROUNDDOWN(N29*0.4,0),"实测附加=floor(主伤害×40%)；稳态来源待确认","实测附加关系需核对"),"")</f>
        <v/>
      </c>
      <c r="U29" s="1">
        <f>IF(D29="","",后台计算!EQ23)</f>
        <v>1</v>
      </c>
      <c r="V29" s="11">
        <f>IF(D29="","",后台计算!ER23)</f>
        <v>0</v>
      </c>
      <c r="W29" s="11">
        <f>IF(D29="","",后台计算!ES23)</f>
        <v>0</v>
      </c>
      <c r="X29" s="1" t="str">
        <f>IF(D29="","",IF(Boss参数!$B$60=1,"此前实测；缺失用预测","此前预测"))</f>
        <v>此前实测；缺失用预测</v>
      </c>
      <c r="Y29" s="1" t="str">
        <f>IF(H29="","",IF(H29&gt;Boss参数!$B$63*Boss参数!$B$62,"超过暂定合计上限",""))</f>
        <v/>
      </c>
    </row>
    <row r="30" spans="1:25" ht="38.1" customHeight="1">
      <c r="A30" s="1">
        <f>行动模拟!A30</f>
        <v>22</v>
      </c>
      <c r="B30" s="1">
        <f>行动模拟!B30</f>
        <v>3</v>
      </c>
      <c r="C30" s="1">
        <f>行动模拟!C30</f>
        <v>3</v>
      </c>
      <c r="D30" s="1" t="str">
        <f>行动模拟!D30</f>
        <v>37｜补充算式</v>
      </c>
      <c r="E30" s="9">
        <f>行动模拟!O30</f>
        <v>11808</v>
      </c>
      <c r="F30" s="9">
        <f>行动模拟!P30</f>
        <v>23594</v>
      </c>
      <c r="G30" s="1" t="str">
        <f>IF(行动模拟!D30="","",行动模拟!E30)</f>
        <v>是</v>
      </c>
      <c r="H30" s="9">
        <f>IF(COUNT(行动模拟!F30:H30)=0,"",SUM(行动模拟!F30:H30))</f>
        <v>23594</v>
      </c>
      <c r="I30" s="9">
        <f t="shared" si="0"/>
        <v>23594</v>
      </c>
      <c r="J30" s="9">
        <f t="shared" si="1"/>
        <v>0</v>
      </c>
      <c r="K30" s="9">
        <f t="shared" si="2"/>
        <v>0</v>
      </c>
      <c r="L30" s="10">
        <f t="shared" si="3"/>
        <v>0</v>
      </c>
      <c r="M30" s="1" t="str">
        <f t="shared" si="4"/>
        <v>数值差异≤3%；机制仍需核实</v>
      </c>
      <c r="N30" s="12">
        <f>IF(ISNUMBER(行动模拟!F30),行动模拟!F30,"")</f>
        <v>11689</v>
      </c>
      <c r="O30" s="12">
        <f>IF(COUNT(行动模拟!G30:H30)=0,"",SUM(行动模拟!G30:H30))</f>
        <v>11905</v>
      </c>
      <c r="P30" s="12">
        <f>IF(H30="","",IF(G30="是",后台计算!DX24,IF(G30="否",后台计算!DW24,"")))</f>
        <v>11689</v>
      </c>
      <c r="Q30" s="12">
        <f>IF(H30="","",IF(G30="是",后台计算!BV24-后台计算!DX24,IF(G30="否",后台计算!BU24-后台计算!DW24,"")))</f>
        <v>11905</v>
      </c>
      <c r="R30" s="12">
        <f t="shared" si="5"/>
        <v>0</v>
      </c>
      <c r="S30" s="12">
        <f t="shared" si="6"/>
        <v>0</v>
      </c>
      <c r="T30" s="1" t="str">
        <f>IF(AND(后台计算!DH24="洞穿",O30&gt;0),IF(O30=ROUNDDOWN(N30*0.4,0),"实测附加=floor(主伤害×40%)；稳态来源待确认","实测附加关系需核对"),"")</f>
        <v/>
      </c>
      <c r="U30" s="1">
        <f>IF(D30="","",后台计算!EQ24)</f>
        <v>1</v>
      </c>
      <c r="V30" s="11">
        <f>IF(D30="","",后台计算!ER24)</f>
        <v>0</v>
      </c>
      <c r="W30" s="11">
        <f>IF(D30="","",后台计算!ES24)</f>
        <v>0</v>
      </c>
      <c r="X30" s="1" t="str">
        <f>IF(D30="","",IF(Boss参数!$B$60=1,"此前实测；缺失用预测","此前预测"))</f>
        <v>此前实测；缺失用预测</v>
      </c>
      <c r="Y30" s="1" t="str">
        <f>IF(H30="","",IF(H30&gt;Boss参数!$B$63*Boss参数!$B$62,"超过暂定合计上限",""))</f>
        <v/>
      </c>
    </row>
    <row r="31" spans="1:25" ht="38.1" customHeight="1">
      <c r="A31" s="1">
        <f>行动模拟!A31</f>
        <v>23</v>
      </c>
      <c r="B31" s="1">
        <f>行动模拟!B31</f>
        <v>3</v>
      </c>
      <c r="C31" s="1">
        <f>行动模拟!C31</f>
        <v>4</v>
      </c>
      <c r="D31" s="1" t="str">
        <f>行动模拟!D31</f>
        <v>J｜飞跃海特街</v>
      </c>
      <c r="E31" s="9">
        <f>行动模拟!O31</f>
        <v>22493</v>
      </c>
      <c r="F31" s="9">
        <f>行动模拟!P31</f>
        <v>34123</v>
      </c>
      <c r="G31" s="1" t="str">
        <f>IF(行动模拟!D31="","",行动模拟!E31)</f>
        <v>是</v>
      </c>
      <c r="H31" s="9">
        <f>IF(COUNT(行动模拟!F31:H31)=0,"",SUM(行动模拟!F31:H31))</f>
        <v>34123</v>
      </c>
      <c r="I31" s="9">
        <f t="shared" si="0"/>
        <v>34123</v>
      </c>
      <c r="J31" s="9">
        <f t="shared" si="1"/>
        <v>0</v>
      </c>
      <c r="K31" s="9">
        <f t="shared" si="2"/>
        <v>0</v>
      </c>
      <c r="L31" s="10">
        <f t="shared" si="3"/>
        <v>0</v>
      </c>
      <c r="M31" s="1" t="str">
        <f t="shared" si="4"/>
        <v>数值差异≤3%；机制仍需核实</v>
      </c>
      <c r="N31" s="12">
        <f>IF(ISNUMBER(行动模拟!F31),行动模拟!F31,"")</f>
        <v>34123</v>
      </c>
      <c r="O31" s="12">
        <f>IF(COUNT(行动模拟!G31:H31)=0,"",SUM(行动模拟!G31:H31))</f>
        <v>0</v>
      </c>
      <c r="P31" s="12">
        <f>IF(H31="","",IF(G31="是",后台计算!DX25,IF(G31="否",后台计算!DW25,"")))</f>
        <v>34123</v>
      </c>
      <c r="Q31" s="12">
        <f>IF(H31="","",IF(G31="是",后台计算!BV25-后台计算!DX25,IF(G31="否",后台计算!BU25-后台计算!DW25,"")))</f>
        <v>0</v>
      </c>
      <c r="R31" s="12">
        <f t="shared" si="5"/>
        <v>0</v>
      </c>
      <c r="S31" s="12">
        <f t="shared" si="6"/>
        <v>0</v>
      </c>
      <c r="T31" s="1" t="str">
        <f>IF(AND(后台计算!DH25="洞穿",O31&gt;0),IF(O31=ROUNDDOWN(N31*0.4,0),"实测附加=floor(主伤害×40%)；稳态来源待确认","实测附加关系需核对"),"")</f>
        <v/>
      </c>
      <c r="U31" s="1">
        <f>IF(D31="","",后台计算!EQ25)</f>
        <v>1</v>
      </c>
      <c r="V31" s="11">
        <f>IF(D31="","",后台计算!ER25)</f>
        <v>0</v>
      </c>
      <c r="W31" s="11">
        <f>IF(D31="","",后台计算!ES25)</f>
        <v>0</v>
      </c>
      <c r="X31" s="1" t="str">
        <f>IF(D31="","",IF(Boss参数!$B$60=1,"此前实测；缺失用预测","此前预测"))</f>
        <v>此前实测；缺失用预测</v>
      </c>
      <c r="Y31" s="1" t="str">
        <f>IF(H31="","",IF(H31&gt;Boss参数!$B$63*Boss参数!$B$62,"超过暂定合计上限",""))</f>
        <v/>
      </c>
    </row>
    <row r="32" spans="1:25" ht="38.1" customHeight="1">
      <c r="A32" s="1">
        <f>行动模拟!A32</f>
        <v>24</v>
      </c>
      <c r="B32" s="1">
        <f>行动模拟!B32</f>
        <v>3</v>
      </c>
      <c r="C32" s="1">
        <f>行动模拟!C32</f>
        <v>5</v>
      </c>
      <c r="D32" s="1" t="str">
        <f>行动模拟!D32</f>
        <v>小瑞安侬｜囫囵囵咒Ⅰ</v>
      </c>
      <c r="E32" s="9">
        <f>行动模拟!O32</f>
        <v>3261</v>
      </c>
      <c r="F32" s="9">
        <f>行动模拟!P32</f>
        <v>4467</v>
      </c>
      <c r="G32" s="1" t="str">
        <f>IF(行动模拟!D32="","",行动模拟!E32)</f>
        <v>是</v>
      </c>
      <c r="H32" s="9">
        <f>IF(COUNT(行动模拟!F32:H32)=0,"",SUM(行动模拟!F32:H32))</f>
        <v>4467</v>
      </c>
      <c r="I32" s="9">
        <f t="shared" si="0"/>
        <v>4467</v>
      </c>
      <c r="J32" s="9">
        <f t="shared" si="1"/>
        <v>0</v>
      </c>
      <c r="K32" s="9">
        <f t="shared" si="2"/>
        <v>0</v>
      </c>
      <c r="L32" s="10">
        <f t="shared" si="3"/>
        <v>0</v>
      </c>
      <c r="M32" s="1" t="str">
        <f t="shared" si="4"/>
        <v>数值差异≤3%；机制仍需核实</v>
      </c>
      <c r="N32" s="12">
        <f>IF(ISNUMBER(行动模拟!F32),行动模拟!F32,"")</f>
        <v>4467</v>
      </c>
      <c r="O32" s="12">
        <f>IF(COUNT(行动模拟!G32:H32)=0,"",SUM(行动模拟!G32:H32))</f>
        <v>0</v>
      </c>
      <c r="P32" s="12">
        <f>IF(H32="","",IF(G32="是",后台计算!DX26,IF(G32="否",后台计算!DW26,"")))</f>
        <v>4467</v>
      </c>
      <c r="Q32" s="12">
        <f>IF(H32="","",IF(G32="是",后台计算!BV26-后台计算!DX26,IF(G32="否",后台计算!BU26-后台计算!DW26,"")))</f>
        <v>0</v>
      </c>
      <c r="R32" s="12">
        <f t="shared" si="5"/>
        <v>0</v>
      </c>
      <c r="S32" s="12">
        <f t="shared" si="6"/>
        <v>0</v>
      </c>
      <c r="T32" s="1" t="str">
        <f>IF(AND(后台计算!DH26="洞穿",O32&gt;0),IF(O32=ROUNDDOWN(N32*0.4,0),"实测附加=floor(主伤害×40%)；稳态来源待确认","实测附加关系需核对"),"")</f>
        <v/>
      </c>
      <c r="U32" s="1">
        <f>IF(D32="","",后台计算!EQ26)</f>
        <v>2</v>
      </c>
      <c r="V32" s="11">
        <f>IF(D32="","",后台计算!ER26)</f>
        <v>0</v>
      </c>
      <c r="W32" s="11">
        <f>IF(D32="","",后台计算!ES26)</f>
        <v>0</v>
      </c>
      <c r="X32" s="1" t="str">
        <f>IF(D32="","",IF(Boss参数!$B$60=1,"此前实测；缺失用预测","此前预测"))</f>
        <v>此前实测；缺失用预测</v>
      </c>
      <c r="Y32" s="1" t="str">
        <f>IF(H32="","",IF(H32&gt;Boss参数!$B$63*Boss参数!$B$62,"超过暂定合计上限",""))</f>
        <v/>
      </c>
    </row>
    <row r="33" spans="1:25" ht="38.1" customHeight="1">
      <c r="A33" s="1">
        <f>行动模拟!A33</f>
        <v>25</v>
      </c>
      <c r="B33" s="1">
        <f>行动模拟!B33</f>
        <v>3</v>
      </c>
      <c r="C33" s="1">
        <f>行动模拟!C33</f>
        <v>6</v>
      </c>
      <c r="D33" s="1" t="str">
        <f>行动模拟!D33</f>
        <v>小瑞安侬｜囫囵囵咒Ⅰ</v>
      </c>
      <c r="E33" s="9">
        <f>行动模拟!O33</f>
        <v>9934</v>
      </c>
      <c r="F33" s="9">
        <f>行动模拟!P33</f>
        <v>16590</v>
      </c>
      <c r="G33" s="1" t="str">
        <f>IF(行动模拟!D33="","",行动模拟!E33)</f>
        <v>否</v>
      </c>
      <c r="H33" s="9">
        <f>IF(COUNT(行动模拟!F33:H33)=0,"",SUM(行动模拟!F33:H33))</f>
        <v>9934</v>
      </c>
      <c r="I33" s="9">
        <f t="shared" si="0"/>
        <v>9934</v>
      </c>
      <c r="J33" s="9">
        <f t="shared" si="1"/>
        <v>0</v>
      </c>
      <c r="K33" s="9">
        <f t="shared" si="2"/>
        <v>0</v>
      </c>
      <c r="L33" s="10">
        <f t="shared" si="3"/>
        <v>0</v>
      </c>
      <c r="M33" s="1" t="str">
        <f t="shared" si="4"/>
        <v>数值差异≤3%；机制仍需核实</v>
      </c>
      <c r="N33" s="12">
        <f>IF(ISNUMBER(行动模拟!F33),行动模拟!F33,"")</f>
        <v>9934</v>
      </c>
      <c r="O33" s="12">
        <f>IF(COUNT(行动模拟!G33:H33)=0,"",SUM(行动模拟!G33:H33))</f>
        <v>0</v>
      </c>
      <c r="P33" s="12">
        <f>IF(H33="","",IF(G33="是",后台计算!DX27,IF(G33="否",后台计算!DW27,"")))</f>
        <v>9934</v>
      </c>
      <c r="Q33" s="12">
        <f>IF(H33="","",IF(G33="是",后台计算!BV27-后台计算!DX27,IF(G33="否",后台计算!BU27-后台计算!DW27,"")))</f>
        <v>0</v>
      </c>
      <c r="R33" s="12">
        <f t="shared" si="5"/>
        <v>0</v>
      </c>
      <c r="S33" s="12">
        <f t="shared" si="6"/>
        <v>0</v>
      </c>
      <c r="T33" s="1" t="str">
        <f>IF(AND(后台计算!DH27="洞穿",O33&gt;0),IF(O33=ROUNDDOWN(N33*0.4,0),"实测附加=floor(主伤害×40%)；稳态来源待确认","实测附加关系需核对"),"")</f>
        <v/>
      </c>
      <c r="U33" s="1">
        <f>IF(D33="","",后台计算!EQ27)</f>
        <v>2</v>
      </c>
      <c r="V33" s="11">
        <f>IF(D33="","",后台计算!ER27)</f>
        <v>0</v>
      </c>
      <c r="W33" s="11">
        <f>IF(D33="","",后台计算!ES27)</f>
        <v>0</v>
      </c>
      <c r="X33" s="1" t="str">
        <f>IF(D33="","",IF(Boss参数!$B$60=1,"此前实测；缺失用预测","此前预测"))</f>
        <v>此前实测；缺失用预测</v>
      </c>
      <c r="Y33" s="1" t="str">
        <f>IF(H33="","",IF(H33&gt;Boss参数!$B$63*Boss参数!$B$62,"超过暂定合计上限",""))</f>
        <v/>
      </c>
    </row>
    <row r="34" spans="1:25" ht="38.1" customHeight="1">
      <c r="A34" s="1">
        <f>行动模拟!A34</f>
        <v>26</v>
      </c>
      <c r="B34" s="1">
        <f>行动模拟!B34</f>
        <v>3</v>
      </c>
      <c r="C34" s="1">
        <f>行动模拟!C34</f>
        <v>7</v>
      </c>
      <c r="D34" s="1" t="str">
        <f>行动模拟!D34</f>
        <v>红弩箭｜试试杀手锏</v>
      </c>
      <c r="E34" s="9">
        <f>行动模拟!O34</f>
        <v>381348</v>
      </c>
      <c r="F34" s="9">
        <f>行动模拟!P34</f>
        <v>1199340</v>
      </c>
      <c r="G34" s="1" t="str">
        <f>IF(行动模拟!D34="","",行动模拟!E34)</f>
        <v>是</v>
      </c>
      <c r="H34" s="9">
        <f>IF(COUNT(行动模拟!F34:H34)=0,"",SUM(行动模拟!F34:H34))</f>
        <v>1199340</v>
      </c>
      <c r="I34" s="9">
        <f t="shared" si="0"/>
        <v>1199340</v>
      </c>
      <c r="J34" s="9">
        <f t="shared" si="1"/>
        <v>0</v>
      </c>
      <c r="K34" s="9">
        <f t="shared" si="2"/>
        <v>0</v>
      </c>
      <c r="L34" s="10">
        <f t="shared" si="3"/>
        <v>0</v>
      </c>
      <c r="M34" s="1" t="str">
        <f t="shared" si="4"/>
        <v>数值差异≤3%；机制仍需核实</v>
      </c>
      <c r="N34" s="12">
        <f>IF(ISNUMBER(行动模拟!F34),行动模拟!F34,"")</f>
        <v>1199340</v>
      </c>
      <c r="O34" s="12">
        <f>IF(COUNT(行动模拟!G34:H34)=0,"",SUM(行动模拟!G34:H34))</f>
        <v>0</v>
      </c>
      <c r="P34" s="12">
        <f>IF(H34="","",IF(G34="是",后台计算!DX28,IF(G34="否",后台计算!DW28,"")))</f>
        <v>1199340</v>
      </c>
      <c r="Q34" s="12">
        <f>IF(H34="","",IF(G34="是",后台计算!BV28-后台计算!DX28,IF(G34="否",后台计算!BU28-后台计算!DW28,"")))</f>
        <v>0</v>
      </c>
      <c r="R34" s="12">
        <f t="shared" si="5"/>
        <v>0</v>
      </c>
      <c r="S34" s="12">
        <f t="shared" si="6"/>
        <v>0</v>
      </c>
      <c r="T34" s="1" t="str">
        <f>IF(AND(后台计算!DH28="洞穿",O34&gt;0),IF(O34=ROUNDDOWN(N34*0.4,0),"实测附加=floor(主伤害×40%)；稳态来源待确认","实测附加关系需核对"),"")</f>
        <v/>
      </c>
      <c r="U34" s="1">
        <f>IF(D34="","",后台计算!EQ28)</f>
        <v>2</v>
      </c>
      <c r="V34" s="11">
        <f>IF(D34="","",后台计算!ER28)</f>
        <v>0</v>
      </c>
      <c r="W34" s="11">
        <f>IF(D34="","",后台计算!ES28)</f>
        <v>0</v>
      </c>
      <c r="X34" s="1" t="str">
        <f>IF(D34="","",IF(Boss参数!$B$60=1,"此前实测；缺失用预测","此前预测"))</f>
        <v>此前实测；缺失用预测</v>
      </c>
      <c r="Y34" s="1" t="str">
        <f>IF(H34="","",IF(H34&gt;Boss参数!$B$63*Boss参数!$B$62,"超过暂定合计上限",""))</f>
        <v/>
      </c>
    </row>
    <row r="35" spans="1:25" ht="38.1" customHeight="1">
      <c r="A35" s="1">
        <f>行动模拟!A35</f>
        <v>27</v>
      </c>
      <c r="B35" s="1">
        <f>行动模拟!B35</f>
        <v>3</v>
      </c>
      <c r="C35" s="1">
        <f>行动模拟!C35</f>
        <v>8</v>
      </c>
      <c r="D35" s="1" t="str">
        <f>行动模拟!D35</f>
        <v>红弩箭｜极限俯冲Ⅲ</v>
      </c>
      <c r="E35" s="9">
        <f>行动模拟!O35</f>
        <v>919378</v>
      </c>
      <c r="F35" s="9">
        <f>行动模拟!P35</f>
        <v>1990454</v>
      </c>
      <c r="G35" s="1" t="str">
        <f>IF(行动模拟!D35="","",行动模拟!E35)</f>
        <v>是</v>
      </c>
      <c r="H35" s="9">
        <f>IF(COUNT(行动模拟!F35:H35)=0,"",SUM(行动模拟!F35:H35))</f>
        <v>1990454</v>
      </c>
      <c r="I35" s="9">
        <f t="shared" si="0"/>
        <v>1990454</v>
      </c>
      <c r="J35" s="9">
        <f t="shared" si="1"/>
        <v>0</v>
      </c>
      <c r="K35" s="9">
        <f t="shared" si="2"/>
        <v>0</v>
      </c>
      <c r="L35" s="10">
        <f t="shared" si="3"/>
        <v>0</v>
      </c>
      <c r="M35" s="1" t="str">
        <f t="shared" si="4"/>
        <v>数值差异≤3%；机制仍需核实</v>
      </c>
      <c r="N35" s="12">
        <f>IF(ISNUMBER(行动模拟!F35),行动模拟!F35,"")</f>
        <v>1990454</v>
      </c>
      <c r="O35" s="12">
        <f>IF(COUNT(行动模拟!G35:H35)=0,"",SUM(行动模拟!G35:H35))</f>
        <v>0</v>
      </c>
      <c r="P35" s="12">
        <f>IF(H35="","",IF(G35="是",后台计算!DX29,IF(G35="否",后台计算!DW29,"")))</f>
        <v>1990454</v>
      </c>
      <c r="Q35" s="12">
        <f>IF(H35="","",IF(G35="是",后台计算!BV29-后台计算!DX29,IF(G35="否",后台计算!BU29-后台计算!DW29,"")))</f>
        <v>0</v>
      </c>
      <c r="R35" s="12">
        <f t="shared" si="5"/>
        <v>0</v>
      </c>
      <c r="S35" s="12">
        <f t="shared" si="6"/>
        <v>0</v>
      </c>
      <c r="T35" s="1" t="str">
        <f>IF(AND(后台计算!DH29="洞穿",O35&gt;0),IF(O35=ROUNDDOWN(N35*0.4,0),"实测附加=floor(主伤害×40%)；稳态来源待确认","实测附加关系需核对"),"")</f>
        <v/>
      </c>
      <c r="U35" s="1">
        <f>IF(D35="","",后台计算!EQ29)</f>
        <v>14</v>
      </c>
      <c r="V35" s="11">
        <f>IF(D35="","",后台计算!ER29)</f>
        <v>0</v>
      </c>
      <c r="W35" s="11">
        <f>IF(D35="","",后台计算!ES29)</f>
        <v>0</v>
      </c>
      <c r="X35" s="1" t="str">
        <f>IF(D35="","",IF(Boss参数!$B$60=1,"此前实测；缺失用预测","此前预测"))</f>
        <v>此前实测；缺失用预测</v>
      </c>
      <c r="Y35" s="1" t="str">
        <f>IF(H35="","",IF(H35&gt;Boss参数!$B$63*Boss参数!$B$62,"超过暂定合计上限",""))</f>
        <v/>
      </c>
    </row>
    <row r="36" spans="1:25" ht="38.1" customHeight="1">
      <c r="A36" s="1">
        <f>行动模拟!A36</f>
        <v>28</v>
      </c>
      <c r="B36" s="1">
        <f>行动模拟!B36</f>
        <v>3</v>
      </c>
      <c r="C36" s="1">
        <f>行动模拟!C36</f>
        <v>9</v>
      </c>
      <c r="D36" s="1" t="str">
        <f>行动模拟!D36</f>
        <v>37｜补充算式</v>
      </c>
      <c r="E36" s="9">
        <f>行动模拟!O36</f>
        <v>5094</v>
      </c>
      <c r="F36" s="9">
        <f>行动模拟!P36</f>
        <v>11911</v>
      </c>
      <c r="G36" s="1" t="str">
        <f>IF(行动模拟!D36="","",行动模拟!E36)</f>
        <v>是</v>
      </c>
      <c r="H36" s="9">
        <f>IF(COUNT(行动模拟!F36:H36)=0,"",SUM(行动模拟!F36:H36))</f>
        <v>11911</v>
      </c>
      <c r="I36" s="9">
        <f t="shared" si="0"/>
        <v>11911</v>
      </c>
      <c r="J36" s="9">
        <f t="shared" si="1"/>
        <v>0</v>
      </c>
      <c r="K36" s="9">
        <f t="shared" si="2"/>
        <v>0</v>
      </c>
      <c r="L36" s="10">
        <f t="shared" si="3"/>
        <v>0</v>
      </c>
      <c r="M36" s="1" t="str">
        <f t="shared" si="4"/>
        <v>数值差异≤3%；机制仍需核实</v>
      </c>
      <c r="N36" s="12">
        <f>IF(ISNUMBER(行动模拟!F36),行动模拟!F36,"")</f>
        <v>4127</v>
      </c>
      <c r="O36" s="12">
        <f>IF(COUNT(行动模拟!G36:H36)=0,"",SUM(行动模拟!G36:H36))</f>
        <v>7784</v>
      </c>
      <c r="P36" s="12">
        <f>IF(H36="","",IF(G36="是",后台计算!DX30,IF(G36="否",后台计算!DW30,"")))</f>
        <v>4127</v>
      </c>
      <c r="Q36" s="12">
        <f>IF(H36="","",IF(G36="是",后台计算!BV30-后台计算!DX30,IF(G36="否",后台计算!BU30-后台计算!DW30,"")))</f>
        <v>7784</v>
      </c>
      <c r="R36" s="12">
        <f t="shared" si="5"/>
        <v>0</v>
      </c>
      <c r="S36" s="12">
        <f t="shared" si="6"/>
        <v>0</v>
      </c>
      <c r="T36" s="1" t="str">
        <f>IF(AND(后台计算!DH30="洞穿",O36&gt;0),IF(O36=ROUNDDOWN(N36*0.4,0),"实测附加=floor(主伤害×40%)；稳态来源待确认","实测附加关系需核对"),"")</f>
        <v/>
      </c>
      <c r="U36" s="1">
        <f>IF(D36="","",后台计算!EQ30)</f>
        <v>34</v>
      </c>
      <c r="V36" s="11">
        <f>IF(D36="","",后台计算!ER30)</f>
        <v>0.3</v>
      </c>
      <c r="W36" s="11">
        <f>IF(D36="","",后台计算!ES30)</f>
        <v>0.2</v>
      </c>
      <c r="X36" s="1" t="str">
        <f>IF(D36="","",IF(Boss参数!$B$60=1,"此前实测；缺失用预测","此前预测"))</f>
        <v>此前实测；缺失用预测</v>
      </c>
      <c r="Y36" s="1" t="str">
        <f>IF(H36="","",IF(H36&gt;Boss参数!$B$63*Boss参数!$B$62,"超过暂定合计上限",""))</f>
        <v/>
      </c>
    </row>
    <row r="37" spans="1:25" ht="38.1" customHeight="1">
      <c r="A37" s="1">
        <f>行动模拟!A37</f>
        <v>29</v>
      </c>
      <c r="B37" s="1">
        <f>行动模拟!B37</f>
        <v>3</v>
      </c>
      <c r="C37" s="1">
        <f>行动模拟!C37</f>
        <v>10</v>
      </c>
      <c r="D37" s="1" t="str">
        <f>行动模拟!D37</f>
        <v>J｜高温回火</v>
      </c>
      <c r="E37" s="9">
        <f>行动模拟!O37</f>
        <v>5798</v>
      </c>
      <c r="F37" s="9">
        <f>行动模拟!P37</f>
        <v>6378</v>
      </c>
      <c r="G37" s="1" t="str">
        <f>IF(行动模拟!D37="","",行动模拟!E37)</f>
        <v>否</v>
      </c>
      <c r="H37" s="9">
        <f>IF(COUNT(行动模拟!F37:H37)=0,"",SUM(行动模拟!F37:H37))</f>
        <v>5798</v>
      </c>
      <c r="I37" s="9">
        <f t="shared" si="0"/>
        <v>5798</v>
      </c>
      <c r="J37" s="9">
        <f t="shared" si="1"/>
        <v>0</v>
      </c>
      <c r="K37" s="9">
        <f t="shared" si="2"/>
        <v>0</v>
      </c>
      <c r="L37" s="10">
        <f t="shared" si="3"/>
        <v>0</v>
      </c>
      <c r="M37" s="1" t="str">
        <f t="shared" si="4"/>
        <v>数值差异≤3%；机制仍需核实</v>
      </c>
      <c r="N37" s="12">
        <f>IF(ISNUMBER(行动模拟!F37),行动模拟!F37,"")</f>
        <v>5798</v>
      </c>
      <c r="O37" s="12">
        <f>IF(COUNT(行动模拟!G37:H37)=0,"",SUM(行动模拟!G37:H37))</f>
        <v>0</v>
      </c>
      <c r="P37" s="12">
        <f>IF(H37="","",IF(G37="是",后台计算!DX31,IF(G37="否",后台计算!DW31,"")))</f>
        <v>5798</v>
      </c>
      <c r="Q37" s="12">
        <f>IF(H37="","",IF(G37="是",后台计算!BV31-后台计算!DX31,IF(G37="否",后台计算!BU31-后台计算!DW31,"")))</f>
        <v>0</v>
      </c>
      <c r="R37" s="12">
        <f t="shared" si="5"/>
        <v>0</v>
      </c>
      <c r="S37" s="12">
        <f t="shared" si="6"/>
        <v>0</v>
      </c>
      <c r="T37" s="1" t="str">
        <f>IF(AND(后台计算!DH31="洞穿",O37&gt;0),IF(O37=ROUNDDOWN(N37*0.4,0),"实测附加=floor(主伤害×40%)；稳态来源待确认","实测附加关系需核对"),"")</f>
        <v/>
      </c>
      <c r="U37" s="1">
        <f>IF(D37="","",后台计算!EQ31)</f>
        <v>34</v>
      </c>
      <c r="V37" s="11">
        <f>IF(D37="","",后台计算!ER31)</f>
        <v>0.3</v>
      </c>
      <c r="W37" s="11">
        <f>IF(D37="","",后台计算!ES31)</f>
        <v>0.2</v>
      </c>
      <c r="X37" s="1" t="str">
        <f>IF(D37="","",IF(Boss参数!$B$60=1,"此前实测；缺失用预测","此前预测"))</f>
        <v>此前实测；缺失用预测</v>
      </c>
      <c r="Y37" s="1" t="str">
        <f>IF(H37="","",IF(H37&gt;Boss参数!$B$63*Boss参数!$B$62,"超过暂定合计上限",""))</f>
        <v/>
      </c>
    </row>
    <row r="38" spans="1:25" ht="38.1" customHeight="1">
      <c r="A38" s="1">
        <f>行动模拟!A38</f>
        <v>30</v>
      </c>
      <c r="B38" s="1">
        <f>行动模拟!B38</f>
        <v>3</v>
      </c>
      <c r="C38" s="1">
        <f>行动模拟!C38</f>
        <v>11</v>
      </c>
      <c r="D38" s="1" t="str">
        <f>行动模拟!D38</f>
        <v>J｜高温回火</v>
      </c>
      <c r="E38" s="9">
        <f>行动模拟!O38</f>
        <v>7301</v>
      </c>
      <c r="F38" s="9">
        <f>行动模拟!P38</f>
        <v>8031</v>
      </c>
      <c r="G38" s="1" t="str">
        <f>IF(行动模拟!D38="","",行动模拟!E38)</f>
        <v>是</v>
      </c>
      <c r="H38" s="9">
        <f>IF(COUNT(行动模拟!F38:H38)=0,"",SUM(行动模拟!F38:H38))</f>
        <v>8031</v>
      </c>
      <c r="I38" s="9">
        <f t="shared" si="0"/>
        <v>8031</v>
      </c>
      <c r="J38" s="9">
        <f t="shared" si="1"/>
        <v>0</v>
      </c>
      <c r="K38" s="9">
        <f t="shared" si="2"/>
        <v>0</v>
      </c>
      <c r="L38" s="10">
        <f t="shared" si="3"/>
        <v>0</v>
      </c>
      <c r="M38" s="1" t="str">
        <f t="shared" si="4"/>
        <v>数值差异≤3%；机制仍需核实</v>
      </c>
      <c r="N38" s="12">
        <f>IF(ISNUMBER(行动模拟!F38),行动模拟!F38,"")</f>
        <v>8031</v>
      </c>
      <c r="O38" s="12">
        <f>IF(COUNT(行动模拟!G38:H38)=0,"",SUM(行动模拟!G38:H38))</f>
        <v>0</v>
      </c>
      <c r="P38" s="12">
        <f>IF(H38="","",IF(G38="是",后台计算!DX32,IF(G38="否",后台计算!DW32,"")))</f>
        <v>8031</v>
      </c>
      <c r="Q38" s="12">
        <f>IF(H38="","",IF(G38="是",后台计算!BV32-后台计算!DX32,IF(G38="否",后台计算!BU32-后台计算!DW32,"")))</f>
        <v>0</v>
      </c>
      <c r="R38" s="12">
        <f t="shared" si="5"/>
        <v>0</v>
      </c>
      <c r="S38" s="12">
        <f t="shared" si="6"/>
        <v>0</v>
      </c>
      <c r="T38" s="1" t="str">
        <f>IF(AND(后台计算!DH32="洞穿",O38&gt;0),IF(O38=ROUNDDOWN(N38*0.4,0),"实测附加=floor(主伤害×40%)；稳态来源待确认","实测附加关系需核对"),"")</f>
        <v/>
      </c>
      <c r="U38" s="1">
        <f>IF(D38="","",后台计算!EQ32)</f>
        <v>34</v>
      </c>
      <c r="V38" s="11">
        <f>IF(D38="","",后台计算!ER32)</f>
        <v>0.3</v>
      </c>
      <c r="W38" s="11">
        <f>IF(D38="","",后台计算!ES32)</f>
        <v>0.2</v>
      </c>
      <c r="X38" s="1" t="str">
        <f>IF(D38="","",IF(Boss参数!$B$60=1,"此前实测；缺失用预测","此前预测"))</f>
        <v>此前实测；缺失用预测</v>
      </c>
      <c r="Y38" s="1" t="str">
        <f>IF(H38="","",IF(H38&gt;Boss参数!$B$63*Boss参数!$B$62,"超过暂定合计上限",""))</f>
        <v/>
      </c>
    </row>
    <row r="39" spans="1:25" ht="38.1" customHeight="1">
      <c r="A39" s="1">
        <f>行动模拟!A39</f>
        <v>31</v>
      </c>
      <c r="B39" s="1">
        <f>行动模拟!B39</f>
        <v>3</v>
      </c>
      <c r="C39" s="1">
        <f>行动模拟!C39</f>
        <v>12</v>
      </c>
      <c r="D39" s="1" t="str">
        <f>行动模拟!D39</f>
        <v>J｜高温回火</v>
      </c>
      <c r="E39" s="9">
        <f>行动模拟!O39</f>
        <v>7647</v>
      </c>
      <c r="F39" s="9">
        <f>行动模拟!P39</f>
        <v>8412</v>
      </c>
      <c r="G39" s="1" t="str">
        <f>IF(行动模拟!D39="","",行动模拟!E39)</f>
        <v>是</v>
      </c>
      <c r="H39" s="9">
        <f>IF(COUNT(行动模拟!F39:H39)=0,"",SUM(行动模拟!F39:H39))</f>
        <v>8412</v>
      </c>
      <c r="I39" s="9">
        <f t="shared" si="0"/>
        <v>8412</v>
      </c>
      <c r="J39" s="9">
        <f t="shared" si="1"/>
        <v>0</v>
      </c>
      <c r="K39" s="9">
        <f t="shared" si="2"/>
        <v>0</v>
      </c>
      <c r="L39" s="10">
        <f t="shared" si="3"/>
        <v>0</v>
      </c>
      <c r="M39" s="1" t="str">
        <f t="shared" si="4"/>
        <v>数值差异≤3%；机制仍需核实</v>
      </c>
      <c r="N39" s="12">
        <f>IF(ISNUMBER(行动模拟!F39),行动模拟!F39,"")</f>
        <v>8412</v>
      </c>
      <c r="O39" s="12">
        <f>IF(COUNT(行动模拟!G39:H39)=0,"",SUM(行动模拟!G39:H39))</f>
        <v>0</v>
      </c>
      <c r="P39" s="12">
        <f>IF(H39="","",IF(G39="是",后台计算!DX33,IF(G39="否",后台计算!DW33,"")))</f>
        <v>8412</v>
      </c>
      <c r="Q39" s="12">
        <f>IF(H39="","",IF(G39="是",后台计算!BV33-后台计算!DX33,IF(G39="否",后台计算!BU33-后台计算!DW33,"")))</f>
        <v>0</v>
      </c>
      <c r="R39" s="12">
        <f t="shared" si="5"/>
        <v>0</v>
      </c>
      <c r="S39" s="12">
        <f t="shared" si="6"/>
        <v>0</v>
      </c>
      <c r="T39" s="1" t="str">
        <f>IF(AND(后台计算!DH33="洞穿",O39&gt;0),IF(O39=ROUNDDOWN(N39*0.4,0),"实测附加=floor(主伤害×40%)；稳态来源待确认","实测附加关系需核对"),"")</f>
        <v/>
      </c>
      <c r="U39" s="1">
        <f>IF(D39="","",后台计算!EQ33)</f>
        <v>34</v>
      </c>
      <c r="V39" s="11">
        <f>IF(D39="","",后台计算!ER33)</f>
        <v>0.3</v>
      </c>
      <c r="W39" s="11">
        <f>IF(D39="","",后台计算!ES33)</f>
        <v>0.2</v>
      </c>
      <c r="X39" s="1" t="str">
        <f>IF(D39="","",IF(Boss参数!$B$60=1,"此前实测；缺失用预测","此前预测"))</f>
        <v>此前实测；缺失用预测</v>
      </c>
      <c r="Y39" s="1" t="str">
        <f>IF(H39="","",IF(H39&gt;Boss参数!$B$63*Boss参数!$B$62,"超过暂定合计上限",""))</f>
        <v/>
      </c>
    </row>
    <row r="40" spans="1:25" ht="38.1" customHeight="1">
      <c r="A40" s="1">
        <f>行动模拟!A40</f>
        <v>32</v>
      </c>
      <c r="B40" s="1">
        <f>行动模拟!B40</f>
        <v>3</v>
      </c>
      <c r="C40" s="1">
        <f>行动模拟!C40</f>
        <v>13</v>
      </c>
      <c r="D40" s="1" t="str">
        <f>行动模拟!D40</f>
        <v>J｜高温回火</v>
      </c>
      <c r="E40" s="9">
        <f>行动模拟!O40</f>
        <v>8001</v>
      </c>
      <c r="F40" s="9">
        <f>行动模拟!P40</f>
        <v>8802</v>
      </c>
      <c r="G40" s="1" t="str">
        <f>IF(行动模拟!D40="","",行动模拟!E40)</f>
        <v>否</v>
      </c>
      <c r="H40" s="9">
        <f>IF(COUNT(行动模拟!F40:H40)=0,"",SUM(行动模拟!F40:H40))</f>
        <v>8001</v>
      </c>
      <c r="I40" s="9">
        <f t="shared" si="0"/>
        <v>8001</v>
      </c>
      <c r="J40" s="9">
        <f t="shared" si="1"/>
        <v>0</v>
      </c>
      <c r="K40" s="9">
        <f t="shared" si="2"/>
        <v>0</v>
      </c>
      <c r="L40" s="10">
        <f t="shared" si="3"/>
        <v>0</v>
      </c>
      <c r="M40" s="1" t="str">
        <f t="shared" si="4"/>
        <v>数值差异≤3%；机制仍需核实</v>
      </c>
      <c r="N40" s="12">
        <f>IF(ISNUMBER(行动模拟!F40),行动模拟!F40,"")</f>
        <v>8001</v>
      </c>
      <c r="O40" s="12">
        <f>IF(COUNT(行动模拟!G40:H40)=0,"",SUM(行动模拟!G40:H40))</f>
        <v>0</v>
      </c>
      <c r="P40" s="12">
        <f>IF(H40="","",IF(G40="是",后台计算!DX34,IF(G40="否",后台计算!DW34,"")))</f>
        <v>8001</v>
      </c>
      <c r="Q40" s="12">
        <f>IF(H40="","",IF(G40="是",后台计算!BV34-后台计算!DX34,IF(G40="否",后台计算!BU34-后台计算!DW34,"")))</f>
        <v>0</v>
      </c>
      <c r="R40" s="12">
        <f t="shared" si="5"/>
        <v>0</v>
      </c>
      <c r="S40" s="12">
        <f t="shared" si="6"/>
        <v>0</v>
      </c>
      <c r="T40" s="1" t="str">
        <f>IF(AND(后台计算!DH34="洞穿",O40&gt;0),IF(O40=ROUNDDOWN(N40*0.4,0),"实测附加=floor(主伤害×40%)；稳态来源待确认","实测附加关系需核对"),"")</f>
        <v/>
      </c>
      <c r="U40" s="1">
        <f>IF(D40="","",后台计算!EQ34)</f>
        <v>34</v>
      </c>
      <c r="V40" s="11">
        <f>IF(D40="","",后台计算!ER34)</f>
        <v>0.3</v>
      </c>
      <c r="W40" s="11">
        <f>IF(D40="","",后台计算!ES34)</f>
        <v>0.2</v>
      </c>
      <c r="X40" s="1" t="str">
        <f>IF(D40="","",IF(Boss参数!$B$60=1,"此前实测；缺失用预测","此前预测"))</f>
        <v>此前实测；缺失用预测</v>
      </c>
      <c r="Y40" s="1" t="str">
        <f>IF(H40="","",IF(H40&gt;Boss参数!$B$63*Boss参数!$B$62,"超过暂定合计上限",""))</f>
        <v/>
      </c>
    </row>
    <row r="41" spans="1:25" ht="38.1" customHeight="1">
      <c r="A41" s="1">
        <f>行动模拟!A41</f>
        <v>33</v>
      </c>
      <c r="B41" s="1" t="str">
        <f>行动模拟!B41</f>
        <v>洞知</v>
      </c>
      <c r="C41" s="1">
        <f>行动模拟!C41</f>
        <v>1</v>
      </c>
      <c r="D41" s="1" t="str">
        <f>行动模拟!D41</f>
        <v>系统｜进入弱点洞穿</v>
      </c>
      <c r="E41" s="9">
        <f>行动模拟!O41</f>
        <v>0</v>
      </c>
      <c r="F41" s="9">
        <f>行动模拟!P41</f>
        <v>0</v>
      </c>
      <c r="G41" s="1" t="str">
        <f>IF(行动模拟!D41="","",行动模拟!E41)</f>
        <v>—</v>
      </c>
      <c r="H41" s="9" t="str">
        <f>IF(COUNT(行动模拟!F41:H41)=0,"",SUM(行动模拟!F41:H41))</f>
        <v/>
      </c>
      <c r="I41" s="9" t="str">
        <f t="shared" si="0"/>
        <v/>
      </c>
      <c r="J41" s="9" t="str">
        <f t="shared" si="1"/>
        <v/>
      </c>
      <c r="K41" s="9" t="str">
        <f t="shared" si="2"/>
        <v/>
      </c>
      <c r="L41" s="10" t="str">
        <f t="shared" si="3"/>
        <v/>
      </c>
      <c r="M41" s="1" t="str">
        <f t="shared" si="4"/>
        <v/>
      </c>
      <c r="N41" s="12" t="str">
        <f>IF(ISNUMBER(行动模拟!F41),行动模拟!F41,"")</f>
        <v/>
      </c>
      <c r="O41" s="12" t="str">
        <f>IF(COUNT(行动模拟!G41:H41)=0,"",SUM(行动模拟!G41:H41))</f>
        <v/>
      </c>
      <c r="P41" s="12" t="str">
        <f>IF(H41="","",IF(G41="是",后台计算!DX35,IF(G41="否",后台计算!DW35,"")))</f>
        <v/>
      </c>
      <c r="Q41" s="12" t="str">
        <f>IF(H41="","",IF(G41="是",后台计算!BV35-后台计算!DX35,IF(G41="否",后台计算!BU35-后台计算!DW35,"")))</f>
        <v/>
      </c>
      <c r="R41" s="12" t="str">
        <f t="shared" si="5"/>
        <v/>
      </c>
      <c r="S41" s="12" t="str">
        <f t="shared" si="6"/>
        <v/>
      </c>
      <c r="T41" s="1" t="e">
        <f>IF(AND(后台计算!DH35="洞穿",O41&gt;0),IF(O41=ROUNDDOWN(N41*0.4,0),"实测附加=floor(主伤害×40%)；稳态来源待确认","实测附加关系需核对"),"")</f>
        <v>#VALUE!</v>
      </c>
      <c r="U41" s="1">
        <f>IF(D41="","",后台计算!EQ35)</f>
        <v>34</v>
      </c>
      <c r="V41" s="11">
        <f>IF(D41="","",后台计算!ER35)</f>
        <v>0.3</v>
      </c>
      <c r="W41" s="11">
        <f>IF(D41="","",后台计算!ES35)</f>
        <v>0.2</v>
      </c>
      <c r="X41" s="1" t="str">
        <f>IF(D41="","",IF(Boss参数!$B$60=1,"此前实测；缺失用预测","此前预测"))</f>
        <v>此前实测；缺失用预测</v>
      </c>
      <c r="Y41" s="1" t="str">
        <f>IF(H41="","",IF(H41&gt;Boss参数!$B$63*Boss参数!$B$62,"超过暂定合计上限",""))</f>
        <v/>
      </c>
    </row>
    <row r="42" spans="1:25" ht="38.1" customHeight="1">
      <c r="A42" s="1">
        <f>行动模拟!A42</f>
        <v>34</v>
      </c>
      <c r="B42" s="1" t="str">
        <f>行动模拟!B42</f>
        <v>洞知</v>
      </c>
      <c r="C42" s="1">
        <f>行动模拟!C42</f>
        <v>2</v>
      </c>
      <c r="D42" s="1" t="str">
        <f>行动模拟!D42</f>
        <v>红弩箭｜洞知咒语</v>
      </c>
      <c r="E42" s="9">
        <f>行动模拟!O42</f>
        <v>126843</v>
      </c>
      <c r="F42" s="9">
        <f>行动模拟!P42</f>
        <v>350721</v>
      </c>
      <c r="G42" s="1" t="str">
        <f>IF(行动模拟!D42="","",行动模拟!E42)</f>
        <v>是</v>
      </c>
      <c r="H42" s="9">
        <f>IF(COUNT(行动模拟!F42:H42)=0,"",SUM(行动模拟!F42:H42))</f>
        <v>350721</v>
      </c>
      <c r="I42" s="9">
        <f t="shared" si="0"/>
        <v>350721</v>
      </c>
      <c r="J42" s="9">
        <f t="shared" si="1"/>
        <v>0</v>
      </c>
      <c r="K42" s="9">
        <f t="shared" si="2"/>
        <v>0</v>
      </c>
      <c r="L42" s="10">
        <f t="shared" si="3"/>
        <v>0</v>
      </c>
      <c r="M42" s="1" t="str">
        <f t="shared" si="4"/>
        <v>数值差异≤3%；机制仍需核实</v>
      </c>
      <c r="N42" s="12">
        <f>IF(ISNUMBER(行动模拟!F42),行动模拟!F42,"")</f>
        <v>350721</v>
      </c>
      <c r="O42" s="12">
        <f>IF(COUNT(行动模拟!G42:H42)=0,"",SUM(行动模拟!G42:H42))</f>
        <v>0</v>
      </c>
      <c r="P42" s="12">
        <f>IF(H42="","",IF(G42="是",后台计算!DX36,IF(G42="否",后台计算!DW36,"")))</f>
        <v>350721</v>
      </c>
      <c r="Q42" s="12">
        <f>IF(H42="","",IF(G42="是",后台计算!BV36-后台计算!DX36,IF(G42="否",后台计算!BU36-后台计算!DW36,"")))</f>
        <v>0</v>
      </c>
      <c r="R42" s="12">
        <f t="shared" si="5"/>
        <v>0</v>
      </c>
      <c r="S42" s="12">
        <f t="shared" si="6"/>
        <v>0</v>
      </c>
      <c r="T42" s="1" t="str">
        <f>IF(AND(后台计算!DH36="洞穿",O42&gt;0),IF(O42=ROUNDDOWN(N42*0.4,0),"实测附加=floor(主伤害×40%)；稳态来源待确认","实测附加关系需核对"),"")</f>
        <v/>
      </c>
      <c r="U42" s="1">
        <f>IF(D42="","",后台计算!EQ36)</f>
        <v>34</v>
      </c>
      <c r="V42" s="11">
        <f>IF(D42="","",后台计算!ER36)</f>
        <v>0.3</v>
      </c>
      <c r="W42" s="11">
        <f>IF(D42="","",后台计算!ES36)</f>
        <v>0.2</v>
      </c>
      <c r="X42" s="1" t="str">
        <f>IF(D42="","",IF(Boss参数!$B$60=1,"此前实测；缺失用预测","此前预测"))</f>
        <v>此前实测；缺失用预测</v>
      </c>
      <c r="Y42" s="1" t="str">
        <f>IF(H42="","",IF(H42&gt;Boss参数!$B$63*Boss参数!$B$62,"超过暂定合计上限",""))</f>
        <v/>
      </c>
    </row>
    <row r="43" spans="1:25" ht="38.1" customHeight="1">
      <c r="A43" s="1">
        <f>行动模拟!A43</f>
        <v>35</v>
      </c>
      <c r="B43" s="1" t="str">
        <f>行动模拟!B43</f>
        <v>洞知</v>
      </c>
      <c r="C43" s="1">
        <f>行动模拟!C43</f>
        <v>3</v>
      </c>
      <c r="D43" s="1" t="str">
        <f>行动模拟!D43</f>
        <v>红弩箭｜洞知咒语</v>
      </c>
      <c r="E43" s="9">
        <f>行动模拟!O43</f>
        <v>131721</v>
      </c>
      <c r="F43" s="9">
        <f>行动模拟!P43</f>
        <v>364210</v>
      </c>
      <c r="G43" s="1" t="str">
        <f>IF(行动模拟!D43="","",行动模拟!E43)</f>
        <v>是</v>
      </c>
      <c r="H43" s="9">
        <f>IF(COUNT(行动模拟!F43:H43)=0,"",SUM(行动模拟!F43:H43))</f>
        <v>364210</v>
      </c>
      <c r="I43" s="9">
        <f t="shared" si="0"/>
        <v>364210</v>
      </c>
      <c r="J43" s="9">
        <f t="shared" si="1"/>
        <v>0</v>
      </c>
      <c r="K43" s="9">
        <f t="shared" si="2"/>
        <v>0</v>
      </c>
      <c r="L43" s="10">
        <f t="shared" si="3"/>
        <v>0</v>
      </c>
      <c r="M43" s="1" t="str">
        <f t="shared" si="4"/>
        <v>数值差异≤3%；机制仍需核实</v>
      </c>
      <c r="N43" s="12">
        <f>IF(ISNUMBER(行动模拟!F43),行动模拟!F43,"")</f>
        <v>364210</v>
      </c>
      <c r="O43" s="12">
        <f>IF(COUNT(行动模拟!G43:H43)=0,"",SUM(行动模拟!G43:H43))</f>
        <v>0</v>
      </c>
      <c r="P43" s="12">
        <f>IF(H43="","",IF(G43="是",后台计算!DX37,IF(G43="否",后台计算!DW37,"")))</f>
        <v>364210</v>
      </c>
      <c r="Q43" s="12">
        <f>IF(H43="","",IF(G43="是",后台计算!BV37-后台计算!DX37,IF(G43="否",后台计算!BU37-后台计算!DW37,"")))</f>
        <v>0</v>
      </c>
      <c r="R43" s="12">
        <f t="shared" si="5"/>
        <v>0</v>
      </c>
      <c r="S43" s="12">
        <f t="shared" si="6"/>
        <v>0</v>
      </c>
      <c r="T43" s="1" t="str">
        <f>IF(AND(后台计算!DH37="洞穿",O43&gt;0),IF(O43=ROUNDDOWN(N43*0.4,0),"实测附加=floor(主伤害×40%)；稳态来源待确认","实测附加关系需核对"),"")</f>
        <v/>
      </c>
      <c r="U43" s="1">
        <f>IF(D43="","",后台计算!EQ37)</f>
        <v>37</v>
      </c>
      <c r="V43" s="11">
        <f>IF(D43="","",后台计算!ER37)</f>
        <v>0.3</v>
      </c>
      <c r="W43" s="11">
        <f>IF(D43="","",后台计算!ES37)</f>
        <v>0.2</v>
      </c>
      <c r="X43" s="1" t="str">
        <f>IF(D43="","",IF(Boss参数!$B$60=1,"此前实测；缺失用预测","此前预测"))</f>
        <v>此前实测；缺失用预测</v>
      </c>
      <c r="Y43" s="1" t="str">
        <f>IF(H43="","",IF(H43&gt;Boss参数!$B$63*Boss参数!$B$62,"超过暂定合计上限",""))</f>
        <v/>
      </c>
    </row>
    <row r="44" spans="1:25" ht="38.1" customHeight="1">
      <c r="A44" s="1">
        <f>行动模拟!A44</f>
        <v>36</v>
      </c>
      <c r="B44" s="1" t="str">
        <f>行动模拟!B44</f>
        <v>洞知</v>
      </c>
      <c r="C44" s="1">
        <f>行动模拟!C44</f>
        <v>4</v>
      </c>
      <c r="D44" s="1" t="str">
        <f>行动模拟!D44</f>
        <v>37｜洞知咒语</v>
      </c>
      <c r="E44" s="9">
        <f>行动模拟!O44</f>
        <v>46002</v>
      </c>
      <c r="F44" s="9">
        <f>行动模拟!P44</f>
        <v>107554</v>
      </c>
      <c r="G44" s="1" t="str">
        <f>IF(行动模拟!D44="","",行动模拟!E44)</f>
        <v>否</v>
      </c>
      <c r="H44" s="9">
        <f>IF(COUNT(行动模拟!F44:H44)=0,"",SUM(行动模拟!F44:H44))</f>
        <v>46002</v>
      </c>
      <c r="I44" s="9">
        <f t="shared" si="0"/>
        <v>46002</v>
      </c>
      <c r="J44" s="9">
        <f t="shared" si="1"/>
        <v>0</v>
      </c>
      <c r="K44" s="9">
        <f t="shared" si="2"/>
        <v>0</v>
      </c>
      <c r="L44" s="10">
        <f t="shared" si="3"/>
        <v>0</v>
      </c>
      <c r="M44" s="1" t="str">
        <f t="shared" si="4"/>
        <v>数值差异≤3%；机制仍需核实</v>
      </c>
      <c r="N44" s="12">
        <f>IF(ISNUMBER(行动模拟!F44),行动模拟!F44,"")</f>
        <v>46002</v>
      </c>
      <c r="O44" s="12">
        <f>IF(COUNT(行动模拟!G44:H44)=0,"",SUM(行动模拟!G44:H44))</f>
        <v>0</v>
      </c>
      <c r="P44" s="12">
        <f>IF(H44="","",IF(G44="是",后台计算!DX38,IF(G44="否",后台计算!DW38,"")))</f>
        <v>46002</v>
      </c>
      <c r="Q44" s="12">
        <f>IF(H44="","",IF(G44="是",后台计算!BV38-后台计算!DX38,IF(G44="否",后台计算!BU38-后台计算!DW38,"")))</f>
        <v>0</v>
      </c>
      <c r="R44" s="12">
        <f t="shared" si="5"/>
        <v>0</v>
      </c>
      <c r="S44" s="12">
        <f t="shared" si="6"/>
        <v>0</v>
      </c>
      <c r="T44" s="1" t="str">
        <f>IF(AND(后台计算!DH38="洞穿",O44&gt;0),IF(O44=ROUNDDOWN(N44*0.4,0),"实测附加=floor(主伤害×40%)；稳态来源待确认","实测附加关系需核对"),"")</f>
        <v/>
      </c>
      <c r="U44" s="1">
        <f>IF(D44="","",后台计算!EQ38)</f>
        <v>41</v>
      </c>
      <c r="V44" s="11">
        <f>IF(D44="","",后台计算!ER38)</f>
        <v>0.6</v>
      </c>
      <c r="W44" s="11">
        <f>IF(D44="","",后台计算!ES38)</f>
        <v>0.4</v>
      </c>
      <c r="X44" s="1" t="str">
        <f>IF(D44="","",IF(Boss参数!$B$60=1,"此前实测；缺失用预测","此前预测"))</f>
        <v>此前实测；缺失用预测</v>
      </c>
      <c r="Y44" s="1" t="str">
        <f>IF(H44="","",IF(H44&gt;Boss参数!$B$63*Boss参数!$B$62,"超过暂定合计上限",""))</f>
        <v/>
      </c>
    </row>
    <row r="45" spans="1:25" ht="38.1" customHeight="1">
      <c r="A45" s="1">
        <f>行动模拟!A45</f>
        <v>37</v>
      </c>
      <c r="B45" s="1" t="str">
        <f>行动模拟!B45</f>
        <v>洞知</v>
      </c>
      <c r="C45" s="1">
        <f>行动模拟!C45</f>
        <v>5</v>
      </c>
      <c r="D45" s="1" t="str">
        <f>行动模拟!D45</f>
        <v>红弩箭｜洞知咒语</v>
      </c>
      <c r="E45" s="9">
        <f>行动模拟!O45</f>
        <v>316912</v>
      </c>
      <c r="F45" s="9">
        <f>行动模拟!P45</f>
        <v>939646</v>
      </c>
      <c r="G45" s="1" t="str">
        <f>IF(行动模拟!D45="","",行动模拟!E45)</f>
        <v>是</v>
      </c>
      <c r="H45" s="9">
        <f>IF(COUNT(行动模拟!F45:H45)=0,"",SUM(行动模拟!F45:H45))</f>
        <v>939646</v>
      </c>
      <c r="I45" s="9">
        <f t="shared" si="0"/>
        <v>939646</v>
      </c>
      <c r="J45" s="9">
        <f t="shared" si="1"/>
        <v>0</v>
      </c>
      <c r="K45" s="9">
        <f t="shared" si="2"/>
        <v>0</v>
      </c>
      <c r="L45" s="10">
        <f t="shared" si="3"/>
        <v>0</v>
      </c>
      <c r="M45" s="1" t="str">
        <f t="shared" si="4"/>
        <v>数值差异≤3%；机制仍需核实</v>
      </c>
      <c r="N45" s="12">
        <f>IF(ISNUMBER(行动模拟!F45),行动模拟!F45,"")</f>
        <v>671176</v>
      </c>
      <c r="O45" s="12">
        <f>IF(COUNT(行动模拟!G45:H45)=0,"",SUM(行动模拟!G45:H45))</f>
        <v>268470</v>
      </c>
      <c r="P45" s="12">
        <f>IF(H45="","",IF(G45="是",后台计算!DX39,IF(G45="否",后台计算!DW39,"")))</f>
        <v>671176</v>
      </c>
      <c r="Q45" s="12">
        <f>IF(H45="","",IF(G45="是",后台计算!BV39-后台计算!DX39,IF(G45="否",后台计算!BU39-后台计算!DW39,"")))</f>
        <v>268470</v>
      </c>
      <c r="R45" s="12">
        <f t="shared" si="5"/>
        <v>0</v>
      </c>
      <c r="S45" s="12">
        <f t="shared" si="6"/>
        <v>0</v>
      </c>
      <c r="T45" s="1" t="str">
        <f>IF(AND(后台计算!DH39="洞穿",O45&gt;0),IF(O45=ROUNDDOWN(N45*0.4,0),"实测附加=floor(主伤害×40%)；稳态来源待确认","实测附加关系需核对"),"")</f>
        <v>实测附加=floor(主伤害×40%)；稳态来源待确认</v>
      </c>
      <c r="U45" s="1">
        <f>IF(D45="","",后台计算!EQ39)</f>
        <v>42</v>
      </c>
      <c r="V45" s="11">
        <f>IF(D45="","",后台计算!ER39)</f>
        <v>0.6</v>
      </c>
      <c r="W45" s="11">
        <f>IF(D45="","",后台计算!ES39)</f>
        <v>0.4</v>
      </c>
      <c r="X45" s="1" t="str">
        <f>IF(D45="","",IF(Boss参数!$B$60=1,"此前实测；缺失用预测","此前预测"))</f>
        <v>此前实测；缺失用预测</v>
      </c>
      <c r="Y45" s="1" t="str">
        <f>IF(H45="","",IF(H45&gt;Boss参数!$B$63*Boss参数!$B$62,"超过暂定合计上限",""))</f>
        <v/>
      </c>
    </row>
    <row r="46" spans="1:25" ht="38.1" customHeight="1">
      <c r="A46" s="1">
        <f>行动模拟!A46</f>
        <v>38</v>
      </c>
      <c r="B46" s="1" t="str">
        <f>行动模拟!B46</f>
        <v>洞知</v>
      </c>
      <c r="C46" s="1">
        <f>行动模拟!C46</f>
        <v>6</v>
      </c>
      <c r="D46" s="1" t="str">
        <f>行动模拟!D46</f>
        <v>红弩箭｜洞知咒语</v>
      </c>
      <c r="E46" s="9">
        <f>行动模拟!O46</f>
        <v>109768</v>
      </c>
      <c r="F46" s="9">
        <f>行动模拟!P46</f>
        <v>303509</v>
      </c>
      <c r="G46" s="1" t="str">
        <f>IF(行动模拟!D46="","",行动模拟!E46)</f>
        <v>是</v>
      </c>
      <c r="H46" s="9">
        <f>IF(COUNT(行动模拟!F46:H46)=0,"",SUM(行动模拟!F46:H46))</f>
        <v>303509</v>
      </c>
      <c r="I46" s="9">
        <f t="shared" si="0"/>
        <v>303509</v>
      </c>
      <c r="J46" s="9">
        <f t="shared" si="1"/>
        <v>0</v>
      </c>
      <c r="K46" s="9">
        <f t="shared" si="2"/>
        <v>0</v>
      </c>
      <c r="L46" s="10">
        <f t="shared" si="3"/>
        <v>0</v>
      </c>
      <c r="M46" s="1" t="str">
        <f t="shared" si="4"/>
        <v>数值差异≤3%；机制仍需核实</v>
      </c>
      <c r="N46" s="12">
        <f>IF(ISNUMBER(行动模拟!F46),行动模拟!F46,"")</f>
        <v>303509</v>
      </c>
      <c r="O46" s="12">
        <f>IF(COUNT(行动模拟!G46:H46)=0,"",SUM(行动模拟!G46:H46))</f>
        <v>0</v>
      </c>
      <c r="P46" s="12">
        <f>IF(H46="","",IF(G46="是",后台计算!DX40,IF(G46="否",后台计算!DW40,"")))</f>
        <v>303509</v>
      </c>
      <c r="Q46" s="12">
        <f>IF(H46="","",IF(G46="是",后台计算!BV40-后台计算!DX40,IF(G46="否",后台计算!BU40-后台计算!DW40,"")))</f>
        <v>0</v>
      </c>
      <c r="R46" s="12">
        <f t="shared" si="5"/>
        <v>0</v>
      </c>
      <c r="S46" s="12">
        <f t="shared" si="6"/>
        <v>0</v>
      </c>
      <c r="T46" s="1" t="str">
        <f>IF(AND(后台计算!DH40="洞穿",O46&gt;0),IF(O46=ROUNDDOWN(N46*0.4,0),"实测附加=floor(主伤害×40%)；稳态来源待确认","实测附加关系需核对"),"")</f>
        <v/>
      </c>
      <c r="U46" s="1">
        <f>IF(D46="","",后台计算!EQ40)</f>
        <v>51</v>
      </c>
      <c r="V46" s="11">
        <f>IF(D46="","",后台计算!ER40)</f>
        <v>0.6</v>
      </c>
      <c r="W46" s="11">
        <f>IF(D46="","",后台计算!ES40)</f>
        <v>0.4</v>
      </c>
      <c r="X46" s="1" t="str">
        <f>IF(D46="","",IF(Boss参数!$B$60=1,"此前实测；缺失用预测","此前预测"))</f>
        <v>此前实测；缺失用预测</v>
      </c>
      <c r="Y46" s="1" t="str">
        <f>IF(H46="","",IF(H46&gt;Boss参数!$B$63*Boss参数!$B$62,"超过暂定合计上限",""))</f>
        <v/>
      </c>
    </row>
    <row r="47" spans="1:25" ht="38.1" customHeight="1">
      <c r="A47" s="1">
        <f>行动模拟!A47</f>
        <v>39</v>
      </c>
      <c r="B47" s="1" t="str">
        <f>行动模拟!B47</f>
        <v>洞知</v>
      </c>
      <c r="C47" s="1">
        <f>行动模拟!C47</f>
        <v>7</v>
      </c>
      <c r="D47" s="1" t="str">
        <f>行动模拟!D47</f>
        <v>红弩箭｜洞知咒语</v>
      </c>
      <c r="E47" s="9">
        <f>行动模拟!O47</f>
        <v>113427</v>
      </c>
      <c r="F47" s="9">
        <f>行动模拟!P47</f>
        <v>313626</v>
      </c>
      <c r="G47" s="1" t="str">
        <f>IF(行动模拟!D47="","",行动模拟!E47)</f>
        <v>是</v>
      </c>
      <c r="H47" s="9">
        <f>IF(COUNT(行动模拟!F47:H47)=0,"",SUM(行动模拟!F47:H47))</f>
        <v>313626</v>
      </c>
      <c r="I47" s="9">
        <f t="shared" si="0"/>
        <v>313626</v>
      </c>
      <c r="J47" s="9">
        <f t="shared" si="1"/>
        <v>0</v>
      </c>
      <c r="K47" s="9">
        <f t="shared" si="2"/>
        <v>0</v>
      </c>
      <c r="L47" s="10">
        <f t="shared" si="3"/>
        <v>0</v>
      </c>
      <c r="M47" s="1" t="str">
        <f t="shared" si="4"/>
        <v>数值差异≤3%；机制仍需核实</v>
      </c>
      <c r="N47" s="12">
        <f>IF(ISNUMBER(行动模拟!F47),行动模拟!F47,"")</f>
        <v>313626</v>
      </c>
      <c r="O47" s="12">
        <f>IF(COUNT(行动模拟!G47:H47)=0,"",SUM(行动模拟!G47:H47))</f>
        <v>0</v>
      </c>
      <c r="P47" s="12">
        <f>IF(H47="","",IF(G47="是",后台计算!DX41,IF(G47="否",后台计算!DW41,"")))</f>
        <v>313626</v>
      </c>
      <c r="Q47" s="12">
        <f>IF(H47="","",IF(G47="是",后台计算!BV41-后台计算!DX41,IF(G47="否",后台计算!BU41-后台计算!DW41,"")))</f>
        <v>0</v>
      </c>
      <c r="R47" s="12">
        <f t="shared" si="5"/>
        <v>0</v>
      </c>
      <c r="S47" s="12">
        <f t="shared" si="6"/>
        <v>0</v>
      </c>
      <c r="T47" s="1" t="str">
        <f>IF(AND(后台计算!DH41="洞穿",O47&gt;0),IF(O47=ROUNDDOWN(N47*0.4,0),"实测附加=floor(主伤害×40%)；稳态来源待确认","实测附加关系需核对"),"")</f>
        <v/>
      </c>
      <c r="U47" s="1">
        <f>IF(D47="","",后台计算!EQ41)</f>
        <v>54</v>
      </c>
      <c r="V47" s="11">
        <f>IF(D47="","",后台计算!ER41)</f>
        <v>0.6</v>
      </c>
      <c r="W47" s="11">
        <f>IF(D47="","",后台计算!ES41)</f>
        <v>0.4</v>
      </c>
      <c r="X47" s="1" t="str">
        <f>IF(D47="","",IF(Boss参数!$B$60=1,"此前实测；缺失用预测","此前预测"))</f>
        <v>此前实测；缺失用预测</v>
      </c>
      <c r="Y47" s="1" t="str">
        <f>IF(H47="","",IF(H47&gt;Boss参数!$B$63*Boss参数!$B$62,"超过暂定合计上限",""))</f>
        <v/>
      </c>
    </row>
    <row r="48" spans="1:25" ht="38.1" customHeight="1">
      <c r="A48" s="1">
        <f>行动模拟!A48</f>
        <v>40</v>
      </c>
      <c r="B48" s="1" t="str">
        <f>行动模拟!B48</f>
        <v>洞知</v>
      </c>
      <c r="C48" s="1">
        <f>行动模拟!C48</f>
        <v>8</v>
      </c>
      <c r="D48" s="1" t="str">
        <f>行动模拟!D48</f>
        <v>37｜洞知咒语</v>
      </c>
      <c r="E48" s="9">
        <f>行动模拟!O48</f>
        <v>46002</v>
      </c>
      <c r="F48" s="9">
        <f>行动模拟!P48</f>
        <v>107554</v>
      </c>
      <c r="G48" s="1" t="str">
        <f>IF(行动模拟!D48="","",行动模拟!E48)</f>
        <v>是</v>
      </c>
      <c r="H48" s="9">
        <f>IF(COUNT(行动模拟!F48:H48)=0,"",SUM(行动模拟!F48:H48))</f>
        <v>107554</v>
      </c>
      <c r="I48" s="9">
        <f t="shared" si="0"/>
        <v>107554</v>
      </c>
      <c r="J48" s="9">
        <f t="shared" si="1"/>
        <v>0</v>
      </c>
      <c r="K48" s="9">
        <f t="shared" si="2"/>
        <v>0</v>
      </c>
      <c r="L48" s="10">
        <f t="shared" si="3"/>
        <v>0</v>
      </c>
      <c r="M48" s="1" t="str">
        <f t="shared" si="4"/>
        <v>数值差异≤3%；机制仍需核实</v>
      </c>
      <c r="N48" s="12">
        <f>IF(ISNUMBER(行动模拟!F48),行动模拟!F48,"")</f>
        <v>107554</v>
      </c>
      <c r="O48" s="12">
        <f>IF(COUNT(行动模拟!G48:H48)=0,"",SUM(行动模拟!G48:H48))</f>
        <v>0</v>
      </c>
      <c r="P48" s="12">
        <f>IF(H48="","",IF(G48="是",后台计算!DX42,IF(G48="否",后台计算!DW42,"")))</f>
        <v>107554</v>
      </c>
      <c r="Q48" s="12">
        <f>IF(H48="","",IF(G48="是",后台计算!BV42-后台计算!DX42,IF(G48="否",后台计算!BU42-后台计算!DW42,"")))</f>
        <v>0</v>
      </c>
      <c r="R48" s="12">
        <f t="shared" si="5"/>
        <v>0</v>
      </c>
      <c r="S48" s="12">
        <f t="shared" si="6"/>
        <v>0</v>
      </c>
      <c r="T48" s="1" t="str">
        <f>IF(AND(后台计算!DH42="洞穿",O48&gt;0),IF(O48=ROUNDDOWN(N48*0.4,0),"实测附加=floor(主伤害×40%)；稳态来源待确认","实测附加关系需核对"),"")</f>
        <v/>
      </c>
      <c r="U48" s="1">
        <f>IF(D48="","",后台计算!EQ42)</f>
        <v>57</v>
      </c>
      <c r="V48" s="11">
        <f>IF(D48="","",后台计算!ER42)</f>
        <v>0.6</v>
      </c>
      <c r="W48" s="11">
        <f>IF(D48="","",后台计算!ES42)</f>
        <v>0.4</v>
      </c>
      <c r="X48" s="1" t="str">
        <f>IF(D48="","",IF(Boss参数!$B$60=1,"此前实测；缺失用预测","此前预测"))</f>
        <v>此前实测；缺失用预测</v>
      </c>
      <c r="Y48" s="1" t="str">
        <f>IF(H48="","",IF(H48&gt;Boss参数!$B$63*Boss参数!$B$62,"超过暂定合计上限",""))</f>
        <v/>
      </c>
    </row>
    <row r="49" spans="1:25" ht="38.1" customHeight="1">
      <c r="A49" s="1">
        <f>行动模拟!A49</f>
        <v>41</v>
      </c>
      <c r="B49" s="1" t="str">
        <f>行动模拟!B49</f>
        <v>洞知</v>
      </c>
      <c r="C49" s="1">
        <f>行动模拟!C49</f>
        <v>9</v>
      </c>
      <c r="D49" s="1" t="str">
        <f>行动模拟!D49</f>
        <v>红弩箭｜洞知咒语</v>
      </c>
      <c r="E49" s="9">
        <f>行动模拟!O49</f>
        <v>360624</v>
      </c>
      <c r="F49" s="9">
        <f>行动模拟!P49</f>
        <v>1069252</v>
      </c>
      <c r="G49" s="1" t="str">
        <f>IF(行动模拟!D49="","",行动模拟!E49)</f>
        <v>是</v>
      </c>
      <c r="H49" s="9">
        <f>IF(COUNT(行动模拟!F49:H49)=0,"",SUM(行动模拟!F49:H49))</f>
        <v>1069252</v>
      </c>
      <c r="I49" s="9">
        <f t="shared" si="0"/>
        <v>1069252</v>
      </c>
      <c r="J49" s="9">
        <f t="shared" si="1"/>
        <v>0</v>
      </c>
      <c r="K49" s="9">
        <f t="shared" si="2"/>
        <v>0</v>
      </c>
      <c r="L49" s="10">
        <f t="shared" si="3"/>
        <v>0</v>
      </c>
      <c r="M49" s="1" t="str">
        <f t="shared" si="4"/>
        <v>数值差异≤3%；机制仍需核实</v>
      </c>
      <c r="N49" s="12">
        <f>IF(ISNUMBER(行动模拟!F49),行动模拟!F49,"")</f>
        <v>763752</v>
      </c>
      <c r="O49" s="12">
        <f>IF(COUNT(行动模拟!G49:H49)=0,"",SUM(行动模拟!G49:H49))</f>
        <v>305500</v>
      </c>
      <c r="P49" s="12">
        <f>IF(H49="","",IF(G49="是",后台计算!DX43,IF(G49="否",后台计算!DW43,"")))</f>
        <v>763752</v>
      </c>
      <c r="Q49" s="12">
        <f>IF(H49="","",IF(G49="是",后台计算!BV43-后台计算!DX43,IF(G49="否",后台计算!BU43-后台计算!DW43,"")))</f>
        <v>305500</v>
      </c>
      <c r="R49" s="12">
        <f t="shared" si="5"/>
        <v>0</v>
      </c>
      <c r="S49" s="12">
        <f t="shared" si="6"/>
        <v>0</v>
      </c>
      <c r="T49" s="1" t="str">
        <f>IF(AND(后台计算!DH43="洞穿",O49&gt;0),IF(O49=ROUNDDOWN(N49*0.4,0),"实测附加=floor(主伤害×40%)；稳态来源待确认","实测附加关系需核对"),"")</f>
        <v>实测附加=floor(主伤害×40%)；稳态来源待确认</v>
      </c>
      <c r="U49" s="1">
        <f>IF(D49="","",后台计算!EQ43)</f>
        <v>58</v>
      </c>
      <c r="V49" s="11">
        <f>IF(D49="","",后台计算!ER43)</f>
        <v>0.6</v>
      </c>
      <c r="W49" s="11">
        <f>IF(D49="","",后台计算!ES43)</f>
        <v>0.4</v>
      </c>
      <c r="X49" s="1" t="str">
        <f>IF(D49="","",IF(Boss参数!$B$60=1,"此前实测；缺失用预测","此前预测"))</f>
        <v>此前实测；缺失用预测</v>
      </c>
      <c r="Y49" s="1" t="str">
        <f>IF(H49="","",IF(H49&gt;Boss参数!$B$63*Boss参数!$B$62,"超过暂定合计上限",""))</f>
        <v/>
      </c>
    </row>
    <row r="50" spans="1:25" ht="38.1" customHeight="1">
      <c r="A50" s="1">
        <f>行动模拟!A50</f>
        <v>42</v>
      </c>
      <c r="B50" s="1" t="str">
        <f>行动模拟!B50</f>
        <v>洞知</v>
      </c>
      <c r="C50" s="1">
        <f>行动模拟!C50</f>
        <v>10</v>
      </c>
      <c r="D50" s="1" t="str">
        <f>行动模拟!D50</f>
        <v>红弩箭｜洞知咒语</v>
      </c>
      <c r="E50" s="9">
        <f>行动模拟!O50</f>
        <v>124403</v>
      </c>
      <c r="F50" s="9">
        <f>行动模拟!P50</f>
        <v>343976</v>
      </c>
      <c r="G50" s="1" t="str">
        <f>IF(行动模拟!D50="","",行动模拟!E50)</f>
        <v>是</v>
      </c>
      <c r="H50" s="9">
        <f>IF(COUNT(行动模拟!F50:H50)=0,"",SUM(行动模拟!F50:H50))</f>
        <v>343976</v>
      </c>
      <c r="I50" s="9">
        <f t="shared" si="0"/>
        <v>343976</v>
      </c>
      <c r="J50" s="9">
        <f t="shared" si="1"/>
        <v>0</v>
      </c>
      <c r="K50" s="9">
        <f t="shared" si="2"/>
        <v>0</v>
      </c>
      <c r="L50" s="10">
        <f t="shared" si="3"/>
        <v>0</v>
      </c>
      <c r="M50" s="1" t="str">
        <f t="shared" si="4"/>
        <v>数值差异≤3%；机制仍需核实</v>
      </c>
      <c r="N50" s="12">
        <f>IF(ISNUMBER(行动模拟!F50),行动模拟!F50,"")</f>
        <v>343976</v>
      </c>
      <c r="O50" s="12">
        <f>IF(COUNT(行动模拟!G50:H50)=0,"",SUM(行动模拟!G50:H50))</f>
        <v>0</v>
      </c>
      <c r="P50" s="12">
        <f>IF(H50="","",IF(G50="是",后台计算!DX44,IF(G50="否",后台计算!DW44,"")))</f>
        <v>343976</v>
      </c>
      <c r="Q50" s="12">
        <f>IF(H50="","",IF(G50="是",后台计算!BV44-后台计算!DX44,IF(G50="否",后台计算!BU44-后台计算!DW44,"")))</f>
        <v>0</v>
      </c>
      <c r="R50" s="12">
        <f t="shared" si="5"/>
        <v>0</v>
      </c>
      <c r="S50" s="12">
        <f t="shared" si="6"/>
        <v>0</v>
      </c>
      <c r="T50" s="1" t="str">
        <f>IF(AND(后台计算!DH44="洞穿",O50&gt;0),IF(O50=ROUNDDOWN(N50*0.4,0),"实测附加=floor(主伤害×40%)；稳态来源待确认","实测附加关系需核对"),"")</f>
        <v/>
      </c>
      <c r="U50" s="1">
        <f>IF(D50="","",后台计算!EQ44)</f>
        <v>69</v>
      </c>
      <c r="V50" s="11">
        <f>IF(D50="","",后台计算!ER44)</f>
        <v>0.6</v>
      </c>
      <c r="W50" s="11">
        <f>IF(D50="","",后台计算!ES44)</f>
        <v>0.4</v>
      </c>
      <c r="X50" s="1" t="str">
        <f>IF(D50="","",IF(Boss参数!$B$60=1,"此前实测；缺失用预测","此前预测"))</f>
        <v>此前实测；缺失用预测</v>
      </c>
      <c r="Y50" s="1" t="str">
        <f>IF(H50="","",IF(H50&gt;Boss参数!$B$63*Boss参数!$B$62,"超过暂定合计上限",""))</f>
        <v/>
      </c>
    </row>
    <row r="51" spans="1:25" ht="38.1" customHeight="1">
      <c r="A51" s="1">
        <f>行动模拟!A51</f>
        <v>43</v>
      </c>
      <c r="B51" s="1" t="str">
        <f>行动模拟!B51</f>
        <v>洞知</v>
      </c>
      <c r="C51" s="1">
        <f>行动模拟!C51</f>
        <v>11</v>
      </c>
      <c r="D51" s="1" t="str">
        <f>行动模拟!D51</f>
        <v>红弩箭｜洞知咒语</v>
      </c>
      <c r="E51" s="9">
        <f>行动模拟!O51</f>
        <v>128062</v>
      </c>
      <c r="F51" s="9">
        <f>行动模拟!P51</f>
        <v>354093</v>
      </c>
      <c r="G51" s="1" t="str">
        <f>IF(行动模拟!D51="","",行动模拟!E51)</f>
        <v>是</v>
      </c>
      <c r="H51" s="9">
        <f>IF(COUNT(行动模拟!F51:H51)=0,"",SUM(行动模拟!F51:H51))</f>
        <v>354093</v>
      </c>
      <c r="I51" s="9">
        <f t="shared" si="0"/>
        <v>354093</v>
      </c>
      <c r="J51" s="9">
        <f t="shared" si="1"/>
        <v>0</v>
      </c>
      <c r="K51" s="9">
        <f t="shared" si="2"/>
        <v>0</v>
      </c>
      <c r="L51" s="10">
        <f t="shared" si="3"/>
        <v>0</v>
      </c>
      <c r="M51" s="1" t="str">
        <f t="shared" si="4"/>
        <v>数值差异≤3%；机制仍需核实</v>
      </c>
      <c r="N51" s="12">
        <f>IF(ISNUMBER(行动模拟!F51),行动模拟!F51,"")</f>
        <v>354093</v>
      </c>
      <c r="O51" s="12">
        <f>IF(COUNT(行动模拟!G51:H51)=0,"",SUM(行动模拟!G51:H51))</f>
        <v>0</v>
      </c>
      <c r="P51" s="12">
        <f>IF(H51="","",IF(G51="是",后台计算!DX45,IF(G51="否",后台计算!DW45,"")))</f>
        <v>354093</v>
      </c>
      <c r="Q51" s="12">
        <f>IF(H51="","",IF(G51="是",后台计算!BV45-后台计算!DX45,IF(G51="否",后台计算!BU45-后台计算!DW45,"")))</f>
        <v>0</v>
      </c>
      <c r="R51" s="12">
        <f t="shared" si="5"/>
        <v>0</v>
      </c>
      <c r="S51" s="12">
        <f t="shared" si="6"/>
        <v>0</v>
      </c>
      <c r="T51" s="1" t="str">
        <f>IF(AND(后台计算!DH45="洞穿",O51&gt;0),IF(O51=ROUNDDOWN(N51*0.4,0),"实测附加=floor(主伤害×40%)；稳态来源待确认","实测附加关系需核对"),"")</f>
        <v/>
      </c>
      <c r="U51" s="1">
        <f>IF(D51="","",后台计算!EQ45)</f>
        <v>72</v>
      </c>
      <c r="V51" s="11">
        <f>IF(D51="","",后台计算!ER45)</f>
        <v>0.6</v>
      </c>
      <c r="W51" s="11">
        <f>IF(D51="","",后台计算!ES45)</f>
        <v>0.4</v>
      </c>
      <c r="X51" s="1" t="str">
        <f>IF(D51="","",IF(Boss参数!$B$60=1,"此前实测；缺失用预测","此前预测"))</f>
        <v>此前实测；缺失用预测</v>
      </c>
      <c r="Y51" s="1" t="str">
        <f>IF(H51="","",IF(H51&gt;Boss参数!$B$63*Boss参数!$B$62,"超过暂定合计上限",""))</f>
        <v/>
      </c>
    </row>
    <row r="52" spans="1:25" ht="38.1" customHeight="1">
      <c r="A52" s="1">
        <f>行动模拟!A52</f>
        <v>44</v>
      </c>
      <c r="B52" s="1" t="str">
        <f>行动模拟!B52</f>
        <v>洞知</v>
      </c>
      <c r="C52" s="1">
        <f>行动模拟!C52</f>
        <v>12</v>
      </c>
      <c r="D52" s="1" t="str">
        <f>行动模拟!D52</f>
        <v>37｜洞知咒语</v>
      </c>
      <c r="E52" s="9">
        <f>行动模拟!O52</f>
        <v>46002</v>
      </c>
      <c r="F52" s="9">
        <f>行动模拟!P52</f>
        <v>107554</v>
      </c>
      <c r="G52" s="1" t="str">
        <f>IF(行动模拟!D52="","",行动模拟!E52)</f>
        <v>否</v>
      </c>
      <c r="H52" s="9">
        <f>IF(COUNT(行动模拟!F52:H52)=0,"",SUM(行动模拟!F52:H52))</f>
        <v>46002</v>
      </c>
      <c r="I52" s="9">
        <f t="shared" si="0"/>
        <v>46002</v>
      </c>
      <c r="J52" s="9">
        <f t="shared" si="1"/>
        <v>0</v>
      </c>
      <c r="K52" s="9">
        <f t="shared" si="2"/>
        <v>0</v>
      </c>
      <c r="L52" s="10">
        <f t="shared" si="3"/>
        <v>0</v>
      </c>
      <c r="M52" s="1" t="str">
        <f t="shared" si="4"/>
        <v>数值差异≤3%；机制仍需核实</v>
      </c>
      <c r="N52" s="12">
        <f>IF(ISNUMBER(行动模拟!F52),行动模拟!F52,"")</f>
        <v>46002</v>
      </c>
      <c r="O52" s="12">
        <f>IF(COUNT(行动模拟!G52:H52)=0,"",SUM(行动模拟!G52:H52))</f>
        <v>0</v>
      </c>
      <c r="P52" s="12">
        <f>IF(H52="","",IF(G52="是",后台计算!DX46,IF(G52="否",后台计算!DW46,"")))</f>
        <v>46002</v>
      </c>
      <c r="Q52" s="12">
        <f>IF(H52="","",IF(G52="是",后台计算!BV46-后台计算!DX46,IF(G52="否",后台计算!BU46-后台计算!DW46,"")))</f>
        <v>0</v>
      </c>
      <c r="R52" s="12">
        <f t="shared" si="5"/>
        <v>0</v>
      </c>
      <c r="S52" s="12">
        <f t="shared" si="6"/>
        <v>0</v>
      </c>
      <c r="T52" s="1" t="str">
        <f>IF(AND(后台计算!DH46="洞穿",O52&gt;0),IF(O52=ROUNDDOWN(N52*0.4,0),"实测附加=floor(主伤害×40%)；稳态来源待确认","实测附加关系需核对"),"")</f>
        <v/>
      </c>
      <c r="U52" s="1">
        <f>IF(D52="","",后台计算!EQ46)</f>
        <v>76</v>
      </c>
      <c r="V52" s="11">
        <f>IF(D52="","",后台计算!ER46)</f>
        <v>0.6</v>
      </c>
      <c r="W52" s="11">
        <f>IF(D52="","",后台计算!ES46)</f>
        <v>0.4</v>
      </c>
      <c r="X52" s="1" t="str">
        <f>IF(D52="","",IF(Boss参数!$B$60=1,"此前实测；缺失用预测","此前预测"))</f>
        <v>此前实测；缺失用预测</v>
      </c>
      <c r="Y52" s="1" t="str">
        <f>IF(H52="","",IF(H52&gt;Boss参数!$B$63*Boss参数!$B$62,"超过暂定合计上限",""))</f>
        <v/>
      </c>
    </row>
    <row r="53" spans="1:25" ht="38.1" customHeight="1">
      <c r="A53" s="1">
        <f>行动模拟!A53</f>
        <v>45</v>
      </c>
      <c r="B53" s="1" t="str">
        <f>行动模拟!B53</f>
        <v>洞知</v>
      </c>
      <c r="C53" s="1">
        <f>行动模拟!C53</f>
        <v>13</v>
      </c>
      <c r="D53" s="1" t="str">
        <f>行动模拟!D53</f>
        <v>红弩箭｜洞知咒语</v>
      </c>
      <c r="E53" s="9">
        <f>行动模拟!O53</f>
        <v>404336</v>
      </c>
      <c r="F53" s="9">
        <f>行动模拟!P53</f>
        <v>1198859</v>
      </c>
      <c r="G53" s="1" t="str">
        <f>IF(行动模拟!D53="","",行动模拟!E53)</f>
        <v>是</v>
      </c>
      <c r="H53" s="9">
        <f>IF(COUNT(行动模拟!F53:H53)=0,"",SUM(行动模拟!F53:H53))</f>
        <v>1198859</v>
      </c>
      <c r="I53" s="9">
        <f t="shared" si="0"/>
        <v>1198859</v>
      </c>
      <c r="J53" s="9">
        <f t="shared" si="1"/>
        <v>0</v>
      </c>
      <c r="K53" s="9">
        <f t="shared" si="2"/>
        <v>0</v>
      </c>
      <c r="L53" s="10">
        <f t="shared" si="3"/>
        <v>0</v>
      </c>
      <c r="M53" s="1" t="str">
        <f t="shared" si="4"/>
        <v>数值差异≤3%；机制仍需核实</v>
      </c>
      <c r="N53" s="12">
        <f>IF(ISNUMBER(行动模拟!F53),行动模拟!F53,"")</f>
        <v>856328</v>
      </c>
      <c r="O53" s="12">
        <f>IF(COUNT(行动模拟!G53:H53)=0,"",SUM(行动模拟!G53:H53))</f>
        <v>342531</v>
      </c>
      <c r="P53" s="12">
        <f>IF(H53="","",IF(G53="是",后台计算!DX47,IF(G53="否",后台计算!DW47,"")))</f>
        <v>856328</v>
      </c>
      <c r="Q53" s="12">
        <f>IF(H53="","",IF(G53="是",后台计算!BV47-后台计算!DX47,IF(G53="否",后台计算!BU47-后台计算!DW47,"")))</f>
        <v>342531</v>
      </c>
      <c r="R53" s="12">
        <f t="shared" si="5"/>
        <v>0</v>
      </c>
      <c r="S53" s="12">
        <f t="shared" si="6"/>
        <v>0</v>
      </c>
      <c r="T53" s="1" t="str">
        <f>IF(AND(后台计算!DH47="洞穿",O53&gt;0),IF(O53=ROUNDDOWN(N53*0.4,0),"实测附加=floor(主伤害×40%)；稳态来源待确认","实测附加关系需核对"),"")</f>
        <v>实测附加=floor(主伤害×40%)；稳态来源待确认</v>
      </c>
      <c r="U53" s="1">
        <f>IF(D53="","",后台计算!EQ47)</f>
        <v>76</v>
      </c>
      <c r="V53" s="11">
        <f>IF(D53="","",后台计算!ER47)</f>
        <v>0.6</v>
      </c>
      <c r="W53" s="11">
        <f>IF(D53="","",后台计算!ES47)</f>
        <v>0.4</v>
      </c>
      <c r="X53" s="1" t="str">
        <f>IF(D53="","",IF(Boss参数!$B$60=1,"此前实测；缺失用预测","此前预测"))</f>
        <v>此前实测；缺失用预测</v>
      </c>
      <c r="Y53" s="1" t="str">
        <f>IF(H53="","",IF(H53&gt;Boss参数!$B$63*Boss参数!$B$62,"超过暂定合计上限",""))</f>
        <v/>
      </c>
    </row>
    <row r="54" spans="1:25" ht="38.1" customHeight="1">
      <c r="A54" s="1">
        <f>行动模拟!A54</f>
        <v>46</v>
      </c>
      <c r="B54" s="1" t="str">
        <f>行动模拟!B54</f>
        <v>洞知</v>
      </c>
      <c r="C54" s="1">
        <f>行动模拟!C54</f>
        <v>14</v>
      </c>
      <c r="D54" s="1" t="str">
        <f>行动模拟!D54</f>
        <v>红弩箭｜洞知咒语</v>
      </c>
      <c r="E54" s="9">
        <f>行动模拟!O54</f>
        <v>139039</v>
      </c>
      <c r="F54" s="9">
        <f>行动模拟!P54</f>
        <v>384444</v>
      </c>
      <c r="G54" s="1" t="str">
        <f>IF(行动模拟!D54="","",行动模拟!E54)</f>
        <v>是</v>
      </c>
      <c r="H54" s="9">
        <f>IF(COUNT(行动模拟!F54:H54)=0,"",SUM(行动模拟!F54:H54))</f>
        <v>384444</v>
      </c>
      <c r="I54" s="9">
        <f t="shared" si="0"/>
        <v>384444</v>
      </c>
      <c r="J54" s="9">
        <f t="shared" si="1"/>
        <v>0</v>
      </c>
      <c r="K54" s="9">
        <f t="shared" si="2"/>
        <v>0</v>
      </c>
      <c r="L54" s="10">
        <f t="shared" si="3"/>
        <v>0</v>
      </c>
      <c r="M54" s="1" t="str">
        <f t="shared" si="4"/>
        <v>数值差异≤3%；机制仍需核实</v>
      </c>
      <c r="N54" s="12">
        <f>IF(ISNUMBER(行动模拟!F54),行动模拟!F54,"")</f>
        <v>384444</v>
      </c>
      <c r="O54" s="12">
        <f>IF(COUNT(行动模拟!G54:H54)=0,"",SUM(行动模拟!G54:H54))</f>
        <v>0</v>
      </c>
      <c r="P54" s="12">
        <f>IF(H54="","",IF(G54="是",后台计算!DX48,IF(G54="否",后台计算!DW48,"")))</f>
        <v>384444</v>
      </c>
      <c r="Q54" s="12">
        <f>IF(H54="","",IF(G54="是",后台计算!BV48-后台计算!DX48,IF(G54="否",后台计算!BU48-后台计算!DW48,"")))</f>
        <v>0</v>
      </c>
      <c r="R54" s="12">
        <f t="shared" si="5"/>
        <v>0</v>
      </c>
      <c r="S54" s="12">
        <f t="shared" si="6"/>
        <v>0</v>
      </c>
      <c r="T54" s="1" t="str">
        <f>IF(AND(后台计算!DH48="洞穿",O54&gt;0),IF(O54=ROUNDDOWN(N54*0.4,0),"实测附加=floor(主伤害×40%)；稳态来源待确认","实测附加关系需核对"),"")</f>
        <v/>
      </c>
      <c r="U54" s="1">
        <f>IF(D54="","",后台计算!EQ48)</f>
        <v>88</v>
      </c>
      <c r="V54" s="11">
        <f>IF(D54="","",后台计算!ER48)</f>
        <v>0.6</v>
      </c>
      <c r="W54" s="11">
        <f>IF(D54="","",后台计算!ES48)</f>
        <v>0.4</v>
      </c>
      <c r="X54" s="1" t="str">
        <f>IF(D54="","",IF(Boss参数!$B$60=1,"此前实测；缺失用预测","此前预测"))</f>
        <v>此前实测；缺失用预测</v>
      </c>
      <c r="Y54" s="1" t="str">
        <f>IF(H54="","",IF(H54&gt;Boss参数!$B$63*Boss参数!$B$62,"超过暂定合计上限",""))</f>
        <v/>
      </c>
    </row>
    <row r="55" spans="1:25" ht="38.1" customHeight="1">
      <c r="A55" s="1">
        <f>行动模拟!A55</f>
        <v>47</v>
      </c>
      <c r="B55" s="1" t="str">
        <f>行动模拟!B55</f>
        <v>洞知</v>
      </c>
      <c r="C55" s="1">
        <f>行动模拟!C55</f>
        <v>15</v>
      </c>
      <c r="D55" s="1" t="str">
        <f>行动模拟!D55</f>
        <v>37｜洞知咒语</v>
      </c>
      <c r="E55" s="9">
        <f>行动模拟!O55</f>
        <v>46002</v>
      </c>
      <c r="F55" s="9">
        <f>行动模拟!P55</f>
        <v>107554</v>
      </c>
      <c r="G55" s="1" t="str">
        <f>IF(行动模拟!D55="","",行动模拟!E55)</f>
        <v>是</v>
      </c>
      <c r="H55" s="9">
        <f>IF(COUNT(行动模拟!F55:H55)=0,"",SUM(行动模拟!F55:H55))</f>
        <v>107554</v>
      </c>
      <c r="I55" s="9">
        <f t="shared" si="0"/>
        <v>107554</v>
      </c>
      <c r="J55" s="9">
        <f t="shared" si="1"/>
        <v>0</v>
      </c>
      <c r="K55" s="9">
        <f t="shared" si="2"/>
        <v>0</v>
      </c>
      <c r="L55" s="10">
        <f t="shared" si="3"/>
        <v>0</v>
      </c>
      <c r="M55" s="1" t="str">
        <f t="shared" si="4"/>
        <v>数值差异≤3%；机制仍需核实</v>
      </c>
      <c r="N55" s="12">
        <f>IF(ISNUMBER(行动模拟!F55),行动模拟!F55,"")</f>
        <v>107554</v>
      </c>
      <c r="O55" s="12">
        <f>IF(COUNT(行动模拟!G55:H55)=0,"",SUM(行动模拟!G55:H55))</f>
        <v>0</v>
      </c>
      <c r="P55" s="12">
        <f>IF(H55="","",IF(G55="是",后台计算!DX49,IF(G55="否",后台计算!DW49,"")))</f>
        <v>107554</v>
      </c>
      <c r="Q55" s="12">
        <f>IF(H55="","",IF(G55="是",后台计算!BV49-后台计算!DX49,IF(G55="否",后台计算!BU49-后台计算!DW49,"")))</f>
        <v>0</v>
      </c>
      <c r="R55" s="12">
        <f t="shared" si="5"/>
        <v>0</v>
      </c>
      <c r="S55" s="12">
        <f t="shared" si="6"/>
        <v>0</v>
      </c>
      <c r="T55" s="1" t="str">
        <f>IF(AND(后台计算!DH49="洞穿",O55&gt;0),IF(O55=ROUNDDOWN(N55*0.4,0),"实测附加=floor(主伤害×40%)；稳态来源待确认","实测附加关系需核对"),"")</f>
        <v/>
      </c>
      <c r="U55" s="1">
        <f>IF(D55="","",后台计算!EQ49)</f>
        <v>92</v>
      </c>
      <c r="V55" s="11">
        <f>IF(D55="","",后台计算!ER49)</f>
        <v>0.6</v>
      </c>
      <c r="W55" s="11">
        <f>IF(D55="","",后台计算!ES49)</f>
        <v>0.4</v>
      </c>
      <c r="X55" s="1" t="str">
        <f>IF(D55="","",IF(Boss参数!$B$60=1,"此前实测；缺失用预测","此前预测"))</f>
        <v>此前实测；缺失用预测</v>
      </c>
      <c r="Y55" s="1" t="str">
        <f>IF(H55="","",IF(H55&gt;Boss参数!$B$63*Boss参数!$B$62,"超过暂定合计上限",""))</f>
        <v/>
      </c>
    </row>
    <row r="56" spans="1:25" ht="38.1" customHeight="1">
      <c r="A56" s="1">
        <f>行动模拟!A56</f>
        <v>48</v>
      </c>
      <c r="B56" s="1" t="str">
        <f>行动模拟!B56</f>
        <v>洞知</v>
      </c>
      <c r="C56" s="1">
        <f>行动模拟!C56</f>
        <v>16</v>
      </c>
      <c r="D56" s="1" t="str">
        <f>行动模拟!D56</f>
        <v>37｜洞知咒语</v>
      </c>
      <c r="E56" s="9">
        <f>行动模拟!O56</f>
        <v>64402</v>
      </c>
      <c r="F56" s="9">
        <f>行动模拟!P56</f>
        <v>150575</v>
      </c>
      <c r="G56" s="1" t="str">
        <f>IF(行动模拟!D56="","",行动模拟!E56)</f>
        <v>否</v>
      </c>
      <c r="H56" s="9">
        <f>IF(COUNT(行动模拟!F56:H56)=0,"",SUM(行动模拟!F56:H56))</f>
        <v>64402</v>
      </c>
      <c r="I56" s="9">
        <f t="shared" si="0"/>
        <v>64402</v>
      </c>
      <c r="J56" s="9">
        <f t="shared" si="1"/>
        <v>0</v>
      </c>
      <c r="K56" s="9">
        <f t="shared" si="2"/>
        <v>0</v>
      </c>
      <c r="L56" s="10">
        <f t="shared" si="3"/>
        <v>0</v>
      </c>
      <c r="M56" s="1" t="str">
        <f t="shared" si="4"/>
        <v>数值差异≤3%；机制仍需核实</v>
      </c>
      <c r="N56" s="12">
        <f>IF(ISNUMBER(行动模拟!F56),行动模拟!F56,"")</f>
        <v>46002</v>
      </c>
      <c r="O56" s="12">
        <f>IF(COUNT(行动模拟!G56:H56)=0,"",SUM(行动模拟!G56:H56))</f>
        <v>18400</v>
      </c>
      <c r="P56" s="12">
        <f>IF(H56="","",IF(G56="是",后台计算!DX50,IF(G56="否",后台计算!DW50,"")))</f>
        <v>46002</v>
      </c>
      <c r="Q56" s="12">
        <f>IF(H56="","",IF(G56="是",后台计算!BV50-后台计算!DX50,IF(G56="否",后台计算!BU50-后台计算!DW50,"")))</f>
        <v>18400</v>
      </c>
      <c r="R56" s="12">
        <f t="shared" si="5"/>
        <v>0</v>
      </c>
      <c r="S56" s="12">
        <f t="shared" si="6"/>
        <v>0</v>
      </c>
      <c r="T56" s="1" t="str">
        <f>IF(AND(后台计算!DH50="洞穿",O56&gt;0),IF(O56=ROUNDDOWN(N56*0.4,0),"实测附加=floor(主伤害×40%)；稳态来源待确认","实测附加关系需核对"),"")</f>
        <v>实测附加=floor(主伤害×40%)；稳态来源待确认</v>
      </c>
      <c r="U56" s="1">
        <f>IF(D56="","",后台计算!EQ50)</f>
        <v>93</v>
      </c>
      <c r="V56" s="11">
        <f>IF(D56="","",后台计算!ER50)</f>
        <v>0.6</v>
      </c>
      <c r="W56" s="11">
        <f>IF(D56="","",后台计算!ES50)</f>
        <v>0.4</v>
      </c>
      <c r="X56" s="1" t="str">
        <f>IF(D56="","",IF(Boss参数!$B$60=1,"此前实测；缺失用预测","此前预测"))</f>
        <v>此前实测；缺失用预测</v>
      </c>
      <c r="Y56" s="1" t="str">
        <f>IF(H56="","",IF(H56&gt;Boss参数!$B$63*Boss参数!$B$62,"超过暂定合计上限",""))</f>
        <v/>
      </c>
    </row>
    <row r="57" spans="1:25" ht="38.1" customHeight="1">
      <c r="A57" s="1">
        <f>行动模拟!A57</f>
        <v>49</v>
      </c>
      <c r="B57" s="1" t="str">
        <f>行动模拟!B57</f>
        <v>洞知</v>
      </c>
      <c r="C57" s="1">
        <f>行动模拟!C57</f>
        <v>17</v>
      </c>
      <c r="D57" s="1" t="str">
        <f>行动模拟!D57</f>
        <v>红弩箭｜洞知终结</v>
      </c>
      <c r="E57" s="9">
        <f>行动模拟!O57</f>
        <v>1225134</v>
      </c>
      <c r="F57" s="9">
        <f>行动模拟!P57</f>
        <v>3877552</v>
      </c>
      <c r="G57" s="1" t="str">
        <f>IF(行动模拟!D57="","",行动模拟!E57)</f>
        <v>是</v>
      </c>
      <c r="H57" s="9">
        <f>IF(COUNT(行动模拟!F57:H57)=0,"",SUM(行动模拟!F57:H57))</f>
        <v>3877552</v>
      </c>
      <c r="I57" s="9">
        <f t="shared" si="0"/>
        <v>3877552</v>
      </c>
      <c r="J57" s="9">
        <f t="shared" si="1"/>
        <v>0</v>
      </c>
      <c r="K57" s="9">
        <f t="shared" si="2"/>
        <v>0</v>
      </c>
      <c r="L57" s="10">
        <f t="shared" si="3"/>
        <v>0</v>
      </c>
      <c r="M57" s="1" t="str">
        <f t="shared" si="4"/>
        <v>数值差异≤3%；机制仍需核实</v>
      </c>
      <c r="N57" s="12">
        <f>IF(ISNUMBER(行动模拟!F57),行动模拟!F57,"")</f>
        <v>2769680</v>
      </c>
      <c r="O57" s="12">
        <f>IF(COUNT(行动模拟!G57:H57)=0,"",SUM(行动模拟!G57:H57))</f>
        <v>1107872</v>
      </c>
      <c r="P57" s="12">
        <f>IF(H57="","",IF(G57="是",后台计算!DX51,IF(G57="否",后台计算!DW51,"")))</f>
        <v>2769680</v>
      </c>
      <c r="Q57" s="12">
        <f>IF(H57="","",IF(G57="是",后台计算!BV51-后台计算!DX51,IF(G57="否",后台计算!BU51-后台计算!DW51,"")))</f>
        <v>1107872</v>
      </c>
      <c r="R57" s="12">
        <f t="shared" si="5"/>
        <v>0</v>
      </c>
      <c r="S57" s="12">
        <f t="shared" si="6"/>
        <v>0</v>
      </c>
      <c r="T57" s="1" t="str">
        <f>IF(AND(后台计算!DH51="洞穿",O57&gt;0),IF(O57=ROUNDDOWN(N57*0.4,0),"实测附加=floor(主伤害×40%)；稳态来源待确认","实测附加关系需核对"),"")</f>
        <v>实测附加=floor(主伤害×40%)；稳态来源待确认</v>
      </c>
      <c r="U57" s="1">
        <f>IF(D57="","",后台计算!EQ51)</f>
        <v>94</v>
      </c>
      <c r="V57" s="11">
        <f>IF(D57="","",后台计算!ER51)</f>
        <v>0.6</v>
      </c>
      <c r="W57" s="11">
        <f>IF(D57="","",后台计算!ES51)</f>
        <v>0.4</v>
      </c>
      <c r="X57" s="1" t="str">
        <f>IF(D57="","",IF(Boss参数!$B$60=1,"此前实测；缺失用预测","此前预测"))</f>
        <v>此前实测；缺失用预测</v>
      </c>
      <c r="Y57" s="1" t="str">
        <f>IF(H57="","",IF(H57&gt;Boss参数!$B$63*Boss参数!$B$62,"超过暂定合计上限",""))</f>
        <v>超过暂定合计上限</v>
      </c>
    </row>
    <row r="58" spans="1:25" ht="38.1" customHeight="1">
      <c r="A58" s="1">
        <f>行动模拟!A58</f>
        <v>50</v>
      </c>
      <c r="B58" s="1" t="str">
        <f>行动模拟!B58</f>
        <v>小瑞安侬额外回合</v>
      </c>
      <c r="C58" s="1">
        <f>行动模拟!C58</f>
        <v>1</v>
      </c>
      <c r="D58" s="1" t="str">
        <f>行动模拟!D58</f>
        <v>小瑞安侬｜悄冥冥术阵</v>
      </c>
      <c r="E58" s="9">
        <f>行动模拟!O58</f>
        <v>0</v>
      </c>
      <c r="F58" s="9">
        <f>行动模拟!P58</f>
        <v>0</v>
      </c>
      <c r="G58" s="1" t="str">
        <f>IF(行动模拟!D58="","",行动模拟!E58)</f>
        <v>—</v>
      </c>
      <c r="H58" s="9" t="str">
        <f>IF(COUNT(行动模拟!F58:H58)=0,"",SUM(行动模拟!F58:H58))</f>
        <v/>
      </c>
      <c r="I58" s="9" t="str">
        <f t="shared" si="0"/>
        <v/>
      </c>
      <c r="J58" s="9" t="str">
        <f t="shared" si="1"/>
        <v/>
      </c>
      <c r="K58" s="9" t="str">
        <f t="shared" si="2"/>
        <v/>
      </c>
      <c r="L58" s="10" t="str">
        <f t="shared" si="3"/>
        <v/>
      </c>
      <c r="M58" s="1" t="str">
        <f t="shared" si="4"/>
        <v/>
      </c>
      <c r="N58" s="12" t="str">
        <f>IF(ISNUMBER(行动模拟!F58),行动模拟!F58,"")</f>
        <v/>
      </c>
      <c r="O58" s="12" t="str">
        <f>IF(COUNT(行动模拟!G58:H58)=0,"",SUM(行动模拟!G58:H58))</f>
        <v/>
      </c>
      <c r="P58" s="12" t="str">
        <f>IF(H58="","",IF(G58="是",后台计算!DX52,IF(G58="否",后台计算!DW52,"")))</f>
        <v/>
      </c>
      <c r="Q58" s="12" t="str">
        <f>IF(H58="","",IF(G58="是",后台计算!BV52-后台计算!DX52,IF(G58="否",后台计算!BU52-后台计算!DW52,"")))</f>
        <v/>
      </c>
      <c r="R58" s="12" t="str">
        <f t="shared" si="5"/>
        <v/>
      </c>
      <c r="S58" s="12" t="str">
        <f t="shared" si="6"/>
        <v/>
      </c>
      <c r="T58" s="1" t="str">
        <f>IF(AND(后台计算!DH52="洞穿",O58&gt;0),IF(O58=ROUNDDOWN(N58*0.4,0),"实测附加=floor(主伤害×40%)；稳态来源待确认","实测附加关系需核对"),"")</f>
        <v/>
      </c>
      <c r="U58" s="1">
        <f>IF(D58="","",后台计算!EQ52)</f>
        <v>133</v>
      </c>
      <c r="V58" s="11">
        <f>IF(D58="","",后台计算!ER52)</f>
        <v>0.9</v>
      </c>
      <c r="W58" s="11">
        <f>IF(D58="","",后台计算!ES52)</f>
        <v>0.6</v>
      </c>
      <c r="X58" s="1" t="str">
        <f>IF(D58="","",IF(Boss参数!$B$60=1,"此前实测；缺失用预测","此前预测"))</f>
        <v>此前实测；缺失用预测</v>
      </c>
      <c r="Y58" s="1" t="str">
        <f>IF(H58="","",IF(H58&gt;Boss参数!$B$63*Boss参数!$B$62,"超过暂定合计上限",""))</f>
        <v/>
      </c>
    </row>
    <row r="59" spans="1:25" ht="38.1" customHeight="1">
      <c r="A59" s="1">
        <f>行动模拟!A59</f>
        <v>51</v>
      </c>
      <c r="B59" s="1" t="str">
        <f>行动模拟!B59</f>
        <v>小瑞安侬额外回合</v>
      </c>
      <c r="C59" s="1">
        <f>行动模拟!C59</f>
        <v>2</v>
      </c>
      <c r="D59" s="1" t="str">
        <f>行动模拟!D59</f>
        <v>37｜补充算式</v>
      </c>
      <c r="E59" s="9">
        <f>行动模拟!O59</f>
        <v>2546</v>
      </c>
      <c r="F59" s="9">
        <f>行动模拟!P59</f>
        <v>5953</v>
      </c>
      <c r="G59" s="1" t="str">
        <f>IF(行动模拟!D59="","",行动模拟!E59)</f>
        <v>是</v>
      </c>
      <c r="H59" s="9">
        <f>IF(COUNT(行动模拟!F59:H59)=0,"",SUM(行动模拟!F59:H59))</f>
        <v>5953</v>
      </c>
      <c r="I59" s="9">
        <f t="shared" si="0"/>
        <v>5953</v>
      </c>
      <c r="J59" s="9">
        <f t="shared" si="1"/>
        <v>0</v>
      </c>
      <c r="K59" s="9">
        <f t="shared" si="2"/>
        <v>0</v>
      </c>
      <c r="L59" s="10">
        <f t="shared" si="3"/>
        <v>0</v>
      </c>
      <c r="M59" s="1" t="str">
        <f t="shared" si="4"/>
        <v>数值差异≤3%；机制仍需核实</v>
      </c>
      <c r="N59" s="12">
        <f>IF(ISNUMBER(行动模拟!F59),行动模拟!F59,"")</f>
        <v>5953</v>
      </c>
      <c r="O59" s="12">
        <f>IF(COUNT(行动模拟!G59:H59)=0,"",SUM(行动模拟!G59:H59))</f>
        <v>0</v>
      </c>
      <c r="P59" s="12">
        <f>IF(H59="","",IF(G59="是",后台计算!DX53,IF(G59="否",后台计算!DW53,"")))</f>
        <v>5953</v>
      </c>
      <c r="Q59" s="12">
        <f>IF(H59="","",IF(G59="是",后台计算!BV53-后台计算!DX53,IF(G59="否",后台计算!BU53-后台计算!DW53,"")))</f>
        <v>0</v>
      </c>
      <c r="R59" s="12">
        <f t="shared" si="5"/>
        <v>0</v>
      </c>
      <c r="S59" s="12">
        <f t="shared" si="6"/>
        <v>0</v>
      </c>
      <c r="T59" s="1" t="str">
        <f>IF(AND(后台计算!DH53="洞穿",O59&gt;0),IF(O59=ROUNDDOWN(N59*0.4,0),"实测附加=floor(主伤害×40%)；稳态来源待确认","实测附加关系需核对"),"")</f>
        <v/>
      </c>
      <c r="U59" s="1">
        <f>IF(D59="","",后台计算!EQ53)</f>
        <v>133</v>
      </c>
      <c r="V59" s="11">
        <f>IF(D59="","",后台计算!ER53)</f>
        <v>0.9</v>
      </c>
      <c r="W59" s="11">
        <f>IF(D59="","",后台计算!ES53)</f>
        <v>0.6</v>
      </c>
      <c r="X59" s="1" t="str">
        <f>IF(D59="","",IF(Boss参数!$B$60=1,"此前实测；缺失用预测","此前预测"))</f>
        <v>此前实测；缺失用预测</v>
      </c>
      <c r="Y59" s="1" t="str">
        <f>IF(H59="","",IF(H59&gt;Boss参数!$B$63*Boss参数!$B$62,"超过暂定合计上限",""))</f>
        <v/>
      </c>
    </row>
    <row r="60" spans="1:25" ht="38.1" customHeight="1">
      <c r="A60" s="1">
        <f>行动模拟!A60</f>
        <v>52</v>
      </c>
      <c r="B60" s="1" t="str">
        <f>行动模拟!B60</f>
        <v>小瑞安侬额外回合</v>
      </c>
      <c r="C60" s="1">
        <f>行动模拟!C60</f>
        <v>3</v>
      </c>
      <c r="D60" s="1" t="str">
        <f>行动模拟!D60</f>
        <v>小瑞安侬｜囫囵囵咒Ⅰ</v>
      </c>
      <c r="E60" s="9">
        <f>行动模拟!O60</f>
        <v>1294</v>
      </c>
      <c r="F60" s="9">
        <f>行动模拟!P60</f>
        <v>2187</v>
      </c>
      <c r="G60" s="1" t="str">
        <f>IF(行动模拟!D60="","",行动模拟!E60)</f>
        <v>否</v>
      </c>
      <c r="H60" s="9">
        <f>IF(COUNT(行动模拟!F60:H60)=0,"",SUM(行动模拟!F60:H60))</f>
        <v>1294</v>
      </c>
      <c r="I60" s="9">
        <f t="shared" si="0"/>
        <v>1294</v>
      </c>
      <c r="J60" s="9">
        <f t="shared" si="1"/>
        <v>0</v>
      </c>
      <c r="K60" s="9">
        <f t="shared" si="2"/>
        <v>0</v>
      </c>
      <c r="L60" s="10">
        <f t="shared" si="3"/>
        <v>0</v>
      </c>
      <c r="M60" s="1" t="str">
        <f t="shared" si="4"/>
        <v>数值差异≤3%；机制仍需核实</v>
      </c>
      <c r="N60" s="12">
        <f>IF(ISNUMBER(行动模拟!F60),行动模拟!F60,"")</f>
        <v>1294</v>
      </c>
      <c r="O60" s="12">
        <f>IF(COUNT(行动模拟!G60:H60)=0,"",SUM(行动模拟!G60:H60))</f>
        <v>0</v>
      </c>
      <c r="P60" s="12">
        <f>IF(H60="","",IF(G60="是",后台计算!DX54,IF(G60="否",后台计算!DW54,"")))</f>
        <v>1294</v>
      </c>
      <c r="Q60" s="12">
        <f>IF(H60="","",IF(G60="是",后台计算!BV54-后台计算!DX54,IF(G60="否",后台计算!BU54-后台计算!DW54,"")))</f>
        <v>0</v>
      </c>
      <c r="R60" s="12">
        <f t="shared" si="5"/>
        <v>0</v>
      </c>
      <c r="S60" s="12">
        <f t="shared" si="6"/>
        <v>0</v>
      </c>
      <c r="T60" s="1" t="str">
        <f>IF(AND(后台计算!DH54="洞穿",O60&gt;0),IF(O60=ROUNDDOWN(N60*0.4,0),"实测附加=floor(主伤害×40%)；稳态来源待确认","实测附加关系需核对"),"")</f>
        <v/>
      </c>
      <c r="U60" s="1">
        <f>IF(D60="","",后台计算!EQ54)</f>
        <v>133</v>
      </c>
      <c r="V60" s="11">
        <f>IF(D60="","",后台计算!ER54)</f>
        <v>0.9</v>
      </c>
      <c r="W60" s="11">
        <f>IF(D60="","",后台计算!ES54)</f>
        <v>0.6</v>
      </c>
      <c r="X60" s="1" t="str">
        <f>IF(D60="","",IF(Boss参数!$B$60=1,"此前实测；缺失用预测","此前预测"))</f>
        <v>此前实测；缺失用预测</v>
      </c>
      <c r="Y60" s="1" t="str">
        <f>IF(H60="","",IF(H60&gt;Boss参数!$B$63*Boss参数!$B$62,"超过暂定合计上限",""))</f>
        <v/>
      </c>
    </row>
    <row r="61" spans="1:25" ht="38.1" customHeight="1">
      <c r="A61" s="1">
        <f>行动模拟!A61</f>
        <v>53</v>
      </c>
      <c r="B61" s="1" t="str">
        <f>行动模拟!B61</f>
        <v>小瑞安侬额外回合</v>
      </c>
      <c r="C61" s="1">
        <f>行动模拟!C61</f>
        <v>4</v>
      </c>
      <c r="D61" s="1" t="str">
        <f>行动模拟!D61</f>
        <v>37｜补充算式</v>
      </c>
      <c r="E61" s="9">
        <f>行动模拟!O61</f>
        <v>2587</v>
      </c>
      <c r="F61" s="9">
        <f>行动模拟!P61</f>
        <v>6048</v>
      </c>
      <c r="G61" s="1" t="str">
        <f>IF(行动模拟!D61="","",行动模拟!E61)</f>
        <v>否</v>
      </c>
      <c r="H61" s="9">
        <f>IF(COUNT(行动模拟!F61:H61)=0,"",SUM(行动模拟!F61:H61))</f>
        <v>2587</v>
      </c>
      <c r="I61" s="9">
        <f t="shared" si="0"/>
        <v>2587</v>
      </c>
      <c r="J61" s="9">
        <f t="shared" si="1"/>
        <v>0</v>
      </c>
      <c r="K61" s="9">
        <f t="shared" si="2"/>
        <v>0</v>
      </c>
      <c r="L61" s="10">
        <f t="shared" si="3"/>
        <v>0</v>
      </c>
      <c r="M61" s="1" t="str">
        <f t="shared" si="4"/>
        <v>数值差异≤3%；机制仍需核实</v>
      </c>
      <c r="N61" s="12">
        <f>IF(ISNUMBER(行动模拟!F61),行动模拟!F61,"")</f>
        <v>2587</v>
      </c>
      <c r="O61" s="12">
        <f>IF(COUNT(行动模拟!G61:H61)=0,"",SUM(行动模拟!G61:H61))</f>
        <v>0</v>
      </c>
      <c r="P61" s="12">
        <f>IF(H61="","",IF(G61="是",后台计算!DX55,IF(G61="否",后台计算!DW55,"")))</f>
        <v>2587</v>
      </c>
      <c r="Q61" s="12">
        <f>IF(H61="","",IF(G61="是",后台计算!BV55-后台计算!DX55,IF(G61="否",后台计算!BU55-后台计算!DW55,"")))</f>
        <v>0</v>
      </c>
      <c r="R61" s="12">
        <f t="shared" si="5"/>
        <v>0</v>
      </c>
      <c r="S61" s="12">
        <f t="shared" si="6"/>
        <v>0</v>
      </c>
      <c r="T61" s="1" t="str">
        <f>IF(AND(后台计算!DH55="洞穿",O61&gt;0),IF(O61=ROUNDDOWN(N61*0.4,0),"实测附加=floor(主伤害×40%)；稳态来源待确认","实测附加关系需核对"),"")</f>
        <v/>
      </c>
      <c r="U61" s="1">
        <f>IF(D61="","",后台计算!EQ55)</f>
        <v>133</v>
      </c>
      <c r="V61" s="11">
        <f>IF(D61="","",后台计算!ER55)</f>
        <v>0.9</v>
      </c>
      <c r="W61" s="11">
        <f>IF(D61="","",后台计算!ES55)</f>
        <v>0.6</v>
      </c>
      <c r="X61" s="1" t="str">
        <f>IF(D61="","",IF(Boss参数!$B$60=1,"此前实测；缺失用预测","此前预测"))</f>
        <v>此前实测；缺失用预测</v>
      </c>
      <c r="Y61" s="1" t="str">
        <f>IF(H61="","",IF(H61&gt;Boss参数!$B$63*Boss参数!$B$62,"超过暂定合计上限",""))</f>
        <v/>
      </c>
    </row>
    <row r="62" spans="1:25" ht="38.1" customHeight="1">
      <c r="A62" s="1">
        <f>行动模拟!A62</f>
        <v>54</v>
      </c>
      <c r="B62" s="1" t="str">
        <f>行动模拟!B62</f>
        <v>小瑞安侬额外回合</v>
      </c>
      <c r="C62" s="1">
        <f>行动模拟!C62</f>
        <v>5</v>
      </c>
      <c r="D62" s="1" t="str">
        <f>行动模拟!D62</f>
        <v>37｜曲线映射Ⅱ</v>
      </c>
      <c r="E62" s="9">
        <f>行动模拟!O62</f>
        <v>2414</v>
      </c>
      <c r="F62" s="9">
        <f>行动模拟!P62</f>
        <v>5645</v>
      </c>
      <c r="G62" s="1" t="str">
        <f>IF(行动模拟!D62="","",行动模拟!E62)</f>
        <v>否</v>
      </c>
      <c r="H62" s="9">
        <f>IF(COUNT(行动模拟!F62:H62)=0,"",SUM(行动模拟!F62:H62))</f>
        <v>2414</v>
      </c>
      <c r="I62" s="9">
        <f t="shared" si="0"/>
        <v>2414</v>
      </c>
      <c r="J62" s="9">
        <f t="shared" si="1"/>
        <v>0</v>
      </c>
      <c r="K62" s="9">
        <f t="shared" si="2"/>
        <v>0</v>
      </c>
      <c r="L62" s="10">
        <f t="shared" si="3"/>
        <v>0</v>
      </c>
      <c r="M62" s="1" t="str">
        <f t="shared" si="4"/>
        <v>数值差异≤3%；机制仍需核实</v>
      </c>
      <c r="N62" s="12">
        <f>IF(ISNUMBER(行动模拟!F62),行动模拟!F62,"")</f>
        <v>2414</v>
      </c>
      <c r="O62" s="12">
        <f>IF(COUNT(行动模拟!G62:H62)=0,"",SUM(行动模拟!G62:H62))</f>
        <v>0</v>
      </c>
      <c r="P62" s="12">
        <f>IF(H62="","",IF(G62="是",后台计算!DX56,IF(G62="否",后台计算!DW56,"")))</f>
        <v>2414</v>
      </c>
      <c r="Q62" s="12">
        <f>IF(H62="","",IF(G62="是",后台计算!BV56-后台计算!DX56,IF(G62="否",后台计算!BU56-后台计算!DW56,"")))</f>
        <v>0</v>
      </c>
      <c r="R62" s="12">
        <f t="shared" si="5"/>
        <v>0</v>
      </c>
      <c r="S62" s="12">
        <f t="shared" si="6"/>
        <v>0</v>
      </c>
      <c r="T62" s="1" t="str">
        <f>IF(AND(后台计算!DH56="洞穿",O62&gt;0),IF(O62=ROUNDDOWN(N62*0.4,0),"实测附加=floor(主伤害×40%)；稳态来源待确认","实测附加关系需核对"),"")</f>
        <v/>
      </c>
      <c r="U62" s="1">
        <f>IF(D62="","",后台计算!EQ56)</f>
        <v>133</v>
      </c>
      <c r="V62" s="11">
        <f>IF(D62="","",后台计算!ER56)</f>
        <v>0.9</v>
      </c>
      <c r="W62" s="11">
        <f>IF(D62="","",后台计算!ES56)</f>
        <v>0.6</v>
      </c>
      <c r="X62" s="1" t="str">
        <f>IF(D62="","",IF(Boss参数!$B$60=1,"此前实测；缺失用预测","此前预测"))</f>
        <v>此前实测；缺失用预测</v>
      </c>
      <c r="Y62" s="1" t="str">
        <f>IF(H62="","",IF(H62&gt;Boss参数!$B$63*Boss参数!$B$62,"超过暂定合计上限",""))</f>
        <v/>
      </c>
    </row>
    <row r="63" spans="1:25" ht="38.1" customHeight="1">
      <c r="A63" s="1">
        <f>行动模拟!A63</f>
        <v>55</v>
      </c>
      <c r="B63" s="1" t="str">
        <f>行动模拟!B63</f>
        <v>小瑞安侬额外回合</v>
      </c>
      <c r="C63" s="1">
        <f>行动模拟!C63</f>
        <v>6</v>
      </c>
      <c r="D63" s="1" t="str">
        <f>行动模拟!D63</f>
        <v>J｜硬度测试Ⅱ</v>
      </c>
      <c r="E63" s="9">
        <f>行动模拟!O63</f>
        <v>1362</v>
      </c>
      <c r="F63" s="9">
        <f>行动模拟!P63</f>
        <v>2530</v>
      </c>
      <c r="G63" s="1" t="str">
        <f>IF(行动模拟!D63="","",行动模拟!E63)</f>
        <v>否</v>
      </c>
      <c r="H63" s="9">
        <f>IF(COUNT(行动模拟!F63:H63)=0,"",SUM(行动模拟!F63:H63))</f>
        <v>1362</v>
      </c>
      <c r="I63" s="9">
        <f t="shared" si="0"/>
        <v>1362</v>
      </c>
      <c r="J63" s="9">
        <f t="shared" si="1"/>
        <v>0</v>
      </c>
      <c r="K63" s="9">
        <f t="shared" si="2"/>
        <v>0</v>
      </c>
      <c r="L63" s="10">
        <f t="shared" si="3"/>
        <v>0</v>
      </c>
      <c r="M63" s="1" t="str">
        <f t="shared" si="4"/>
        <v>数值差异≤3%；机制仍需核实</v>
      </c>
      <c r="N63" s="12">
        <f>IF(ISNUMBER(行动模拟!F63),行动模拟!F63,"")</f>
        <v>1362</v>
      </c>
      <c r="O63" s="12">
        <f>IF(COUNT(行动模拟!G63:H63)=0,"",SUM(行动模拟!G63:H63))</f>
        <v>0</v>
      </c>
      <c r="P63" s="12">
        <f>IF(H63="","",IF(G63="是",后台计算!DX57,IF(G63="否",后台计算!DW57,"")))</f>
        <v>1362</v>
      </c>
      <c r="Q63" s="12">
        <f>IF(H63="","",IF(G63="是",后台计算!BV57-后台计算!DX57,IF(G63="否",后台计算!BU57-后台计算!DW57,"")))</f>
        <v>0</v>
      </c>
      <c r="R63" s="12">
        <f t="shared" si="5"/>
        <v>0</v>
      </c>
      <c r="S63" s="12">
        <f t="shared" si="6"/>
        <v>0</v>
      </c>
      <c r="T63" s="1" t="str">
        <f>IF(AND(后台计算!DH57="洞穿",O63&gt;0),IF(O63=ROUNDDOWN(N63*0.4,0),"实测附加=floor(主伤害×40%)；稳态来源待确认","实测附加关系需核对"),"")</f>
        <v/>
      </c>
      <c r="U63" s="1">
        <f>IF(D63="","",后台计算!EQ57)</f>
        <v>133</v>
      </c>
      <c r="V63" s="11">
        <f>IF(D63="","",后台计算!ER57)</f>
        <v>0.9</v>
      </c>
      <c r="W63" s="11">
        <f>IF(D63="","",后台计算!ES57)</f>
        <v>0.6</v>
      </c>
      <c r="X63" s="1" t="str">
        <f>IF(D63="","",IF(Boss参数!$B$60=1,"此前实测；缺失用预测","此前预测"))</f>
        <v>此前实测；缺失用预测</v>
      </c>
      <c r="Y63" s="1" t="str">
        <f>IF(H63="","",IF(H63&gt;Boss参数!$B$63*Boss参数!$B$62,"超过暂定合计上限",""))</f>
        <v/>
      </c>
    </row>
    <row r="64" spans="1:25" ht="38.1" customHeight="1">
      <c r="A64" s="1">
        <f>行动模拟!A64</f>
        <v>56</v>
      </c>
      <c r="B64" s="1" t="str">
        <f>行动模拟!B64</f>
        <v>小瑞安侬额外回合</v>
      </c>
      <c r="C64" s="1">
        <f>行动模拟!C64</f>
        <v>7</v>
      </c>
      <c r="D64" s="1" t="str">
        <f>行动模拟!D64</f>
        <v>红弩箭｜眼镜蛇机动Ⅱ</v>
      </c>
      <c r="E64" s="9">
        <f>行动模拟!O64</f>
        <v>0</v>
      </c>
      <c r="F64" s="9">
        <f>行动模拟!P64</f>
        <v>0</v>
      </c>
      <c r="G64" s="1" t="str">
        <f>IF(行动模拟!D64="","",行动模拟!E64)</f>
        <v>—</v>
      </c>
      <c r="H64" s="9" t="str">
        <f>IF(COUNT(行动模拟!F64:H64)=0,"",SUM(行动模拟!F64:H64))</f>
        <v/>
      </c>
      <c r="I64" s="9" t="str">
        <f t="shared" si="0"/>
        <v/>
      </c>
      <c r="J64" s="9" t="str">
        <f t="shared" si="1"/>
        <v/>
      </c>
      <c r="K64" s="9" t="str">
        <f t="shared" si="2"/>
        <v/>
      </c>
      <c r="L64" s="10" t="str">
        <f t="shared" si="3"/>
        <v/>
      </c>
      <c r="M64" s="1" t="str">
        <f t="shared" si="4"/>
        <v/>
      </c>
      <c r="N64" s="12" t="str">
        <f>IF(ISNUMBER(行动模拟!F64),行动模拟!F64,"")</f>
        <v/>
      </c>
      <c r="O64" s="12" t="str">
        <f>IF(COUNT(行动模拟!G64:H64)=0,"",SUM(行动模拟!G64:H64))</f>
        <v/>
      </c>
      <c r="P64" s="12" t="str">
        <f>IF(H64="","",IF(G64="是",后台计算!DX58,IF(G64="否",后台计算!DW58,"")))</f>
        <v/>
      </c>
      <c r="Q64" s="12" t="str">
        <f>IF(H64="","",IF(G64="是",后台计算!BV58-后台计算!DX58,IF(G64="否",后台计算!BU58-后台计算!DW58,"")))</f>
        <v/>
      </c>
      <c r="R64" s="12" t="str">
        <f t="shared" si="5"/>
        <v/>
      </c>
      <c r="S64" s="12" t="str">
        <f t="shared" si="6"/>
        <v/>
      </c>
      <c r="T64" s="1" t="str">
        <f>IF(AND(后台计算!DH58="洞穿",O64&gt;0),IF(O64=ROUNDDOWN(N64*0.4,0),"实测附加=floor(主伤害×40%)；稳态来源待确认","实测附加关系需核对"),"")</f>
        <v/>
      </c>
      <c r="U64" s="1">
        <f>IF(D64="","",后台计算!EQ58)</f>
        <v>133</v>
      </c>
      <c r="V64" s="11">
        <f>IF(D64="","",后台计算!ER58)</f>
        <v>0.9</v>
      </c>
      <c r="W64" s="11">
        <f>IF(D64="","",后台计算!ES58)</f>
        <v>0.6</v>
      </c>
      <c r="X64" s="1" t="str">
        <f>IF(D64="","",IF(Boss参数!$B$60=1,"此前实测；缺失用预测","此前预测"))</f>
        <v>此前实测；缺失用预测</v>
      </c>
      <c r="Y64" s="1" t="str">
        <f>IF(H64="","",IF(H64&gt;Boss参数!$B$63*Boss参数!$B$62,"超过暂定合计上限",""))</f>
        <v/>
      </c>
    </row>
    <row r="65" spans="1:25" ht="38.1" customHeight="1">
      <c r="A65" s="1">
        <f>行动模拟!A65</f>
        <v>57</v>
      </c>
      <c r="B65" s="1" t="str">
        <f>行动模拟!B65</f>
        <v>小瑞安侬额外回合</v>
      </c>
      <c r="C65" s="1">
        <f>行动模拟!C65</f>
        <v>8</v>
      </c>
      <c r="D65" s="1" t="str">
        <f>行动模拟!D65</f>
        <v>J｜硬度测试Ⅰ</v>
      </c>
      <c r="E65" s="9">
        <f>行动模拟!O65</f>
        <v>2888</v>
      </c>
      <c r="F65" s="9">
        <f>行动模拟!P65</f>
        <v>5364</v>
      </c>
      <c r="G65" s="1" t="str">
        <f>IF(行动模拟!D65="","",行动模拟!E65)</f>
        <v>否</v>
      </c>
      <c r="H65" s="9">
        <f>IF(COUNT(行动模拟!F65:H65)=0,"",SUM(行动模拟!F65:H65))</f>
        <v>2888</v>
      </c>
      <c r="I65" s="9">
        <f t="shared" si="0"/>
        <v>2888</v>
      </c>
      <c r="J65" s="9">
        <f t="shared" si="1"/>
        <v>0</v>
      </c>
      <c r="K65" s="9">
        <f t="shared" si="2"/>
        <v>0</v>
      </c>
      <c r="L65" s="10">
        <f t="shared" si="3"/>
        <v>0</v>
      </c>
      <c r="M65" s="1" t="str">
        <f t="shared" si="4"/>
        <v>数值差异≤3%；机制仍需核实</v>
      </c>
      <c r="N65" s="12">
        <f>IF(ISNUMBER(行动模拟!F65),行动模拟!F65,"")</f>
        <v>2888</v>
      </c>
      <c r="O65" s="12">
        <f>IF(COUNT(行动模拟!G65:H65)=0,"",SUM(行动模拟!G65:H65))</f>
        <v>0</v>
      </c>
      <c r="P65" s="12">
        <f>IF(H65="","",IF(G65="是",后台计算!DX59,IF(G65="否",后台计算!DW59,"")))</f>
        <v>2888</v>
      </c>
      <c r="Q65" s="12">
        <f>IF(H65="","",IF(G65="是",后台计算!BV59-后台计算!DX59,IF(G65="否",后台计算!BU59-后台计算!DW59,"")))</f>
        <v>0</v>
      </c>
      <c r="R65" s="12">
        <f t="shared" si="5"/>
        <v>0</v>
      </c>
      <c r="S65" s="12">
        <f t="shared" si="6"/>
        <v>0</v>
      </c>
      <c r="T65" s="1" t="str">
        <f>IF(AND(后台计算!DH59="洞穿",O65&gt;0),IF(O65=ROUNDDOWN(N65*0.4,0),"实测附加=floor(主伤害×40%)；稳态来源待确认","实测附加关系需核对"),"")</f>
        <v/>
      </c>
      <c r="U65" s="1">
        <f>IF(D65="","",后台计算!EQ59)</f>
        <v>133</v>
      </c>
      <c r="V65" s="11">
        <f>IF(D65="","",后台计算!ER59)</f>
        <v>0.9</v>
      </c>
      <c r="W65" s="11">
        <f>IF(D65="","",后台计算!ES59)</f>
        <v>0.6</v>
      </c>
      <c r="X65" s="1" t="str">
        <f>IF(D65="","",IF(Boss参数!$B$60=1,"此前实测；缺失用预测","此前预测"))</f>
        <v>此前实测；缺失用预测</v>
      </c>
      <c r="Y65" s="1" t="str">
        <f>IF(H65="","",IF(H65&gt;Boss参数!$B$63*Boss参数!$B$62,"超过暂定合计上限",""))</f>
        <v/>
      </c>
    </row>
    <row r="66" spans="1:25" ht="38.1" customHeight="1">
      <c r="A66" s="1">
        <f>行动模拟!A66</f>
        <v>58</v>
      </c>
      <c r="B66" s="1" t="str">
        <f>行动模拟!B66</f>
        <v>小瑞安侬额外回合</v>
      </c>
      <c r="C66" s="1">
        <f>行动模拟!C66</f>
        <v>9</v>
      </c>
      <c r="D66" s="1" t="str">
        <f>行动模拟!D66</f>
        <v>37｜补充算式</v>
      </c>
      <c r="E66" s="9">
        <f>行动模拟!O66</f>
        <v>2587</v>
      </c>
      <c r="F66" s="9">
        <f>行动模拟!P66</f>
        <v>6048</v>
      </c>
      <c r="G66" s="1" t="str">
        <f>IF(行动模拟!D66="","",行动模拟!E66)</f>
        <v>是</v>
      </c>
      <c r="H66" s="9">
        <f>IF(COUNT(行动模拟!F66:H66)=0,"",SUM(行动模拟!F66:H66))</f>
        <v>6048</v>
      </c>
      <c r="I66" s="9">
        <f t="shared" si="0"/>
        <v>6048</v>
      </c>
      <c r="J66" s="9">
        <f t="shared" si="1"/>
        <v>0</v>
      </c>
      <c r="K66" s="9">
        <f t="shared" si="2"/>
        <v>0</v>
      </c>
      <c r="L66" s="10">
        <f t="shared" si="3"/>
        <v>0</v>
      </c>
      <c r="M66" s="1" t="str">
        <f t="shared" si="4"/>
        <v>数值差异≤3%；机制仍需核实</v>
      </c>
      <c r="N66" s="12">
        <f>IF(ISNUMBER(行动模拟!F66),行动模拟!F66,"")</f>
        <v>6048</v>
      </c>
      <c r="O66" s="12">
        <f>IF(COUNT(行动模拟!G66:H66)=0,"",SUM(行动模拟!G66:H66))</f>
        <v>0</v>
      </c>
      <c r="P66" s="12">
        <f>IF(H66="","",IF(G66="是",后台计算!DX60,IF(G66="否",后台计算!DW60,"")))</f>
        <v>6048</v>
      </c>
      <c r="Q66" s="12">
        <f>IF(H66="","",IF(G66="是",后台计算!BV60-后台计算!DX60,IF(G66="否",后台计算!BU60-后台计算!DW60,"")))</f>
        <v>0</v>
      </c>
      <c r="R66" s="12">
        <f t="shared" si="5"/>
        <v>0</v>
      </c>
      <c r="S66" s="12">
        <f t="shared" si="6"/>
        <v>0</v>
      </c>
      <c r="T66" s="1" t="str">
        <f>IF(AND(后台计算!DH60="洞穿",O66&gt;0),IF(O66=ROUNDDOWN(N66*0.4,0),"实测附加=floor(主伤害×40%)；稳态来源待确认","实测附加关系需核对"),"")</f>
        <v/>
      </c>
      <c r="U66" s="1">
        <f>IF(D66="","",后台计算!EQ60)</f>
        <v>133</v>
      </c>
      <c r="V66" s="11">
        <f>IF(D66="","",后台计算!ER60)</f>
        <v>0.9</v>
      </c>
      <c r="W66" s="11">
        <f>IF(D66="","",后台计算!ES60)</f>
        <v>0.6</v>
      </c>
      <c r="X66" s="1" t="str">
        <f>IF(D66="","",IF(Boss参数!$B$60=1,"此前实测；缺失用预测","此前预测"))</f>
        <v>此前实测；缺失用预测</v>
      </c>
      <c r="Y66" s="1" t="str">
        <f>IF(H66="","",IF(H66&gt;Boss参数!$B$63*Boss参数!$B$62,"超过暂定合计上限",""))</f>
        <v/>
      </c>
    </row>
    <row r="67" spans="1:25" ht="38.1" customHeight="1">
      <c r="A67" s="1">
        <f>行动模拟!A67</f>
        <v>59</v>
      </c>
      <c r="B67" s="1" t="str">
        <f>行动模拟!B67</f>
        <v>小瑞安侬额外回合</v>
      </c>
      <c r="C67" s="1">
        <f>行动模拟!C67</f>
        <v>10</v>
      </c>
      <c r="D67" s="1" t="str">
        <f>行动模拟!D67</f>
        <v>小瑞安侬｜虫虫黑莓唤回术</v>
      </c>
      <c r="E67" s="9">
        <f>行动模拟!O67</f>
        <v>7394</v>
      </c>
      <c r="F67" s="9">
        <f>行动模拟!P67</f>
        <v>12495</v>
      </c>
      <c r="G67" s="1" t="str">
        <f>IF(行动模拟!D67="","",行动模拟!E67)</f>
        <v>是</v>
      </c>
      <c r="H67" s="9">
        <f>IF(COUNT(行动模拟!F67:H67)=0,"",SUM(行动模拟!F67:H67))</f>
        <v>12495</v>
      </c>
      <c r="I67" s="9">
        <f t="shared" si="0"/>
        <v>12495</v>
      </c>
      <c r="J67" s="9">
        <f t="shared" si="1"/>
        <v>0</v>
      </c>
      <c r="K67" s="9">
        <f t="shared" si="2"/>
        <v>0</v>
      </c>
      <c r="L67" s="10">
        <f t="shared" si="3"/>
        <v>0</v>
      </c>
      <c r="M67" s="1" t="str">
        <f t="shared" si="4"/>
        <v>数值差异≤3%；机制仍需核实</v>
      </c>
      <c r="N67" s="12">
        <f>IF(ISNUMBER(行动模拟!F67),行动模拟!F67,"")</f>
        <v>12495</v>
      </c>
      <c r="O67" s="12">
        <f>IF(COUNT(行动模拟!G67:H67)=0,"",SUM(行动模拟!G67:H67))</f>
        <v>0</v>
      </c>
      <c r="P67" s="12">
        <f>IF(H67="","",IF(G67="是",后台计算!DX61,IF(G67="否",后台计算!DW61,"")))</f>
        <v>12495</v>
      </c>
      <c r="Q67" s="12">
        <f>IF(H67="","",IF(G67="是",后台计算!BV61-后台计算!DX61,IF(G67="否",后台计算!BU61-后台计算!DW61,"")))</f>
        <v>0</v>
      </c>
      <c r="R67" s="12">
        <f t="shared" si="5"/>
        <v>0</v>
      </c>
      <c r="S67" s="12">
        <f t="shared" si="6"/>
        <v>0</v>
      </c>
      <c r="T67" s="1" t="str">
        <f>IF(AND(后台计算!DH61="洞穿",O67&gt;0),IF(O67=ROUNDDOWN(N67*0.4,0),"实测附加=floor(主伤害×40%)；稳态来源待确认","实测附加关系需核对"),"")</f>
        <v/>
      </c>
      <c r="U67" s="1">
        <f>IF(D67="","",后台计算!EQ61)</f>
        <v>133</v>
      </c>
      <c r="V67" s="11">
        <f>IF(D67="","",后台计算!ER61)</f>
        <v>0.9</v>
      </c>
      <c r="W67" s="11">
        <f>IF(D67="","",后台计算!ES61)</f>
        <v>0.6</v>
      </c>
      <c r="X67" s="1" t="str">
        <f>IF(D67="","",IF(Boss参数!$B$60=1,"此前实测；缺失用预测","此前预测"))</f>
        <v>此前实测；缺失用预测</v>
      </c>
      <c r="Y67" s="1" t="str">
        <f>IF(H67="","",IF(H67&gt;Boss参数!$B$63*Boss参数!$B$62,"超过暂定合计上限",""))</f>
        <v/>
      </c>
    </row>
    <row r="68" spans="1:25" ht="38.1" customHeight="1">
      <c r="A68" s="1">
        <f>行动模拟!A68</f>
        <v>60</v>
      </c>
      <c r="B68" s="1" t="str">
        <f>行动模拟!B68</f>
        <v>小瑞安侬额外回合</v>
      </c>
      <c r="C68" s="1">
        <f>行动模拟!C68</f>
        <v>11</v>
      </c>
      <c r="D68" s="1" t="str">
        <f>行动模拟!D68</f>
        <v>系统｜回合结束</v>
      </c>
      <c r="E68" s="9">
        <f>行动模拟!O68</f>
        <v>0</v>
      </c>
      <c r="F68" s="9">
        <f>行动模拟!P68</f>
        <v>0</v>
      </c>
      <c r="G68" s="1" t="str">
        <f>IF(行动模拟!D68="","",行动模拟!E68)</f>
        <v>—</v>
      </c>
      <c r="H68" s="9" t="str">
        <f>IF(COUNT(行动模拟!F68:H68)=0,"",SUM(行动模拟!F68:H68))</f>
        <v/>
      </c>
      <c r="I68" s="9" t="str">
        <f t="shared" si="0"/>
        <v/>
      </c>
      <c r="J68" s="9" t="str">
        <f t="shared" si="1"/>
        <v/>
      </c>
      <c r="K68" s="9" t="str">
        <f t="shared" si="2"/>
        <v/>
      </c>
      <c r="L68" s="10" t="str">
        <f t="shared" si="3"/>
        <v/>
      </c>
      <c r="M68" s="1" t="str">
        <f t="shared" si="4"/>
        <v/>
      </c>
      <c r="N68" s="12" t="str">
        <f>IF(ISNUMBER(行动模拟!F68),行动模拟!F68,"")</f>
        <v/>
      </c>
      <c r="O68" s="12" t="str">
        <f>IF(COUNT(行动模拟!G68:H68)=0,"",SUM(行动模拟!G68:H68))</f>
        <v/>
      </c>
      <c r="P68" s="12" t="str">
        <f>IF(H68="","",IF(G68="是",后台计算!DX62,IF(G68="否",后台计算!DW62,"")))</f>
        <v/>
      </c>
      <c r="Q68" s="12" t="str">
        <f>IF(H68="","",IF(G68="是",后台计算!BV62-后台计算!DX62,IF(G68="否",后台计算!BU62-后台计算!DW62,"")))</f>
        <v/>
      </c>
      <c r="R68" s="12" t="str">
        <f t="shared" si="5"/>
        <v/>
      </c>
      <c r="S68" s="12" t="str">
        <f t="shared" si="6"/>
        <v/>
      </c>
      <c r="T68" s="1" t="str">
        <f>IF(AND(后台计算!DH62="洞穿",O68&gt;0),IF(O68=ROUNDDOWN(N68*0.4,0),"实测附加=floor(主伤害×40%)；稳态来源待确认","实测附加关系需核对"),"")</f>
        <v/>
      </c>
      <c r="U68" s="1">
        <f>IF(D68="","",后台计算!EQ62)</f>
        <v>133</v>
      </c>
      <c r="V68" s="11">
        <f>IF(D68="","",后台计算!ER62)</f>
        <v>0.9</v>
      </c>
      <c r="W68" s="11">
        <f>IF(D68="","",后台计算!ES62)</f>
        <v>0.6</v>
      </c>
      <c r="X68" s="1" t="str">
        <f>IF(D68="","",IF(Boss参数!$B$60=1,"此前实测；缺失用预测","此前预测"))</f>
        <v>此前实测；缺失用预测</v>
      </c>
      <c r="Y68" s="1" t="str">
        <f>IF(H68="","",IF(H68&gt;Boss参数!$B$63*Boss参数!$B$62,"超过暂定合计上限",""))</f>
        <v/>
      </c>
    </row>
    <row r="69" spans="1:25" ht="38.1" customHeight="1">
      <c r="A69" s="1">
        <f>行动模拟!A69</f>
        <v>61</v>
      </c>
      <c r="B69" s="1">
        <f>行动模拟!B69</f>
        <v>4</v>
      </c>
      <c r="C69" s="1">
        <f>行动模拟!C69</f>
        <v>1</v>
      </c>
      <c r="D69" s="1" t="str">
        <f>行动模拟!D69</f>
        <v>小瑞安侬｜唱予无忧之诗</v>
      </c>
      <c r="E69" s="9">
        <f>行动模拟!O69</f>
        <v>0</v>
      </c>
      <c r="F69" s="9">
        <f>行动模拟!P69</f>
        <v>0</v>
      </c>
      <c r="G69" s="1" t="str">
        <f>IF(行动模拟!D69="","",行动模拟!E69)</f>
        <v>—</v>
      </c>
      <c r="H69" s="9" t="str">
        <f>IF(COUNT(行动模拟!F69:H69)=0,"",SUM(行动模拟!F69:H69))</f>
        <v/>
      </c>
      <c r="I69" s="9" t="str">
        <f t="shared" si="0"/>
        <v/>
      </c>
      <c r="J69" s="9" t="str">
        <f t="shared" si="1"/>
        <v/>
      </c>
      <c r="K69" s="9" t="str">
        <f t="shared" si="2"/>
        <v/>
      </c>
      <c r="L69" s="10" t="str">
        <f t="shared" si="3"/>
        <v/>
      </c>
      <c r="M69" s="1" t="str">
        <f t="shared" si="4"/>
        <v/>
      </c>
      <c r="N69" s="12" t="str">
        <f>IF(ISNUMBER(行动模拟!F69),行动模拟!F69,"")</f>
        <v/>
      </c>
      <c r="O69" s="12" t="str">
        <f>IF(COUNT(行动模拟!G69:H69)=0,"",SUM(行动模拟!G69:H69))</f>
        <v/>
      </c>
      <c r="P69" s="12" t="str">
        <f>IF(H69="","",IF(G69="是",后台计算!DX63,IF(G69="否",后台计算!DW63,"")))</f>
        <v/>
      </c>
      <c r="Q69" s="12" t="str">
        <f>IF(H69="","",IF(G69="是",后台计算!BV63-后台计算!DX63,IF(G69="否",后台计算!BU63-后台计算!DW63,"")))</f>
        <v/>
      </c>
      <c r="R69" s="12" t="str">
        <f t="shared" si="5"/>
        <v/>
      </c>
      <c r="S69" s="12" t="str">
        <f t="shared" si="6"/>
        <v/>
      </c>
      <c r="T69" s="1" t="str">
        <f>IF(AND(后台计算!DH63="洞穿",O69&gt;0),IF(O69=ROUNDDOWN(N69*0.4,0),"实测附加=floor(主伤害×40%)；稳态来源待确认","实测附加关系需核对"),"")</f>
        <v/>
      </c>
      <c r="U69" s="1">
        <f>IF(D69="","",后台计算!EQ63)</f>
        <v>133</v>
      </c>
      <c r="V69" s="11">
        <f>IF(D69="","",后台计算!ER63)</f>
        <v>0.9</v>
      </c>
      <c r="W69" s="11">
        <f>IF(D69="","",后台计算!ES63)</f>
        <v>0.6</v>
      </c>
      <c r="X69" s="1" t="str">
        <f>IF(D69="","",IF(Boss参数!$B$60=1,"此前实测；缺失用预测","此前预测"))</f>
        <v>此前实测；缺失用预测</v>
      </c>
      <c r="Y69" s="1" t="str">
        <f>IF(H69="","",IF(H69&gt;Boss参数!$B$63*Boss参数!$B$62,"超过暂定合计上限",""))</f>
        <v/>
      </c>
    </row>
    <row r="70" spans="1:25" ht="38.1" customHeight="1">
      <c r="A70" s="1">
        <f>行动模拟!A70</f>
        <v>62</v>
      </c>
      <c r="B70" s="1">
        <f>行动模拟!B70</f>
        <v>4</v>
      </c>
      <c r="C70" s="1">
        <f>行动模拟!C70</f>
        <v>2</v>
      </c>
      <c r="D70" s="1" t="str">
        <f>行动模拟!D70</f>
        <v>小瑞安侬｜悄冥冥术阵</v>
      </c>
      <c r="E70" s="9">
        <f>行动模拟!O70</f>
        <v>0</v>
      </c>
      <c r="F70" s="9">
        <f>行动模拟!P70</f>
        <v>0</v>
      </c>
      <c r="G70" s="1" t="str">
        <f>IF(行动模拟!D70="","",行动模拟!E70)</f>
        <v>—</v>
      </c>
      <c r="H70" s="9" t="str">
        <f>IF(COUNT(行动模拟!F70:H70)=0,"",SUM(行动模拟!F70:H70))</f>
        <v/>
      </c>
      <c r="I70" s="9" t="str">
        <f t="shared" si="0"/>
        <v/>
      </c>
      <c r="J70" s="9" t="str">
        <f t="shared" si="1"/>
        <v/>
      </c>
      <c r="K70" s="9" t="str">
        <f t="shared" si="2"/>
        <v/>
      </c>
      <c r="L70" s="10" t="str">
        <f t="shared" si="3"/>
        <v/>
      </c>
      <c r="M70" s="1" t="str">
        <f t="shared" si="4"/>
        <v/>
      </c>
      <c r="N70" s="12" t="str">
        <f>IF(ISNUMBER(行动模拟!F70),行动模拟!F70,"")</f>
        <v/>
      </c>
      <c r="O70" s="12" t="str">
        <f>IF(COUNT(行动模拟!G70:H70)=0,"",SUM(行动模拟!G70:H70))</f>
        <v/>
      </c>
      <c r="P70" s="12" t="str">
        <f>IF(H70="","",IF(G70="是",后台计算!DX64,IF(G70="否",后台计算!DW64,"")))</f>
        <v/>
      </c>
      <c r="Q70" s="12" t="str">
        <f>IF(H70="","",IF(G70="是",后台计算!BV64-后台计算!DX64,IF(G70="否",后台计算!BU64-后台计算!DW64,"")))</f>
        <v/>
      </c>
      <c r="R70" s="12" t="str">
        <f t="shared" si="5"/>
        <v/>
      </c>
      <c r="S70" s="12" t="str">
        <f t="shared" si="6"/>
        <v/>
      </c>
      <c r="T70" s="1" t="str">
        <f>IF(AND(后台计算!DH64="洞穿",O70&gt;0),IF(O70=ROUNDDOWN(N70*0.4,0),"实测附加=floor(主伤害×40%)；稳态来源待确认","实测附加关系需核对"),"")</f>
        <v/>
      </c>
      <c r="U70" s="1">
        <f>IF(D70="","",后台计算!EQ64)</f>
        <v>133</v>
      </c>
      <c r="V70" s="11">
        <f>IF(D70="","",后台计算!ER64)</f>
        <v>0.9</v>
      </c>
      <c r="W70" s="11">
        <f>IF(D70="","",后台计算!ES64)</f>
        <v>0.6</v>
      </c>
      <c r="X70" s="1" t="str">
        <f>IF(D70="","",IF(Boss参数!$B$60=1,"此前实测；缺失用预测","此前预测"))</f>
        <v>此前实测；缺失用预测</v>
      </c>
      <c r="Y70" s="1" t="str">
        <f>IF(H70="","",IF(H70&gt;Boss参数!$B$63*Boss参数!$B$62,"超过暂定合计上限",""))</f>
        <v/>
      </c>
    </row>
    <row r="71" spans="1:25" ht="38.1" customHeight="1">
      <c r="A71" s="1">
        <f>行动模拟!A71</f>
        <v>63</v>
      </c>
      <c r="B71" s="1">
        <f>行动模拟!B71</f>
        <v>4</v>
      </c>
      <c r="C71" s="1">
        <f>行动模拟!C71</f>
        <v>3</v>
      </c>
      <c r="D71" s="1" t="str">
        <f>行动模拟!D71</f>
        <v>小瑞安侬｜囫囵囵咒Ⅰ</v>
      </c>
      <c r="E71" s="9">
        <f>行动模拟!O71</f>
        <v>3114</v>
      </c>
      <c r="F71" s="9">
        <f>行动模拟!P71</f>
        <v>5326</v>
      </c>
      <c r="G71" s="1" t="str">
        <f>IF(行动模拟!D71="","",行动模拟!E71)</f>
        <v>是</v>
      </c>
      <c r="H71" s="9">
        <f>IF(COUNT(行动模拟!F71:H71)=0,"",SUM(行动模拟!F71:H71))</f>
        <v>5326</v>
      </c>
      <c r="I71" s="9">
        <f t="shared" si="0"/>
        <v>5326</v>
      </c>
      <c r="J71" s="9">
        <f t="shared" si="1"/>
        <v>0</v>
      </c>
      <c r="K71" s="9">
        <f t="shared" si="2"/>
        <v>0</v>
      </c>
      <c r="L71" s="10">
        <f t="shared" si="3"/>
        <v>0</v>
      </c>
      <c r="M71" s="1" t="str">
        <f t="shared" si="4"/>
        <v>数值差异≤3%；机制仍需核实</v>
      </c>
      <c r="N71" s="12">
        <f>IF(ISNUMBER(行动模拟!F71),行动模拟!F71,"")</f>
        <v>5326</v>
      </c>
      <c r="O71" s="12">
        <f>IF(COUNT(行动模拟!G71:H71)=0,"",SUM(行动模拟!G71:H71))</f>
        <v>0</v>
      </c>
      <c r="P71" s="12">
        <f>IF(H71="","",IF(G71="是",后台计算!DX65,IF(G71="否",后台计算!DW65,"")))</f>
        <v>5326</v>
      </c>
      <c r="Q71" s="12">
        <f>IF(H71="","",IF(G71="是",后台计算!BV65-后台计算!DX65,IF(G71="否",后台计算!BU65-后台计算!DW65,"")))</f>
        <v>0</v>
      </c>
      <c r="R71" s="12">
        <f t="shared" si="5"/>
        <v>0</v>
      </c>
      <c r="S71" s="12">
        <f t="shared" si="6"/>
        <v>0</v>
      </c>
      <c r="T71" s="1" t="str">
        <f>IF(AND(后台计算!DH65="洞穿",O71&gt;0),IF(O71=ROUNDDOWN(N71*0.4,0),"实测附加=floor(主伤害×40%)；稳态来源待确认","实测附加关系需核对"),"")</f>
        <v/>
      </c>
      <c r="U71" s="1">
        <f>IF(D71="","",后台计算!EQ65)</f>
        <v>133</v>
      </c>
      <c r="V71" s="11">
        <f>IF(D71="","",后台计算!ER65)</f>
        <v>0.9</v>
      </c>
      <c r="W71" s="11">
        <f>IF(D71="","",后台计算!ES65)</f>
        <v>0.6</v>
      </c>
      <c r="X71" s="1" t="str">
        <f>IF(D71="","",IF(Boss参数!$B$60=1,"此前实测；缺失用预测","此前预测"))</f>
        <v>此前实测；缺失用预测</v>
      </c>
      <c r="Y71" s="1" t="str">
        <f>IF(H71="","",IF(H71&gt;Boss参数!$B$63*Boss参数!$B$62,"超过暂定合计上限",""))</f>
        <v/>
      </c>
    </row>
    <row r="72" spans="1:25" ht="38.1" customHeight="1">
      <c r="A72" s="1">
        <f>行动模拟!A72</f>
        <v>64</v>
      </c>
      <c r="B72" s="1">
        <f>行动模拟!B72</f>
        <v>4</v>
      </c>
      <c r="C72" s="1">
        <f>行动模拟!C72</f>
        <v>4</v>
      </c>
      <c r="D72" s="1" t="str">
        <f>行动模拟!D72</f>
        <v>小瑞安侬｜囫囵囵咒Ⅰ</v>
      </c>
      <c r="E72" s="9">
        <f>行动模拟!O72</f>
        <v>4152</v>
      </c>
      <c r="F72" s="9">
        <f>行动模拟!P72</f>
        <v>7101</v>
      </c>
      <c r="G72" s="1" t="str">
        <f>IF(行动模拟!D72="","",行动模拟!E72)</f>
        <v>是</v>
      </c>
      <c r="H72" s="9">
        <f>IF(COUNT(行动模拟!F72:H72)=0,"",SUM(行动模拟!F72:H72))</f>
        <v>7101</v>
      </c>
      <c r="I72" s="9">
        <f t="shared" si="0"/>
        <v>7101</v>
      </c>
      <c r="J72" s="9">
        <f t="shared" si="1"/>
        <v>0</v>
      </c>
      <c r="K72" s="9">
        <f t="shared" si="2"/>
        <v>0</v>
      </c>
      <c r="L72" s="10">
        <f t="shared" si="3"/>
        <v>0</v>
      </c>
      <c r="M72" s="1" t="str">
        <f t="shared" si="4"/>
        <v>数值差异≤3%；机制仍需核实</v>
      </c>
      <c r="N72" s="12">
        <f>IF(ISNUMBER(行动模拟!F72),行动模拟!F72,"")</f>
        <v>7101</v>
      </c>
      <c r="O72" s="12">
        <f>IF(COUNT(行动模拟!G72:H72)=0,"",SUM(行动模拟!G72:H72))</f>
        <v>0</v>
      </c>
      <c r="P72" s="12">
        <f>IF(H72="","",IF(G72="是",后台计算!DX66,IF(G72="否",后台计算!DW66,"")))</f>
        <v>7101</v>
      </c>
      <c r="Q72" s="12">
        <f>IF(H72="","",IF(G72="是",后台计算!BV66-后台计算!DX66,IF(G72="否",后台计算!BU66-后台计算!DW66,"")))</f>
        <v>0</v>
      </c>
      <c r="R72" s="12">
        <f t="shared" si="5"/>
        <v>0</v>
      </c>
      <c r="S72" s="12">
        <f t="shared" si="6"/>
        <v>0</v>
      </c>
      <c r="T72" s="1" t="str">
        <f>IF(AND(后台计算!DH66="洞穿",O72&gt;0),IF(O72=ROUNDDOWN(N72*0.4,0),"实测附加=floor(主伤害×40%)；稳态来源待确认","实测附加关系需核对"),"")</f>
        <v/>
      </c>
      <c r="U72" s="1">
        <f>IF(D72="","",后台计算!EQ66)</f>
        <v>133</v>
      </c>
      <c r="V72" s="11">
        <f>IF(D72="","",后台计算!ER66)</f>
        <v>0.9</v>
      </c>
      <c r="W72" s="11">
        <f>IF(D72="","",后台计算!ES66)</f>
        <v>0.6</v>
      </c>
      <c r="X72" s="1" t="str">
        <f>IF(D72="","",IF(Boss参数!$B$60=1,"此前实测；缺失用预测","此前预测"))</f>
        <v>此前实测；缺失用预测</v>
      </c>
      <c r="Y72" s="1" t="str">
        <f>IF(H72="","",IF(H72&gt;Boss参数!$B$63*Boss参数!$B$62,"超过暂定合计上限",""))</f>
        <v/>
      </c>
    </row>
    <row r="73" spans="1:25" ht="38.1" customHeight="1">
      <c r="A73" s="1">
        <f>行动模拟!A73</f>
        <v>65</v>
      </c>
      <c r="B73" s="1">
        <f>行动模拟!B73</f>
        <v>4</v>
      </c>
      <c r="C73" s="1">
        <f>行动模拟!C73</f>
        <v>5</v>
      </c>
      <c r="D73" s="1" t="str">
        <f>行动模拟!D73</f>
        <v>37｜补充算式</v>
      </c>
      <c r="E73" s="9">
        <f>行动模拟!O73</f>
        <v>667</v>
      </c>
      <c r="F73" s="9">
        <f>行动模拟!P73</f>
        <v>1573</v>
      </c>
      <c r="G73" s="1" t="str">
        <f>IF(行动模拟!D73="","",行动模拟!E73)</f>
        <v>是</v>
      </c>
      <c r="H73" s="9">
        <f>IF(COUNT(行动模拟!F73:H73)=0,"",SUM(行动模拟!F73:H73))</f>
        <v>1573</v>
      </c>
      <c r="I73" s="9">
        <f t="shared" ref="I73:I136" si="7">IF(H73="","",IF(G73="是",F73,IF(G73="否",E73,"")))</f>
        <v>1573</v>
      </c>
      <c r="J73" s="9">
        <f t="shared" ref="J73:J136" si="8">IF(OR(H73="",I73=""),"",H73-I73)</f>
        <v>0</v>
      </c>
      <c r="K73" s="9">
        <f t="shared" ref="K73:K136" si="9">IF(J73="","",ABS(J73))</f>
        <v>0</v>
      </c>
      <c r="L73" s="10">
        <f t="shared" ref="L73:L136" si="10">IF(OR(H73="",I73=""),"",IF(H73=0,IF(I73=0,0,"实测为0"),ABS(J73)/H73))</f>
        <v>0</v>
      </c>
      <c r="M73" s="1" t="str">
        <f t="shared" ref="M73:M136" si="11">IF(H73="","",IF(AND(G73&lt;&gt;"是",G73&lt;&gt;"否"),"缺少暴击判定",IF(L73&gt;0.03,"存在差异：请看核对说明并核对行动状态","数值差异≤3%；机制仍需核实")))</f>
        <v>数值差异≤3%；机制仍需核实</v>
      </c>
      <c r="N73" s="12">
        <f>IF(ISNUMBER(行动模拟!F73),行动模拟!F73,"")</f>
        <v>1573</v>
      </c>
      <c r="O73" s="12">
        <f>IF(COUNT(行动模拟!G73:H73)=0,"",SUM(行动模拟!G73:H73))</f>
        <v>0</v>
      </c>
      <c r="P73" s="12">
        <f>IF(H73="","",IF(G73="是",后台计算!DX67,IF(G73="否",后台计算!DW67,"")))</f>
        <v>1573</v>
      </c>
      <c r="Q73" s="12">
        <f>IF(H73="","",IF(G73="是",后台计算!BV67-后台计算!DX67,IF(G73="否",后台计算!BU67-后台计算!DW67,"")))</f>
        <v>0</v>
      </c>
      <c r="R73" s="12">
        <f t="shared" ref="R73:R136" si="12">IF(OR(N73="",P73=""),"",N73-P73)</f>
        <v>0</v>
      </c>
      <c r="S73" s="12">
        <f t="shared" ref="S73:S136" si="13">IF(OR(O73="",Q73=""),"",O73-Q73)</f>
        <v>0</v>
      </c>
      <c r="T73" s="1" t="str">
        <f>IF(AND(后台计算!DH67="洞穿",O73&gt;0),IF(O73=ROUNDDOWN(N73*0.4,0),"实测附加=floor(主伤害×40%)；稳态来源待确认","实测附加关系需核对"),"")</f>
        <v/>
      </c>
      <c r="U73" s="1">
        <f>IF(D73="","",后台计算!EQ67)</f>
        <v>133</v>
      </c>
      <c r="V73" s="11">
        <f>IF(D73="","",后台计算!ER67)</f>
        <v>0.9</v>
      </c>
      <c r="W73" s="11">
        <f>IF(D73="","",后台计算!ES67)</f>
        <v>0.6</v>
      </c>
      <c r="X73" s="1" t="str">
        <f>IF(D73="","",IF(Boss参数!$B$60=1,"此前实测；缺失用预测","此前预测"))</f>
        <v>此前实测；缺失用预测</v>
      </c>
      <c r="Y73" s="1" t="str">
        <f>IF(H73="","",IF(H73&gt;Boss参数!$B$63*Boss参数!$B$62,"超过暂定合计上限",""))</f>
        <v/>
      </c>
    </row>
    <row r="74" spans="1:25" ht="38.1" customHeight="1">
      <c r="A74" s="1">
        <f>行动模拟!A74</f>
        <v>66</v>
      </c>
      <c r="B74" s="1">
        <f>行动模拟!B74</f>
        <v>4</v>
      </c>
      <c r="C74" s="1">
        <f>行动模拟!C74</f>
        <v>6</v>
      </c>
      <c r="D74" s="1" t="str">
        <f>行动模拟!D74</f>
        <v>红弩箭｜眼镜蛇机动</v>
      </c>
      <c r="E74" s="9">
        <f>行动模拟!O74</f>
        <v>0</v>
      </c>
      <c r="F74" s="9">
        <f>行动模拟!P74</f>
        <v>0</v>
      </c>
      <c r="G74" s="1" t="str">
        <f>IF(行动模拟!D74="","",行动模拟!E74)</f>
        <v>—</v>
      </c>
      <c r="H74" s="9" t="str">
        <f>IF(COUNT(行动模拟!F74:H74)=0,"",SUM(行动模拟!F74:H74))</f>
        <v/>
      </c>
      <c r="I74" s="9" t="str">
        <f t="shared" si="7"/>
        <v/>
      </c>
      <c r="J74" s="9" t="str">
        <f t="shared" si="8"/>
        <v/>
      </c>
      <c r="K74" s="9" t="str">
        <f t="shared" si="9"/>
        <v/>
      </c>
      <c r="L74" s="10" t="str">
        <f t="shared" si="10"/>
        <v/>
      </c>
      <c r="M74" s="1" t="str">
        <f t="shared" si="11"/>
        <v/>
      </c>
      <c r="N74" s="12" t="str">
        <f>IF(ISNUMBER(行动模拟!F74),行动模拟!F74,"")</f>
        <v/>
      </c>
      <c r="O74" s="12" t="str">
        <f>IF(COUNT(行动模拟!G74:H74)=0,"",SUM(行动模拟!G74:H74))</f>
        <v/>
      </c>
      <c r="P74" s="12" t="str">
        <f>IF(H74="","",IF(G74="是",后台计算!DX68,IF(G74="否",后台计算!DW68,"")))</f>
        <v/>
      </c>
      <c r="Q74" s="12" t="str">
        <f>IF(H74="","",IF(G74="是",后台计算!BV68-后台计算!DX68,IF(G74="否",后台计算!BU68-后台计算!DW68,"")))</f>
        <v/>
      </c>
      <c r="R74" s="12" t="str">
        <f t="shared" si="12"/>
        <v/>
      </c>
      <c r="S74" s="12" t="str">
        <f t="shared" si="13"/>
        <v/>
      </c>
      <c r="T74" s="1" t="str">
        <f>IF(AND(后台计算!DH68="洞穿",O74&gt;0),IF(O74=ROUNDDOWN(N74*0.4,0),"实测附加=floor(主伤害×40%)；稳态来源待确认","实测附加关系需核对"),"")</f>
        <v/>
      </c>
      <c r="U74" s="1">
        <f>IF(D74="","",后台计算!EQ68)</f>
        <v>133</v>
      </c>
      <c r="V74" s="11">
        <f>IF(D74="","",后台计算!ER68)</f>
        <v>0.9</v>
      </c>
      <c r="W74" s="11">
        <f>IF(D74="","",后台计算!ES68)</f>
        <v>0.6</v>
      </c>
      <c r="X74" s="1" t="str">
        <f>IF(D74="","",IF(Boss参数!$B$60=1,"此前实测；缺失用预测","此前预测"))</f>
        <v>此前实测；缺失用预测</v>
      </c>
      <c r="Y74" s="1" t="str">
        <f>IF(H74="","",IF(H74&gt;Boss参数!$B$63*Boss参数!$B$62,"超过暂定合计上限",""))</f>
        <v/>
      </c>
    </row>
    <row r="75" spans="1:25" ht="38.1" customHeight="1">
      <c r="A75" s="1">
        <f>行动模拟!A75</f>
        <v>67</v>
      </c>
      <c r="B75" s="1">
        <f>行动模拟!B75</f>
        <v>4</v>
      </c>
      <c r="C75" s="1">
        <f>行动模拟!C75</f>
        <v>7</v>
      </c>
      <c r="D75" s="1" t="str">
        <f>行动模拟!D75</f>
        <v>J｜飞跃海特街</v>
      </c>
      <c r="E75" s="9">
        <f>行动模拟!O75</f>
        <v>21612</v>
      </c>
      <c r="F75" s="9">
        <f>行动模拟!P75</f>
        <v>40566</v>
      </c>
      <c r="G75" s="1" t="str">
        <f>IF(行动模拟!D75="","",行动模拟!E75)</f>
        <v>否</v>
      </c>
      <c r="H75" s="9">
        <f>IF(COUNT(行动模拟!F75:H75)=0,"",SUM(行动模拟!F75:H75))</f>
        <v>21612</v>
      </c>
      <c r="I75" s="9">
        <f t="shared" si="7"/>
        <v>21612</v>
      </c>
      <c r="J75" s="9">
        <f t="shared" si="8"/>
        <v>0</v>
      </c>
      <c r="K75" s="9">
        <f t="shared" si="9"/>
        <v>0</v>
      </c>
      <c r="L75" s="10">
        <f t="shared" si="10"/>
        <v>0</v>
      </c>
      <c r="M75" s="1" t="str">
        <f t="shared" si="11"/>
        <v>数值差异≤3%；机制仍需核实</v>
      </c>
      <c r="N75" s="12">
        <f>IF(ISNUMBER(行动模拟!F75),行动模拟!F75,"")</f>
        <v>21612</v>
      </c>
      <c r="O75" s="12">
        <f>IF(COUNT(行动模拟!G75:H75)=0,"",SUM(行动模拟!G75:H75))</f>
        <v>0</v>
      </c>
      <c r="P75" s="12">
        <f>IF(H75="","",IF(G75="是",后台计算!DX69,IF(G75="否",后台计算!DW69,"")))</f>
        <v>21612</v>
      </c>
      <c r="Q75" s="12">
        <f>IF(H75="","",IF(G75="是",后台计算!BV69-后台计算!DX69,IF(G75="否",后台计算!BU69-后台计算!DW69,"")))</f>
        <v>0</v>
      </c>
      <c r="R75" s="12">
        <f t="shared" si="12"/>
        <v>0</v>
      </c>
      <c r="S75" s="12">
        <f t="shared" si="13"/>
        <v>0</v>
      </c>
      <c r="T75" s="1" t="str">
        <f>IF(AND(后台计算!DH69="洞穿",O75&gt;0),IF(O75=ROUNDDOWN(N75*0.4,0),"实测附加=floor(主伤害×40%)；稳态来源待确认","实测附加关系需核对"),"")</f>
        <v/>
      </c>
      <c r="U75" s="1">
        <f>IF(D75="","",后台计算!EQ69)</f>
        <v>133</v>
      </c>
      <c r="V75" s="11">
        <f>IF(D75="","",后台计算!ER69)</f>
        <v>0.9</v>
      </c>
      <c r="W75" s="11">
        <f>IF(D75="","",后台计算!ES69)</f>
        <v>0.6</v>
      </c>
      <c r="X75" s="1" t="str">
        <f>IF(D75="","",IF(Boss参数!$B$60=1,"此前实测；缺失用预测","此前预测"))</f>
        <v>此前实测；缺失用预测</v>
      </c>
      <c r="Y75" s="1" t="str">
        <f>IF(H75="","",IF(H75&gt;Boss参数!$B$63*Boss参数!$B$62,"超过暂定合计上限",""))</f>
        <v/>
      </c>
    </row>
    <row r="76" spans="1:25" ht="38.1" customHeight="1">
      <c r="A76" s="1">
        <f>行动模拟!A76</f>
        <v>68</v>
      </c>
      <c r="B76" s="1">
        <f>行动模拟!B76</f>
        <v>4</v>
      </c>
      <c r="C76" s="1">
        <f>行动模拟!C76</f>
        <v>8</v>
      </c>
      <c r="D76" s="1" t="str">
        <f>行动模拟!D76</f>
        <v>37｜数与几何的王国</v>
      </c>
      <c r="E76" s="9">
        <f>行动模拟!O76</f>
        <v>0</v>
      </c>
      <c r="F76" s="9">
        <f>行动模拟!P76</f>
        <v>0</v>
      </c>
      <c r="G76" s="1" t="str">
        <f>IF(行动模拟!D76="","",行动模拟!E76)</f>
        <v>—</v>
      </c>
      <c r="H76" s="9" t="str">
        <f>IF(COUNT(行动模拟!F76:H76)=0,"",SUM(行动模拟!F76:H76))</f>
        <v/>
      </c>
      <c r="I76" s="9" t="str">
        <f t="shared" si="7"/>
        <v/>
      </c>
      <c r="J76" s="9" t="str">
        <f t="shared" si="8"/>
        <v/>
      </c>
      <c r="K76" s="9" t="str">
        <f t="shared" si="9"/>
        <v/>
      </c>
      <c r="L76" s="10" t="str">
        <f t="shared" si="10"/>
        <v/>
      </c>
      <c r="M76" s="1" t="str">
        <f t="shared" si="11"/>
        <v/>
      </c>
      <c r="N76" s="12" t="str">
        <f>IF(ISNUMBER(行动模拟!F76),行动模拟!F76,"")</f>
        <v/>
      </c>
      <c r="O76" s="12" t="str">
        <f>IF(COUNT(行动模拟!G76:H76)=0,"",SUM(行动模拟!G76:H76))</f>
        <v/>
      </c>
      <c r="P76" s="12" t="str">
        <f>IF(H76="","",IF(G76="是",后台计算!DX70,IF(G76="否",后台计算!DW70,"")))</f>
        <v/>
      </c>
      <c r="Q76" s="12" t="str">
        <f>IF(H76="","",IF(G76="是",后台计算!BV70-后台计算!DX70,IF(G76="否",后台计算!BU70-后台计算!DW70,"")))</f>
        <v/>
      </c>
      <c r="R76" s="12" t="str">
        <f t="shared" si="12"/>
        <v/>
      </c>
      <c r="S76" s="12" t="str">
        <f t="shared" si="13"/>
        <v/>
      </c>
      <c r="T76" s="1" t="str">
        <f>IF(AND(后台计算!DH70="洞穿",O76&gt;0),IF(O76=ROUNDDOWN(N76*0.4,0),"实测附加=floor(主伤害×40%)；稳态来源待确认","实测附加关系需核对"),"")</f>
        <v/>
      </c>
      <c r="U76" s="1">
        <f>IF(D76="","",后台计算!EQ70)</f>
        <v>133</v>
      </c>
      <c r="V76" s="11">
        <f>IF(D76="","",后台计算!ER70)</f>
        <v>0.9</v>
      </c>
      <c r="W76" s="11">
        <f>IF(D76="","",后台计算!ES70)</f>
        <v>0.6</v>
      </c>
      <c r="X76" s="1" t="str">
        <f>IF(D76="","",IF(Boss参数!$B$60=1,"此前实测；缺失用预测","此前预测"))</f>
        <v>此前实测；缺失用预测</v>
      </c>
      <c r="Y76" s="1" t="str">
        <f>IF(H76="","",IF(H76&gt;Boss参数!$B$63*Boss参数!$B$62,"超过暂定合计上限",""))</f>
        <v/>
      </c>
    </row>
    <row r="77" spans="1:25" ht="38.1" customHeight="1">
      <c r="A77" s="1">
        <f>行动模拟!A77</f>
        <v>69</v>
      </c>
      <c r="B77" s="1">
        <f>行动模拟!B77</f>
        <v>4</v>
      </c>
      <c r="C77" s="1">
        <f>行动模拟!C77</f>
        <v>9</v>
      </c>
      <c r="D77" s="1" t="str">
        <f>行动模拟!D77</f>
        <v>37｜补充算式</v>
      </c>
      <c r="E77" s="9">
        <f>行动模拟!O77</f>
        <v>4068</v>
      </c>
      <c r="F77" s="9">
        <f>行动模拟!P77</f>
        <v>9675</v>
      </c>
      <c r="G77" s="1" t="str">
        <f>IF(行动模拟!D77="","",行动模拟!E77)</f>
        <v>是</v>
      </c>
      <c r="H77" s="9">
        <f>IF(COUNT(行动模拟!F77:H77)=0,"",SUM(行动模拟!F77:H77))</f>
        <v>9675</v>
      </c>
      <c r="I77" s="9">
        <f t="shared" si="7"/>
        <v>9675</v>
      </c>
      <c r="J77" s="9">
        <f t="shared" si="8"/>
        <v>0</v>
      </c>
      <c r="K77" s="9">
        <f t="shared" si="9"/>
        <v>0</v>
      </c>
      <c r="L77" s="10">
        <f t="shared" si="10"/>
        <v>0</v>
      </c>
      <c r="M77" s="1" t="str">
        <f t="shared" si="11"/>
        <v>数值差异≤3%；机制仍需核实</v>
      </c>
      <c r="N77" s="12">
        <f>IF(ISNUMBER(行动模拟!F77),行动模拟!F77,"")</f>
        <v>5494</v>
      </c>
      <c r="O77" s="12">
        <f>IF(COUNT(行动模拟!G77:H77)=0,"",SUM(行动模拟!G77:H77))</f>
        <v>4181</v>
      </c>
      <c r="P77" s="12">
        <f>IF(H77="","",IF(G77="是",后台计算!DX71,IF(G77="否",后台计算!DW71,"")))</f>
        <v>5494</v>
      </c>
      <c r="Q77" s="12">
        <f>IF(H77="","",IF(G77="是",后台计算!BV71-后台计算!DX71,IF(G77="否",后台计算!BU71-后台计算!DW71,"")))</f>
        <v>4181</v>
      </c>
      <c r="R77" s="12">
        <f t="shared" si="12"/>
        <v>0</v>
      </c>
      <c r="S77" s="12">
        <f t="shared" si="13"/>
        <v>0</v>
      </c>
      <c r="T77" s="1" t="str">
        <f>IF(AND(后台计算!DH71="洞穿",O77&gt;0),IF(O77=ROUNDDOWN(N77*0.4,0),"实测附加=floor(主伤害×40%)；稳态来源待确认","实测附加关系需核对"),"")</f>
        <v/>
      </c>
      <c r="U77" s="1">
        <f>IF(D77="","",后台计算!EQ71)</f>
        <v>133</v>
      </c>
      <c r="V77" s="11">
        <f>IF(D77="","",后台计算!ER71)</f>
        <v>0.9</v>
      </c>
      <c r="W77" s="11">
        <f>IF(D77="","",后台计算!ES71)</f>
        <v>0.6</v>
      </c>
      <c r="X77" s="1" t="str">
        <f>IF(D77="","",IF(Boss参数!$B$60=1,"此前实测；缺失用预测","此前预测"))</f>
        <v>此前实测；缺失用预测</v>
      </c>
      <c r="Y77" s="1" t="str">
        <f>IF(H77="","",IF(H77&gt;Boss参数!$B$63*Boss参数!$B$62,"超过暂定合计上限",""))</f>
        <v/>
      </c>
    </row>
    <row r="78" spans="1:25" ht="38.1" customHeight="1">
      <c r="A78" s="1">
        <f>行动模拟!A78</f>
        <v>70</v>
      </c>
      <c r="B78" s="1">
        <f>行动模拟!B78</f>
        <v>4</v>
      </c>
      <c r="C78" s="1">
        <f>行动模拟!C78</f>
        <v>10</v>
      </c>
      <c r="D78" s="1" t="str">
        <f>行动模拟!D78</f>
        <v>红弩箭｜极限俯冲Ⅱ</v>
      </c>
      <c r="E78" s="9">
        <f>行动模拟!O78</f>
        <v>56373</v>
      </c>
      <c r="F78" s="9">
        <f>行动模拟!P78</f>
        <v>124304</v>
      </c>
      <c r="G78" s="1" t="str">
        <f>IF(行动模拟!D78="","",行动模拟!E78)</f>
        <v>是</v>
      </c>
      <c r="H78" s="9">
        <f>IF(COUNT(行动模拟!F78:H78)=0,"",SUM(行动模拟!F78:H78))</f>
        <v>124304</v>
      </c>
      <c r="I78" s="9">
        <f t="shared" si="7"/>
        <v>124304</v>
      </c>
      <c r="J78" s="9">
        <f t="shared" si="8"/>
        <v>0</v>
      </c>
      <c r="K78" s="9">
        <f t="shared" si="9"/>
        <v>0</v>
      </c>
      <c r="L78" s="10">
        <f t="shared" si="10"/>
        <v>0</v>
      </c>
      <c r="M78" s="1" t="str">
        <f t="shared" si="11"/>
        <v>数值差异≤3%；机制仍需核实</v>
      </c>
      <c r="N78" s="12">
        <f>IF(ISNUMBER(行动模拟!F78),行动模拟!F78,"")</f>
        <v>124304</v>
      </c>
      <c r="O78" s="12">
        <f>IF(COUNT(行动模拟!G78:H78)=0,"",SUM(行动模拟!G78:H78))</f>
        <v>0</v>
      </c>
      <c r="P78" s="12">
        <f>IF(H78="","",IF(G78="是",后台计算!DX72,IF(G78="否",后台计算!DW72,"")))</f>
        <v>124304</v>
      </c>
      <c r="Q78" s="12">
        <f>IF(H78="","",IF(G78="是",后台计算!BV72-后台计算!DX72,IF(G78="否",后台计算!BU72-后台计算!DW72,"")))</f>
        <v>0</v>
      </c>
      <c r="R78" s="12">
        <f t="shared" si="12"/>
        <v>0</v>
      </c>
      <c r="S78" s="12">
        <f t="shared" si="13"/>
        <v>0</v>
      </c>
      <c r="T78" s="1" t="str">
        <f>IF(AND(后台计算!DH72="洞穿",O78&gt;0),IF(O78=ROUNDDOWN(N78*0.4,0),"实测附加=floor(主伤害×40%)；稳态来源待确认","实测附加关系需核对"),"")</f>
        <v/>
      </c>
      <c r="U78" s="1">
        <f>IF(D78="","",后台计算!EQ72)</f>
        <v>133</v>
      </c>
      <c r="V78" s="11">
        <f>IF(D78="","",后台计算!ER72)</f>
        <v>0.9</v>
      </c>
      <c r="W78" s="11">
        <f>IF(D78="","",后台计算!ES72)</f>
        <v>0.6</v>
      </c>
      <c r="X78" s="1" t="str">
        <f>IF(D78="","",IF(Boss参数!$B$60=1,"此前实测；缺失用预测","此前预测"))</f>
        <v>此前实测；缺失用预测</v>
      </c>
      <c r="Y78" s="1" t="str">
        <f>IF(H78="","",IF(H78&gt;Boss参数!$B$63*Boss参数!$B$62,"超过暂定合计上限",""))</f>
        <v/>
      </c>
    </row>
    <row r="79" spans="1:25" ht="38.1" customHeight="1">
      <c r="A79" s="1">
        <f>行动模拟!A79</f>
        <v>71</v>
      </c>
      <c r="B79" s="1">
        <f>行动模拟!B79</f>
        <v>4</v>
      </c>
      <c r="C79" s="1">
        <f>行动模拟!C79</f>
        <v>11</v>
      </c>
      <c r="D79" s="1" t="str">
        <f>行动模拟!D79</f>
        <v>37｜曲线映射Ⅰ</v>
      </c>
      <c r="E79" s="9">
        <f>行动模拟!O79</f>
        <v>2484</v>
      </c>
      <c r="F79" s="9">
        <f>行动模拟!P79</f>
        <v>5908</v>
      </c>
      <c r="G79" s="1" t="str">
        <f>IF(行动模拟!D79="","",行动模拟!E79)</f>
        <v>是</v>
      </c>
      <c r="H79" s="9">
        <f>IF(COUNT(行动模拟!F79:H79)=0,"",SUM(行动模拟!F79:H79))</f>
        <v>5908</v>
      </c>
      <c r="I79" s="9">
        <f t="shared" si="7"/>
        <v>5908</v>
      </c>
      <c r="J79" s="9">
        <f t="shared" si="8"/>
        <v>0</v>
      </c>
      <c r="K79" s="9">
        <f t="shared" si="9"/>
        <v>0</v>
      </c>
      <c r="L79" s="10">
        <f t="shared" si="10"/>
        <v>0</v>
      </c>
      <c r="M79" s="1" t="str">
        <f t="shared" si="11"/>
        <v>数值差异≤3%；机制仍需核实</v>
      </c>
      <c r="N79" s="12">
        <f>IF(ISNUMBER(行动模拟!F79),行动模拟!F79,"")</f>
        <v>2564</v>
      </c>
      <c r="O79" s="12">
        <f>IF(COUNT(行动模拟!G79:H79)=0,"",SUM(行动模拟!G79:H79))</f>
        <v>3344</v>
      </c>
      <c r="P79" s="12">
        <f>IF(H79="","",IF(G79="是",后台计算!DX73,IF(G79="否",后台计算!DW73,"")))</f>
        <v>2564</v>
      </c>
      <c r="Q79" s="12">
        <f>IF(H79="","",IF(G79="是",后台计算!BV73-后台计算!DX73,IF(G79="否",后台计算!BU73-后台计算!DW73,"")))</f>
        <v>3344</v>
      </c>
      <c r="R79" s="12">
        <f t="shared" si="12"/>
        <v>0</v>
      </c>
      <c r="S79" s="12">
        <f t="shared" si="13"/>
        <v>0</v>
      </c>
      <c r="T79" s="1" t="str">
        <f>IF(AND(后台计算!DH73="洞穿",O79&gt;0),IF(O79=ROUNDDOWN(N79*0.4,0),"实测附加=floor(主伤害×40%)；稳态来源待确认","实测附加关系需核对"),"")</f>
        <v/>
      </c>
      <c r="U79" s="1">
        <f>IF(D79="","",后台计算!EQ73)</f>
        <v>135</v>
      </c>
      <c r="V79" s="11">
        <f>IF(D79="","",后台计算!ER73)</f>
        <v>0.9</v>
      </c>
      <c r="W79" s="11">
        <f>IF(D79="","",后台计算!ES73)</f>
        <v>0.6</v>
      </c>
      <c r="X79" s="1" t="str">
        <f>IF(D79="","",IF(Boss参数!$B$60=1,"此前实测；缺失用预测","此前预测"))</f>
        <v>此前实测；缺失用预测</v>
      </c>
      <c r="Y79" s="1" t="str">
        <f>IF(H79="","",IF(H79&gt;Boss参数!$B$63*Boss参数!$B$62,"超过暂定合计上限",""))</f>
        <v/>
      </c>
    </row>
    <row r="80" spans="1:25" ht="38.1" customHeight="1">
      <c r="A80" s="1">
        <f>行动模拟!A80</f>
        <v>72</v>
      </c>
      <c r="B80" s="1">
        <f>行动模拟!B80</f>
        <v>4</v>
      </c>
      <c r="C80" s="1">
        <f>行动模拟!C80</f>
        <v>12</v>
      </c>
      <c r="D80" s="1" t="str">
        <f>行动模拟!D80</f>
        <v>J｜高温回火</v>
      </c>
      <c r="E80" s="9">
        <f>行动模拟!O80</f>
        <v>3993</v>
      </c>
      <c r="F80" s="9">
        <f>行动模拟!P80</f>
        <v>4392</v>
      </c>
      <c r="G80" s="1" t="str">
        <f>IF(行动模拟!D80="","",行动模拟!E80)</f>
        <v>是</v>
      </c>
      <c r="H80" s="9">
        <f>IF(COUNT(行动模拟!F80:H80)=0,"",SUM(行动模拟!F80:H80))</f>
        <v>4392</v>
      </c>
      <c r="I80" s="9">
        <f t="shared" si="7"/>
        <v>4392</v>
      </c>
      <c r="J80" s="9">
        <f t="shared" si="8"/>
        <v>0</v>
      </c>
      <c r="K80" s="9">
        <f t="shared" si="9"/>
        <v>0</v>
      </c>
      <c r="L80" s="10">
        <f t="shared" si="10"/>
        <v>0</v>
      </c>
      <c r="M80" s="1" t="str">
        <f t="shared" si="11"/>
        <v>数值差异≤3%；机制仍需核实</v>
      </c>
      <c r="N80" s="12">
        <f>IF(ISNUMBER(行动模拟!F80),行动模拟!F80,"")</f>
        <v>4392</v>
      </c>
      <c r="O80" s="12">
        <f>IF(COUNT(行动模拟!G80:H80)=0,"",SUM(行动模拟!G80:H80))</f>
        <v>0</v>
      </c>
      <c r="P80" s="12">
        <f>IF(H80="","",IF(G80="是",后台计算!DX74,IF(G80="否",后台计算!DW74,"")))</f>
        <v>4392</v>
      </c>
      <c r="Q80" s="12">
        <f>IF(H80="","",IF(G80="是",后台计算!BV74-后台计算!DX74,IF(G80="否",后台计算!BU74-后台计算!DW74,"")))</f>
        <v>0</v>
      </c>
      <c r="R80" s="12">
        <f t="shared" si="12"/>
        <v>0</v>
      </c>
      <c r="S80" s="12">
        <f t="shared" si="13"/>
        <v>0</v>
      </c>
      <c r="T80" s="1" t="str">
        <f>IF(AND(后台计算!DH74="洞穿",O80&gt;0),IF(O80=ROUNDDOWN(N80*0.4,0),"实测附加=floor(主伤害×40%)；稳态来源待确认","实测附加关系需核对"),"")</f>
        <v/>
      </c>
      <c r="U80" s="1">
        <f>IF(D80="","",后台计算!EQ74)</f>
        <v>135</v>
      </c>
      <c r="V80" s="11">
        <f>IF(D80="","",后台计算!ER74)</f>
        <v>0.9</v>
      </c>
      <c r="W80" s="11">
        <f>IF(D80="","",后台计算!ES74)</f>
        <v>0.6</v>
      </c>
      <c r="X80" s="1" t="str">
        <f>IF(D80="","",IF(Boss参数!$B$60=1,"此前实测；缺失用预测","此前预测"))</f>
        <v>此前实测；缺失用预测</v>
      </c>
      <c r="Y80" s="1" t="str">
        <f>IF(H80="","",IF(H80&gt;Boss参数!$B$63*Boss参数!$B$62,"超过暂定合计上限",""))</f>
        <v/>
      </c>
    </row>
    <row r="81" spans="1:25" ht="38.1" customHeight="1">
      <c r="A81" s="1">
        <f>行动模拟!A81</f>
        <v>73</v>
      </c>
      <c r="B81" s="1">
        <f>行动模拟!B81</f>
        <v>4</v>
      </c>
      <c r="C81" s="1">
        <f>行动模拟!C81</f>
        <v>13</v>
      </c>
      <c r="D81" s="1" t="str">
        <f>行动模拟!D81</f>
        <v>J｜高温回火</v>
      </c>
      <c r="E81" s="9">
        <f>行动模拟!O81</f>
        <v>5324</v>
      </c>
      <c r="F81" s="9">
        <f>行动模拟!P81</f>
        <v>5856</v>
      </c>
      <c r="G81" s="1" t="str">
        <f>IF(行动模拟!D81="","",行动模拟!E81)</f>
        <v>否</v>
      </c>
      <c r="H81" s="9">
        <f>IF(COUNT(行动模拟!F81:H81)=0,"",SUM(行动模拟!F81:H81))</f>
        <v>5324</v>
      </c>
      <c r="I81" s="9">
        <f t="shared" si="7"/>
        <v>5324</v>
      </c>
      <c r="J81" s="9">
        <f t="shared" si="8"/>
        <v>0</v>
      </c>
      <c r="K81" s="9">
        <f t="shared" si="9"/>
        <v>0</v>
      </c>
      <c r="L81" s="10">
        <f t="shared" si="10"/>
        <v>0</v>
      </c>
      <c r="M81" s="1" t="str">
        <f t="shared" si="11"/>
        <v>数值差异≤3%；机制仍需核实</v>
      </c>
      <c r="N81" s="12">
        <f>IF(ISNUMBER(行动模拟!F81),行动模拟!F81,"")</f>
        <v>5324</v>
      </c>
      <c r="O81" s="12">
        <f>IF(COUNT(行动模拟!G81:H81)=0,"",SUM(行动模拟!G81:H81))</f>
        <v>0</v>
      </c>
      <c r="P81" s="12">
        <f>IF(H81="","",IF(G81="是",后台计算!DX75,IF(G81="否",后台计算!DW75,"")))</f>
        <v>5324</v>
      </c>
      <c r="Q81" s="12">
        <f>IF(H81="","",IF(G81="是",后台计算!BV75-后台计算!DX75,IF(G81="否",后台计算!BU75-后台计算!DW75,"")))</f>
        <v>0</v>
      </c>
      <c r="R81" s="12">
        <f t="shared" si="12"/>
        <v>0</v>
      </c>
      <c r="S81" s="12">
        <f t="shared" si="13"/>
        <v>0</v>
      </c>
      <c r="T81" s="1" t="str">
        <f>IF(AND(后台计算!DH75="洞穿",O81&gt;0),IF(O81=ROUNDDOWN(N81*0.4,0),"实测附加=floor(主伤害×40%)；稳态来源待确认","实测附加关系需核对"),"")</f>
        <v/>
      </c>
      <c r="U81" s="1">
        <f>IF(D81="","",后台计算!EQ75)</f>
        <v>135</v>
      </c>
      <c r="V81" s="11">
        <f>IF(D81="","",后台计算!ER75)</f>
        <v>0.9</v>
      </c>
      <c r="W81" s="11">
        <f>IF(D81="","",后台计算!ES75)</f>
        <v>0.6</v>
      </c>
      <c r="X81" s="1" t="str">
        <f>IF(D81="","",IF(Boss参数!$B$60=1,"此前实测；缺失用预测","此前预测"))</f>
        <v>此前实测；缺失用预测</v>
      </c>
      <c r="Y81" s="1" t="str">
        <f>IF(H81="","",IF(H81&gt;Boss参数!$B$63*Boss参数!$B$62,"超过暂定合计上限",""))</f>
        <v/>
      </c>
    </row>
    <row r="82" spans="1:25" ht="38.1" customHeight="1">
      <c r="A82" s="1">
        <f>行动模拟!A82</f>
        <v>74</v>
      </c>
      <c r="B82" s="1">
        <f>行动模拟!B82</f>
        <v>4</v>
      </c>
      <c r="C82" s="1">
        <f>行动模拟!C82</f>
        <v>14</v>
      </c>
      <c r="D82" s="1" t="str">
        <f>行动模拟!D82</f>
        <v>J｜高温回火</v>
      </c>
      <c r="E82" s="9">
        <f>行动模拟!O82</f>
        <v>6655</v>
      </c>
      <c r="F82" s="9">
        <f>行动模拟!P82</f>
        <v>7321</v>
      </c>
      <c r="G82" s="1" t="str">
        <f>IF(行动模拟!D82="","",行动模拟!E82)</f>
        <v>否</v>
      </c>
      <c r="H82" s="9">
        <f>IF(COUNT(行动模拟!F82:H82)=0,"",SUM(行动模拟!F82:H82))</f>
        <v>6655</v>
      </c>
      <c r="I82" s="9">
        <f t="shared" si="7"/>
        <v>6655</v>
      </c>
      <c r="J82" s="9">
        <f t="shared" si="8"/>
        <v>0</v>
      </c>
      <c r="K82" s="9">
        <f t="shared" si="9"/>
        <v>0</v>
      </c>
      <c r="L82" s="10">
        <f t="shared" si="10"/>
        <v>0</v>
      </c>
      <c r="M82" s="1" t="str">
        <f t="shared" si="11"/>
        <v>数值差异≤3%；机制仍需核实</v>
      </c>
      <c r="N82" s="12">
        <f>IF(ISNUMBER(行动模拟!F82),行动模拟!F82,"")</f>
        <v>6655</v>
      </c>
      <c r="O82" s="12">
        <f>IF(COUNT(行动模拟!G82:H82)=0,"",SUM(行动模拟!G82:H82))</f>
        <v>0</v>
      </c>
      <c r="P82" s="12">
        <f>IF(H82="","",IF(G82="是",后台计算!DX76,IF(G82="否",后台计算!DW76,"")))</f>
        <v>6655</v>
      </c>
      <c r="Q82" s="12">
        <f>IF(H82="","",IF(G82="是",后台计算!BV76-后台计算!DX76,IF(G82="否",后台计算!BU76-后台计算!DW76,"")))</f>
        <v>0</v>
      </c>
      <c r="R82" s="12">
        <f t="shared" si="12"/>
        <v>0</v>
      </c>
      <c r="S82" s="12">
        <f t="shared" si="13"/>
        <v>0</v>
      </c>
      <c r="T82" s="1" t="str">
        <f>IF(AND(后台计算!DH76="洞穿",O82&gt;0),IF(O82=ROUNDDOWN(N82*0.4,0),"实测附加=floor(主伤害×40%)；稳态来源待确认","实测附加关系需核对"),"")</f>
        <v/>
      </c>
      <c r="U82" s="1">
        <f>IF(D82="","",后台计算!EQ76)</f>
        <v>135</v>
      </c>
      <c r="V82" s="11">
        <f>IF(D82="","",后台计算!ER76)</f>
        <v>0.9</v>
      </c>
      <c r="W82" s="11">
        <f>IF(D82="","",后台计算!ES76)</f>
        <v>0.6</v>
      </c>
      <c r="X82" s="1" t="str">
        <f>IF(D82="","",IF(Boss参数!$B$60=1,"此前实测；缺失用预测","此前预测"))</f>
        <v>此前实测；缺失用预测</v>
      </c>
      <c r="Y82" s="1" t="str">
        <f>IF(H82="","",IF(H82&gt;Boss参数!$B$63*Boss参数!$B$62,"超过暂定合计上限",""))</f>
        <v/>
      </c>
    </row>
    <row r="83" spans="1:25" ht="38.1" customHeight="1">
      <c r="A83" s="1">
        <f>行动模拟!A83</f>
        <v>75</v>
      </c>
      <c r="B83" s="1">
        <f>行动模拟!B83</f>
        <v>4</v>
      </c>
      <c r="C83" s="1">
        <f>行动模拟!C83</f>
        <v>15</v>
      </c>
      <c r="D83" s="1" t="str">
        <f>行动模拟!D83</f>
        <v>37｜补充算式</v>
      </c>
      <c r="E83" s="9">
        <f>行动模拟!O83</f>
        <v>1121</v>
      </c>
      <c r="F83" s="9">
        <f>行动模拟!P83</f>
        <v>2666</v>
      </c>
      <c r="G83" s="1" t="str">
        <f>IF(行动模拟!D83="","",行动模拟!E83)</f>
        <v>否</v>
      </c>
      <c r="H83" s="9">
        <f>IF(COUNT(行动模拟!F83:H83)=0,"",SUM(行动模拟!F83:H83))</f>
        <v>1121</v>
      </c>
      <c r="I83" s="9">
        <f t="shared" si="7"/>
        <v>1121</v>
      </c>
      <c r="J83" s="9">
        <f t="shared" si="8"/>
        <v>0</v>
      </c>
      <c r="K83" s="9">
        <f t="shared" si="9"/>
        <v>0</v>
      </c>
      <c r="L83" s="10">
        <f t="shared" si="10"/>
        <v>0</v>
      </c>
      <c r="M83" s="1" t="str">
        <f t="shared" si="11"/>
        <v>数值差异≤3%；机制仍需核实</v>
      </c>
      <c r="N83" s="12">
        <f>IF(ISNUMBER(行动模拟!F83),行动模拟!F83,"")</f>
        <v>1121</v>
      </c>
      <c r="O83" s="12">
        <f>IF(COUNT(行动模拟!G83:H83)=0,"",SUM(行动模拟!G83:H83))</f>
        <v>0</v>
      </c>
      <c r="P83" s="12">
        <f>IF(H83="","",IF(G83="是",后台计算!DX77,IF(G83="否",后台计算!DW77,"")))</f>
        <v>1121</v>
      </c>
      <c r="Q83" s="12">
        <f>IF(H83="","",IF(G83="是",后台计算!BV77-后台计算!DX77,IF(G83="否",后台计算!BU77-后台计算!DW77,"")))</f>
        <v>0</v>
      </c>
      <c r="R83" s="12">
        <f t="shared" si="12"/>
        <v>0</v>
      </c>
      <c r="S83" s="12">
        <f t="shared" si="13"/>
        <v>0</v>
      </c>
      <c r="T83" s="1" t="str">
        <f>IF(AND(后台计算!DH77="洞穿",O83&gt;0),IF(O83=ROUNDDOWN(N83*0.4,0),"实测附加=floor(主伤害×40%)；稳态来源待确认","实测附加关系需核对"),"")</f>
        <v/>
      </c>
      <c r="U83" s="1">
        <f>IF(D83="","",后台计算!EQ77)</f>
        <v>135</v>
      </c>
      <c r="V83" s="11">
        <f>IF(D83="","",后台计算!ER77)</f>
        <v>0.9</v>
      </c>
      <c r="W83" s="11">
        <f>IF(D83="","",后台计算!ES77)</f>
        <v>0.6</v>
      </c>
      <c r="X83" s="1" t="str">
        <f>IF(D83="","",IF(Boss参数!$B$60=1,"此前实测；缺失用预测","此前预测"))</f>
        <v>此前实测；缺失用预测</v>
      </c>
      <c r="Y83" s="1" t="str">
        <f>IF(H83="","",IF(H83&gt;Boss参数!$B$63*Boss参数!$B$62,"超过暂定合计上限",""))</f>
        <v/>
      </c>
    </row>
    <row r="84" spans="1:25" ht="38.1" customHeight="1">
      <c r="A84" s="1">
        <f>行动模拟!A84</f>
        <v>76</v>
      </c>
      <c r="B84" s="1">
        <f>行动模拟!B84</f>
        <v>4</v>
      </c>
      <c r="C84" s="1">
        <f>行动模拟!C84</f>
        <v>16</v>
      </c>
      <c r="D84" s="1" t="str">
        <f>行动模拟!D84</f>
        <v>J｜高温回火</v>
      </c>
      <c r="E84" s="9">
        <f>行动模拟!O84</f>
        <v>6655</v>
      </c>
      <c r="F84" s="9">
        <f>行动模拟!P84</f>
        <v>7321</v>
      </c>
      <c r="G84" s="1" t="str">
        <f>IF(行动模拟!D84="","",行动模拟!E84)</f>
        <v>是</v>
      </c>
      <c r="H84" s="9">
        <f>IF(COUNT(行动模拟!F84:H84)=0,"",SUM(行动模拟!F84:H84))</f>
        <v>7321</v>
      </c>
      <c r="I84" s="9">
        <f t="shared" si="7"/>
        <v>7321</v>
      </c>
      <c r="J84" s="9">
        <f t="shared" si="8"/>
        <v>0</v>
      </c>
      <c r="K84" s="9">
        <f t="shared" si="9"/>
        <v>0</v>
      </c>
      <c r="L84" s="10">
        <f t="shared" si="10"/>
        <v>0</v>
      </c>
      <c r="M84" s="1" t="str">
        <f t="shared" si="11"/>
        <v>数值差异≤3%；机制仍需核实</v>
      </c>
      <c r="N84" s="12">
        <f>IF(ISNUMBER(行动模拟!F84),行动模拟!F84,"")</f>
        <v>7321</v>
      </c>
      <c r="O84" s="12">
        <f>IF(COUNT(行动模拟!G84:H84)=0,"",SUM(行动模拟!G84:H84))</f>
        <v>0</v>
      </c>
      <c r="P84" s="12">
        <f>IF(H84="","",IF(G84="是",后台计算!DX78,IF(G84="否",后台计算!DW78,"")))</f>
        <v>7321</v>
      </c>
      <c r="Q84" s="12">
        <f>IF(H84="","",IF(G84="是",后台计算!BV78-后台计算!DX78,IF(G84="否",后台计算!BU78-后台计算!DW78,"")))</f>
        <v>0</v>
      </c>
      <c r="R84" s="12">
        <f t="shared" si="12"/>
        <v>0</v>
      </c>
      <c r="S84" s="12">
        <f t="shared" si="13"/>
        <v>0</v>
      </c>
      <c r="T84" s="1" t="str">
        <f>IF(AND(后台计算!DH78="洞穿",O84&gt;0),IF(O84=ROUNDDOWN(N84*0.4,0),"实测附加=floor(主伤害×40%)；稳态来源待确认","实测附加关系需核对"),"")</f>
        <v/>
      </c>
      <c r="U84" s="1">
        <f>IF(D84="","",后台计算!EQ78)</f>
        <v>135</v>
      </c>
      <c r="V84" s="11">
        <f>IF(D84="","",后台计算!ER78)</f>
        <v>0.9</v>
      </c>
      <c r="W84" s="11">
        <f>IF(D84="","",后台计算!ES78)</f>
        <v>0.6</v>
      </c>
      <c r="X84" s="1" t="str">
        <f>IF(D84="","",IF(Boss参数!$B$60=1,"此前实测；缺失用预测","此前预测"))</f>
        <v>此前实测；缺失用预测</v>
      </c>
      <c r="Y84" s="1" t="str">
        <f>IF(H84="","",IF(H84&gt;Boss参数!$B$63*Boss参数!$B$62,"超过暂定合计上限",""))</f>
        <v/>
      </c>
    </row>
    <row r="85" spans="1:25" ht="38.1" customHeight="1">
      <c r="A85" s="1">
        <f>行动模拟!A85</f>
        <v>77</v>
      </c>
      <c r="B85" s="1">
        <f>行动模拟!B85</f>
        <v>5</v>
      </c>
      <c r="C85" s="1">
        <f>行动模拟!C85</f>
        <v>1</v>
      </c>
      <c r="D85" s="1" t="str">
        <f>行动模拟!D85</f>
        <v>小瑞安侬｜悄冥冥术阵</v>
      </c>
      <c r="E85" s="9">
        <f>行动模拟!O85</f>
        <v>0</v>
      </c>
      <c r="F85" s="9">
        <f>行动模拟!P85</f>
        <v>0</v>
      </c>
      <c r="G85" s="1" t="str">
        <f>IF(行动模拟!D85="","",行动模拟!E85)</f>
        <v>—</v>
      </c>
      <c r="H85" s="9" t="str">
        <f>IF(COUNT(行动模拟!F85:H85)=0,"",SUM(行动模拟!F85:H85))</f>
        <v/>
      </c>
      <c r="I85" s="9" t="str">
        <f t="shared" si="7"/>
        <v/>
      </c>
      <c r="J85" s="9" t="str">
        <f t="shared" si="8"/>
        <v/>
      </c>
      <c r="K85" s="9" t="str">
        <f t="shared" si="9"/>
        <v/>
      </c>
      <c r="L85" s="10" t="str">
        <f t="shared" si="10"/>
        <v/>
      </c>
      <c r="M85" s="1" t="str">
        <f t="shared" si="11"/>
        <v/>
      </c>
      <c r="N85" s="12" t="str">
        <f>IF(ISNUMBER(行动模拟!F85),行动模拟!F85,"")</f>
        <v/>
      </c>
      <c r="O85" s="12" t="str">
        <f>IF(COUNT(行动模拟!G85:H85)=0,"",SUM(行动模拟!G85:H85))</f>
        <v/>
      </c>
      <c r="P85" s="12" t="str">
        <f>IF(H85="","",IF(G85="是",后台计算!DX79,IF(G85="否",后台计算!DW79,"")))</f>
        <v/>
      </c>
      <c r="Q85" s="12" t="str">
        <f>IF(H85="","",IF(G85="是",后台计算!BV79-后台计算!DX79,IF(G85="否",后台计算!BU79-后台计算!DW79,"")))</f>
        <v/>
      </c>
      <c r="R85" s="12" t="str">
        <f t="shared" si="12"/>
        <v/>
      </c>
      <c r="S85" s="12" t="str">
        <f t="shared" si="13"/>
        <v/>
      </c>
      <c r="T85" s="1" t="str">
        <f>IF(AND(后台计算!DH79="洞穿",O85&gt;0),IF(O85=ROUNDDOWN(N85*0.4,0),"实测附加=floor(主伤害×40%)；稳态来源待确认","实测附加关系需核对"),"")</f>
        <v/>
      </c>
      <c r="U85" s="1">
        <f>IF(D85="","",后台计算!EQ79)</f>
        <v>135</v>
      </c>
      <c r="V85" s="11">
        <f>IF(D85="","",后台计算!ER79)</f>
        <v>0.9</v>
      </c>
      <c r="W85" s="11">
        <f>IF(D85="","",后台计算!ES79)</f>
        <v>0.6</v>
      </c>
      <c r="X85" s="1" t="str">
        <f>IF(D85="","",IF(Boss参数!$B$60=1,"此前实测；缺失用预测","此前预测"))</f>
        <v>此前实测；缺失用预测</v>
      </c>
      <c r="Y85" s="1" t="str">
        <f>IF(H85="","",IF(H85&gt;Boss参数!$B$63*Boss参数!$B$62,"超过暂定合计上限",""))</f>
        <v/>
      </c>
    </row>
    <row r="86" spans="1:25" ht="38.1" customHeight="1">
      <c r="A86" s="1">
        <f>行动模拟!A86</f>
        <v>78</v>
      </c>
      <c r="B86" s="1">
        <f>行动模拟!B86</f>
        <v>5</v>
      </c>
      <c r="C86" s="1">
        <f>行动模拟!C86</f>
        <v>2</v>
      </c>
      <c r="D86" s="1" t="str">
        <f>行动模拟!D86</f>
        <v>红弩箭｜试试杀手锏</v>
      </c>
      <c r="E86" s="9">
        <f>行动模拟!O86</f>
        <v>201870</v>
      </c>
      <c r="F86" s="9">
        <f>行动模拟!P86</f>
        <v>646996</v>
      </c>
      <c r="G86" s="1" t="str">
        <f>IF(行动模拟!D86="","",行动模拟!E86)</f>
        <v>是</v>
      </c>
      <c r="H86" s="9">
        <f>IF(COUNT(行动模拟!F86:H86)=0,"",SUM(行动模拟!F86:H86))</f>
        <v>646996</v>
      </c>
      <c r="I86" s="9">
        <f t="shared" si="7"/>
        <v>646996</v>
      </c>
      <c r="J86" s="9">
        <f t="shared" si="8"/>
        <v>0</v>
      </c>
      <c r="K86" s="9">
        <f t="shared" si="9"/>
        <v>0</v>
      </c>
      <c r="L86" s="10">
        <f t="shared" si="10"/>
        <v>0</v>
      </c>
      <c r="M86" s="1" t="str">
        <f t="shared" si="11"/>
        <v>数值差异≤3%；机制仍需核实</v>
      </c>
      <c r="N86" s="12">
        <f>IF(ISNUMBER(行动模拟!F86),行动模拟!F86,"")</f>
        <v>646996</v>
      </c>
      <c r="O86" s="12">
        <f>IF(COUNT(行动模拟!G86:H86)=0,"",SUM(行动模拟!G86:H86))</f>
        <v>0</v>
      </c>
      <c r="P86" s="12">
        <f>IF(H86="","",IF(G86="是",后台计算!DX80,IF(G86="否",后台计算!DW80,"")))</f>
        <v>646996</v>
      </c>
      <c r="Q86" s="12">
        <f>IF(H86="","",IF(G86="是",后台计算!BV80-后台计算!DX80,IF(G86="否",后台计算!BU80-后台计算!DW80,"")))</f>
        <v>0</v>
      </c>
      <c r="R86" s="12">
        <f t="shared" si="12"/>
        <v>0</v>
      </c>
      <c r="S86" s="12">
        <f t="shared" si="13"/>
        <v>0</v>
      </c>
      <c r="T86" s="1" t="str">
        <f>IF(AND(后台计算!DH80="洞穿",O86&gt;0),IF(O86=ROUNDDOWN(N86*0.4,0),"实测附加=floor(主伤害×40%)；稳态来源待确认","实测附加关系需核对"),"")</f>
        <v/>
      </c>
      <c r="U86" s="1">
        <f>IF(D86="","",后台计算!EQ80)</f>
        <v>135</v>
      </c>
      <c r="V86" s="11">
        <f>IF(D86="","",后台计算!ER80)</f>
        <v>0.9</v>
      </c>
      <c r="W86" s="11">
        <f>IF(D86="","",后台计算!ES80)</f>
        <v>0.6</v>
      </c>
      <c r="X86" s="1" t="str">
        <f>IF(D86="","",IF(Boss参数!$B$60=1,"此前实测；缺失用预测","此前预测"))</f>
        <v>此前实测；缺失用预测</v>
      </c>
      <c r="Y86" s="1" t="str">
        <f>IF(H86="","",IF(H86&gt;Boss参数!$B$63*Boss参数!$B$62,"超过暂定合计上限",""))</f>
        <v/>
      </c>
    </row>
    <row r="87" spans="1:25" ht="38.1" customHeight="1">
      <c r="A87" s="1">
        <f>行动模拟!A87</f>
        <v>79</v>
      </c>
      <c r="B87" s="1">
        <f>行动模拟!B87</f>
        <v>5</v>
      </c>
      <c r="C87" s="1">
        <f>行动模拟!C87</f>
        <v>3</v>
      </c>
      <c r="D87" s="1" t="str">
        <f>行动模拟!D87</f>
        <v>37｜曲线映射Ⅰ</v>
      </c>
      <c r="E87" s="9">
        <f>行动模拟!O87</f>
        <v>523</v>
      </c>
      <c r="F87" s="9">
        <f>行动模拟!P87</f>
        <v>1244</v>
      </c>
      <c r="G87" s="1" t="str">
        <f>IF(行动模拟!D87="","",行动模拟!E87)</f>
        <v>是</v>
      </c>
      <c r="H87" s="9">
        <f>IF(COUNT(行动模拟!F87:H87)=0,"",SUM(行动模拟!F87:H87))</f>
        <v>1244</v>
      </c>
      <c r="I87" s="9">
        <f t="shared" si="7"/>
        <v>1244</v>
      </c>
      <c r="J87" s="9">
        <f t="shared" si="8"/>
        <v>0</v>
      </c>
      <c r="K87" s="9">
        <f t="shared" si="9"/>
        <v>0</v>
      </c>
      <c r="L87" s="10">
        <f t="shared" si="10"/>
        <v>0</v>
      </c>
      <c r="M87" s="1" t="str">
        <f t="shared" si="11"/>
        <v>数值差异≤3%；机制仍需核实</v>
      </c>
      <c r="N87" s="12">
        <f>IF(ISNUMBER(行动模拟!F87),行动模拟!F87,"")</f>
        <v>1244</v>
      </c>
      <c r="O87" s="12">
        <f>IF(COUNT(行动模拟!G87:H87)=0,"",SUM(行动模拟!G87:H87))</f>
        <v>0</v>
      </c>
      <c r="P87" s="12">
        <f>IF(H87="","",IF(G87="是",后台计算!DX81,IF(G87="否",后台计算!DW81,"")))</f>
        <v>1244</v>
      </c>
      <c r="Q87" s="12">
        <f>IF(H87="","",IF(G87="是",后台计算!BV81-后台计算!DX81,IF(G87="否",后台计算!BU81-后台计算!DW81,"")))</f>
        <v>0</v>
      </c>
      <c r="R87" s="12">
        <f t="shared" si="12"/>
        <v>0</v>
      </c>
      <c r="S87" s="12">
        <f t="shared" si="13"/>
        <v>0</v>
      </c>
      <c r="T87" s="1" t="str">
        <f>IF(AND(后台计算!DH81="洞穿",O87&gt;0),IF(O87=ROUNDDOWN(N87*0.4,0),"实测附加=floor(主伤害×40%)；稳态来源待确认","实测附加关系需核对"),"")</f>
        <v/>
      </c>
      <c r="U87" s="1">
        <f>IF(D87="","",后台计算!EQ81)</f>
        <v>142</v>
      </c>
      <c r="V87" s="11">
        <f>IF(D87="","",后台计算!ER81)</f>
        <v>0.9</v>
      </c>
      <c r="W87" s="11">
        <f>IF(D87="","",后台计算!ES81)</f>
        <v>0.6</v>
      </c>
      <c r="X87" s="1" t="str">
        <f>IF(D87="","",IF(Boss参数!$B$60=1,"此前实测；缺失用预测","此前预测"))</f>
        <v>此前实测；缺失用预测</v>
      </c>
      <c r="Y87" s="1" t="str">
        <f>IF(H87="","",IF(H87&gt;Boss参数!$B$63*Boss参数!$B$62,"超过暂定合计上限",""))</f>
        <v/>
      </c>
    </row>
    <row r="88" spans="1:25" ht="38.1" customHeight="1">
      <c r="A88" s="1">
        <f>行动模拟!A88</f>
        <v>80</v>
      </c>
      <c r="B88" s="1">
        <f>行动模拟!B88</f>
        <v>5</v>
      </c>
      <c r="C88" s="1">
        <f>行动模拟!C88</f>
        <v>4</v>
      </c>
      <c r="D88" s="1" t="str">
        <f>行动模拟!D88</f>
        <v>37｜三角正论Ⅰ</v>
      </c>
      <c r="E88" s="9">
        <f>行动模拟!O88</f>
        <v>3139</v>
      </c>
      <c r="F88" s="9">
        <f>行动模拟!P88</f>
        <v>7466</v>
      </c>
      <c r="G88" s="1" t="str">
        <f>IF(行动模拟!D88="","",行动模拟!E88)</f>
        <v>是</v>
      </c>
      <c r="H88" s="9">
        <f>IF(COUNT(行动模拟!F88:H88)=0,"",SUM(行动模拟!F88:H88))</f>
        <v>7466</v>
      </c>
      <c r="I88" s="9">
        <f t="shared" si="7"/>
        <v>7466</v>
      </c>
      <c r="J88" s="9">
        <f t="shared" si="8"/>
        <v>0</v>
      </c>
      <c r="K88" s="9">
        <f t="shared" si="9"/>
        <v>0</v>
      </c>
      <c r="L88" s="10">
        <f t="shared" si="10"/>
        <v>0</v>
      </c>
      <c r="M88" s="1" t="str">
        <f t="shared" si="11"/>
        <v>数值差异≤3%；机制仍需核实</v>
      </c>
      <c r="N88" s="12">
        <f>IF(ISNUMBER(行动模拟!F88),行动模拟!F88,"")</f>
        <v>7466</v>
      </c>
      <c r="O88" s="12">
        <f>IF(COUNT(行动模拟!G88:H88)=0,"",SUM(行动模拟!G88:H88))</f>
        <v>0</v>
      </c>
      <c r="P88" s="12">
        <f>IF(H88="","",IF(G88="是",后台计算!DX82,IF(G88="否",后台计算!DW82,"")))</f>
        <v>7466</v>
      </c>
      <c r="Q88" s="12">
        <f>IF(H88="","",IF(G88="是",后台计算!BV82-后台计算!DX82,IF(G88="否",后台计算!BU82-后台计算!DW82,"")))</f>
        <v>0</v>
      </c>
      <c r="R88" s="12">
        <f t="shared" si="12"/>
        <v>0</v>
      </c>
      <c r="S88" s="12">
        <f t="shared" si="13"/>
        <v>0</v>
      </c>
      <c r="T88" s="1" t="str">
        <f>IF(AND(后台计算!DH82="洞穿",O88&gt;0),IF(O88=ROUNDDOWN(N88*0.4,0),"实测附加=floor(主伤害×40%)；稳态来源待确认","实测附加关系需核对"),"")</f>
        <v/>
      </c>
      <c r="U88" s="1">
        <f>IF(D88="","",后台计算!EQ82)</f>
        <v>142</v>
      </c>
      <c r="V88" s="11">
        <f>IF(D88="","",后台计算!ER82)</f>
        <v>0.9</v>
      </c>
      <c r="W88" s="11">
        <f>IF(D88="","",后台计算!ES82)</f>
        <v>0.6</v>
      </c>
      <c r="X88" s="1" t="str">
        <f>IF(D88="","",IF(Boss参数!$B$60=1,"此前实测；缺失用预测","此前预测"))</f>
        <v>此前实测；缺失用预测</v>
      </c>
      <c r="Y88" s="1" t="str">
        <f>IF(H88="","",IF(H88&gt;Boss参数!$B$63*Boss参数!$B$62,"超过暂定合计上限",""))</f>
        <v/>
      </c>
    </row>
    <row r="89" spans="1:25" ht="38.1" customHeight="1">
      <c r="A89" s="1">
        <f>行动模拟!A89</f>
        <v>81</v>
      </c>
      <c r="B89" s="1">
        <f>行动模拟!B89</f>
        <v>5</v>
      </c>
      <c r="C89" s="1">
        <f>行动模拟!C89</f>
        <v>5</v>
      </c>
      <c r="D89" s="1" t="str">
        <f>行动模拟!D89</f>
        <v>37｜补充算式</v>
      </c>
      <c r="E89" s="1">
        <f>行动模拟!O89</f>
        <v>7298</v>
      </c>
      <c r="F89" s="1">
        <f>行动模拟!P89</f>
        <v>17356</v>
      </c>
      <c r="G89" s="1" t="str">
        <f>IF(行动模拟!D89="","",行动模拟!E89)</f>
        <v>是</v>
      </c>
      <c r="H89" s="1">
        <f>IF(COUNT(行动模拟!F89:H89)=0,"",SUM(行动模拟!F89:H89))</f>
        <v>17356</v>
      </c>
      <c r="I89" s="1">
        <f t="shared" si="7"/>
        <v>17356</v>
      </c>
      <c r="J89" s="1">
        <f t="shared" si="8"/>
        <v>0</v>
      </c>
      <c r="K89" s="1">
        <f t="shared" si="9"/>
        <v>0</v>
      </c>
      <c r="L89" s="1">
        <f t="shared" si="10"/>
        <v>0</v>
      </c>
      <c r="M89" s="1" t="str">
        <f t="shared" si="11"/>
        <v>数值差异≤3%；机制仍需核实</v>
      </c>
      <c r="N89" s="1">
        <f>IF(ISNUMBER(行动模拟!F89),行动模拟!F89,"")</f>
        <v>10666</v>
      </c>
      <c r="O89" s="1">
        <f>IF(COUNT(行动模拟!G89:H89)=0,"",SUM(行动模拟!G89:H89))</f>
        <v>6690</v>
      </c>
      <c r="P89" s="1">
        <f>IF(H89="","",IF(G89="是",后台计算!DX83,IF(G89="否",后台计算!DW83,"")))</f>
        <v>10666</v>
      </c>
      <c r="Q89" s="1">
        <f>IF(H89="","",IF(G89="是",后台计算!BV83-后台计算!DX83,IF(G89="否",后台计算!BU83-后台计算!DW83,"")))</f>
        <v>6690</v>
      </c>
      <c r="R89" s="1">
        <f t="shared" si="12"/>
        <v>0</v>
      </c>
      <c r="S89" s="1">
        <f t="shared" si="13"/>
        <v>0</v>
      </c>
      <c r="T89" s="1" t="str">
        <f>IF(AND(后台计算!DH83="洞穿",O89&gt;0),IF(O89=ROUNDDOWN(N89*0.4,0),"实测附加=floor(主伤害×40%)；稳态来源待确认","实测附加关系需核对"),"")</f>
        <v/>
      </c>
      <c r="U89" s="1">
        <f>IF(D89="","",后台计算!EQ83)</f>
        <v>142</v>
      </c>
      <c r="V89" s="1">
        <f>IF(D89="","",后台计算!ER83)</f>
        <v>0.9</v>
      </c>
      <c r="W89" s="1">
        <f>IF(D89="","",后台计算!ES83)</f>
        <v>0.6</v>
      </c>
      <c r="X89" s="1" t="str">
        <f>IF(D89="","",IF(Boss参数!$B$60=1,"此前实测；缺失用预测","此前预测"))</f>
        <v>此前实测；缺失用预测</v>
      </c>
      <c r="Y89" s="1" t="str">
        <f>IF(H89="","",IF(H89&gt;Boss参数!$B$63*Boss参数!$B$62,"超过暂定合计上限",""))</f>
        <v/>
      </c>
    </row>
    <row r="90" spans="1:25" ht="38.1" customHeight="1">
      <c r="A90" s="1">
        <f>行动模拟!A90</f>
        <v>82</v>
      </c>
      <c r="B90" s="1">
        <f>行动模拟!B90</f>
        <v>5</v>
      </c>
      <c r="C90" s="1">
        <f>行动模拟!C90</f>
        <v>6</v>
      </c>
      <c r="D90" s="1" t="str">
        <f>行动模拟!D90</f>
        <v>红弩箭｜眼镜蛇机动Ⅱ</v>
      </c>
      <c r="E90" s="1">
        <f>行动模拟!O90</f>
        <v>0</v>
      </c>
      <c r="F90" s="1">
        <f>行动模拟!P90</f>
        <v>0</v>
      </c>
      <c r="G90" s="1" t="str">
        <f>IF(行动模拟!D90="","",行动模拟!E90)</f>
        <v>—</v>
      </c>
      <c r="H90" s="1" t="str">
        <f>IF(COUNT(行动模拟!F90:H90)=0,"",SUM(行动模拟!F90:H90))</f>
        <v/>
      </c>
      <c r="I90" s="1" t="str">
        <f t="shared" si="7"/>
        <v/>
      </c>
      <c r="J90" s="1" t="str">
        <f t="shared" si="8"/>
        <v/>
      </c>
      <c r="K90" s="1" t="str">
        <f t="shared" si="9"/>
        <v/>
      </c>
      <c r="L90" s="1" t="str">
        <f t="shared" si="10"/>
        <v/>
      </c>
      <c r="M90" s="1" t="str">
        <f t="shared" si="11"/>
        <v/>
      </c>
      <c r="N90" s="1" t="str">
        <f>IF(ISNUMBER(行动模拟!F90),行动模拟!F90,"")</f>
        <v/>
      </c>
      <c r="O90" s="1" t="str">
        <f>IF(COUNT(行动模拟!G90:H90)=0,"",SUM(行动模拟!G90:H90))</f>
        <v/>
      </c>
      <c r="P90" s="1" t="str">
        <f>IF(H90="","",IF(G90="是",后台计算!DX84,IF(G90="否",后台计算!DW84,"")))</f>
        <v/>
      </c>
      <c r="Q90" s="1" t="str">
        <f>IF(H90="","",IF(G90="是",后台计算!BV84-后台计算!DX84,IF(G90="否",后台计算!BU84-后台计算!DW84,"")))</f>
        <v/>
      </c>
      <c r="R90" s="1" t="str">
        <f t="shared" si="12"/>
        <v/>
      </c>
      <c r="S90" s="1" t="str">
        <f t="shared" si="13"/>
        <v/>
      </c>
      <c r="T90" s="1" t="str">
        <f>IF(AND(后台计算!DH84="洞穿",O90&gt;0),IF(O90=ROUNDDOWN(N90*0.4,0),"实测附加=floor(主伤害×40%)；稳态来源待确认","实测附加关系需核对"),"")</f>
        <v/>
      </c>
      <c r="U90" s="1">
        <f>IF(D90="","",后台计算!EQ84)</f>
        <v>142</v>
      </c>
      <c r="V90" s="1">
        <f>IF(D90="","",后台计算!ER84)</f>
        <v>0.9</v>
      </c>
      <c r="W90" s="1">
        <f>IF(D90="","",后台计算!ES84)</f>
        <v>0.6</v>
      </c>
      <c r="X90" s="1" t="str">
        <f>IF(D90="","",IF(Boss参数!$B$60=1,"此前实测；缺失用预测","此前预测"))</f>
        <v>此前实测；缺失用预测</v>
      </c>
      <c r="Y90" s="1" t="str">
        <f>IF(H90="","",IF(H90&gt;Boss参数!$B$63*Boss参数!$B$62,"超过暂定合计上限",""))</f>
        <v/>
      </c>
    </row>
    <row r="91" spans="1:25" ht="38.1" customHeight="1">
      <c r="A91" s="1">
        <f>行动模拟!A91</f>
        <v>83</v>
      </c>
      <c r="B91" s="1">
        <f>行动模拟!B91</f>
        <v>5</v>
      </c>
      <c r="C91" s="1">
        <f>行动模拟!C91</f>
        <v>7</v>
      </c>
      <c r="D91" s="1" t="str">
        <f>行动模拟!D91</f>
        <v>红弩箭｜极限俯冲Ⅰ</v>
      </c>
      <c r="E91" s="1">
        <f>行动模拟!O91</f>
        <v>34982</v>
      </c>
      <c r="F91" s="1">
        <f>行动模拟!P91</f>
        <v>77137</v>
      </c>
      <c r="G91" s="1" t="str">
        <f>IF(行动模拟!D91="","",行动模拟!E91)</f>
        <v>是</v>
      </c>
      <c r="H91" s="1">
        <f>IF(COUNT(行动模拟!F91:H91)=0,"",SUM(行动模拟!F91:H91))</f>
        <v>77137</v>
      </c>
      <c r="I91" s="1">
        <f t="shared" si="7"/>
        <v>77137</v>
      </c>
      <c r="J91" s="1">
        <f t="shared" si="8"/>
        <v>0</v>
      </c>
      <c r="K91" s="1">
        <f t="shared" si="9"/>
        <v>0</v>
      </c>
      <c r="L91" s="1">
        <f t="shared" si="10"/>
        <v>0</v>
      </c>
      <c r="M91" s="1" t="str">
        <f t="shared" si="11"/>
        <v>数值差异≤3%；机制仍需核实</v>
      </c>
      <c r="N91" s="1">
        <f>IF(ISNUMBER(行动模拟!F91),行动模拟!F91,"")</f>
        <v>77137</v>
      </c>
      <c r="O91" s="1">
        <f>IF(COUNT(行动模拟!G91:H91)=0,"",SUM(行动模拟!G91:H91))</f>
        <v>0</v>
      </c>
      <c r="P91" s="1">
        <f>IF(H91="","",IF(G91="是",后台计算!DX85,IF(G91="否",后台计算!DW85,"")))</f>
        <v>77137</v>
      </c>
      <c r="Q91" s="1">
        <f>IF(H91="","",IF(G91="是",后台计算!BV85-后台计算!DX85,IF(G91="否",后台计算!BU85-后台计算!DW85,"")))</f>
        <v>0</v>
      </c>
      <c r="R91" s="1">
        <f t="shared" si="12"/>
        <v>0</v>
      </c>
      <c r="S91" s="1">
        <f t="shared" si="13"/>
        <v>0</v>
      </c>
      <c r="T91" s="1" t="str">
        <f>IF(AND(后台计算!DH85="洞穿",O91&gt;0),IF(O91=ROUNDDOWN(N91*0.4,0),"实测附加=floor(主伤害×40%)；稳态来源待确认","实测附加关系需核对"),"")</f>
        <v/>
      </c>
      <c r="U91" s="1">
        <f>IF(D91="","",后台计算!EQ85)</f>
        <v>142</v>
      </c>
      <c r="V91" s="1">
        <f>IF(D91="","",后台计算!ER85)</f>
        <v>0.9</v>
      </c>
      <c r="W91" s="1">
        <f>IF(D91="","",后台计算!ES85)</f>
        <v>0.6</v>
      </c>
      <c r="X91" s="1" t="str">
        <f>IF(D91="","",IF(Boss参数!$B$60=1,"此前实测；缺失用预测","此前预测"))</f>
        <v>此前实测；缺失用预测</v>
      </c>
      <c r="Y91" s="1" t="str">
        <f>IF(H91="","",IF(H91&gt;Boss参数!$B$63*Boss参数!$B$62,"超过暂定合计上限",""))</f>
        <v/>
      </c>
    </row>
    <row r="92" spans="1:25" ht="38.1" customHeight="1">
      <c r="A92" s="1">
        <f>行动模拟!A92</f>
        <v>84</v>
      </c>
      <c r="B92" s="1">
        <f>行动模拟!B92</f>
        <v>5</v>
      </c>
      <c r="C92" s="1">
        <f>行动模拟!C92</f>
        <v>8</v>
      </c>
      <c r="D92" s="1" t="str">
        <f>行动模拟!D92</f>
        <v>系统｜Boss仪式·保守主义</v>
      </c>
      <c r="E92" s="1">
        <f>行动模拟!O92</f>
        <v>0</v>
      </c>
      <c r="F92" s="1">
        <f>行动模拟!P92</f>
        <v>0</v>
      </c>
      <c r="G92" s="1" t="str">
        <f>IF(行动模拟!D92="","",行动模拟!E92)</f>
        <v>—</v>
      </c>
      <c r="H92" s="1" t="str">
        <f>IF(COUNT(行动模拟!F92:H92)=0,"",SUM(行动模拟!F92:H92))</f>
        <v/>
      </c>
      <c r="I92" s="1" t="str">
        <f t="shared" si="7"/>
        <v/>
      </c>
      <c r="J92" s="1" t="str">
        <f t="shared" si="8"/>
        <v/>
      </c>
      <c r="K92" s="1" t="str">
        <f t="shared" si="9"/>
        <v/>
      </c>
      <c r="L92" s="1" t="str">
        <f t="shared" si="10"/>
        <v/>
      </c>
      <c r="M92" s="1" t="str">
        <f t="shared" si="11"/>
        <v/>
      </c>
      <c r="N92" s="1" t="str">
        <f>IF(ISNUMBER(行动模拟!F92),行动模拟!F92,"")</f>
        <v/>
      </c>
      <c r="O92" s="1" t="str">
        <f>IF(COUNT(行动模拟!G92:H92)=0,"",SUM(行动模拟!G92:H92))</f>
        <v/>
      </c>
      <c r="P92" s="1" t="str">
        <f>IF(H92="","",IF(G92="是",后台计算!DX86,IF(G92="否",后台计算!DW86,"")))</f>
        <v/>
      </c>
      <c r="Q92" s="1" t="str">
        <f>IF(H92="","",IF(G92="是",后台计算!BV86-后台计算!DX86,IF(G92="否",后台计算!BU86-后台计算!DW86,"")))</f>
        <v/>
      </c>
      <c r="R92" s="1" t="str">
        <f t="shared" si="12"/>
        <v/>
      </c>
      <c r="S92" s="1" t="str">
        <f t="shared" si="13"/>
        <v/>
      </c>
      <c r="T92" s="1" t="str">
        <f>IF(AND(后台计算!DH86="洞穿",O92&gt;0),IF(O92=ROUNDDOWN(N92*0.4,0),"实测附加=floor(主伤害×40%)；稳态来源待确认","实测附加关系需核对"),"")</f>
        <v/>
      </c>
      <c r="U92" s="1">
        <f>IF(D92="","",后台计算!EQ86)</f>
        <v>143</v>
      </c>
      <c r="V92" s="1">
        <f>IF(D92="","",后台计算!ER86)</f>
        <v>0.9</v>
      </c>
      <c r="W92" s="1">
        <f>IF(D92="","",后台计算!ES86)</f>
        <v>0.6</v>
      </c>
      <c r="X92" s="1" t="str">
        <f>IF(D92="","",IF(Boss参数!$B$60=1,"此前实测；缺失用预测","此前预测"))</f>
        <v>此前实测；缺失用预测</v>
      </c>
      <c r="Y92" s="1" t="str">
        <f>IF(H92="","",IF(H92&gt;Boss参数!$B$63*Boss参数!$B$62,"超过暂定合计上限",""))</f>
        <v/>
      </c>
    </row>
    <row r="93" spans="1:25" ht="38.1" customHeight="1">
      <c r="A93" s="1">
        <f>行动模拟!A93</f>
        <v>85</v>
      </c>
      <c r="B93" s="1">
        <f>行动模拟!B93</f>
        <v>5</v>
      </c>
      <c r="C93" s="1">
        <f>行动模拟!C93</f>
        <v>9</v>
      </c>
      <c r="D93" s="1" t="str">
        <f>行动模拟!D93</f>
        <v>J｜高温回火</v>
      </c>
      <c r="E93" s="1">
        <f>行动模拟!O93</f>
        <v>3902</v>
      </c>
      <c r="F93" s="1">
        <f>行动模拟!P93</f>
        <v>4292</v>
      </c>
      <c r="G93" s="1" t="str">
        <f>IF(行动模拟!D93="","",行动模拟!E93)</f>
        <v>否</v>
      </c>
      <c r="H93" s="1">
        <f>IF(COUNT(行动模拟!F93:H93)=0,"",SUM(行动模拟!F93:H93))</f>
        <v>3902</v>
      </c>
      <c r="I93" s="1">
        <f t="shared" si="7"/>
        <v>3902</v>
      </c>
      <c r="J93" s="1">
        <f t="shared" si="8"/>
        <v>0</v>
      </c>
      <c r="K93" s="1">
        <f t="shared" si="9"/>
        <v>0</v>
      </c>
      <c r="L93" s="1">
        <f t="shared" si="10"/>
        <v>0</v>
      </c>
      <c r="M93" s="1" t="str">
        <f t="shared" si="11"/>
        <v>数值差异≤3%；机制仍需核实</v>
      </c>
      <c r="N93" s="1">
        <f>IF(ISNUMBER(行动模拟!F93),行动模拟!F93,"")</f>
        <v>3902</v>
      </c>
      <c r="O93" s="1">
        <f>IF(COUNT(行动模拟!G93:H93)=0,"",SUM(行动模拟!G93:H93))</f>
        <v>0</v>
      </c>
      <c r="P93" s="1">
        <f>IF(H93="","",IF(G93="是",后台计算!DX87,IF(G93="否",后台计算!DW87,"")))</f>
        <v>3902</v>
      </c>
      <c r="Q93" s="1">
        <f>IF(H93="","",IF(G93="是",后台计算!BV87-后台计算!DX87,IF(G93="否",后台计算!BU87-后台计算!DW87,"")))</f>
        <v>0</v>
      </c>
      <c r="R93" s="1">
        <f t="shared" si="12"/>
        <v>0</v>
      </c>
      <c r="S93" s="1">
        <f t="shared" si="13"/>
        <v>0</v>
      </c>
      <c r="T93" s="1" t="str">
        <f>IF(AND(后台计算!DH87="洞穿",O93&gt;0),IF(O93=ROUNDDOWN(N93*0.4,0),"实测附加=floor(主伤害×40%)；稳态来源待确认","实测附加关系需核对"),"")</f>
        <v/>
      </c>
      <c r="U93" s="1">
        <f>IF(D93="","",后台计算!EQ87)</f>
        <v>143</v>
      </c>
      <c r="V93" s="1">
        <f>IF(D93="","",后台计算!ER87)</f>
        <v>0.9</v>
      </c>
      <c r="W93" s="1">
        <f>IF(D93="","",后台计算!ES87)</f>
        <v>0.6</v>
      </c>
      <c r="X93" s="1" t="str">
        <f>IF(D93="","",IF(Boss参数!$B$60=1,"此前实测；缺失用预测","此前预测"))</f>
        <v>此前实测；缺失用预测</v>
      </c>
      <c r="Y93" s="1" t="str">
        <f>IF(H93="","",IF(H93&gt;Boss参数!$B$63*Boss参数!$B$62,"超过暂定合计上限",""))</f>
        <v/>
      </c>
    </row>
    <row r="94" spans="1:25" ht="38.1" customHeight="1">
      <c r="A94" s="1">
        <f>行动模拟!A94</f>
        <v>86</v>
      </c>
      <c r="B94" s="1">
        <f>行动模拟!B94</f>
        <v>5</v>
      </c>
      <c r="C94" s="1">
        <f>行动模拟!C94</f>
        <v>10</v>
      </c>
      <c r="D94" s="1" t="str">
        <f>行动模拟!D94</f>
        <v>J｜高温回火</v>
      </c>
      <c r="E94" s="1">
        <f>行动模拟!O94</f>
        <v>5203</v>
      </c>
      <c r="F94" s="1">
        <f>行动模拟!P94</f>
        <v>5723</v>
      </c>
      <c r="G94" s="1" t="str">
        <f>IF(行动模拟!D94="","",行动模拟!E94)</f>
        <v>否</v>
      </c>
      <c r="H94" s="1">
        <f>IF(COUNT(行动模拟!F94:H94)=0,"",SUM(行动模拟!F94:H94))</f>
        <v>5203</v>
      </c>
      <c r="I94" s="1">
        <f t="shared" si="7"/>
        <v>5203</v>
      </c>
      <c r="J94" s="1">
        <f t="shared" si="8"/>
        <v>0</v>
      </c>
      <c r="K94" s="1">
        <f t="shared" si="9"/>
        <v>0</v>
      </c>
      <c r="L94" s="1">
        <f t="shared" si="10"/>
        <v>0</v>
      </c>
      <c r="M94" s="1" t="str">
        <f t="shared" si="11"/>
        <v>数值差异≤3%；机制仍需核实</v>
      </c>
      <c r="N94" s="1">
        <f>IF(ISNUMBER(行动模拟!F94),行动模拟!F94,"")</f>
        <v>5203</v>
      </c>
      <c r="O94" s="1">
        <f>IF(COUNT(行动模拟!G94:H94)=0,"",SUM(行动模拟!G94:H94))</f>
        <v>0</v>
      </c>
      <c r="P94" s="1">
        <f>IF(H94="","",IF(G94="是",后台计算!DX88,IF(G94="否",后台计算!DW88,"")))</f>
        <v>5203</v>
      </c>
      <c r="Q94" s="1">
        <f>IF(H94="","",IF(G94="是",后台计算!BV88-后台计算!DX88,IF(G94="否",后台计算!BU88-后台计算!DW88,"")))</f>
        <v>0</v>
      </c>
      <c r="R94" s="1">
        <f t="shared" si="12"/>
        <v>0</v>
      </c>
      <c r="S94" s="1">
        <f t="shared" si="13"/>
        <v>0</v>
      </c>
      <c r="T94" s="1" t="str">
        <f>IF(AND(后台计算!DH88="洞穿",O94&gt;0),IF(O94=ROUNDDOWN(N94*0.4,0),"实测附加=floor(主伤害×40%)；稳态来源待确认","实测附加关系需核对"),"")</f>
        <v/>
      </c>
      <c r="U94" s="1">
        <f>IF(D94="","",后台计算!EQ88)</f>
        <v>143</v>
      </c>
      <c r="V94" s="1">
        <f>IF(D94="","",后台计算!ER88)</f>
        <v>0.9</v>
      </c>
      <c r="W94" s="1">
        <f>IF(D94="","",后台计算!ES88)</f>
        <v>0.6</v>
      </c>
      <c r="X94" s="1" t="str">
        <f>IF(D94="","",IF(Boss参数!$B$60=1,"此前实测；缺失用预测","此前预测"))</f>
        <v>此前实测；缺失用预测</v>
      </c>
      <c r="Y94" s="1" t="str">
        <f>IF(H94="","",IF(H94&gt;Boss参数!$B$63*Boss参数!$B$62,"超过暂定合计上限",""))</f>
        <v/>
      </c>
    </row>
    <row r="95" spans="1:25" ht="38.1" customHeight="1">
      <c r="A95" s="1">
        <f>行动模拟!A95</f>
        <v>87</v>
      </c>
      <c r="B95" s="1">
        <f>行动模拟!B95</f>
        <v>5</v>
      </c>
      <c r="C95" s="1">
        <f>行动模拟!C95</f>
        <v>11</v>
      </c>
      <c r="D95" s="1" t="str">
        <f>行动模拟!D95</f>
        <v>J｜高温回火</v>
      </c>
      <c r="E95" s="1">
        <f>行动模拟!O95</f>
        <v>6504</v>
      </c>
      <c r="F95" s="1">
        <f>行动模拟!P95</f>
        <v>7154</v>
      </c>
      <c r="G95" s="1" t="str">
        <f>IF(行动模拟!D95="","",行动模拟!E95)</f>
        <v>否</v>
      </c>
      <c r="H95" s="1">
        <f>IF(COUNT(行动模拟!F95:H95)=0,"",SUM(行动模拟!F95:H95))</f>
        <v>6504</v>
      </c>
      <c r="I95" s="1">
        <f t="shared" si="7"/>
        <v>6504</v>
      </c>
      <c r="J95" s="1">
        <f t="shared" si="8"/>
        <v>0</v>
      </c>
      <c r="K95" s="1">
        <f t="shared" si="9"/>
        <v>0</v>
      </c>
      <c r="L95" s="1">
        <f t="shared" si="10"/>
        <v>0</v>
      </c>
      <c r="M95" s="1" t="str">
        <f t="shared" si="11"/>
        <v>数值差异≤3%；机制仍需核实</v>
      </c>
      <c r="N95" s="1">
        <f>IF(ISNUMBER(行动模拟!F95),行动模拟!F95,"")</f>
        <v>6504</v>
      </c>
      <c r="O95" s="1">
        <f>IF(COUNT(行动模拟!G95:H95)=0,"",SUM(行动模拟!G95:H95))</f>
        <v>0</v>
      </c>
      <c r="P95" s="1">
        <f>IF(H95="","",IF(G95="是",后台计算!DX89,IF(G95="否",后台计算!DW89,"")))</f>
        <v>6504</v>
      </c>
      <c r="Q95" s="1">
        <f>IF(H95="","",IF(G95="是",后台计算!BV89-后台计算!DX89,IF(G95="否",后台计算!BU89-后台计算!DW89,"")))</f>
        <v>0</v>
      </c>
      <c r="R95" s="1">
        <f t="shared" si="12"/>
        <v>0</v>
      </c>
      <c r="S95" s="1">
        <f t="shared" si="13"/>
        <v>0</v>
      </c>
      <c r="T95" s="1" t="str">
        <f>IF(AND(后台计算!DH89="洞穿",O95&gt;0),IF(O95=ROUNDDOWN(N95*0.4,0),"实测附加=floor(主伤害×40%)；稳态来源待确认","实测附加关系需核对"),"")</f>
        <v/>
      </c>
      <c r="U95" s="1">
        <f>IF(D95="","",后台计算!EQ89)</f>
        <v>143</v>
      </c>
      <c r="V95" s="1">
        <f>IF(D95="","",后台计算!ER89)</f>
        <v>0.9</v>
      </c>
      <c r="W95" s="1">
        <f>IF(D95="","",后台计算!ES89)</f>
        <v>0.6</v>
      </c>
      <c r="X95" s="1" t="str">
        <f>IF(D95="","",IF(Boss参数!$B$60=1,"此前实测；缺失用预测","此前预测"))</f>
        <v>此前实测；缺失用预测</v>
      </c>
      <c r="Y95" s="1" t="str">
        <f>IF(H95="","",IF(H95&gt;Boss参数!$B$63*Boss参数!$B$62,"超过暂定合计上限",""))</f>
        <v/>
      </c>
    </row>
    <row r="96" spans="1:25" ht="38.1" customHeight="1">
      <c r="A96" s="1">
        <f>行动模拟!A96</f>
        <v>88</v>
      </c>
      <c r="B96" s="1">
        <f>行动模拟!B96</f>
        <v>5</v>
      </c>
      <c r="C96" s="1">
        <f>行动模拟!C96</f>
        <v>12</v>
      </c>
      <c r="D96" s="1" t="str">
        <f>行动模拟!D96</f>
        <v>37｜补充算式</v>
      </c>
      <c r="E96" s="1">
        <f>行动模拟!O96</f>
        <v>1087</v>
      </c>
      <c r="F96" s="1">
        <f>行动模拟!P96</f>
        <v>1824</v>
      </c>
      <c r="G96" s="1" t="str">
        <f>IF(行动模拟!D96="","",行动模拟!E96)</f>
        <v>否</v>
      </c>
      <c r="H96" s="1">
        <f>IF(COUNT(行动模拟!F96:H96)=0,"",SUM(行动模拟!F96:H96))</f>
        <v>1087</v>
      </c>
      <c r="I96" s="1">
        <f t="shared" si="7"/>
        <v>1087</v>
      </c>
      <c r="J96" s="1">
        <f t="shared" si="8"/>
        <v>0</v>
      </c>
      <c r="K96" s="1">
        <f t="shared" si="9"/>
        <v>0</v>
      </c>
      <c r="L96" s="1">
        <f t="shared" si="10"/>
        <v>0</v>
      </c>
      <c r="M96" s="1" t="str">
        <f t="shared" si="11"/>
        <v>数值差异≤3%；机制仍需核实</v>
      </c>
      <c r="N96" s="1">
        <f>IF(ISNUMBER(行动模拟!F96),行动模拟!F96,"")</f>
        <v>1087</v>
      </c>
      <c r="O96" s="1">
        <f>IF(COUNT(行动模拟!G96:H96)=0,"",SUM(行动模拟!G96:H96))</f>
        <v>0</v>
      </c>
      <c r="P96" s="1">
        <f>IF(H96="","",IF(G96="是",后台计算!DX90,IF(G96="否",后台计算!DW90,"")))</f>
        <v>1087</v>
      </c>
      <c r="Q96" s="1">
        <f>IF(H96="","",IF(G96="是",后台计算!BV90-后台计算!DX90,IF(G96="否",后台计算!BU90-后台计算!DW90,"")))</f>
        <v>0</v>
      </c>
      <c r="R96" s="1">
        <f t="shared" si="12"/>
        <v>0</v>
      </c>
      <c r="S96" s="1">
        <f t="shared" si="13"/>
        <v>0</v>
      </c>
      <c r="T96" s="1" t="str">
        <f>IF(AND(后台计算!DH90="洞穿",O96&gt;0),IF(O96=ROUNDDOWN(N96*0.4,0),"实测附加=floor(主伤害×40%)；稳态来源待确认","实测附加关系需核对"),"")</f>
        <v/>
      </c>
      <c r="U96" s="1">
        <f>IF(D96="","",后台计算!EQ90)</f>
        <v>143</v>
      </c>
      <c r="V96" s="1">
        <f>IF(D96="","",后台计算!ER90)</f>
        <v>0.9</v>
      </c>
      <c r="W96" s="1">
        <f>IF(D96="","",后台计算!ES90)</f>
        <v>0.6</v>
      </c>
      <c r="X96" s="1" t="str">
        <f>IF(D96="","",IF(Boss参数!$B$60=1,"此前实测；缺失用预测","此前预测"))</f>
        <v>此前实测；缺失用预测</v>
      </c>
      <c r="Y96" s="1" t="str">
        <f>IF(H96="","",IF(H96&gt;Boss参数!$B$63*Boss参数!$B$62,"超过暂定合计上限",""))</f>
        <v/>
      </c>
    </row>
    <row r="97" spans="1:25" ht="38.1" customHeight="1">
      <c r="A97" s="1">
        <f>行动模拟!A97</f>
        <v>89</v>
      </c>
      <c r="B97" s="1">
        <f>行动模拟!B97</f>
        <v>5</v>
      </c>
      <c r="C97" s="1">
        <f>行动模拟!C97</f>
        <v>13</v>
      </c>
      <c r="D97" s="1" t="str">
        <f>行动模拟!D97</f>
        <v>J｜高温回火</v>
      </c>
      <c r="E97" s="1">
        <f>行动模拟!O97</f>
        <v>6504</v>
      </c>
      <c r="F97" s="1">
        <f>行动模拟!P97</f>
        <v>7154</v>
      </c>
      <c r="G97" s="1" t="str">
        <f>IF(行动模拟!D97="","",行动模拟!E97)</f>
        <v>否</v>
      </c>
      <c r="H97" s="1">
        <f>IF(COUNT(行动模拟!F97:H97)=0,"",SUM(行动模拟!F97:H97))</f>
        <v>6504</v>
      </c>
      <c r="I97" s="1">
        <f t="shared" si="7"/>
        <v>6504</v>
      </c>
      <c r="J97" s="1">
        <f t="shared" si="8"/>
        <v>0</v>
      </c>
      <c r="K97" s="1">
        <f t="shared" si="9"/>
        <v>0</v>
      </c>
      <c r="L97" s="1">
        <f t="shared" si="10"/>
        <v>0</v>
      </c>
      <c r="M97" s="1" t="str">
        <f t="shared" si="11"/>
        <v>数值差异≤3%；机制仍需核实</v>
      </c>
      <c r="N97" s="1">
        <f>IF(ISNUMBER(行动模拟!F97),行动模拟!F97,"")</f>
        <v>6504</v>
      </c>
      <c r="O97" s="1">
        <f>IF(COUNT(行动模拟!G97:H97)=0,"",SUM(行动模拟!G97:H97))</f>
        <v>0</v>
      </c>
      <c r="P97" s="1">
        <f>IF(H97="","",IF(G97="是",后台计算!DX91,IF(G97="否",后台计算!DW91,"")))</f>
        <v>6504</v>
      </c>
      <c r="Q97" s="1">
        <f>IF(H97="","",IF(G97="是",后台计算!BV91-后台计算!DX91,IF(G97="否",后台计算!BU91-后台计算!DW91,"")))</f>
        <v>0</v>
      </c>
      <c r="R97" s="1">
        <f t="shared" si="12"/>
        <v>0</v>
      </c>
      <c r="S97" s="1">
        <f t="shared" si="13"/>
        <v>0</v>
      </c>
      <c r="T97" s="1" t="str">
        <f>IF(AND(后台计算!DH91="洞穿",O97&gt;0),IF(O97=ROUNDDOWN(N97*0.4,0),"实测附加=floor(主伤害×40%)；稳态来源待确认","实测附加关系需核对"),"")</f>
        <v/>
      </c>
      <c r="U97" s="1">
        <f>IF(D97="","",后台计算!EQ91)</f>
        <v>143</v>
      </c>
      <c r="V97" s="1">
        <f>IF(D97="","",后台计算!ER91)</f>
        <v>0.9</v>
      </c>
      <c r="W97" s="1">
        <f>IF(D97="","",后台计算!ES91)</f>
        <v>0.6</v>
      </c>
      <c r="X97" s="1" t="str">
        <f>IF(D97="","",IF(Boss参数!$B$60=1,"此前实测；缺失用预测","此前预测"))</f>
        <v>此前实测；缺失用预测</v>
      </c>
      <c r="Y97" s="1" t="str">
        <f>IF(H97="","",IF(H97&gt;Boss参数!$B$63*Boss参数!$B$62,"超过暂定合计上限",""))</f>
        <v/>
      </c>
    </row>
    <row r="98" spans="1:25" ht="38.1" customHeight="1">
      <c r="A98" s="1">
        <f>行动模拟!A98</f>
        <v>90</v>
      </c>
      <c r="B98" s="1">
        <f>行动模拟!B98</f>
        <v>6</v>
      </c>
      <c r="C98" s="1">
        <f>行动模拟!C98</f>
        <v>1</v>
      </c>
      <c r="D98" s="1" t="str">
        <f>行动模拟!D98</f>
        <v>小瑞安侬｜唱予无忧之诗</v>
      </c>
      <c r="E98" s="1">
        <f>行动模拟!O98</f>
        <v>0</v>
      </c>
      <c r="F98" s="1">
        <f>行动模拟!P98</f>
        <v>0</v>
      </c>
      <c r="G98" s="1" t="str">
        <f>IF(行动模拟!D98="","",行动模拟!E98)</f>
        <v>—</v>
      </c>
      <c r="H98" s="1" t="str">
        <f>IF(COUNT(行动模拟!F98:H98)=0,"",SUM(行动模拟!F98:H98))</f>
        <v/>
      </c>
      <c r="I98" s="1" t="str">
        <f t="shared" si="7"/>
        <v/>
      </c>
      <c r="J98" s="1" t="str">
        <f t="shared" si="8"/>
        <v/>
      </c>
      <c r="K98" s="1" t="str">
        <f t="shared" si="9"/>
        <v/>
      </c>
      <c r="L98" s="1" t="str">
        <f t="shared" si="10"/>
        <v/>
      </c>
      <c r="M98" s="1" t="str">
        <f t="shared" si="11"/>
        <v/>
      </c>
      <c r="N98" s="1" t="str">
        <f>IF(ISNUMBER(行动模拟!F98),行动模拟!F98,"")</f>
        <v/>
      </c>
      <c r="O98" s="1" t="str">
        <f>IF(COUNT(行动模拟!G98:H98)=0,"",SUM(行动模拟!G98:H98))</f>
        <v/>
      </c>
      <c r="P98" s="1" t="str">
        <f>IF(H98="","",IF(G98="是",后台计算!DX92,IF(G98="否",后台计算!DW92,"")))</f>
        <v/>
      </c>
      <c r="Q98" s="1" t="str">
        <f>IF(H98="","",IF(G98="是",后台计算!BV92-后台计算!DX92,IF(G98="否",后台计算!BU92-后台计算!DW92,"")))</f>
        <v/>
      </c>
      <c r="R98" s="1" t="str">
        <f t="shared" si="12"/>
        <v/>
      </c>
      <c r="S98" s="1" t="str">
        <f t="shared" si="13"/>
        <v/>
      </c>
      <c r="T98" s="1" t="str">
        <f>IF(AND(后台计算!DH92="洞穿",O98&gt;0),IF(O98=ROUNDDOWN(N98*0.4,0),"实测附加=floor(主伤害×40%)；稳态来源待确认","实测附加关系需核对"),"")</f>
        <v/>
      </c>
      <c r="U98" s="1">
        <f>IF(D98="","",后台计算!EQ92)</f>
        <v>143</v>
      </c>
      <c r="V98" s="1">
        <f>IF(D98="","",后台计算!ER92)</f>
        <v>0.9</v>
      </c>
      <c r="W98" s="1">
        <f>IF(D98="","",后台计算!ES92)</f>
        <v>0.6</v>
      </c>
      <c r="X98" s="1" t="str">
        <f>IF(D98="","",IF(Boss参数!$B$60=1,"此前实测；缺失用预测","此前预测"))</f>
        <v>此前实测；缺失用预测</v>
      </c>
      <c r="Y98" s="1" t="str">
        <f>IF(H98="","",IF(H98&gt;Boss参数!$B$63*Boss参数!$B$62,"超过暂定合计上限",""))</f>
        <v/>
      </c>
    </row>
    <row r="99" spans="1:25" ht="38.1" customHeight="1">
      <c r="A99" s="1">
        <f>行动模拟!A99</f>
        <v>91</v>
      </c>
      <c r="B99" s="1">
        <f>行动模拟!B99</f>
        <v>6</v>
      </c>
      <c r="C99" s="1">
        <f>行动模拟!C99</f>
        <v>2</v>
      </c>
      <c r="D99" s="1" t="str">
        <f>行动模拟!D99</f>
        <v>小瑞安侬｜悄冥冥术阵</v>
      </c>
      <c r="E99" s="1">
        <f>行动模拟!O99</f>
        <v>0</v>
      </c>
      <c r="F99" s="1">
        <f>行动模拟!P99</f>
        <v>0</v>
      </c>
      <c r="G99" s="1" t="str">
        <f>IF(行动模拟!D99="","",行动模拟!E99)</f>
        <v>—</v>
      </c>
      <c r="H99" s="1" t="str">
        <f>IF(COUNT(行动模拟!F99:H99)=0,"",SUM(行动模拟!F99:H99))</f>
        <v/>
      </c>
      <c r="I99" s="1" t="str">
        <f t="shared" si="7"/>
        <v/>
      </c>
      <c r="J99" s="1" t="str">
        <f t="shared" si="8"/>
        <v/>
      </c>
      <c r="K99" s="1" t="str">
        <f t="shared" si="9"/>
        <v/>
      </c>
      <c r="L99" s="1" t="str">
        <f t="shared" si="10"/>
        <v/>
      </c>
      <c r="M99" s="1" t="str">
        <f t="shared" si="11"/>
        <v/>
      </c>
      <c r="N99" s="1" t="str">
        <f>IF(ISNUMBER(行动模拟!F99),行动模拟!F99,"")</f>
        <v/>
      </c>
      <c r="O99" s="1" t="str">
        <f>IF(COUNT(行动模拟!G99:H99)=0,"",SUM(行动模拟!G99:H99))</f>
        <v/>
      </c>
      <c r="P99" s="1" t="str">
        <f>IF(H99="","",IF(G99="是",后台计算!DX93,IF(G99="否",后台计算!DW93,"")))</f>
        <v/>
      </c>
      <c r="Q99" s="1" t="str">
        <f>IF(H99="","",IF(G99="是",后台计算!BV93-后台计算!DX93,IF(G99="否",后台计算!BU93-后台计算!DW93,"")))</f>
        <v/>
      </c>
      <c r="R99" s="1" t="str">
        <f t="shared" si="12"/>
        <v/>
      </c>
      <c r="S99" s="1" t="str">
        <f t="shared" si="13"/>
        <v/>
      </c>
      <c r="T99" s="1" t="str">
        <f>IF(AND(后台计算!DH93="洞穿",O99&gt;0),IF(O99=ROUNDDOWN(N99*0.4,0),"实测附加=floor(主伤害×40%)；稳态来源待确认","实测附加关系需核对"),"")</f>
        <v/>
      </c>
      <c r="U99" s="1">
        <f>IF(D99="","",后台计算!EQ93)</f>
        <v>143</v>
      </c>
      <c r="V99" s="1">
        <f>IF(D99="","",后台计算!ER93)</f>
        <v>0.9</v>
      </c>
      <c r="W99" s="1">
        <f>IF(D99="","",后台计算!ES93)</f>
        <v>0.6</v>
      </c>
      <c r="X99" s="1" t="str">
        <f>IF(D99="","",IF(Boss参数!$B$60=1,"此前实测；缺失用预测","此前预测"))</f>
        <v>此前实测；缺失用预测</v>
      </c>
      <c r="Y99" s="1" t="str">
        <f>IF(H99="","",IF(H99&gt;Boss参数!$B$63*Boss参数!$B$62,"超过暂定合计上限",""))</f>
        <v/>
      </c>
    </row>
    <row r="100" spans="1:25" ht="38.1" customHeight="1">
      <c r="A100" s="1">
        <f>行动模拟!A100</f>
        <v>92</v>
      </c>
      <c r="B100" s="1">
        <f>行动模拟!B100</f>
        <v>6</v>
      </c>
      <c r="C100" s="1">
        <f>行动模拟!C100</f>
        <v>3</v>
      </c>
      <c r="D100" s="1" t="str">
        <f>行动模拟!D100</f>
        <v>J｜飞跃海特街</v>
      </c>
      <c r="E100" s="1">
        <f>行动模拟!O100</f>
        <v>54067</v>
      </c>
      <c r="F100" s="1">
        <f>行动模拟!P100</f>
        <v>102565</v>
      </c>
      <c r="G100" s="1" t="str">
        <f>IF(行动模拟!D100="","",行动模拟!E100)</f>
        <v>否</v>
      </c>
      <c r="H100" s="1">
        <f>IF(COUNT(行动模拟!F100:H100)=0,"",SUM(行动模拟!F100:H100))</f>
        <v>54067</v>
      </c>
      <c r="I100" s="1">
        <f t="shared" si="7"/>
        <v>54067</v>
      </c>
      <c r="J100" s="1">
        <f t="shared" si="8"/>
        <v>0</v>
      </c>
      <c r="K100" s="1">
        <f t="shared" si="9"/>
        <v>0</v>
      </c>
      <c r="L100" s="1">
        <f t="shared" si="10"/>
        <v>0</v>
      </c>
      <c r="M100" s="1" t="str">
        <f t="shared" si="11"/>
        <v>数值差异≤3%；机制仍需核实</v>
      </c>
      <c r="N100" s="1">
        <f>IF(ISNUMBER(行动模拟!F100),行动模拟!F100,"")</f>
        <v>54067</v>
      </c>
      <c r="O100" s="1">
        <f>IF(COUNT(行动模拟!G100:H100)=0,"",SUM(行动模拟!G100:H100))</f>
        <v>0</v>
      </c>
      <c r="P100" s="1">
        <f>IF(H100="","",IF(G100="是",后台计算!DX94,IF(G100="否",后台计算!DW94,"")))</f>
        <v>54067</v>
      </c>
      <c r="Q100" s="1">
        <f>IF(H100="","",IF(G100="是",后台计算!BV94-后台计算!DX94,IF(G100="否",后台计算!BU94-后台计算!DW94,"")))</f>
        <v>0</v>
      </c>
      <c r="R100" s="1">
        <f t="shared" si="12"/>
        <v>0</v>
      </c>
      <c r="S100" s="1">
        <f t="shared" si="13"/>
        <v>0</v>
      </c>
      <c r="T100" s="1" t="str">
        <f>IF(AND(后台计算!DH94="洞穿",O100&gt;0),IF(O100=ROUNDDOWN(N100*0.4,0),"实测附加=floor(主伤害×40%)；稳态来源待确认","实测附加关系需核对"),"")</f>
        <v/>
      </c>
      <c r="U100" s="1">
        <f>IF(D100="","",后台计算!EQ94)</f>
        <v>143</v>
      </c>
      <c r="V100" s="1">
        <f>IF(D100="","",后台计算!ER94)</f>
        <v>0.9</v>
      </c>
      <c r="W100" s="1">
        <f>IF(D100="","",后台计算!ES94)</f>
        <v>0.6</v>
      </c>
      <c r="X100" s="1" t="str">
        <f>IF(D100="","",IF(Boss参数!$B$60=1,"此前实测；缺失用预测","此前预测"))</f>
        <v>此前实测；缺失用预测</v>
      </c>
      <c r="Y100" s="1" t="str">
        <f>IF(H100="","",IF(H100&gt;Boss参数!$B$63*Boss参数!$B$62,"超过暂定合计上限",""))</f>
        <v/>
      </c>
    </row>
    <row r="101" spans="1:25" ht="38.1" customHeight="1">
      <c r="A101" s="1">
        <f>行动模拟!A101</f>
        <v>93</v>
      </c>
      <c r="B101" s="1">
        <f>行动模拟!B101</f>
        <v>6</v>
      </c>
      <c r="C101" s="1">
        <f>行动模拟!C101</f>
        <v>4</v>
      </c>
      <c r="D101" s="1" t="str">
        <f>行动模拟!D101</f>
        <v>J｜热处理</v>
      </c>
      <c r="E101" s="1">
        <f>行动模拟!O101</f>
        <v>0</v>
      </c>
      <c r="F101" s="1">
        <f>行动模拟!P101</f>
        <v>0</v>
      </c>
      <c r="G101" s="1" t="str">
        <f>IF(行动模拟!D101="","",行动模拟!E101)</f>
        <v>—</v>
      </c>
      <c r="H101" s="1" t="str">
        <f>IF(COUNT(行动模拟!F101:H101)=0,"",SUM(行动模拟!F101:H101))</f>
        <v/>
      </c>
      <c r="I101" s="1" t="str">
        <f t="shared" si="7"/>
        <v/>
      </c>
      <c r="J101" s="1" t="str">
        <f t="shared" si="8"/>
        <v/>
      </c>
      <c r="K101" s="1" t="str">
        <f t="shared" si="9"/>
        <v/>
      </c>
      <c r="L101" s="1" t="str">
        <f t="shared" si="10"/>
        <v/>
      </c>
      <c r="M101" s="1" t="str">
        <f t="shared" si="11"/>
        <v/>
      </c>
      <c r="N101" s="1" t="str">
        <f>IF(ISNUMBER(行动模拟!F101),行动模拟!F101,"")</f>
        <v/>
      </c>
      <c r="O101" s="1" t="str">
        <f>IF(COUNT(行动模拟!G101:H101)=0,"",SUM(行动模拟!G101:H101))</f>
        <v/>
      </c>
      <c r="P101" s="1" t="str">
        <f>IF(H101="","",IF(G101="是",后台计算!DX95,IF(G101="否",后台计算!DW95,"")))</f>
        <v/>
      </c>
      <c r="Q101" s="1" t="str">
        <f>IF(H101="","",IF(G101="是",后台计算!BV95-后台计算!DX95,IF(G101="否",后台计算!BU95-后台计算!DW95,"")))</f>
        <v/>
      </c>
      <c r="R101" s="1" t="str">
        <f t="shared" si="12"/>
        <v/>
      </c>
      <c r="S101" s="1" t="str">
        <f t="shared" si="13"/>
        <v/>
      </c>
      <c r="T101" s="1" t="str">
        <f>IF(AND(后台计算!DH95="洞穿",O101&gt;0),IF(O101=ROUNDDOWN(N101*0.4,0),"实测附加=floor(主伤害×40%)；稳态来源待确认","实测附加关系需核对"),"")</f>
        <v/>
      </c>
      <c r="U101" s="1">
        <f>IF(D101="","",后台计算!EQ95)</f>
        <v>143</v>
      </c>
      <c r="V101" s="1">
        <f>IF(D101="","",后台计算!ER95)</f>
        <v>0.9</v>
      </c>
      <c r="W101" s="1">
        <f>IF(D101="","",后台计算!ES95)</f>
        <v>0.6</v>
      </c>
      <c r="X101" s="1" t="str">
        <f>IF(D101="","",IF(Boss参数!$B$60=1,"此前实测；缺失用预测","此前预测"))</f>
        <v>此前实测；缺失用预测</v>
      </c>
      <c r="Y101" s="1" t="str">
        <f>IF(H101="","",IF(H101&gt;Boss参数!$B$63*Boss参数!$B$62,"超过暂定合计上限",""))</f>
        <v/>
      </c>
    </row>
    <row r="102" spans="1:25" ht="38.1" customHeight="1">
      <c r="A102" s="1">
        <f>行动模拟!A102</f>
        <v>94</v>
      </c>
      <c r="B102" s="1">
        <f>行动模拟!B102</f>
        <v>6</v>
      </c>
      <c r="C102" s="1">
        <f>行动模拟!C102</f>
        <v>5</v>
      </c>
      <c r="D102" s="1" t="str">
        <f>行动模拟!D102</f>
        <v>37｜补充算式</v>
      </c>
      <c r="E102" s="1">
        <f>行动模拟!O102</f>
        <v>1742</v>
      </c>
      <c r="F102" s="1">
        <f>行动模拟!P102</f>
        <v>2924</v>
      </c>
      <c r="G102" s="1" t="str">
        <f>IF(行动模拟!D102="","",行动模拟!E102)</f>
        <v>否</v>
      </c>
      <c r="H102" s="1">
        <f>IF(COUNT(行动模拟!F102:H102)=0,"",SUM(行动模拟!F102:H102))</f>
        <v>1742</v>
      </c>
      <c r="I102" s="1">
        <f t="shared" si="7"/>
        <v>1742</v>
      </c>
      <c r="J102" s="1">
        <f t="shared" si="8"/>
        <v>0</v>
      </c>
      <c r="K102" s="1">
        <f t="shared" si="9"/>
        <v>0</v>
      </c>
      <c r="L102" s="1">
        <f t="shared" si="10"/>
        <v>0</v>
      </c>
      <c r="M102" s="1" t="str">
        <f t="shared" si="11"/>
        <v>数值差异≤3%；机制仍需核实</v>
      </c>
      <c r="N102" s="1">
        <f>IF(ISNUMBER(行动模拟!F102),行动模拟!F102,"")</f>
        <v>1742</v>
      </c>
      <c r="O102" s="1">
        <f>IF(COUNT(行动模拟!G102:H102)=0,"",SUM(行动模拟!G102:H102))</f>
        <v>0</v>
      </c>
      <c r="P102" s="1">
        <f>IF(H102="","",IF(G102="是",后台计算!DX96,IF(G102="否",后台计算!DW96,"")))</f>
        <v>1742</v>
      </c>
      <c r="Q102" s="1">
        <f>IF(H102="","",IF(G102="是",后台计算!BV96-后台计算!DX96,IF(G102="否",后台计算!BU96-后台计算!DW96,"")))</f>
        <v>0</v>
      </c>
      <c r="R102" s="1">
        <f t="shared" si="12"/>
        <v>0</v>
      </c>
      <c r="S102" s="1">
        <f t="shared" si="13"/>
        <v>0</v>
      </c>
      <c r="T102" s="1" t="str">
        <f>IF(AND(后台计算!DH96="洞穿",O102&gt;0),IF(O102=ROUNDDOWN(N102*0.4,0),"实测附加=floor(主伤害×40%)；稳态来源待确认","实测附加关系需核对"),"")</f>
        <v/>
      </c>
      <c r="U102" s="1">
        <f>IF(D102="","",后台计算!EQ96)</f>
        <v>143</v>
      </c>
      <c r="V102" s="1">
        <f>IF(D102="","",后台计算!ER96)</f>
        <v>0.9</v>
      </c>
      <c r="W102" s="1">
        <f>IF(D102="","",后台计算!ES96)</f>
        <v>0.6</v>
      </c>
      <c r="X102" s="1" t="str">
        <f>IF(D102="","",IF(Boss参数!$B$60=1,"此前实测；缺失用预测","此前预测"))</f>
        <v>此前实测；缺失用预测</v>
      </c>
      <c r="Y102" s="1" t="str">
        <f>IF(H102="","",IF(H102&gt;Boss参数!$B$63*Boss参数!$B$62,"超过暂定合计上限",""))</f>
        <v/>
      </c>
    </row>
    <row r="103" spans="1:25" ht="38.1" customHeight="1">
      <c r="A103" s="1">
        <f>行动模拟!A103</f>
        <v>95</v>
      </c>
      <c r="B103" s="1">
        <f>行动模拟!B103</f>
        <v>6</v>
      </c>
      <c r="C103" s="1">
        <f>行动模拟!C103</f>
        <v>6</v>
      </c>
      <c r="D103" s="1" t="str">
        <f>行动模拟!D103</f>
        <v>37｜三角正论Ⅱ</v>
      </c>
      <c r="E103" s="1">
        <f>行动模拟!O103</f>
        <v>3659</v>
      </c>
      <c r="F103" s="1">
        <f>行动模拟!P103</f>
        <v>8702</v>
      </c>
      <c r="G103" s="1" t="str">
        <f>IF(行动模拟!D103="","",行动模拟!E103)</f>
        <v>是</v>
      </c>
      <c r="H103" s="1">
        <f>IF(COUNT(行动模拟!F103:H103)=0,"",SUM(行动模拟!F103:H103))</f>
        <v>8702</v>
      </c>
      <c r="I103" s="1">
        <f t="shared" si="7"/>
        <v>8702</v>
      </c>
      <c r="J103" s="1">
        <f t="shared" si="8"/>
        <v>0</v>
      </c>
      <c r="K103" s="1">
        <f t="shared" si="9"/>
        <v>0</v>
      </c>
      <c r="L103" s="1">
        <f t="shared" si="10"/>
        <v>0</v>
      </c>
      <c r="M103" s="1" t="str">
        <f t="shared" si="11"/>
        <v>数值差异≤3%；机制仍需核实</v>
      </c>
      <c r="N103" s="1">
        <f>IF(ISNUMBER(行动模拟!F103),行动模拟!F103,"")</f>
        <v>8702</v>
      </c>
      <c r="O103" s="1">
        <f>IF(COUNT(行动模拟!G103:H103)=0,"",SUM(行动模拟!G103:H103))</f>
        <v>0</v>
      </c>
      <c r="P103" s="1">
        <f>IF(H103="","",IF(G103="是",后台计算!DX97,IF(G103="否",后台计算!DW97,"")))</f>
        <v>8702</v>
      </c>
      <c r="Q103" s="1">
        <f>IF(H103="","",IF(G103="是",后台计算!BV97-后台计算!DX97,IF(G103="否",后台计算!BU97-后台计算!DW97,"")))</f>
        <v>0</v>
      </c>
      <c r="R103" s="1">
        <f t="shared" si="12"/>
        <v>0</v>
      </c>
      <c r="S103" s="1">
        <f t="shared" si="13"/>
        <v>0</v>
      </c>
      <c r="T103" s="1" t="str">
        <f>IF(AND(后台计算!DH97="洞穿",O103&gt;0),IF(O103=ROUNDDOWN(N103*0.4,0),"实测附加=floor(主伤害×40%)；稳态来源待确认","实测附加关系需核对"),"")</f>
        <v/>
      </c>
      <c r="U103" s="1">
        <f>IF(D103="","",后台计算!EQ97)</f>
        <v>143</v>
      </c>
      <c r="V103" s="1">
        <f>IF(D103="","",后台计算!ER97)</f>
        <v>0.9</v>
      </c>
      <c r="W103" s="1">
        <f>IF(D103="","",后台计算!ES97)</f>
        <v>0.6</v>
      </c>
      <c r="X103" s="1" t="str">
        <f>IF(D103="","",IF(Boss参数!$B$60=1,"此前实测；缺失用预测","此前预测"))</f>
        <v>此前实测；缺失用预测</v>
      </c>
      <c r="Y103" s="1" t="str">
        <f>IF(H103="","",IF(H103&gt;Boss参数!$B$63*Boss参数!$B$62,"超过暂定合计上限",""))</f>
        <v/>
      </c>
    </row>
    <row r="104" spans="1:25" ht="38.1" customHeight="1">
      <c r="A104" s="1">
        <f>行动模拟!A104</f>
        <v>96</v>
      </c>
      <c r="B104" s="1">
        <f>行动模拟!B104</f>
        <v>6</v>
      </c>
      <c r="C104" s="1">
        <f>行动模拟!C104</f>
        <v>7</v>
      </c>
      <c r="D104" s="1" t="str">
        <f>行动模拟!D104</f>
        <v>红弩箭｜极限俯冲Ⅲ</v>
      </c>
      <c r="E104" s="1">
        <f>行动模拟!O104</f>
        <v>278922</v>
      </c>
      <c r="F104" s="1">
        <f>行动模拟!P104</f>
        <v>615024</v>
      </c>
      <c r="G104" s="1" t="str">
        <f>IF(行动模拟!D104="","",行动模拟!E104)</f>
        <v>是</v>
      </c>
      <c r="H104" s="1">
        <f>IF(COUNT(行动模拟!F104:H104)=0,"",SUM(行动模拟!F104:H104))</f>
        <v>615024</v>
      </c>
      <c r="I104" s="1">
        <f t="shared" si="7"/>
        <v>615024</v>
      </c>
      <c r="J104" s="1">
        <f t="shared" si="8"/>
        <v>0</v>
      </c>
      <c r="K104" s="1">
        <f t="shared" si="9"/>
        <v>0</v>
      </c>
      <c r="L104" s="1">
        <f t="shared" si="10"/>
        <v>0</v>
      </c>
      <c r="M104" s="1" t="str">
        <f t="shared" si="11"/>
        <v>数值差异≤3%；机制仍需核实</v>
      </c>
      <c r="N104" s="1">
        <f>IF(ISNUMBER(行动模拟!F104),行动模拟!F104,"")</f>
        <v>615024</v>
      </c>
      <c r="O104" s="1">
        <f>IF(COUNT(行动模拟!G104:H104)=0,"",SUM(行动模拟!G104:H104))</f>
        <v>0</v>
      </c>
      <c r="P104" s="1">
        <f>IF(H104="","",IF(G104="是",后台计算!DX98,IF(G104="否",后台计算!DW98,"")))</f>
        <v>615024</v>
      </c>
      <c r="Q104" s="1">
        <f>IF(H104="","",IF(G104="是",后台计算!BV98-后台计算!DX98,IF(G104="否",后台计算!BU98-后台计算!DW98,"")))</f>
        <v>0</v>
      </c>
      <c r="R104" s="1">
        <f t="shared" si="12"/>
        <v>0</v>
      </c>
      <c r="S104" s="1">
        <f t="shared" si="13"/>
        <v>0</v>
      </c>
      <c r="T104" s="1" t="str">
        <f>IF(AND(后台计算!DH98="洞穿",O104&gt;0),IF(O104=ROUNDDOWN(N104*0.4,0),"实测附加=floor(主伤害×40%)；稳态来源待确认","实测附加关系需核对"),"")</f>
        <v/>
      </c>
      <c r="U104" s="1">
        <f>IF(D104="","",后台计算!EQ98)</f>
        <v>143</v>
      </c>
      <c r="V104" s="1">
        <f>IF(D104="","",后台计算!ER98)</f>
        <v>0.9</v>
      </c>
      <c r="W104" s="1">
        <f>IF(D104="","",后台计算!ES98)</f>
        <v>0.6</v>
      </c>
      <c r="X104" s="1" t="str">
        <f>IF(D104="","",IF(Boss参数!$B$60=1,"此前实测；缺失用预测","此前预测"))</f>
        <v>此前实测；缺失用预测</v>
      </c>
      <c r="Y104" s="1" t="str">
        <f>IF(H104="","",IF(H104&gt;Boss参数!$B$63*Boss参数!$B$62,"超过暂定合计上限",""))</f>
        <v/>
      </c>
    </row>
    <row r="105" spans="1:25" ht="38.1" customHeight="1">
      <c r="A105" s="1">
        <f>行动模拟!A105</f>
        <v>97</v>
      </c>
      <c r="B105" s="1">
        <f>行动模拟!B105</f>
        <v>6</v>
      </c>
      <c r="C105" s="1">
        <f>行动模拟!C105</f>
        <v>8</v>
      </c>
      <c r="D105" s="1" t="str">
        <f>行动模拟!D105</f>
        <v>J｜硬度测试Ⅱ</v>
      </c>
      <c r="E105" s="1">
        <f>行动模拟!O105</f>
        <v>5087</v>
      </c>
      <c r="F105" s="1">
        <f>行动模拟!P105</f>
        <v>9651</v>
      </c>
      <c r="G105" s="1" t="str">
        <f>IF(行动模拟!D105="","",行动模拟!E105)</f>
        <v>否</v>
      </c>
      <c r="H105" s="1">
        <f>IF(COUNT(行动模拟!F105:H105)=0,"",SUM(行动模拟!F105:H105))</f>
        <v>5087</v>
      </c>
      <c r="I105" s="1">
        <f t="shared" si="7"/>
        <v>5087</v>
      </c>
      <c r="J105" s="1">
        <f t="shared" si="8"/>
        <v>0</v>
      </c>
      <c r="K105" s="1">
        <f t="shared" si="9"/>
        <v>0</v>
      </c>
      <c r="L105" s="1">
        <f t="shared" si="10"/>
        <v>0</v>
      </c>
      <c r="M105" s="1" t="str">
        <f t="shared" si="11"/>
        <v>数值差异≤3%；机制仍需核实</v>
      </c>
      <c r="N105" s="1">
        <f>IF(ISNUMBER(行动模拟!F105),行动模拟!F105,"")</f>
        <v>5087</v>
      </c>
      <c r="O105" s="1">
        <f>IF(COUNT(行动模拟!G105:H105)=0,"",SUM(行动模拟!G105:H105))</f>
        <v>0</v>
      </c>
      <c r="P105" s="1">
        <f>IF(H105="","",IF(G105="是",后台计算!DX99,IF(G105="否",后台计算!DW99,"")))</f>
        <v>5087</v>
      </c>
      <c r="Q105" s="1">
        <f>IF(H105="","",IF(G105="是",后台计算!BV99-后台计算!DX99,IF(G105="否",后台计算!BU99-后台计算!DW99,"")))</f>
        <v>0</v>
      </c>
      <c r="R105" s="1">
        <f t="shared" si="12"/>
        <v>0</v>
      </c>
      <c r="S105" s="1">
        <f t="shared" si="13"/>
        <v>0</v>
      </c>
      <c r="T105" s="1" t="str">
        <f>IF(AND(后台计算!DH99="洞穿",O105&gt;0),IF(O105=ROUNDDOWN(N105*0.4,0),"实测附加=floor(主伤害×40%)；稳态来源待确认","实测附加关系需核对"),"")</f>
        <v/>
      </c>
      <c r="U105" s="1">
        <f>IF(D105="","",后台计算!EQ99)</f>
        <v>150</v>
      </c>
      <c r="V105" s="1">
        <f>IF(D105="","",后台计算!ER99)</f>
        <v>0.9</v>
      </c>
      <c r="W105" s="1">
        <f>IF(D105="","",后台计算!ES99)</f>
        <v>0.6</v>
      </c>
      <c r="X105" s="1" t="str">
        <f>IF(D105="","",IF(Boss参数!$B$60=1,"此前实测；缺失用预测","此前预测"))</f>
        <v>此前实测；缺失用预测</v>
      </c>
      <c r="Y105" s="1" t="str">
        <f>IF(H105="","",IF(H105&gt;Boss参数!$B$63*Boss参数!$B$62,"超过暂定合计上限",""))</f>
        <v/>
      </c>
    </row>
    <row r="106" spans="1:25" ht="38.1" customHeight="1">
      <c r="A106" s="1">
        <f>行动模拟!A106</f>
        <v>98</v>
      </c>
      <c r="B106" s="1">
        <f>行动模拟!B106</f>
        <v>6</v>
      </c>
      <c r="C106" s="1">
        <f>行动模拟!C106</f>
        <v>9</v>
      </c>
      <c r="D106" s="1" t="str">
        <f>行动模拟!D106</f>
        <v>J｜高温回火</v>
      </c>
      <c r="E106" s="1">
        <f>行动模拟!O106</f>
        <v>2914</v>
      </c>
      <c r="F106" s="1">
        <f>行动模拟!P106</f>
        <v>3205</v>
      </c>
      <c r="G106" s="1" t="str">
        <f>IF(行动模拟!D106="","",行动模拟!E106)</f>
        <v>否</v>
      </c>
      <c r="H106" s="1">
        <f>IF(COUNT(行动模拟!F106:H106)=0,"",SUM(行动模拟!F106:H106))</f>
        <v>2914</v>
      </c>
      <c r="I106" s="1">
        <f t="shared" si="7"/>
        <v>2914</v>
      </c>
      <c r="J106" s="1">
        <f t="shared" si="8"/>
        <v>0</v>
      </c>
      <c r="K106" s="1">
        <f t="shared" si="9"/>
        <v>0</v>
      </c>
      <c r="L106" s="1">
        <f t="shared" si="10"/>
        <v>0</v>
      </c>
      <c r="M106" s="1" t="str">
        <f t="shared" si="11"/>
        <v>数值差异≤3%；机制仍需核实</v>
      </c>
      <c r="N106" s="1">
        <f>IF(ISNUMBER(行动模拟!F106),行动模拟!F106,"")</f>
        <v>2914</v>
      </c>
      <c r="O106" s="1">
        <f>IF(COUNT(行动模拟!G106:H106)=0,"",SUM(行动模拟!G106:H106))</f>
        <v>0</v>
      </c>
      <c r="P106" s="1">
        <f>IF(H106="","",IF(G106="是",后台计算!DX100,IF(G106="否",后台计算!DW100,"")))</f>
        <v>2914</v>
      </c>
      <c r="Q106" s="1">
        <f>IF(H106="","",IF(G106="是",后台计算!BV100-后台计算!DX100,IF(G106="否",后台计算!BU100-后台计算!DW100,"")))</f>
        <v>0</v>
      </c>
      <c r="R106" s="1">
        <f t="shared" si="12"/>
        <v>0</v>
      </c>
      <c r="S106" s="1">
        <f t="shared" si="13"/>
        <v>0</v>
      </c>
      <c r="T106" s="1" t="str">
        <f>IF(AND(后台计算!DH100="洞穿",O106&gt;0),IF(O106=ROUNDDOWN(N106*0.4,0),"实测附加=floor(主伤害×40%)；稳态来源待确认","实测附加关系需核对"),"")</f>
        <v/>
      </c>
      <c r="U106" s="1">
        <f>IF(D106="","",后台计算!EQ100)</f>
        <v>150</v>
      </c>
      <c r="V106" s="1">
        <f>IF(D106="","",后台计算!ER100)</f>
        <v>0.9</v>
      </c>
      <c r="W106" s="1">
        <f>IF(D106="","",后台计算!ES100)</f>
        <v>0.6</v>
      </c>
      <c r="X106" s="1" t="str">
        <f>IF(D106="","",IF(Boss参数!$B$60=1,"此前实测；缺失用预测","此前预测"))</f>
        <v>此前实测；缺失用预测</v>
      </c>
      <c r="Y106" s="1" t="str">
        <f>IF(H106="","",IF(H106&gt;Boss参数!$B$63*Boss参数!$B$62,"超过暂定合计上限",""))</f>
        <v/>
      </c>
    </row>
    <row r="107" spans="1:25" ht="38.1" customHeight="1">
      <c r="A107" s="1">
        <f>行动模拟!A107</f>
        <v>99</v>
      </c>
      <c r="B107" s="1">
        <f>行动模拟!B107</f>
        <v>6</v>
      </c>
      <c r="C107" s="1">
        <f>行动模拟!C107</f>
        <v>10</v>
      </c>
      <c r="D107" s="1" t="str">
        <f>行动模拟!D107</f>
        <v>J｜高温回火</v>
      </c>
      <c r="E107" s="1">
        <f>行动模拟!O107</f>
        <v>3885</v>
      </c>
      <c r="F107" s="1">
        <f>行动模拟!P107</f>
        <v>4274</v>
      </c>
      <c r="G107" s="1" t="str">
        <f>IF(行动模拟!D107="","",行动模拟!E107)</f>
        <v>否</v>
      </c>
      <c r="H107" s="1">
        <f>IF(COUNT(行动模拟!F107:H107)=0,"",SUM(行动模拟!F107:H107))</f>
        <v>3885</v>
      </c>
      <c r="I107" s="1">
        <f t="shared" si="7"/>
        <v>3885</v>
      </c>
      <c r="J107" s="1">
        <f t="shared" si="8"/>
        <v>0</v>
      </c>
      <c r="K107" s="1">
        <f t="shared" si="9"/>
        <v>0</v>
      </c>
      <c r="L107" s="1">
        <f t="shared" si="10"/>
        <v>0</v>
      </c>
      <c r="M107" s="1" t="str">
        <f t="shared" si="11"/>
        <v>数值差异≤3%；机制仍需核实</v>
      </c>
      <c r="N107" s="1">
        <f>IF(ISNUMBER(行动模拟!F107),行动模拟!F107,"")</f>
        <v>3885</v>
      </c>
      <c r="O107" s="1">
        <f>IF(COUNT(行动模拟!G107:H107)=0,"",SUM(行动模拟!G107:H107))</f>
        <v>0</v>
      </c>
      <c r="P107" s="1">
        <f>IF(H107="","",IF(G107="是",后台计算!DX101,IF(G107="否",后台计算!DW101,"")))</f>
        <v>3885</v>
      </c>
      <c r="Q107" s="1">
        <f>IF(H107="","",IF(G107="是",后台计算!BV101-后台计算!DX101,IF(G107="否",后台计算!BU101-后台计算!DW101,"")))</f>
        <v>0</v>
      </c>
      <c r="R107" s="1">
        <f t="shared" si="12"/>
        <v>0</v>
      </c>
      <c r="S107" s="1">
        <f t="shared" si="13"/>
        <v>0</v>
      </c>
      <c r="T107" s="1" t="str">
        <f>IF(AND(后台计算!DH101="洞穿",O107&gt;0),IF(O107=ROUNDDOWN(N107*0.4,0),"实测附加=floor(主伤害×40%)；稳态来源待确认","实测附加关系需核对"),"")</f>
        <v/>
      </c>
      <c r="U107" s="1">
        <f>IF(D107="","",后台计算!EQ101)</f>
        <v>150</v>
      </c>
      <c r="V107" s="1">
        <f>IF(D107="","",后台计算!ER101)</f>
        <v>0.9</v>
      </c>
      <c r="W107" s="1">
        <f>IF(D107="","",后台计算!ES101)</f>
        <v>0.6</v>
      </c>
      <c r="X107" s="1" t="str">
        <f>IF(D107="","",IF(Boss参数!$B$60=1,"此前实测；缺失用预测","此前预测"))</f>
        <v>此前实测；缺失用预测</v>
      </c>
      <c r="Y107" s="1" t="str">
        <f>IF(H107="","",IF(H107&gt;Boss参数!$B$63*Boss参数!$B$62,"超过暂定合计上限",""))</f>
        <v/>
      </c>
    </row>
    <row r="108" spans="1:25" ht="38.1" customHeight="1">
      <c r="A108" s="1">
        <f>行动模拟!A108</f>
        <v>100</v>
      </c>
      <c r="B108" s="1">
        <f>行动模拟!B108</f>
        <v>6</v>
      </c>
      <c r="C108" s="1">
        <f>行动模拟!C108</f>
        <v>11</v>
      </c>
      <c r="D108" s="1" t="str">
        <f>行动模拟!D108</f>
        <v>37｜补充算式</v>
      </c>
      <c r="E108" s="1">
        <f>行动模拟!O108</f>
        <v>1899</v>
      </c>
      <c r="F108" s="1">
        <f>行动模拟!P108</f>
        <v>3187</v>
      </c>
      <c r="G108" s="1" t="str">
        <f>IF(行动模拟!D108="","",行动模拟!E108)</f>
        <v>否</v>
      </c>
      <c r="H108" s="1">
        <f>IF(COUNT(行动模拟!F108:H108)=0,"",SUM(行动模拟!F108:H108))</f>
        <v>1899</v>
      </c>
      <c r="I108" s="1">
        <f t="shared" si="7"/>
        <v>1899</v>
      </c>
      <c r="J108" s="1">
        <f t="shared" si="8"/>
        <v>0</v>
      </c>
      <c r="K108" s="1">
        <f t="shared" si="9"/>
        <v>0</v>
      </c>
      <c r="L108" s="1">
        <f t="shared" si="10"/>
        <v>0</v>
      </c>
      <c r="M108" s="1" t="str">
        <f t="shared" si="11"/>
        <v>数值差异≤3%；机制仍需核实</v>
      </c>
      <c r="N108" s="1">
        <f>IF(ISNUMBER(行动模拟!F108),行动模拟!F108,"")</f>
        <v>844</v>
      </c>
      <c r="O108" s="1">
        <f>IF(COUNT(行动模拟!G108:H108)=0,"",SUM(行动模拟!G108:H108))</f>
        <v>1055</v>
      </c>
      <c r="P108" s="1">
        <f>IF(H108="","",IF(G108="是",后台计算!DX102,IF(G108="否",后台计算!DW102,"")))</f>
        <v>844</v>
      </c>
      <c r="Q108" s="1">
        <f>IF(H108="","",IF(G108="是",后台计算!BV102-后台计算!DX102,IF(G108="否",后台计算!BU102-后台计算!DW102,"")))</f>
        <v>1055</v>
      </c>
      <c r="R108" s="1">
        <f t="shared" si="12"/>
        <v>0</v>
      </c>
      <c r="S108" s="1">
        <f t="shared" si="13"/>
        <v>0</v>
      </c>
      <c r="T108" s="1" t="str">
        <f>IF(AND(后台计算!DH102="洞穿",O108&gt;0),IF(O108=ROUNDDOWN(N108*0.4,0),"实测附加=floor(主伤害×40%)；稳态来源待确认","实测附加关系需核对"),"")</f>
        <v/>
      </c>
      <c r="U108" s="1">
        <f>IF(D108="","",后台计算!EQ102)</f>
        <v>150</v>
      </c>
      <c r="V108" s="1">
        <f>IF(D108="","",后台计算!ER102)</f>
        <v>0.9</v>
      </c>
      <c r="W108" s="1">
        <f>IF(D108="","",后台计算!ES102)</f>
        <v>0.6</v>
      </c>
      <c r="X108" s="1" t="str">
        <f>IF(D108="","",IF(Boss参数!$B$60=1,"此前实测；缺失用预测","此前预测"))</f>
        <v>此前实测；缺失用预测</v>
      </c>
      <c r="Y108" s="1" t="str">
        <f>IF(H108="","",IF(H108&gt;Boss参数!$B$63*Boss参数!$B$62,"超过暂定合计上限",""))</f>
        <v/>
      </c>
    </row>
    <row r="109" spans="1:25" ht="38.1" customHeight="1">
      <c r="A109" s="1">
        <f>行动模拟!A109</f>
        <v>101</v>
      </c>
      <c r="B109" s="1">
        <f>行动模拟!B109</f>
        <v>6</v>
      </c>
      <c r="C109" s="1">
        <f>行动模拟!C109</f>
        <v>12</v>
      </c>
      <c r="D109" s="1" t="str">
        <f>行动模拟!D109</f>
        <v>J｜高温回火</v>
      </c>
      <c r="E109" s="1">
        <f>行动模拟!O109</f>
        <v>3885</v>
      </c>
      <c r="F109" s="1">
        <f>行动模拟!P109</f>
        <v>4274</v>
      </c>
      <c r="G109" s="1" t="str">
        <f>IF(行动模拟!D109="","",行动模拟!E109)</f>
        <v>否</v>
      </c>
      <c r="H109" s="1">
        <f>IF(COUNT(行动模拟!F109:H109)=0,"",SUM(行动模拟!F109:H109))</f>
        <v>3885</v>
      </c>
      <c r="I109" s="1">
        <f t="shared" si="7"/>
        <v>3885</v>
      </c>
      <c r="J109" s="1">
        <f t="shared" si="8"/>
        <v>0</v>
      </c>
      <c r="K109" s="1">
        <f t="shared" si="9"/>
        <v>0</v>
      </c>
      <c r="L109" s="1">
        <f t="shared" si="10"/>
        <v>0</v>
      </c>
      <c r="M109" s="1" t="str">
        <f t="shared" si="11"/>
        <v>数值差异≤3%；机制仍需核实</v>
      </c>
      <c r="N109" s="1">
        <f>IF(ISNUMBER(行动模拟!F109),行动模拟!F109,"")</f>
        <v>3885</v>
      </c>
      <c r="O109" s="1">
        <f>IF(COUNT(行动模拟!G109:H109)=0,"",SUM(行动模拟!G109:H109))</f>
        <v>0</v>
      </c>
      <c r="P109" s="1">
        <f>IF(H109="","",IF(G109="是",后台计算!DX103,IF(G109="否",后台计算!DW103,"")))</f>
        <v>3885</v>
      </c>
      <c r="Q109" s="1">
        <f>IF(H109="","",IF(G109="是",后台计算!BV103-后台计算!DX103,IF(G109="否",后台计算!BU103-后台计算!DW103,"")))</f>
        <v>0</v>
      </c>
      <c r="R109" s="1">
        <f t="shared" si="12"/>
        <v>0</v>
      </c>
      <c r="S109" s="1">
        <f t="shared" si="13"/>
        <v>0</v>
      </c>
      <c r="T109" s="1" t="str">
        <f>IF(AND(后台计算!DH103="洞穿",O109&gt;0),IF(O109=ROUNDDOWN(N109*0.4,0),"实测附加=floor(主伤害×40%)；稳态来源待确认","实测附加关系需核对"),"")</f>
        <v/>
      </c>
      <c r="U109" s="1">
        <f>IF(D109="","",后台计算!EQ103)</f>
        <v>150</v>
      </c>
      <c r="V109" s="1">
        <f>IF(D109="","",后台计算!ER103)</f>
        <v>0.9</v>
      </c>
      <c r="W109" s="1">
        <f>IF(D109="","",后台计算!ES103)</f>
        <v>0.6</v>
      </c>
      <c r="X109" s="1" t="str">
        <f>IF(D109="","",IF(Boss参数!$B$60=1,"此前实测；缺失用预测","此前预测"))</f>
        <v>此前实测；缺失用预测</v>
      </c>
      <c r="Y109" s="1" t="str">
        <f>IF(H109="","",IF(H109&gt;Boss参数!$B$63*Boss参数!$B$62,"超过暂定合计上限",""))</f>
        <v/>
      </c>
    </row>
    <row r="110" spans="1:25" ht="38.1" customHeight="1">
      <c r="A110" s="1">
        <f>行动模拟!A110</f>
        <v>102</v>
      </c>
      <c r="B110" s="1">
        <f>行动模拟!B110</f>
        <v>6</v>
      </c>
      <c r="C110" s="1">
        <f>行动模拟!C110</f>
        <v>13</v>
      </c>
      <c r="D110" s="1" t="str">
        <f>行动模拟!D110</f>
        <v>J｜高温回火</v>
      </c>
      <c r="E110" s="1">
        <f>行动模拟!O110</f>
        <v>4856</v>
      </c>
      <c r="F110" s="1">
        <f>行动模拟!P110</f>
        <v>5342</v>
      </c>
      <c r="G110" s="1" t="str">
        <f>IF(行动模拟!D110="","",行动模拟!E110)</f>
        <v>否</v>
      </c>
      <c r="H110" s="1">
        <f>IF(COUNT(行动模拟!F110:H110)=0,"",SUM(行动模拟!F110:H110))</f>
        <v>4856</v>
      </c>
      <c r="I110" s="1">
        <f t="shared" si="7"/>
        <v>4856</v>
      </c>
      <c r="J110" s="1">
        <f t="shared" si="8"/>
        <v>0</v>
      </c>
      <c r="K110" s="1">
        <f t="shared" si="9"/>
        <v>0</v>
      </c>
      <c r="L110" s="1">
        <f t="shared" si="10"/>
        <v>0</v>
      </c>
      <c r="M110" s="1" t="str">
        <f t="shared" si="11"/>
        <v>数值差异≤3%；机制仍需核实</v>
      </c>
      <c r="N110" s="1">
        <f>IF(ISNUMBER(行动模拟!F110),行动模拟!F110,"")</f>
        <v>4856</v>
      </c>
      <c r="O110" s="1">
        <f>IF(COUNT(行动模拟!G110:H110)=0,"",SUM(行动模拟!G110:H110))</f>
        <v>0</v>
      </c>
      <c r="P110" s="1">
        <f>IF(H110="","",IF(G110="是",后台计算!DX104,IF(G110="否",后台计算!DW104,"")))</f>
        <v>4856</v>
      </c>
      <c r="Q110" s="1">
        <f>IF(H110="","",IF(G110="是",后台计算!BV104-后台计算!DX104,IF(G110="否",后台计算!BU104-后台计算!DW104,"")))</f>
        <v>0</v>
      </c>
      <c r="R110" s="1">
        <f t="shared" si="12"/>
        <v>0</v>
      </c>
      <c r="S110" s="1">
        <f t="shared" si="13"/>
        <v>0</v>
      </c>
      <c r="T110" s="1" t="str">
        <f>IF(AND(后台计算!DH104="洞穿",O110&gt;0),IF(O110=ROUNDDOWN(N110*0.4,0),"实测附加=floor(主伤害×40%)；稳态来源待确认","实测附加关系需核对"),"")</f>
        <v/>
      </c>
      <c r="U110" s="1">
        <f>IF(D110="","",后台计算!EQ104)</f>
        <v>150</v>
      </c>
      <c r="V110" s="1">
        <f>IF(D110="","",后台计算!ER104)</f>
        <v>0.9</v>
      </c>
      <c r="W110" s="1">
        <f>IF(D110="","",后台计算!ES104)</f>
        <v>0.6</v>
      </c>
      <c r="X110" s="1" t="str">
        <f>IF(D110="","",IF(Boss参数!$B$60=1,"此前实测；缺失用预测","此前预测"))</f>
        <v>此前实测；缺失用预测</v>
      </c>
      <c r="Y110" s="1" t="str">
        <f>IF(H110="","",IF(H110&gt;Boss参数!$B$63*Boss参数!$B$62,"超过暂定合计上限",""))</f>
        <v/>
      </c>
    </row>
    <row r="111" spans="1:25" ht="38.1" customHeight="1">
      <c r="A111" s="1">
        <f>行动模拟!A111</f>
        <v>103</v>
      </c>
      <c r="B111" s="1" t="str">
        <f>行动模拟!B111</f>
        <v>7（目击）</v>
      </c>
      <c r="C111" s="1">
        <f>行动模拟!C111</f>
        <v>1</v>
      </c>
      <c r="D111" s="1" t="str">
        <f>行动模拟!D111</f>
        <v>小瑞安侬｜悄冥冥术阵</v>
      </c>
      <c r="E111" s="1">
        <f>行动模拟!O111</f>
        <v>0</v>
      </c>
      <c r="F111" s="1">
        <f>行动模拟!P111</f>
        <v>0</v>
      </c>
      <c r="G111" s="1" t="str">
        <f>IF(行动模拟!D111="","",行动模拟!E111)</f>
        <v>—</v>
      </c>
      <c r="H111" s="1" t="str">
        <f>IF(COUNT(行动模拟!F111:H111)=0,"",SUM(行动模拟!F111:H111))</f>
        <v/>
      </c>
      <c r="I111" s="1" t="str">
        <f t="shared" si="7"/>
        <v/>
      </c>
      <c r="J111" s="1" t="str">
        <f t="shared" si="8"/>
        <v/>
      </c>
      <c r="K111" s="1" t="str">
        <f t="shared" si="9"/>
        <v/>
      </c>
      <c r="L111" s="1" t="str">
        <f t="shared" si="10"/>
        <v/>
      </c>
      <c r="M111" s="1" t="str">
        <f t="shared" si="11"/>
        <v/>
      </c>
      <c r="N111" s="1" t="str">
        <f>IF(ISNUMBER(行动模拟!F111),行动模拟!F111,"")</f>
        <v/>
      </c>
      <c r="O111" s="1" t="str">
        <f>IF(COUNT(行动模拟!G111:H111)=0,"",SUM(行动模拟!G111:H111))</f>
        <v/>
      </c>
      <c r="P111" s="1" t="str">
        <f>IF(H111="","",IF(G111="是",后台计算!DX105,IF(G111="否",后台计算!DW105,"")))</f>
        <v/>
      </c>
      <c r="Q111" s="1" t="str">
        <f>IF(H111="","",IF(G111="是",后台计算!BV105-后台计算!DX105,IF(G111="否",后台计算!BU105-后台计算!DW105,"")))</f>
        <v/>
      </c>
      <c r="R111" s="1" t="str">
        <f t="shared" si="12"/>
        <v/>
      </c>
      <c r="S111" s="1" t="str">
        <f t="shared" si="13"/>
        <v/>
      </c>
      <c r="T111" s="1" t="str">
        <f>IF(AND(后台计算!DH105="洞穿",O111&gt;0),IF(O111=ROUNDDOWN(N111*0.4,0),"实测附加=floor(主伤害×40%)；稳态来源待确认","实测附加关系需核对"),"")</f>
        <v/>
      </c>
      <c r="U111" s="1">
        <f>IF(D111="","",后台计算!EQ105)</f>
        <v>150</v>
      </c>
      <c r="V111" s="1">
        <f>IF(D111="","",后台计算!ER105)</f>
        <v>0.9</v>
      </c>
      <c r="W111" s="1">
        <f>IF(D111="","",后台计算!ES105)</f>
        <v>0.6</v>
      </c>
      <c r="X111" s="1" t="str">
        <f>IF(D111="","",IF(Boss参数!$B$60=1,"此前实测；缺失用预测","此前预测"))</f>
        <v>此前实测；缺失用预测</v>
      </c>
      <c r="Y111" s="1" t="str">
        <f>IF(H111="","",IF(H111&gt;Boss参数!$B$63*Boss参数!$B$62,"超过暂定合计上限",""))</f>
        <v/>
      </c>
    </row>
    <row r="112" spans="1:25" ht="38.1" customHeight="1">
      <c r="A112" s="1">
        <f>行动模拟!A112</f>
        <v>104</v>
      </c>
      <c r="B112" s="1" t="str">
        <f>行动模拟!B112</f>
        <v>7（目击）</v>
      </c>
      <c r="C112" s="1">
        <f>行动模拟!C112</f>
        <v>2</v>
      </c>
      <c r="D112" s="1" t="str">
        <f>行动模拟!D112</f>
        <v>小瑞安侬｜囫囵囵咒Ⅰ</v>
      </c>
      <c r="E112" s="1">
        <f>行动模拟!O112</f>
        <v>1274</v>
      </c>
      <c r="F112" s="1">
        <f>行动模拟!P112</f>
        <v>1821</v>
      </c>
      <c r="G112" s="1" t="str">
        <f>IF(行动模拟!D112="","",行动模拟!E112)</f>
        <v>是</v>
      </c>
      <c r="H112" s="1">
        <f>IF(COUNT(行动模拟!F112:H112)=0,"",SUM(行动模拟!F112:H112))</f>
        <v>1821</v>
      </c>
      <c r="I112" s="1">
        <f t="shared" si="7"/>
        <v>1821</v>
      </c>
      <c r="J112" s="1">
        <f t="shared" si="8"/>
        <v>0</v>
      </c>
      <c r="K112" s="1">
        <f t="shared" si="9"/>
        <v>0</v>
      </c>
      <c r="L112" s="1">
        <f t="shared" si="10"/>
        <v>0</v>
      </c>
      <c r="M112" s="1" t="str">
        <f t="shared" si="11"/>
        <v>数值差异≤3%；机制仍需核实</v>
      </c>
      <c r="N112" s="1">
        <f>IF(ISNUMBER(行动模拟!F112),行动模拟!F112,"")</f>
        <v>1821</v>
      </c>
      <c r="O112" s="1">
        <f>IF(COUNT(行动模拟!G112:H112)=0,"",SUM(行动模拟!G112:H112))</f>
        <v>0</v>
      </c>
      <c r="P112" s="1">
        <f>IF(H112="","",IF(G112="是",后台计算!DX106,IF(G112="否",后台计算!DW106,"")))</f>
        <v>1821</v>
      </c>
      <c r="Q112" s="1">
        <f>IF(H112="","",IF(G112="是",后台计算!BV106-后台计算!DX106,IF(G112="否",后台计算!BU106-后台计算!DW106,"")))</f>
        <v>0</v>
      </c>
      <c r="R112" s="1">
        <f t="shared" si="12"/>
        <v>0</v>
      </c>
      <c r="S112" s="1">
        <f t="shared" si="13"/>
        <v>0</v>
      </c>
      <c r="T112" s="1" t="str">
        <f>IF(AND(后台计算!DH106="洞穿",O112&gt;0),IF(O112=ROUNDDOWN(N112*0.4,0),"实测附加=floor(主伤害×40%)；稳态来源待确认","实测附加关系需核对"),"")</f>
        <v/>
      </c>
      <c r="U112" s="1">
        <f>IF(D112="","",后台计算!EQ106)</f>
        <v>150</v>
      </c>
      <c r="V112" s="1">
        <f>IF(D112="","",后台计算!ER106)</f>
        <v>0.9</v>
      </c>
      <c r="W112" s="1">
        <f>IF(D112="","",后台计算!ES106)</f>
        <v>0.6</v>
      </c>
      <c r="X112" s="1" t="str">
        <f>IF(D112="","",IF(Boss参数!$B$60=1,"此前实测；缺失用预测","此前预测"))</f>
        <v>此前实测；缺失用预测</v>
      </c>
      <c r="Y112" s="1" t="str">
        <f>IF(H112="","",IF(H112&gt;Boss参数!$B$63*Boss参数!$B$62,"超过暂定合计上限",""))</f>
        <v/>
      </c>
    </row>
    <row r="113" spans="1:25" ht="38.1" customHeight="1">
      <c r="A113" s="1">
        <f>行动模拟!A113</f>
        <v>105</v>
      </c>
      <c r="B113" s="1" t="str">
        <f>行动模拟!B113</f>
        <v>7（目击）</v>
      </c>
      <c r="C113" s="1">
        <f>行动模拟!C113</f>
        <v>3</v>
      </c>
      <c r="D113" s="1" t="str">
        <f>行动模拟!D113</f>
        <v>J｜飞跃海特街</v>
      </c>
      <c r="E113" s="1">
        <f>行动模拟!O113</f>
        <v>54428</v>
      </c>
      <c r="F113" s="1">
        <f>行动模拟!P113</f>
        <v>103250</v>
      </c>
      <c r="G113" s="1" t="str">
        <f>IF(行动模拟!D113="","",行动模拟!E113)</f>
        <v>是</v>
      </c>
      <c r="H113" s="1">
        <f>IF(COUNT(行动模拟!F113:H113)=0,"",SUM(行动模拟!F113:H113))</f>
        <v>103250</v>
      </c>
      <c r="I113" s="1">
        <f t="shared" si="7"/>
        <v>103250</v>
      </c>
      <c r="J113" s="1">
        <f t="shared" si="8"/>
        <v>0</v>
      </c>
      <c r="K113" s="1">
        <f t="shared" si="9"/>
        <v>0</v>
      </c>
      <c r="L113" s="1">
        <f t="shared" si="10"/>
        <v>0</v>
      </c>
      <c r="M113" s="1" t="str">
        <f t="shared" si="11"/>
        <v>数值差异≤3%；机制仍需核实</v>
      </c>
      <c r="N113" s="1">
        <f>IF(ISNUMBER(行动模拟!F113),行动模拟!F113,"")</f>
        <v>103250</v>
      </c>
      <c r="O113" s="1">
        <f>IF(COUNT(行动模拟!G113:H113)=0,"",SUM(行动模拟!G113:H113))</f>
        <v>0</v>
      </c>
      <c r="P113" s="1">
        <f>IF(H113="","",IF(G113="是",后台计算!DX107,IF(G113="否",后台计算!DW107,"")))</f>
        <v>103250</v>
      </c>
      <c r="Q113" s="1">
        <f>IF(H113="","",IF(G113="是",后台计算!BV107-后台计算!DX107,IF(G113="否",后台计算!BU107-后台计算!DW107,"")))</f>
        <v>0</v>
      </c>
      <c r="R113" s="1">
        <f t="shared" si="12"/>
        <v>0</v>
      </c>
      <c r="S113" s="1">
        <f t="shared" si="13"/>
        <v>0</v>
      </c>
      <c r="T113" s="1" t="str">
        <f>IF(AND(后台计算!DH107="洞穿",O113&gt;0),IF(O113=ROUNDDOWN(N113*0.4,0),"实测附加=floor(主伤害×40%)；稳态来源待确认","实测附加关系需核对"),"")</f>
        <v/>
      </c>
      <c r="U113" s="1">
        <f>IF(D113="","",后台计算!EQ107)</f>
        <v>150</v>
      </c>
      <c r="V113" s="1">
        <f>IF(D113="","",后台计算!ER107)</f>
        <v>0.9</v>
      </c>
      <c r="W113" s="1">
        <f>IF(D113="","",后台计算!ES107)</f>
        <v>0.6</v>
      </c>
      <c r="X113" s="1" t="str">
        <f>IF(D113="","",IF(Boss参数!$B$60=1,"此前实测；缺失用预测","此前预测"))</f>
        <v>此前实测；缺失用预测</v>
      </c>
      <c r="Y113" s="1" t="str">
        <f>IF(H113="","",IF(H113&gt;Boss参数!$B$63*Boss参数!$B$62,"超过暂定合计上限",""))</f>
        <v/>
      </c>
    </row>
    <row r="114" spans="1:25" ht="38.1" customHeight="1">
      <c r="A114" s="1">
        <f>行动模拟!A114</f>
        <v>106</v>
      </c>
      <c r="B114" s="1" t="str">
        <f>行动模拟!B114</f>
        <v>7（目击）</v>
      </c>
      <c r="C114" s="1">
        <f>行动模拟!C114</f>
        <v>4</v>
      </c>
      <c r="D114" s="1" t="str">
        <f>行动模拟!D114</f>
        <v>37｜补充算式</v>
      </c>
      <c r="E114" s="1">
        <f>行动模拟!O114</f>
        <v>833</v>
      </c>
      <c r="F114" s="1">
        <f>行动模拟!P114</f>
        <v>1398</v>
      </c>
      <c r="G114" s="1" t="str">
        <f>IF(行动模拟!D114="","",行动模拟!E114)</f>
        <v>是</v>
      </c>
      <c r="H114" s="1">
        <f>IF(COUNT(行动模拟!F114:H114)=0,"",SUM(行动模拟!F114:H114))</f>
        <v>1398</v>
      </c>
      <c r="I114" s="1">
        <f t="shared" si="7"/>
        <v>1398</v>
      </c>
      <c r="J114" s="1">
        <f t="shared" si="8"/>
        <v>0</v>
      </c>
      <c r="K114" s="1">
        <f t="shared" si="9"/>
        <v>0</v>
      </c>
      <c r="L114" s="1">
        <f t="shared" si="10"/>
        <v>0</v>
      </c>
      <c r="M114" s="1" t="str">
        <f t="shared" si="11"/>
        <v>数值差异≤3%；机制仍需核实</v>
      </c>
      <c r="N114" s="1">
        <f>IF(ISNUMBER(行动模拟!F114),行动模拟!F114,"")</f>
        <v>1398</v>
      </c>
      <c r="O114" s="1">
        <f>IF(COUNT(行动模拟!G114:H114)=0,"",SUM(行动模拟!G114:H114))</f>
        <v>0</v>
      </c>
      <c r="P114" s="1">
        <f>IF(H114="","",IF(G114="是",后台计算!DX108,IF(G114="否",后台计算!DW108,"")))</f>
        <v>1398</v>
      </c>
      <c r="Q114" s="1">
        <f>IF(H114="","",IF(G114="是",后台计算!BV108-后台计算!DX108,IF(G114="否",后台计算!BU108-后台计算!DW108,"")))</f>
        <v>0</v>
      </c>
      <c r="R114" s="1">
        <f t="shared" si="12"/>
        <v>0</v>
      </c>
      <c r="S114" s="1">
        <f t="shared" si="13"/>
        <v>0</v>
      </c>
      <c r="T114" s="1" t="str">
        <f>IF(AND(后台计算!DH108="洞穿",O114&gt;0),IF(O114=ROUNDDOWN(N114*0.4,0),"实测附加=floor(主伤害×40%)；稳态来源待确认","实测附加关系需核对"),"")</f>
        <v/>
      </c>
      <c r="U114" s="1">
        <f>IF(D114="","",后台计算!EQ108)</f>
        <v>151</v>
      </c>
      <c r="V114" s="1">
        <f>IF(D114="","",后台计算!ER108)</f>
        <v>0.9</v>
      </c>
      <c r="W114" s="1">
        <f>IF(D114="","",后台计算!ES108)</f>
        <v>0.6</v>
      </c>
      <c r="X114" s="1" t="str">
        <f>IF(D114="","",IF(Boss参数!$B$60=1,"此前实测；缺失用预测","此前预测"))</f>
        <v>此前实测；缺失用预测</v>
      </c>
      <c r="Y114" s="1" t="str">
        <f>IF(H114="","",IF(H114&gt;Boss参数!$B$63*Boss参数!$B$62,"超过暂定合计上限",""))</f>
        <v/>
      </c>
    </row>
    <row r="115" spans="1:25" ht="38.1" customHeight="1">
      <c r="A115" s="1">
        <f>行动模拟!A115</f>
        <v>107</v>
      </c>
      <c r="B115" s="1" t="str">
        <f>行动模拟!B115</f>
        <v>7（目击）</v>
      </c>
      <c r="C115" s="1">
        <f>行动模拟!C115</f>
        <v>5</v>
      </c>
      <c r="D115" s="1" t="str">
        <f>行动模拟!D115</f>
        <v>J｜硬度测试Ⅱ</v>
      </c>
      <c r="E115" s="1">
        <f>行动模拟!O115</f>
        <v>8203</v>
      </c>
      <c r="F115" s="1">
        <f>行动模拟!P115</f>
        <v>15561</v>
      </c>
      <c r="G115" s="1" t="str">
        <f>IF(行动模拟!D115="","",行动模拟!E115)</f>
        <v>否</v>
      </c>
      <c r="H115" s="1">
        <f>IF(COUNT(行动模拟!F115:H115)=0,"",SUM(行动模拟!F115:H115))</f>
        <v>8203</v>
      </c>
      <c r="I115" s="1">
        <f t="shared" si="7"/>
        <v>8203</v>
      </c>
      <c r="J115" s="1">
        <f t="shared" si="8"/>
        <v>0</v>
      </c>
      <c r="K115" s="1">
        <f t="shared" si="9"/>
        <v>0</v>
      </c>
      <c r="L115" s="1">
        <f t="shared" si="10"/>
        <v>0</v>
      </c>
      <c r="M115" s="1" t="str">
        <f t="shared" si="11"/>
        <v>数值差异≤3%；机制仍需核实</v>
      </c>
      <c r="N115" s="1">
        <f>IF(ISNUMBER(行动模拟!F115),行动模拟!F115,"")</f>
        <v>8203</v>
      </c>
      <c r="O115" s="1">
        <f>IF(COUNT(行动模拟!G115:H115)=0,"",SUM(行动模拟!G115:H115))</f>
        <v>0</v>
      </c>
      <c r="P115" s="1">
        <f>IF(H115="","",IF(G115="是",后台计算!DX109,IF(G115="否",后台计算!DW109,"")))</f>
        <v>8203</v>
      </c>
      <c r="Q115" s="1">
        <f>IF(H115="","",IF(G115="是",后台计算!BV109-后台计算!DX109,IF(G115="否",后台计算!BU109-后台计算!DW109,"")))</f>
        <v>0</v>
      </c>
      <c r="R115" s="1">
        <f t="shared" si="12"/>
        <v>0</v>
      </c>
      <c r="S115" s="1">
        <f t="shared" si="13"/>
        <v>0</v>
      </c>
      <c r="T115" s="1" t="str">
        <f>IF(AND(后台计算!DH109="洞穿",O115&gt;0),IF(O115=ROUNDDOWN(N115*0.4,0),"实测附加=floor(主伤害×40%)；稳态来源待确认","实测附加关系需核对"),"")</f>
        <v/>
      </c>
      <c r="U115" s="1">
        <f>IF(D115="","",后台计算!EQ109)</f>
        <v>151</v>
      </c>
      <c r="V115" s="1">
        <f>IF(D115="","",后台计算!ER109)</f>
        <v>0.9</v>
      </c>
      <c r="W115" s="1">
        <f>IF(D115="","",后台计算!ES109)</f>
        <v>0.6</v>
      </c>
      <c r="X115" s="1" t="str">
        <f>IF(D115="","",IF(Boss参数!$B$60=1,"此前实测；缺失用预测","此前预测"))</f>
        <v>此前实测；缺失用预测</v>
      </c>
      <c r="Y115" s="1" t="str">
        <f>IF(H115="","",IF(H115&gt;Boss参数!$B$63*Boss参数!$B$62,"超过暂定合计上限",""))</f>
        <v/>
      </c>
    </row>
    <row r="116" spans="1:25" ht="38.1" customHeight="1">
      <c r="A116" s="1">
        <f>行动模拟!A116</f>
        <v>108</v>
      </c>
      <c r="B116" s="1" t="str">
        <f>行动模拟!B116</f>
        <v>7（目击）</v>
      </c>
      <c r="C116" s="1">
        <f>行动模拟!C116</f>
        <v>6</v>
      </c>
      <c r="D116" s="1" t="str">
        <f>行动模拟!D116</f>
        <v>37｜数与几何的王国</v>
      </c>
      <c r="E116" s="1">
        <f>行动模拟!O116</f>
        <v>0</v>
      </c>
      <c r="F116" s="1">
        <f>行动模拟!P116</f>
        <v>0</v>
      </c>
      <c r="G116" s="1" t="str">
        <f>IF(行动模拟!D116="","",行动模拟!E116)</f>
        <v>—</v>
      </c>
      <c r="H116" s="1" t="str">
        <f>IF(COUNT(行动模拟!F116:H116)=0,"",SUM(行动模拟!F116:H116))</f>
        <v/>
      </c>
      <c r="I116" s="1" t="str">
        <f t="shared" si="7"/>
        <v/>
      </c>
      <c r="J116" s="1" t="str">
        <f t="shared" si="8"/>
        <v/>
      </c>
      <c r="K116" s="1" t="str">
        <f t="shared" si="9"/>
        <v/>
      </c>
      <c r="L116" s="1" t="str">
        <f t="shared" si="10"/>
        <v/>
      </c>
      <c r="M116" s="1" t="str">
        <f t="shared" si="11"/>
        <v/>
      </c>
      <c r="N116" s="1" t="str">
        <f>IF(ISNUMBER(行动模拟!F116),行动模拟!F116,"")</f>
        <v/>
      </c>
      <c r="O116" s="1" t="str">
        <f>IF(COUNT(行动模拟!G116:H116)=0,"",SUM(行动模拟!G116:H116))</f>
        <v/>
      </c>
      <c r="P116" s="1" t="str">
        <f>IF(H116="","",IF(G116="是",后台计算!DX110,IF(G116="否",后台计算!DW110,"")))</f>
        <v/>
      </c>
      <c r="Q116" s="1" t="str">
        <f>IF(H116="","",IF(G116="是",后台计算!BV110-后台计算!DX110,IF(G116="否",后台计算!BU110-后台计算!DW110,"")))</f>
        <v/>
      </c>
      <c r="R116" s="1" t="str">
        <f t="shared" si="12"/>
        <v/>
      </c>
      <c r="S116" s="1" t="str">
        <f t="shared" si="13"/>
        <v/>
      </c>
      <c r="T116" s="1" t="str">
        <f>IF(AND(后台计算!DH110="洞穿",O116&gt;0),IF(O116=ROUNDDOWN(N116*0.4,0),"实测附加=floor(主伤害×40%)；稳态来源待确认","实测附加关系需核对"),"")</f>
        <v/>
      </c>
      <c r="U116" s="1">
        <f>IF(D116="","",后台计算!EQ110)</f>
        <v>151</v>
      </c>
      <c r="V116" s="1">
        <f>IF(D116="","",后台计算!ER110)</f>
        <v>0.9</v>
      </c>
      <c r="W116" s="1">
        <f>IF(D116="","",后台计算!ES110)</f>
        <v>0.6</v>
      </c>
      <c r="X116" s="1" t="str">
        <f>IF(D116="","",IF(Boss参数!$B$60=1,"此前实测；缺失用预测","此前预测"))</f>
        <v>此前实测；缺失用预测</v>
      </c>
      <c r="Y116" s="1" t="str">
        <f>IF(H116="","",IF(H116&gt;Boss参数!$B$63*Boss参数!$B$62,"超过暂定合计上限",""))</f>
        <v/>
      </c>
    </row>
    <row r="117" spans="1:25" ht="38.1" customHeight="1">
      <c r="A117" s="1">
        <f>行动模拟!A117</f>
        <v>109</v>
      </c>
      <c r="B117" s="1" t="str">
        <f>行动模拟!B117</f>
        <v>7（目击）</v>
      </c>
      <c r="C117" s="1">
        <f>行动模拟!C117</f>
        <v>7</v>
      </c>
      <c r="D117" s="1" t="str">
        <f>行动模拟!D117</f>
        <v>红弩箭｜试试杀手锏</v>
      </c>
      <c r="E117" s="1">
        <f>行动模拟!O117</f>
        <v>179414</v>
      </c>
      <c r="F117" s="1">
        <f>行动模拟!P117</f>
        <v>575024</v>
      </c>
      <c r="G117" s="1" t="str">
        <f>IF(行动模拟!D117="","",行动模拟!E117)</f>
        <v>是</v>
      </c>
      <c r="H117" s="1">
        <f>IF(COUNT(行动模拟!F117:H117)=0,"",SUM(行动模拟!F117:H117))</f>
        <v>575024</v>
      </c>
      <c r="I117" s="1">
        <f t="shared" si="7"/>
        <v>575024</v>
      </c>
      <c r="J117" s="1">
        <f t="shared" si="8"/>
        <v>0</v>
      </c>
      <c r="K117" s="1">
        <f t="shared" si="9"/>
        <v>0</v>
      </c>
      <c r="L117" s="1">
        <f t="shared" si="10"/>
        <v>0</v>
      </c>
      <c r="M117" s="1" t="str">
        <f t="shared" si="11"/>
        <v>数值差异≤3%；机制仍需核实</v>
      </c>
      <c r="N117" s="1">
        <f>IF(ISNUMBER(行动模拟!F117),行动模拟!F117,"")</f>
        <v>575024</v>
      </c>
      <c r="O117" s="1">
        <f>IF(COUNT(行动模拟!G117:H117)=0,"",SUM(行动模拟!G117:H117))</f>
        <v>0</v>
      </c>
      <c r="P117" s="1">
        <f>IF(H117="","",IF(G117="是",后台计算!DX111,IF(G117="否",后台计算!DW111,"")))</f>
        <v>575024</v>
      </c>
      <c r="Q117" s="1">
        <f>IF(H117="","",IF(G117="是",后台计算!BV111-后台计算!DX111,IF(G117="否",后台计算!BU111-后台计算!DW111,"")))</f>
        <v>0</v>
      </c>
      <c r="R117" s="1">
        <f t="shared" si="12"/>
        <v>0</v>
      </c>
      <c r="S117" s="1">
        <f t="shared" si="13"/>
        <v>0</v>
      </c>
      <c r="T117" s="1" t="str">
        <f>IF(AND(后台计算!DH111="洞穿",O117&gt;0),IF(O117=ROUNDDOWN(N117*0.4,0),"实测附加=floor(主伤害×40%)；稳态来源待确认","实测附加关系需核对"),"")</f>
        <v/>
      </c>
      <c r="U117" s="1">
        <f>IF(D117="","",后台计算!EQ111)</f>
        <v>151</v>
      </c>
      <c r="V117" s="1">
        <f>IF(D117="","",后台计算!ER111)</f>
        <v>0.9</v>
      </c>
      <c r="W117" s="1">
        <f>IF(D117="","",后台计算!ES111)</f>
        <v>0.6</v>
      </c>
      <c r="X117" s="1" t="str">
        <f>IF(D117="","",IF(Boss参数!$B$60=1,"此前实测；缺失用预测","此前预测"))</f>
        <v>此前实测；缺失用预测</v>
      </c>
      <c r="Y117" s="1" t="str">
        <f>IF(H117="","",IF(H117&gt;Boss参数!$B$63*Boss参数!$B$62,"超过暂定合计上限",""))</f>
        <v/>
      </c>
    </row>
    <row r="118" spans="1:25" ht="38.1" customHeight="1">
      <c r="A118" s="1">
        <f>行动模拟!A118</f>
        <v>110</v>
      </c>
      <c r="B118" s="1" t="str">
        <f>行动模拟!B118</f>
        <v>7（目击）</v>
      </c>
      <c r="C118" s="1">
        <f>行动模拟!C118</f>
        <v>8</v>
      </c>
      <c r="D118" s="1" t="str">
        <f>行动模拟!D118</f>
        <v>37｜补充算式</v>
      </c>
      <c r="E118" s="1">
        <f>行动模拟!O118</f>
        <v>2269</v>
      </c>
      <c r="F118" s="1">
        <f>行动模拟!P118</f>
        <v>3809</v>
      </c>
      <c r="G118" s="1" t="str">
        <f>IF(行动模拟!D118="","",行动模拟!E118)</f>
        <v>否</v>
      </c>
      <c r="H118" s="1">
        <f>IF(COUNT(行动模拟!F118:H118)=0,"",SUM(行动模拟!F118:H118))</f>
        <v>2269</v>
      </c>
      <c r="I118" s="1">
        <f t="shared" si="7"/>
        <v>2269</v>
      </c>
      <c r="J118" s="1">
        <f t="shared" si="8"/>
        <v>0</v>
      </c>
      <c r="K118" s="1">
        <f t="shared" si="9"/>
        <v>0</v>
      </c>
      <c r="L118" s="1">
        <f t="shared" si="10"/>
        <v>0</v>
      </c>
      <c r="M118" s="1" t="str">
        <f t="shared" si="11"/>
        <v>数值差异≤3%；机制仍需核实</v>
      </c>
      <c r="N118" s="1">
        <f>IF(ISNUMBER(行动模拟!F118),行动模拟!F118,"")</f>
        <v>1039</v>
      </c>
      <c r="O118" s="1">
        <f>IF(COUNT(行动模拟!G118:H118)=0,"",SUM(行动模拟!G118:H118))</f>
        <v>1230</v>
      </c>
      <c r="P118" s="1">
        <f>IF(H118="","",IF(G118="是",后台计算!DX112,IF(G118="否",后台计算!DW112,"")))</f>
        <v>1039</v>
      </c>
      <c r="Q118" s="1">
        <f>IF(H118="","",IF(G118="是",后台计算!BV112-后台计算!DX112,IF(G118="否",后台计算!BU112-后台计算!DW112,"")))</f>
        <v>1230</v>
      </c>
      <c r="R118" s="1">
        <f t="shared" si="12"/>
        <v>0</v>
      </c>
      <c r="S118" s="1">
        <f t="shared" si="13"/>
        <v>0</v>
      </c>
      <c r="T118" s="1" t="str">
        <f>IF(AND(后台计算!DH112="洞穿",O118&gt;0),IF(O118=ROUNDDOWN(N118*0.4,0),"实测附加=floor(主伤害×40%)；稳态来源待确认","实测附加关系需核对"),"")</f>
        <v/>
      </c>
      <c r="U118" s="1">
        <f>IF(D118="","",后台计算!EQ112)</f>
        <v>157</v>
      </c>
      <c r="V118" s="1">
        <f>IF(D118="","",后台计算!ER112)</f>
        <v>0.9</v>
      </c>
      <c r="W118" s="1">
        <f>IF(D118="","",后台计算!ES112)</f>
        <v>0.6</v>
      </c>
      <c r="X118" s="1" t="str">
        <f>IF(D118="","",IF(Boss参数!$B$60=1,"此前实测；缺失用预测","此前预测"))</f>
        <v>此前实测；缺失用预测</v>
      </c>
      <c r="Y118" s="1" t="str">
        <f>IF(H118="","",IF(H118&gt;Boss参数!$B$63*Boss参数!$B$62,"超过暂定合计上限",""))</f>
        <v/>
      </c>
    </row>
    <row r="119" spans="1:25" ht="38.1" customHeight="1">
      <c r="A119" s="1">
        <f>行动模拟!A119</f>
        <v>111</v>
      </c>
      <c r="B119" s="1" t="str">
        <f>行动模拟!B119</f>
        <v>洞知2</v>
      </c>
      <c r="C119" s="1">
        <f>行动模拟!C119</f>
        <v>1</v>
      </c>
      <c r="D119" s="1" t="str">
        <f>行动模拟!D119</f>
        <v>红弩箭｜洞知咒语</v>
      </c>
      <c r="E119" s="1">
        <f>行动模拟!O119</f>
        <v>72653</v>
      </c>
      <c r="F119" s="1">
        <f>行动模拟!P119</f>
        <v>203792</v>
      </c>
      <c r="G119" s="1" t="str">
        <f>IF(行动模拟!D119="","",行动模拟!E119)</f>
        <v>是</v>
      </c>
      <c r="H119" s="1">
        <f>IF(COUNT(行动模拟!F119:H119)=0,"",SUM(行动模拟!F119:H119))</f>
        <v>203792</v>
      </c>
      <c r="I119" s="1">
        <f t="shared" si="7"/>
        <v>203792</v>
      </c>
      <c r="J119" s="1">
        <f t="shared" si="8"/>
        <v>0</v>
      </c>
      <c r="K119" s="1">
        <f t="shared" si="9"/>
        <v>0</v>
      </c>
      <c r="L119" s="1">
        <f t="shared" si="10"/>
        <v>0</v>
      </c>
      <c r="M119" s="1" t="str">
        <f t="shared" si="11"/>
        <v>数值差异≤3%；机制仍需核实</v>
      </c>
      <c r="N119" s="1">
        <f>IF(ISNUMBER(行动模拟!F119),行动模拟!F119,"")</f>
        <v>203792</v>
      </c>
      <c r="O119" s="1">
        <f>IF(COUNT(行动模拟!G119:H119)=0,"",SUM(行动模拟!G119:H119))</f>
        <v>0</v>
      </c>
      <c r="P119" s="1">
        <f>IF(H119="","",IF(G119="是",后台计算!DX113,IF(G119="否",后台计算!DW113,"")))</f>
        <v>203792</v>
      </c>
      <c r="Q119" s="1">
        <f>IF(H119="","",IF(G119="是",后台计算!BV113-后台计算!DX113,IF(G119="否",后台计算!BU113-后台计算!DW113,"")))</f>
        <v>0</v>
      </c>
      <c r="R119" s="1">
        <f t="shared" si="12"/>
        <v>0</v>
      </c>
      <c r="S119" s="1">
        <f t="shared" si="13"/>
        <v>0</v>
      </c>
      <c r="T119" s="1" t="str">
        <f>IF(AND(后台计算!DH113="洞穿",O119&gt;0),IF(O119=ROUNDDOWN(N119*0.4,0),"实测附加=floor(主伤害×40%)；稳态来源待确认","实测附加关系需核对"),"")</f>
        <v/>
      </c>
      <c r="U119" s="1">
        <f>IF(D119="","",后台计算!EQ113)</f>
        <v>157</v>
      </c>
      <c r="V119" s="1">
        <f>IF(D119="","",后台计算!ER113)</f>
        <v>0.9</v>
      </c>
      <c r="W119" s="1">
        <f>IF(D119="","",后台计算!ES113)</f>
        <v>0.6</v>
      </c>
      <c r="X119" s="1" t="str">
        <f>IF(D119="","",IF(Boss参数!$B$60=1,"此前实测；缺失用预测","此前预测"))</f>
        <v>此前实测；缺失用预测</v>
      </c>
      <c r="Y119" s="1" t="str">
        <f>IF(H119="","",IF(H119&gt;Boss参数!$B$63*Boss参数!$B$62,"超过暂定合计上限",""))</f>
        <v/>
      </c>
    </row>
    <row r="120" spans="1:25" ht="38.1" customHeight="1">
      <c r="A120" s="1">
        <f>行动模拟!A120</f>
        <v>112</v>
      </c>
      <c r="B120" s="1" t="str">
        <f>行动模拟!B120</f>
        <v>洞知2</v>
      </c>
      <c r="C120" s="1">
        <f>行动模拟!C120</f>
        <v>2</v>
      </c>
      <c r="D120" s="1" t="str">
        <f>行动模拟!D120</f>
        <v>红弩箭｜洞知咒语</v>
      </c>
      <c r="E120" s="1">
        <f>行动模拟!O120</f>
        <v>75447</v>
      </c>
      <c r="F120" s="1">
        <f>行动模拟!P120</f>
        <v>211630</v>
      </c>
      <c r="G120" s="1" t="str">
        <f>IF(行动模拟!D120="","",行动模拟!E120)</f>
        <v>是</v>
      </c>
      <c r="H120" s="1">
        <f>IF(COUNT(行动模拟!F120:H120)=0,"",SUM(行动模拟!F120:H120))</f>
        <v>211630</v>
      </c>
      <c r="I120" s="1">
        <f t="shared" si="7"/>
        <v>211630</v>
      </c>
      <c r="J120" s="1">
        <f t="shared" si="8"/>
        <v>0</v>
      </c>
      <c r="K120" s="1">
        <f t="shared" si="9"/>
        <v>0</v>
      </c>
      <c r="L120" s="1">
        <f t="shared" si="10"/>
        <v>0</v>
      </c>
      <c r="M120" s="1" t="str">
        <f t="shared" si="11"/>
        <v>数值差异≤3%；机制仍需核实</v>
      </c>
      <c r="N120" s="1">
        <f>IF(ISNUMBER(行动模拟!F120),行动模拟!F120,"")</f>
        <v>211630</v>
      </c>
      <c r="O120" s="1">
        <f>IF(COUNT(行动模拟!G120:H120)=0,"",SUM(行动模拟!G120:H120))</f>
        <v>0</v>
      </c>
      <c r="P120" s="1">
        <f>IF(H120="","",IF(G120="是",后台计算!DX114,IF(G120="否",后台计算!DW114,"")))</f>
        <v>211630</v>
      </c>
      <c r="Q120" s="1">
        <f>IF(H120="","",IF(G120="是",后台计算!BV114-后台计算!DX114,IF(G120="否",后台计算!BU114-后台计算!DW114,"")))</f>
        <v>0</v>
      </c>
      <c r="R120" s="1">
        <f t="shared" si="12"/>
        <v>0</v>
      </c>
      <c r="S120" s="1">
        <f t="shared" si="13"/>
        <v>0</v>
      </c>
      <c r="T120" s="1" t="str">
        <f>IF(AND(后台计算!DH114="洞穿",O120&gt;0),IF(O120=ROUNDDOWN(N120*0.4,0),"实测附加=floor(主伤害×40%)；稳态来源待确认","实测附加关系需核对"),"")</f>
        <v/>
      </c>
      <c r="U120" s="1">
        <f>IF(D120="","",后台计算!EQ114)</f>
        <v>159</v>
      </c>
      <c r="V120" s="1">
        <f>IF(D120="","",后台计算!ER114)</f>
        <v>0.9</v>
      </c>
      <c r="W120" s="1">
        <f>IF(D120="","",后台计算!ES114)</f>
        <v>0.6</v>
      </c>
      <c r="X120" s="1" t="str">
        <f>IF(D120="","",IF(Boss参数!$B$60=1,"此前实测；缺失用预测","此前预测"))</f>
        <v>此前实测；缺失用预测</v>
      </c>
      <c r="Y120" s="1" t="str">
        <f>IF(H120="","",IF(H120&gt;Boss参数!$B$63*Boss参数!$B$62,"超过暂定合计上限",""))</f>
        <v/>
      </c>
    </row>
    <row r="121" spans="1:25" ht="38.1" customHeight="1">
      <c r="A121" s="1">
        <f>行动模拟!A121</f>
        <v>113</v>
      </c>
      <c r="B121" s="1" t="str">
        <f>行动模拟!B121</f>
        <v>洞知2</v>
      </c>
      <c r="C121" s="1">
        <f>行动模拟!C121</f>
        <v>3</v>
      </c>
      <c r="D121" s="1" t="str">
        <f>行动模拟!D121</f>
        <v>37｜洞知咒语</v>
      </c>
      <c r="E121" s="1">
        <f>行动模拟!O121</f>
        <v>35998</v>
      </c>
      <c r="F121" s="1">
        <f>行动模拟!P121</f>
        <v>85604</v>
      </c>
      <c r="G121" s="1" t="str">
        <f>IF(行动模拟!D121="","",行动模拟!E121)</f>
        <v>是</v>
      </c>
      <c r="H121" s="1">
        <f>IF(COUNT(行动模拟!F121:H121)=0,"",SUM(行动模拟!F121:H121))</f>
        <v>85604</v>
      </c>
      <c r="I121" s="1">
        <f t="shared" si="7"/>
        <v>85604</v>
      </c>
      <c r="J121" s="1">
        <f t="shared" si="8"/>
        <v>0</v>
      </c>
      <c r="K121" s="1">
        <f t="shared" si="9"/>
        <v>0</v>
      </c>
      <c r="L121" s="1">
        <f t="shared" si="10"/>
        <v>0</v>
      </c>
      <c r="M121" s="1" t="str">
        <f t="shared" si="11"/>
        <v>数值差异≤3%；机制仍需核实</v>
      </c>
      <c r="N121" s="1">
        <f>IF(ISNUMBER(行动模拟!F121),行动模拟!F121,"")</f>
        <v>85604</v>
      </c>
      <c r="O121" s="1">
        <f>IF(COUNT(行动模拟!G121:H121)=0,"",SUM(行动模拟!G121:H121))</f>
        <v>0</v>
      </c>
      <c r="P121" s="1">
        <f>IF(H121="","",IF(G121="是",后台计算!DX115,IF(G121="否",后台计算!DW115,"")))</f>
        <v>85604</v>
      </c>
      <c r="Q121" s="1">
        <f>IF(H121="","",IF(G121="是",后台计算!BV115-后台计算!DX115,IF(G121="否",后台计算!BU115-后台计算!DW115,"")))</f>
        <v>0</v>
      </c>
      <c r="R121" s="1">
        <f t="shared" si="12"/>
        <v>0</v>
      </c>
      <c r="S121" s="1">
        <f t="shared" si="13"/>
        <v>0</v>
      </c>
      <c r="T121" s="1" t="str">
        <f>IF(AND(后台计算!DH115="洞穿",O121&gt;0),IF(O121=ROUNDDOWN(N121*0.4,0),"实测附加=floor(主伤害×40%)；稳态来源待确认","实测附加关系需核对"),"")</f>
        <v/>
      </c>
      <c r="U121" s="1">
        <f>IF(D121="","",后台计算!EQ115)</f>
        <v>161</v>
      </c>
      <c r="V121" s="1">
        <f>IF(D121="","",后台计算!ER115)</f>
        <v>0.9</v>
      </c>
      <c r="W121" s="1">
        <f>IF(D121="","",后台计算!ES115)</f>
        <v>0.6</v>
      </c>
      <c r="X121" s="1" t="str">
        <f>IF(D121="","",IF(Boss参数!$B$60=1,"此前实测；缺失用预测","此前预测"))</f>
        <v>此前实测；缺失用预测</v>
      </c>
      <c r="Y121" s="1" t="str">
        <f>IF(H121="","",IF(H121&gt;Boss参数!$B$63*Boss参数!$B$62,"超过暂定合计上限",""))</f>
        <v/>
      </c>
    </row>
    <row r="122" spans="1:25" ht="38.1" customHeight="1">
      <c r="A122" s="1">
        <f>行动模拟!A122</f>
        <v>114</v>
      </c>
      <c r="B122" s="1" t="str">
        <f>行动模拟!B122</f>
        <v>洞知2</v>
      </c>
      <c r="C122" s="1">
        <f>行动模拟!C122</f>
        <v>4</v>
      </c>
      <c r="D122" s="1" t="str">
        <f>行动模拟!D122</f>
        <v>红弩箭｜洞知咒语</v>
      </c>
      <c r="E122" s="1">
        <f>行动模拟!O122</f>
        <v>242027</v>
      </c>
      <c r="F122" s="1">
        <f>行动模拟!P122</f>
        <v>727294</v>
      </c>
      <c r="G122" s="1" t="str">
        <f>IF(行动模拟!D122="","",行动模拟!E122)</f>
        <v>是</v>
      </c>
      <c r="H122" s="1">
        <f>IF(COUNT(行动模拟!F122:H122)=0,"",SUM(行动模拟!F122:H122))</f>
        <v>727294</v>
      </c>
      <c r="I122" s="1">
        <f t="shared" si="7"/>
        <v>727294</v>
      </c>
      <c r="J122" s="1">
        <f t="shared" si="8"/>
        <v>0</v>
      </c>
      <c r="K122" s="1">
        <f t="shared" si="9"/>
        <v>0</v>
      </c>
      <c r="L122" s="1">
        <f t="shared" si="10"/>
        <v>0</v>
      </c>
      <c r="M122" s="1" t="str">
        <f t="shared" si="11"/>
        <v>数值差异≤3%；机制仍需核实</v>
      </c>
      <c r="N122" s="1">
        <f>IF(ISNUMBER(行动模拟!F122),行动模拟!F122,"")</f>
        <v>519496</v>
      </c>
      <c r="O122" s="1">
        <f>IF(COUNT(行动模拟!G122:H122)=0,"",SUM(行动模拟!G122:H122))</f>
        <v>207798</v>
      </c>
      <c r="P122" s="1">
        <f>IF(H122="","",IF(G122="是",后台计算!DX116,IF(G122="否",后台计算!DW116,"")))</f>
        <v>519496</v>
      </c>
      <c r="Q122" s="1">
        <f>IF(H122="","",IF(G122="是",后台计算!BV116-后台计算!DX116,IF(G122="否",后台计算!BU116-后台计算!DW116,"")))</f>
        <v>207798</v>
      </c>
      <c r="R122" s="1">
        <f t="shared" si="12"/>
        <v>0</v>
      </c>
      <c r="S122" s="1">
        <f t="shared" si="13"/>
        <v>0</v>
      </c>
      <c r="T122" s="1" t="str">
        <f>IF(AND(后台计算!DH116="洞穿",O122&gt;0),IF(O122=ROUNDDOWN(N122*0.4,0),"实测附加=floor(主伤害×40%)；稳态来源待确认","实测附加关系需核对"),"")</f>
        <v>实测附加=floor(主伤害×40%)；稳态来源待确认</v>
      </c>
      <c r="U122" s="1">
        <f>IF(D122="","",后台计算!EQ116)</f>
        <v>162</v>
      </c>
      <c r="V122" s="1">
        <f>IF(D122="","",后台计算!ER116)</f>
        <v>0.9</v>
      </c>
      <c r="W122" s="1">
        <f>IF(D122="","",后台计算!ES116)</f>
        <v>0.6</v>
      </c>
      <c r="X122" s="1" t="str">
        <f>IF(D122="","",IF(Boss参数!$B$60=1,"此前实测；缺失用预测","此前预测"))</f>
        <v>此前实测；缺失用预测</v>
      </c>
      <c r="Y122" s="1" t="str">
        <f>IF(H122="","",IF(H122&gt;Boss参数!$B$63*Boss参数!$B$62,"超过暂定合计上限",""))</f>
        <v/>
      </c>
    </row>
    <row r="123" spans="1:25" ht="38.1" customHeight="1">
      <c r="A123" s="1">
        <f>行动模拟!A123</f>
        <v>115</v>
      </c>
      <c r="B123" s="1" t="str">
        <f>行动模拟!B123</f>
        <v>洞知2</v>
      </c>
      <c r="C123" s="1">
        <f>行动模拟!C123</f>
        <v>5</v>
      </c>
      <c r="D123" s="1" t="str">
        <f>行动模拟!D123</f>
        <v>红弩箭｜洞知咒语</v>
      </c>
      <c r="E123" s="1">
        <f>行动模拟!O123</f>
        <v>83830</v>
      </c>
      <c r="F123" s="1">
        <f>行动模拟!P123</f>
        <v>235144</v>
      </c>
      <c r="G123" s="1" t="str">
        <f>IF(行动模拟!D123="","",行动模拟!E123)</f>
        <v>是</v>
      </c>
      <c r="H123" s="1">
        <f>IF(COUNT(行动模拟!F123:H123)=0,"",SUM(行动模拟!F123:H123))</f>
        <v>235144</v>
      </c>
      <c r="I123" s="1">
        <f t="shared" si="7"/>
        <v>235144</v>
      </c>
      <c r="J123" s="1">
        <f t="shared" si="8"/>
        <v>0</v>
      </c>
      <c r="K123" s="1">
        <f t="shared" si="9"/>
        <v>0</v>
      </c>
      <c r="L123" s="1">
        <f t="shared" si="10"/>
        <v>0</v>
      </c>
      <c r="M123" s="1" t="str">
        <f t="shared" si="11"/>
        <v>数值差异≤3%；机制仍需核实</v>
      </c>
      <c r="N123" s="1">
        <f>IF(ISNUMBER(行动模拟!F123),行动模拟!F123,"")</f>
        <v>235144</v>
      </c>
      <c r="O123" s="1">
        <f>IF(COUNT(行动模拟!G123:H123)=0,"",SUM(行动模拟!G123:H123))</f>
        <v>0</v>
      </c>
      <c r="P123" s="1">
        <f>IF(H123="","",IF(G123="是",后台计算!DX117,IF(G123="否",后台计算!DW117,"")))</f>
        <v>235144</v>
      </c>
      <c r="Q123" s="1">
        <f>IF(H123="","",IF(G123="是",后台计算!BV117-后台计算!DX117,IF(G123="否",后台计算!BU117-后台计算!DW117,"")))</f>
        <v>0</v>
      </c>
      <c r="R123" s="1">
        <f t="shared" si="12"/>
        <v>0</v>
      </c>
      <c r="S123" s="1">
        <f t="shared" si="13"/>
        <v>0</v>
      </c>
      <c r="T123" s="1" t="str">
        <f>IF(AND(后台计算!DH117="洞穿",O123&gt;0),IF(O123=ROUNDDOWN(N123*0.4,0),"实测附加=floor(主伤害×40%)；稳态来源待确认","实测附加关系需核对"),"")</f>
        <v/>
      </c>
      <c r="U123" s="1">
        <f>IF(D123="","",后台计算!EQ117)</f>
        <v>169</v>
      </c>
      <c r="V123" s="1">
        <f>IF(D123="","",后台计算!ER117)</f>
        <v>0.9</v>
      </c>
      <c r="W123" s="1">
        <f>IF(D123="","",后台计算!ES117)</f>
        <v>0.6</v>
      </c>
      <c r="X123" s="1" t="str">
        <f>IF(D123="","",IF(Boss参数!$B$60=1,"此前实测；缺失用预测","此前预测"))</f>
        <v>此前实测；缺失用预测</v>
      </c>
      <c r="Y123" s="1" t="str">
        <f>IF(H123="","",IF(H123&gt;Boss参数!$B$63*Boss参数!$B$62,"超过暂定合计上限",""))</f>
        <v/>
      </c>
    </row>
    <row r="124" spans="1:25" ht="38.1" customHeight="1">
      <c r="A124" s="1">
        <f>行动模拟!A124</f>
        <v>116</v>
      </c>
      <c r="B124" s="1" t="str">
        <f>行动模拟!B124</f>
        <v>洞知2</v>
      </c>
      <c r="C124" s="1">
        <f>行动模拟!C124</f>
        <v>6</v>
      </c>
      <c r="D124" s="1" t="str">
        <f>行动模拟!D124</f>
        <v>红弩箭｜洞知咒语</v>
      </c>
      <c r="E124" s="1">
        <f>行动模拟!O124</f>
        <v>86624</v>
      </c>
      <c r="F124" s="1">
        <f>行动模拟!P124</f>
        <v>242982</v>
      </c>
      <c r="G124" s="1" t="str">
        <f>IF(行动模拟!D124="","",行动模拟!E124)</f>
        <v>是</v>
      </c>
      <c r="H124" s="1">
        <f>IF(COUNT(行动模拟!F124:H124)=0,"",SUM(行动模拟!F124:H124))</f>
        <v>242982</v>
      </c>
      <c r="I124" s="1">
        <f t="shared" si="7"/>
        <v>242982</v>
      </c>
      <c r="J124" s="1">
        <f t="shared" si="8"/>
        <v>0</v>
      </c>
      <c r="K124" s="1">
        <f t="shared" si="9"/>
        <v>0</v>
      </c>
      <c r="L124" s="1">
        <f t="shared" si="10"/>
        <v>0</v>
      </c>
      <c r="M124" s="1" t="str">
        <f t="shared" si="11"/>
        <v>数值差异≤3%；机制仍需核实</v>
      </c>
      <c r="N124" s="1">
        <f>IF(ISNUMBER(行动模拟!F124),行动模拟!F124,"")</f>
        <v>242982</v>
      </c>
      <c r="O124" s="1">
        <f>IF(COUNT(行动模拟!G124:H124)=0,"",SUM(行动模拟!G124:H124))</f>
        <v>0</v>
      </c>
      <c r="P124" s="1">
        <f>IF(H124="","",IF(G124="是",后台计算!DX118,IF(G124="否",后台计算!DW118,"")))</f>
        <v>242982</v>
      </c>
      <c r="Q124" s="1">
        <f>IF(H124="","",IF(G124="是",后台计算!BV118-后台计算!DX118,IF(G124="否",后台计算!BU118-后台计算!DW118,"")))</f>
        <v>0</v>
      </c>
      <c r="R124" s="1">
        <f t="shared" si="12"/>
        <v>0</v>
      </c>
      <c r="S124" s="1">
        <f t="shared" si="13"/>
        <v>0</v>
      </c>
      <c r="T124" s="1" t="str">
        <f>IF(AND(后台计算!DH118="洞穿",O124&gt;0),IF(O124=ROUNDDOWN(N124*0.4,0),"实测附加=floor(主伤害×40%)；稳态来源待确认","实测附加关系需核对"),"")</f>
        <v/>
      </c>
      <c r="U124" s="1">
        <f>IF(D124="","",后台计算!EQ118)</f>
        <v>171</v>
      </c>
      <c r="V124" s="1">
        <f>IF(D124="","",后台计算!ER118)</f>
        <v>0.9</v>
      </c>
      <c r="W124" s="1">
        <f>IF(D124="","",后台计算!ES118)</f>
        <v>0.6</v>
      </c>
      <c r="X124" s="1" t="str">
        <f>IF(D124="","",IF(Boss参数!$B$60=1,"此前实测；缺失用预测","此前预测"))</f>
        <v>此前实测；缺失用预测</v>
      </c>
      <c r="Y124" s="1" t="str">
        <f>IF(H124="","",IF(H124&gt;Boss参数!$B$63*Boss参数!$B$62,"超过暂定合计上限",""))</f>
        <v/>
      </c>
    </row>
    <row r="125" spans="1:25" ht="38.1" customHeight="1">
      <c r="A125" s="1">
        <f>行动模拟!A125</f>
        <v>117</v>
      </c>
      <c r="B125" s="1" t="str">
        <f>行动模拟!B125</f>
        <v>洞知2</v>
      </c>
      <c r="C125" s="1">
        <f>行动模拟!C125</f>
        <v>7</v>
      </c>
      <c r="D125" s="1" t="str">
        <f>行动模拟!D125</f>
        <v>37｜洞知咒语</v>
      </c>
      <c r="E125" s="1">
        <f>行动模拟!O125</f>
        <v>35998</v>
      </c>
      <c r="F125" s="1">
        <f>行动模拟!P125</f>
        <v>85604</v>
      </c>
      <c r="G125" s="1" t="str">
        <f>IF(行动模拟!D125="","",行动模拟!E125)</f>
        <v>否</v>
      </c>
      <c r="H125" s="1">
        <f>IF(COUNT(行动模拟!F125:H125)=0,"",SUM(行动模拟!F125:H125))</f>
        <v>35998</v>
      </c>
      <c r="I125" s="1">
        <f t="shared" si="7"/>
        <v>35998</v>
      </c>
      <c r="J125" s="1">
        <f t="shared" si="8"/>
        <v>0</v>
      </c>
      <c r="K125" s="1">
        <f t="shared" si="9"/>
        <v>0</v>
      </c>
      <c r="L125" s="1">
        <f t="shared" si="10"/>
        <v>0</v>
      </c>
      <c r="M125" s="1" t="str">
        <f t="shared" si="11"/>
        <v>数值差异≤3%；机制仍需核实</v>
      </c>
      <c r="N125" s="1">
        <f>IF(ISNUMBER(行动模拟!F125),行动模拟!F125,"")</f>
        <v>35998</v>
      </c>
      <c r="O125" s="1">
        <f>IF(COUNT(行动模拟!G125:H125)=0,"",SUM(行动模拟!G125:H125))</f>
        <v>0</v>
      </c>
      <c r="P125" s="1">
        <f>IF(H125="","",IF(G125="是",后台计算!DX119,IF(G125="否",后台计算!DW119,"")))</f>
        <v>35998</v>
      </c>
      <c r="Q125" s="1">
        <f>IF(H125="","",IF(G125="是",后台计算!BV119-后台计算!DX119,IF(G125="否",后台计算!BU119-后台计算!DW119,"")))</f>
        <v>0</v>
      </c>
      <c r="R125" s="1">
        <f t="shared" si="12"/>
        <v>0</v>
      </c>
      <c r="S125" s="1">
        <f t="shared" si="13"/>
        <v>0</v>
      </c>
      <c r="T125" s="1" t="str">
        <f>IF(AND(后台计算!DH119="洞穿",O125&gt;0),IF(O125=ROUNDDOWN(N125*0.4,0),"实测附加=floor(主伤害×40%)；稳态来源待确认","实测附加关系需核对"),"")</f>
        <v/>
      </c>
      <c r="U125" s="1">
        <f>IF(D125="","",后台计算!EQ119)</f>
        <v>174</v>
      </c>
      <c r="V125" s="1">
        <f>IF(D125="","",后台计算!ER119)</f>
        <v>0.9</v>
      </c>
      <c r="W125" s="1">
        <f>IF(D125="","",后台计算!ES119)</f>
        <v>0.6</v>
      </c>
      <c r="X125" s="1" t="str">
        <f>IF(D125="","",IF(Boss参数!$B$60=1,"此前实测；缺失用预测","此前预测"))</f>
        <v>此前实测；缺失用预测</v>
      </c>
      <c r="Y125" s="1" t="str">
        <f>IF(H125="","",IF(H125&gt;Boss参数!$B$63*Boss参数!$B$62,"超过暂定合计上限",""))</f>
        <v/>
      </c>
    </row>
    <row r="126" spans="1:25" ht="38.1" customHeight="1">
      <c r="A126" s="1">
        <f>行动模拟!A126</f>
        <v>118</v>
      </c>
      <c r="B126" s="1" t="str">
        <f>行动模拟!B126</f>
        <v>洞知2</v>
      </c>
      <c r="C126" s="1">
        <f>行动模拟!C126</f>
        <v>8</v>
      </c>
      <c r="D126" s="1" t="str">
        <f>行动模拟!D126</f>
        <v>红弩箭｜洞知咒语</v>
      </c>
      <c r="E126" s="1">
        <f>行动模拟!O126</f>
        <v>275410</v>
      </c>
      <c r="F126" s="1">
        <f>行动模拟!P126</f>
        <v>827610</v>
      </c>
      <c r="G126" s="1" t="str">
        <f>IF(行动模拟!D126="","",行动模拟!E126)</f>
        <v>是</v>
      </c>
      <c r="H126" s="1">
        <f>IF(COUNT(行动模拟!F126:H126)=0,"",SUM(行动模拟!F126:H126))</f>
        <v>827610</v>
      </c>
      <c r="I126" s="1">
        <f t="shared" si="7"/>
        <v>827610</v>
      </c>
      <c r="J126" s="1">
        <f t="shared" si="8"/>
        <v>0</v>
      </c>
      <c r="K126" s="1">
        <f t="shared" si="9"/>
        <v>0</v>
      </c>
      <c r="L126" s="1">
        <f t="shared" si="10"/>
        <v>0</v>
      </c>
      <c r="M126" s="1" t="str">
        <f t="shared" si="11"/>
        <v>数值差异≤3%；机制仍需核实</v>
      </c>
      <c r="N126" s="1">
        <f>IF(ISNUMBER(行动模拟!F126),行动模拟!F126,"")</f>
        <v>591150</v>
      </c>
      <c r="O126" s="1">
        <f>IF(COUNT(行动模拟!G126:H126)=0,"",SUM(行动模拟!G126:H126))</f>
        <v>236460</v>
      </c>
      <c r="P126" s="1">
        <f>IF(H126="","",IF(G126="是",后台计算!DX120,IF(G126="否",后台计算!DW120,"")))</f>
        <v>591150</v>
      </c>
      <c r="Q126" s="1">
        <f>IF(H126="","",IF(G126="是",后台计算!BV120-后台计算!DX120,IF(G126="否",后台计算!BU120-后台计算!DW120,"")))</f>
        <v>236460</v>
      </c>
      <c r="R126" s="1">
        <f t="shared" si="12"/>
        <v>0</v>
      </c>
      <c r="S126" s="1">
        <f t="shared" si="13"/>
        <v>0</v>
      </c>
      <c r="T126" s="1" t="str">
        <f>IF(AND(后台计算!DH120="洞穿",O126&gt;0),IF(O126=ROUNDDOWN(N126*0.4,0),"实测附加=floor(主伤害×40%)；稳态来源待确认","实测附加关系需核对"),"")</f>
        <v>实测附加=floor(主伤害×40%)；稳态来源待确认</v>
      </c>
      <c r="U126" s="1">
        <f>IF(D126="","",后台计算!EQ120)</f>
        <v>174</v>
      </c>
      <c r="V126" s="1">
        <f>IF(D126="","",后台计算!ER120)</f>
        <v>0.9</v>
      </c>
      <c r="W126" s="1">
        <f>IF(D126="","",后台计算!ES120)</f>
        <v>0.6</v>
      </c>
      <c r="X126" s="1" t="str">
        <f>IF(D126="","",IF(Boss参数!$B$60=1,"此前实测；缺失用预测","此前预测"))</f>
        <v>此前实测；缺失用预测</v>
      </c>
      <c r="Y126" s="1" t="str">
        <f>IF(H126="","",IF(H126&gt;Boss参数!$B$63*Boss参数!$B$62,"超过暂定合计上限",""))</f>
        <v/>
      </c>
    </row>
    <row r="127" spans="1:25" ht="38.1" customHeight="1">
      <c r="A127" s="1">
        <f>行动模拟!A127</f>
        <v>119</v>
      </c>
      <c r="B127" s="1" t="str">
        <f>行动模拟!B127</f>
        <v>洞知2</v>
      </c>
      <c r="C127" s="1">
        <f>行动模拟!C127</f>
        <v>9</v>
      </c>
      <c r="D127" s="1" t="str">
        <f>行动模拟!D127</f>
        <v>红弩箭｜洞知咒语</v>
      </c>
      <c r="E127" s="1">
        <f>行动模拟!O127</f>
        <v>95007</v>
      </c>
      <c r="F127" s="1">
        <f>行动模拟!P127</f>
        <v>266497</v>
      </c>
      <c r="G127" s="1" t="str">
        <f>IF(行动模拟!D127="","",行动模拟!E127)</f>
        <v>是</v>
      </c>
      <c r="H127" s="1">
        <f>IF(COUNT(行动模拟!F127:H127)=0,"",SUM(行动模拟!F127:H127))</f>
        <v>266497</v>
      </c>
      <c r="I127" s="1">
        <f t="shared" si="7"/>
        <v>266497</v>
      </c>
      <c r="J127" s="1">
        <f t="shared" si="8"/>
        <v>0</v>
      </c>
      <c r="K127" s="1">
        <f t="shared" si="9"/>
        <v>0</v>
      </c>
      <c r="L127" s="1">
        <f t="shared" si="10"/>
        <v>0</v>
      </c>
      <c r="M127" s="1" t="str">
        <f t="shared" si="11"/>
        <v>数值差异≤3%；机制仍需核实</v>
      </c>
      <c r="N127" s="1">
        <f>IF(ISNUMBER(行动模拟!F127),行动模拟!F127,"")</f>
        <v>266497</v>
      </c>
      <c r="O127" s="1">
        <f>IF(COUNT(行动模拟!G127:H127)=0,"",SUM(行动模拟!G127:H127))</f>
        <v>0</v>
      </c>
      <c r="P127" s="1">
        <f>IF(H127="","",IF(G127="是",后台计算!DX121,IF(G127="否",后台计算!DW121,"")))</f>
        <v>266497</v>
      </c>
      <c r="Q127" s="1">
        <f>IF(H127="","",IF(G127="是",后台计算!BV121-后台计算!DX121,IF(G127="否",后台计算!BU121-后台计算!DW121,"")))</f>
        <v>0</v>
      </c>
      <c r="R127" s="1">
        <f t="shared" si="12"/>
        <v>0</v>
      </c>
      <c r="S127" s="1">
        <f t="shared" si="13"/>
        <v>0</v>
      </c>
      <c r="T127" s="1" t="str">
        <f>IF(AND(后台计算!DH121="洞穿",O127&gt;0),IF(O127=ROUNDDOWN(N127*0.4,0),"实测附加=floor(主伤害×40%)；稳态来源待确认","实测附加关系需核对"),"")</f>
        <v/>
      </c>
      <c r="U127" s="1">
        <f>IF(D127="","",后台计算!EQ121)</f>
        <v>182</v>
      </c>
      <c r="V127" s="1">
        <f>IF(D127="","",后台计算!ER121)</f>
        <v>0.9</v>
      </c>
      <c r="W127" s="1">
        <f>IF(D127="","",后台计算!ES121)</f>
        <v>0.6</v>
      </c>
      <c r="X127" s="1" t="str">
        <f>IF(D127="","",IF(Boss参数!$B$60=1,"此前实测；缺失用预测","此前预测"))</f>
        <v>此前实测；缺失用预测</v>
      </c>
      <c r="Y127" s="1" t="str">
        <f>IF(H127="","",IF(H127&gt;Boss参数!$B$63*Boss参数!$B$62,"超过暂定合计上限",""))</f>
        <v/>
      </c>
    </row>
    <row r="128" spans="1:25" ht="38.1" customHeight="1">
      <c r="A128" s="1">
        <f>行动模拟!A128</f>
        <v>120</v>
      </c>
      <c r="B128" s="1" t="str">
        <f>行动模拟!B128</f>
        <v>洞知2</v>
      </c>
      <c r="C128" s="1">
        <f>行动模拟!C128</f>
        <v>10</v>
      </c>
      <c r="D128" s="1" t="str">
        <f>行动模拟!D128</f>
        <v>红弩箭｜洞知咒语</v>
      </c>
      <c r="E128" s="1">
        <f>行动模拟!O128</f>
        <v>97802</v>
      </c>
      <c r="F128" s="1">
        <f>行动模拟!P128</f>
        <v>274335</v>
      </c>
      <c r="G128" s="1" t="str">
        <f>IF(行动模拟!D128="","",行动模拟!E128)</f>
        <v>是</v>
      </c>
      <c r="H128" s="1">
        <f>IF(COUNT(行动模拟!F128:H128)=0,"",SUM(行动模拟!F128:H128))</f>
        <v>274335</v>
      </c>
      <c r="I128" s="1">
        <f t="shared" si="7"/>
        <v>274335</v>
      </c>
      <c r="J128" s="1">
        <f t="shared" si="8"/>
        <v>0</v>
      </c>
      <c r="K128" s="1">
        <f t="shared" si="9"/>
        <v>0</v>
      </c>
      <c r="L128" s="1">
        <f t="shared" si="10"/>
        <v>0</v>
      </c>
      <c r="M128" s="1" t="str">
        <f t="shared" si="11"/>
        <v>数值差异≤3%；机制仍需核实</v>
      </c>
      <c r="N128" s="1">
        <f>IF(ISNUMBER(行动模拟!F128),行动模拟!F128,"")</f>
        <v>274335</v>
      </c>
      <c r="O128" s="1">
        <f>IF(COUNT(行动模拟!G128:H128)=0,"",SUM(行动模拟!G128:H128))</f>
        <v>0</v>
      </c>
      <c r="P128" s="1">
        <f>IF(H128="","",IF(G128="是",后台计算!DX122,IF(G128="否",后台计算!DW122,"")))</f>
        <v>274335</v>
      </c>
      <c r="Q128" s="1">
        <f>IF(H128="","",IF(G128="是",后台计算!BV122-后台计算!DX122,IF(G128="否",后台计算!BU122-后台计算!DW122,"")))</f>
        <v>0</v>
      </c>
      <c r="R128" s="1">
        <f t="shared" si="12"/>
        <v>0</v>
      </c>
      <c r="S128" s="1">
        <f t="shared" si="13"/>
        <v>0</v>
      </c>
      <c r="T128" s="1" t="str">
        <f>IF(AND(后台计算!DH122="洞穿",O128&gt;0),IF(O128=ROUNDDOWN(N128*0.4,0),"实测附加=floor(主伤害×40%)；稳态来源待确认","实测附加关系需核对"),"")</f>
        <v/>
      </c>
      <c r="U128" s="1">
        <f>IF(D128="","",后台计算!EQ122)</f>
        <v>185</v>
      </c>
      <c r="V128" s="1">
        <f>IF(D128="","",后台计算!ER122)</f>
        <v>0.9</v>
      </c>
      <c r="W128" s="1">
        <f>IF(D128="","",后台计算!ES122)</f>
        <v>0.6</v>
      </c>
      <c r="X128" s="1" t="str">
        <f>IF(D128="","",IF(Boss参数!$B$60=1,"此前实测；缺失用预测","此前预测"))</f>
        <v>此前实测；缺失用预测</v>
      </c>
      <c r="Y128" s="1" t="str">
        <f>IF(H128="","",IF(H128&gt;Boss参数!$B$63*Boss参数!$B$62,"超过暂定合计上限",""))</f>
        <v/>
      </c>
    </row>
    <row r="129" spans="1:25" ht="38.1" customHeight="1">
      <c r="A129" s="1">
        <f>行动模拟!A129</f>
        <v>121</v>
      </c>
      <c r="B129" s="1" t="str">
        <f>行动模拟!B129</f>
        <v>洞知2</v>
      </c>
      <c r="C129" s="1">
        <f>行动模拟!C129</f>
        <v>11</v>
      </c>
      <c r="D129" s="1" t="str">
        <f>行动模拟!D129</f>
        <v>37｜洞知咒语</v>
      </c>
      <c r="E129" s="1">
        <f>行动模拟!O129</f>
        <v>35998</v>
      </c>
      <c r="F129" s="1">
        <f>行动模拟!P129</f>
        <v>85604</v>
      </c>
      <c r="G129" s="1" t="str">
        <f>IF(行动模拟!D129="","",行动模拟!E129)</f>
        <v>是</v>
      </c>
      <c r="H129" s="1">
        <f>IF(COUNT(行动模拟!F129:H129)=0,"",SUM(行动模拟!F129:H129))</f>
        <v>85604</v>
      </c>
      <c r="I129" s="1">
        <f t="shared" si="7"/>
        <v>85604</v>
      </c>
      <c r="J129" s="1">
        <f t="shared" si="8"/>
        <v>0</v>
      </c>
      <c r="K129" s="1">
        <f t="shared" si="9"/>
        <v>0</v>
      </c>
      <c r="L129" s="1">
        <f t="shared" si="10"/>
        <v>0</v>
      </c>
      <c r="M129" s="1" t="str">
        <f t="shared" si="11"/>
        <v>数值差异≤3%；机制仍需核实</v>
      </c>
      <c r="N129" s="1">
        <f>IF(ISNUMBER(行动模拟!F129),行动模拟!F129,"")</f>
        <v>85604</v>
      </c>
      <c r="O129" s="1">
        <f>IF(COUNT(行动模拟!G129:H129)=0,"",SUM(行动模拟!G129:H129))</f>
        <v>0</v>
      </c>
      <c r="P129" s="1">
        <f>IF(H129="","",IF(G129="是",后台计算!DX123,IF(G129="否",后台计算!DW123,"")))</f>
        <v>85604</v>
      </c>
      <c r="Q129" s="1">
        <f>IF(H129="","",IF(G129="是",后台计算!BV123-后台计算!DX123,IF(G129="否",后台计算!BU123-后台计算!DW123,"")))</f>
        <v>0</v>
      </c>
      <c r="R129" s="1">
        <f t="shared" si="12"/>
        <v>0</v>
      </c>
      <c r="S129" s="1">
        <f t="shared" si="13"/>
        <v>0</v>
      </c>
      <c r="T129" s="1" t="str">
        <f>IF(AND(后台计算!DH123="洞穿",O129&gt;0),IF(O129=ROUNDDOWN(N129*0.4,0),"实测附加=floor(主伤害×40%)；稳态来源待确认","实测附加关系需核对"),"")</f>
        <v/>
      </c>
      <c r="U129" s="1">
        <f>IF(D129="","",后台计算!EQ123)</f>
        <v>188</v>
      </c>
      <c r="V129" s="1">
        <f>IF(D129="","",后台计算!ER123)</f>
        <v>0.9</v>
      </c>
      <c r="W129" s="1">
        <f>IF(D129="","",后台计算!ES123)</f>
        <v>0.6</v>
      </c>
      <c r="X129" s="1" t="str">
        <f>IF(D129="","",IF(Boss参数!$B$60=1,"此前实测；缺失用预测","此前预测"))</f>
        <v>此前实测；缺失用预测</v>
      </c>
      <c r="Y129" s="1" t="str">
        <f>IF(H129="","",IF(H129&gt;Boss参数!$B$63*Boss参数!$B$62,"超过暂定合计上限",""))</f>
        <v/>
      </c>
    </row>
    <row r="130" spans="1:25" ht="38.1" customHeight="1">
      <c r="A130" s="1">
        <f>行动模拟!A130</f>
        <v>122</v>
      </c>
      <c r="B130" s="1" t="str">
        <f>行动模拟!B130</f>
        <v>洞知2</v>
      </c>
      <c r="C130" s="1">
        <f>行动模拟!C130</f>
        <v>12</v>
      </c>
      <c r="D130" s="1" t="str">
        <f>行动模拟!D130</f>
        <v>红弩箭｜洞知咒语</v>
      </c>
      <c r="E130" s="1">
        <f>行动模拟!O130</f>
        <v>308793</v>
      </c>
      <c r="F130" s="1">
        <f>行动模拟!P130</f>
        <v>927927</v>
      </c>
      <c r="G130" s="1" t="str">
        <f>IF(行动模拟!D130="","",行动模拟!E130)</f>
        <v>是</v>
      </c>
      <c r="H130" s="1">
        <f>IF(COUNT(行动模拟!F130:H130)=0,"",SUM(行动模拟!F130:H130))</f>
        <v>927927</v>
      </c>
      <c r="I130" s="1">
        <f t="shared" si="7"/>
        <v>927927</v>
      </c>
      <c r="J130" s="1">
        <f t="shared" si="8"/>
        <v>0</v>
      </c>
      <c r="K130" s="1">
        <f t="shared" si="9"/>
        <v>0</v>
      </c>
      <c r="L130" s="1">
        <f t="shared" si="10"/>
        <v>0</v>
      </c>
      <c r="M130" s="1" t="str">
        <f t="shared" si="11"/>
        <v>数值差异≤3%；机制仍需核实</v>
      </c>
      <c r="N130" s="1">
        <f>IF(ISNUMBER(行动模拟!F130),行动模拟!F130,"")</f>
        <v>662805</v>
      </c>
      <c r="O130" s="1">
        <f>IF(COUNT(行动模拟!G130:H130)=0,"",SUM(行动模拟!G130:H130))</f>
        <v>265122</v>
      </c>
      <c r="P130" s="1">
        <f>IF(H130="","",IF(G130="是",后台计算!DX124,IF(G130="否",后台计算!DW124,"")))</f>
        <v>662805</v>
      </c>
      <c r="Q130" s="1">
        <f>IF(H130="","",IF(G130="是",后台计算!BV124-后台计算!DX124,IF(G130="否",后台计算!BU124-后台计算!DW124,"")))</f>
        <v>265122</v>
      </c>
      <c r="R130" s="1">
        <f t="shared" si="12"/>
        <v>0</v>
      </c>
      <c r="S130" s="1">
        <f t="shared" si="13"/>
        <v>0</v>
      </c>
      <c r="T130" s="1" t="str">
        <f>IF(AND(后台计算!DH124="洞穿",O130&gt;0),IF(O130=ROUNDDOWN(N130*0.4,0),"实测附加=floor(主伤害×40%)；稳态来源待确认","实测附加关系需核对"),"")</f>
        <v>实测附加=floor(主伤害×40%)；稳态来源待确认</v>
      </c>
      <c r="U130" s="1">
        <f>IF(D130="","",后台计算!EQ124)</f>
        <v>189</v>
      </c>
      <c r="V130" s="1">
        <f>IF(D130="","",后台计算!ER124)</f>
        <v>0.9</v>
      </c>
      <c r="W130" s="1">
        <f>IF(D130="","",后台计算!ES124)</f>
        <v>0.6</v>
      </c>
      <c r="X130" s="1" t="str">
        <f>IF(D130="","",IF(Boss参数!$B$60=1,"此前实测；缺失用预测","此前预测"))</f>
        <v>此前实测；缺失用预测</v>
      </c>
      <c r="Y130" s="1" t="str">
        <f>IF(H130="","",IF(H130&gt;Boss参数!$B$63*Boss参数!$B$62,"超过暂定合计上限",""))</f>
        <v/>
      </c>
    </row>
    <row r="131" spans="1:25" ht="38.1" customHeight="1">
      <c r="A131" s="1">
        <f>行动模拟!A131</f>
        <v>123</v>
      </c>
      <c r="B131" s="1" t="str">
        <f>行动模拟!B131</f>
        <v>洞知2</v>
      </c>
      <c r="C131" s="1">
        <f>行动模拟!C131</f>
        <v>13</v>
      </c>
      <c r="D131" s="1" t="str">
        <f>行动模拟!D131</f>
        <v>37｜洞知咒语</v>
      </c>
      <c r="E131" s="1">
        <f>行动模拟!O131</f>
        <v>35998</v>
      </c>
      <c r="F131" s="1">
        <f>行动模拟!P131</f>
        <v>85604</v>
      </c>
      <c r="G131" s="1" t="str">
        <f>IF(行动模拟!D131="","",行动模拟!E131)</f>
        <v>否</v>
      </c>
      <c r="H131" s="1">
        <f>IF(COUNT(行动模拟!F131:H131)=0,"",SUM(行动模拟!F131:H131))</f>
        <v>35998</v>
      </c>
      <c r="I131" s="1">
        <f t="shared" si="7"/>
        <v>35998</v>
      </c>
      <c r="J131" s="1">
        <f t="shared" si="8"/>
        <v>0</v>
      </c>
      <c r="K131" s="1">
        <f t="shared" si="9"/>
        <v>0</v>
      </c>
      <c r="L131" s="1">
        <f t="shared" si="10"/>
        <v>0</v>
      </c>
      <c r="M131" s="1" t="str">
        <f t="shared" si="11"/>
        <v>数值差异≤3%；机制仍需核实</v>
      </c>
      <c r="N131" s="1">
        <f>IF(ISNUMBER(行动模拟!F131),行动模拟!F131,"")</f>
        <v>35998</v>
      </c>
      <c r="O131" s="1">
        <f>IF(COUNT(行动模拟!G131:H131)=0,"",SUM(行动模拟!G131:H131))</f>
        <v>0</v>
      </c>
      <c r="P131" s="1">
        <f>IF(H131="","",IF(G131="是",后台计算!DX125,IF(G131="否",后台计算!DW125,"")))</f>
        <v>35998</v>
      </c>
      <c r="Q131" s="1">
        <f>IF(H131="","",IF(G131="是",后台计算!BV125-后台计算!DX125,IF(G131="否",后台计算!BU125-后台计算!DW125,"")))</f>
        <v>0</v>
      </c>
      <c r="R131" s="1">
        <f t="shared" si="12"/>
        <v>0</v>
      </c>
      <c r="S131" s="1">
        <f t="shared" si="13"/>
        <v>0</v>
      </c>
      <c r="T131" s="1" t="str">
        <f>IF(AND(后台计算!DH125="洞穿",O131&gt;0),IF(O131=ROUNDDOWN(N131*0.4,0),"实测附加=floor(主伤害×40%)；稳态来源待确认","实测附加关系需核对"),"")</f>
        <v/>
      </c>
      <c r="U131" s="1">
        <f>IF(D131="","",后台计算!EQ125)</f>
        <v>198</v>
      </c>
      <c r="V131" s="1">
        <f>IF(D131="","",后台计算!ER125)</f>
        <v>0.9</v>
      </c>
      <c r="W131" s="1">
        <f>IF(D131="","",后台计算!ES125)</f>
        <v>0.6</v>
      </c>
      <c r="X131" s="1" t="str">
        <f>IF(D131="","",IF(Boss参数!$B$60=1,"此前实测；缺失用预测","此前预测"))</f>
        <v>此前实测；缺失用预测</v>
      </c>
      <c r="Y131" s="1" t="str">
        <f>IF(H131="","",IF(H131&gt;Boss参数!$B$63*Boss参数!$B$62,"超过暂定合计上限",""))</f>
        <v/>
      </c>
    </row>
    <row r="132" spans="1:25" ht="38.1" customHeight="1">
      <c r="A132" s="1">
        <f>行动模拟!A132</f>
        <v>124</v>
      </c>
      <c r="B132" s="1" t="str">
        <f>行动模拟!B132</f>
        <v>洞知2</v>
      </c>
      <c r="C132" s="1">
        <f>行动模拟!C132</f>
        <v>14</v>
      </c>
      <c r="D132" s="1" t="str">
        <f>行动模拟!D132</f>
        <v>红弩箭｜洞知咒语</v>
      </c>
      <c r="E132" s="1">
        <f>行动模拟!O132</f>
        <v>152570</v>
      </c>
      <c r="F132" s="1">
        <f>行动模拟!P132</f>
        <v>427963</v>
      </c>
      <c r="G132" s="1" t="str">
        <f>IF(行动模拟!D132="","",行动模拟!E132)</f>
        <v>是</v>
      </c>
      <c r="H132" s="1">
        <f>IF(COUNT(行动模拟!F132:H132)=0,"",SUM(行动模拟!F132:H132))</f>
        <v>427963</v>
      </c>
      <c r="I132" s="1">
        <f t="shared" si="7"/>
        <v>427963</v>
      </c>
      <c r="J132" s="1">
        <f t="shared" si="8"/>
        <v>0</v>
      </c>
      <c r="K132" s="1">
        <f t="shared" si="9"/>
        <v>0</v>
      </c>
      <c r="L132" s="1">
        <f t="shared" si="10"/>
        <v>0</v>
      </c>
      <c r="M132" s="1" t="str">
        <f t="shared" si="11"/>
        <v>数值差异≤3%；机制仍需核实</v>
      </c>
      <c r="N132" s="1">
        <f>IF(ISNUMBER(行动模拟!F132),行动模拟!F132,"")</f>
        <v>305688</v>
      </c>
      <c r="O132" s="1">
        <f>IF(COUNT(行动模拟!G132:H132)=0,"",SUM(行动模拟!G132:H132))</f>
        <v>122275</v>
      </c>
      <c r="P132" s="1">
        <f>IF(H132="","",IF(G132="是",后台计算!DX126,IF(G132="否",后台计算!DW126,"")))</f>
        <v>305688</v>
      </c>
      <c r="Q132" s="1">
        <f>IF(H132="","",IF(G132="是",后台计算!BV126-后台计算!DX126,IF(G132="否",后台计算!BU126-后台计算!DW126,"")))</f>
        <v>122275</v>
      </c>
      <c r="R132" s="1">
        <f t="shared" si="12"/>
        <v>0</v>
      </c>
      <c r="S132" s="1">
        <f t="shared" si="13"/>
        <v>0</v>
      </c>
      <c r="T132" s="1" t="str">
        <f>IF(AND(后台计算!DH126="洞穿",O132&gt;0),IF(O132=ROUNDDOWN(N132*0.4,0),"实测附加=floor(主伤害×40%)；稳态来源待确认","实测附加关系需核对"),"")</f>
        <v>实测附加=floor(主伤害×40%)；稳态来源待确认</v>
      </c>
      <c r="U132" s="1">
        <f>IF(D132="","",后台计算!EQ126)</f>
        <v>198</v>
      </c>
      <c r="V132" s="1">
        <f>IF(D132="","",后台计算!ER126)</f>
        <v>0.9</v>
      </c>
      <c r="W132" s="1">
        <f>IF(D132="","",后台计算!ES126)</f>
        <v>0.6</v>
      </c>
      <c r="X132" s="1" t="str">
        <f>IF(D132="","",IF(Boss参数!$B$60=1,"此前实测；缺失用预测","此前预测"))</f>
        <v>此前实测；缺失用预测</v>
      </c>
      <c r="Y132" s="1" t="str">
        <f>IF(H132="","",IF(H132&gt;Boss参数!$B$63*Boss参数!$B$62,"超过暂定合计上限",""))</f>
        <v/>
      </c>
    </row>
    <row r="133" spans="1:25" ht="38.1" customHeight="1">
      <c r="A133" s="1">
        <f>行动模拟!A133</f>
        <v>125</v>
      </c>
      <c r="B133" s="1" t="str">
        <f>行动模拟!B133</f>
        <v>洞知2</v>
      </c>
      <c r="C133" s="1">
        <f>行动模拟!C133</f>
        <v>15</v>
      </c>
      <c r="D133" s="1" t="str">
        <f>行动模拟!D133</f>
        <v>37｜洞知咒语</v>
      </c>
      <c r="E133" s="1">
        <f>行动模拟!O133</f>
        <v>31498</v>
      </c>
      <c r="F133" s="1">
        <f>行动模拟!P133</f>
        <v>74903</v>
      </c>
      <c r="G133" s="1" t="str">
        <f>IF(行动模拟!D133="","",行动模拟!E133)</f>
        <v>否</v>
      </c>
      <c r="H133" s="1">
        <f>IF(COUNT(行动模拟!F133:H133)=0,"",SUM(行动模拟!F133:H133))</f>
        <v>31498</v>
      </c>
      <c r="I133" s="1">
        <f t="shared" si="7"/>
        <v>31498</v>
      </c>
      <c r="J133" s="1">
        <f t="shared" si="8"/>
        <v>0</v>
      </c>
      <c r="K133" s="1">
        <f t="shared" si="9"/>
        <v>0</v>
      </c>
      <c r="L133" s="1">
        <f t="shared" si="10"/>
        <v>0</v>
      </c>
      <c r="M133" s="1" t="str">
        <f t="shared" si="11"/>
        <v>数值差异≤3%；机制仍需核实</v>
      </c>
      <c r="N133" s="1">
        <f>IF(ISNUMBER(行动模拟!F133),行动模拟!F133,"")</f>
        <v>31498</v>
      </c>
      <c r="O133" s="1">
        <f>IF(COUNT(行动模拟!G133:H133)=0,"",SUM(行动模拟!G133:H133))</f>
        <v>0</v>
      </c>
      <c r="P133" s="1">
        <f>IF(H133="","",IF(G133="是",后台计算!DX127,IF(G133="否",后台计算!DW127,"")))</f>
        <v>31498</v>
      </c>
      <c r="Q133" s="1">
        <f>IF(H133="","",IF(G133="是",后台计算!BV127-后台计算!DX127,IF(G133="否",后台计算!BU127-后台计算!DW127,"")))</f>
        <v>0</v>
      </c>
      <c r="R133" s="1">
        <f t="shared" si="12"/>
        <v>0</v>
      </c>
      <c r="S133" s="1">
        <f t="shared" si="13"/>
        <v>0</v>
      </c>
      <c r="T133" s="1" t="str">
        <f>IF(AND(后台计算!DH127="洞穿",O133&gt;0),IF(O133=ROUNDDOWN(N133*0.4,0),"实测附加=floor(主伤害×40%)；稳态来源待确认","实测附加关系需核对"),"")</f>
        <v/>
      </c>
      <c r="U133" s="1">
        <f>IF(D133="","",后台计算!EQ127)</f>
        <v>203</v>
      </c>
      <c r="V133" s="1">
        <f>IF(D133="","",后台计算!ER127)</f>
        <v>0.9</v>
      </c>
      <c r="W133" s="1">
        <f>IF(D133="","",后台计算!ES127)</f>
        <v>0.65</v>
      </c>
      <c r="X133" s="1" t="str">
        <f>IF(D133="","",IF(Boss参数!$B$60=1,"此前实测；缺失用预测","此前预测"))</f>
        <v>此前实测；缺失用预测</v>
      </c>
      <c r="Y133" s="1" t="str">
        <f>IF(H133="","",IF(H133&gt;Boss参数!$B$63*Boss参数!$B$62,"超过暂定合计上限",""))</f>
        <v/>
      </c>
    </row>
    <row r="134" spans="1:25" ht="38.1" customHeight="1">
      <c r="A134" s="1">
        <f>行动模拟!A134</f>
        <v>126</v>
      </c>
      <c r="B134" s="1" t="str">
        <f>行动模拟!B134</f>
        <v>洞知2</v>
      </c>
      <c r="C134" s="1">
        <f>行动模拟!C134</f>
        <v>16</v>
      </c>
      <c r="D134" s="1" t="str">
        <f>行动模拟!D134</f>
        <v>37｜洞知咒语</v>
      </c>
      <c r="E134" s="1">
        <f>行动模拟!O134</f>
        <v>44097</v>
      </c>
      <c r="F134" s="1">
        <f>行动模拟!P134</f>
        <v>104864</v>
      </c>
      <c r="G134" s="1" t="str">
        <f>IF(行动模拟!D134="","",行动模拟!E134)</f>
        <v>是</v>
      </c>
      <c r="H134" s="1">
        <f>IF(COUNT(行动模拟!F134:H134)=0,"",SUM(行动模拟!F134:H134))</f>
        <v>104864</v>
      </c>
      <c r="I134" s="1">
        <f t="shared" si="7"/>
        <v>104864</v>
      </c>
      <c r="J134" s="1">
        <f t="shared" si="8"/>
        <v>0</v>
      </c>
      <c r="K134" s="1">
        <f t="shared" si="9"/>
        <v>0</v>
      </c>
      <c r="L134" s="1">
        <f t="shared" si="10"/>
        <v>0</v>
      </c>
      <c r="M134" s="1" t="str">
        <f t="shared" si="11"/>
        <v>数值差异≤3%；机制仍需核实</v>
      </c>
      <c r="N134" s="1">
        <f>IF(ISNUMBER(行动模拟!F134),行动模拟!F134,"")</f>
        <v>74903</v>
      </c>
      <c r="O134" s="1">
        <f>IF(COUNT(行动模拟!G134:H134)=0,"",SUM(行动模拟!G134:H134))</f>
        <v>29961</v>
      </c>
      <c r="P134" s="1">
        <f>IF(H134="","",IF(G134="是",后台计算!DX128,IF(G134="否",后台计算!DW128,"")))</f>
        <v>74903</v>
      </c>
      <c r="Q134" s="1">
        <f>IF(H134="","",IF(G134="是",后台计算!BV128-后台计算!DX128,IF(G134="否",后台计算!BU128-后台计算!DW128,"")))</f>
        <v>29961</v>
      </c>
      <c r="R134" s="1">
        <f t="shared" si="12"/>
        <v>0</v>
      </c>
      <c r="S134" s="1">
        <f t="shared" si="13"/>
        <v>0</v>
      </c>
      <c r="T134" s="1" t="str">
        <f>IF(AND(后台计算!DH128="洞穿",O134&gt;0),IF(O134=ROUNDDOWN(N134*0.4,0),"实测附加=floor(主伤害×40%)；稳态来源待确认","实测附加关系需核对"),"")</f>
        <v>实测附加=floor(主伤害×40%)；稳态来源待确认</v>
      </c>
      <c r="U134" s="1">
        <f>IF(D134="","",后台计算!EQ128)</f>
        <v>203</v>
      </c>
      <c r="V134" s="1">
        <f>IF(D134="","",后台计算!ER128)</f>
        <v>0.9</v>
      </c>
      <c r="W134" s="1">
        <f>IF(D134="","",后台计算!ES128)</f>
        <v>0.65</v>
      </c>
      <c r="X134" s="1" t="str">
        <f>IF(D134="","",IF(Boss参数!$B$60=1,"此前实测；缺失用预测","此前预测"))</f>
        <v>此前实测；缺失用预测</v>
      </c>
      <c r="Y134" s="1" t="str">
        <f>IF(H134="","",IF(H134&gt;Boss参数!$B$63*Boss参数!$B$62,"超过暂定合计上限",""))</f>
        <v/>
      </c>
    </row>
    <row r="135" spans="1:25" ht="38.1" customHeight="1">
      <c r="A135" s="1">
        <f>行动模拟!A135</f>
        <v>127</v>
      </c>
      <c r="B135" s="1" t="str">
        <f>行动模拟!B135</f>
        <v>洞知2</v>
      </c>
      <c r="C135" s="1">
        <f>行动模拟!C135</f>
        <v>17</v>
      </c>
      <c r="D135" s="1" t="str">
        <f>行动模拟!D135</f>
        <v>红弩箭｜洞知终结</v>
      </c>
      <c r="E135" s="1">
        <f>行动模拟!O135</f>
        <v>862615</v>
      </c>
      <c r="F135" s="1">
        <f>行动模拟!P135</f>
        <v>2764685</v>
      </c>
      <c r="G135" s="1" t="str">
        <f>IF(行动模拟!D135="","",行动模拟!E135)</f>
        <v>是</v>
      </c>
      <c r="H135" s="1">
        <f>IF(COUNT(行动模拟!F135:H135)=0,"",SUM(行动模拟!F135:H135))</f>
        <v>2764685</v>
      </c>
      <c r="I135" s="1">
        <f t="shared" si="7"/>
        <v>2764685</v>
      </c>
      <c r="J135" s="1">
        <f t="shared" si="8"/>
        <v>0</v>
      </c>
      <c r="K135" s="1">
        <f t="shared" si="9"/>
        <v>0</v>
      </c>
      <c r="L135" s="1">
        <f t="shared" si="10"/>
        <v>0</v>
      </c>
      <c r="M135" s="1" t="str">
        <f t="shared" si="11"/>
        <v>数值差异≤3%；机制仍需核实</v>
      </c>
      <c r="N135" s="1">
        <f>IF(ISNUMBER(行动模拟!F135),行动模拟!F135,"")</f>
        <v>1974775</v>
      </c>
      <c r="O135" s="1">
        <f>IF(COUNT(行动模拟!G135:H135)=0,"",SUM(行动模拟!G135:H135))</f>
        <v>789910</v>
      </c>
      <c r="P135" s="1">
        <f>IF(H135="","",IF(G135="是",后台计算!DX129,IF(G135="否",后台计算!DW129,"")))</f>
        <v>1974775</v>
      </c>
      <c r="Q135" s="1">
        <f>IF(H135="","",IF(G135="是",后台计算!BV129-后台计算!DX129,IF(G135="否",后台计算!BU129-后台计算!DW129,"")))</f>
        <v>789910</v>
      </c>
      <c r="R135" s="1">
        <f t="shared" si="12"/>
        <v>0</v>
      </c>
      <c r="S135" s="1">
        <f t="shared" si="13"/>
        <v>0</v>
      </c>
      <c r="T135" s="1" t="str">
        <f>IF(AND(后台计算!DH129="洞穿",O135&gt;0),IF(O135=ROUNDDOWN(N135*0.4,0),"实测附加=floor(主伤害×40%)；稳态来源待确认","实测附加关系需核对"),"")</f>
        <v>实测附加=floor(主伤害×40%)；稳态来源待确认</v>
      </c>
      <c r="U135" s="1">
        <f>IF(D135="","",后台计算!EQ129)</f>
        <v>204</v>
      </c>
      <c r="V135" s="1">
        <f>IF(D135="","",后台计算!ER129)</f>
        <v>0.9</v>
      </c>
      <c r="W135" s="1">
        <f>IF(D135="","",后台计算!ES129)</f>
        <v>0.65</v>
      </c>
      <c r="X135" s="1" t="str">
        <f>IF(D135="","",IF(Boss参数!$B$60=1,"此前实测；缺失用预测","此前预测"))</f>
        <v>此前实测；缺失用预测</v>
      </c>
      <c r="Y135" s="1" t="str">
        <f>IF(H135="","",IF(H135&gt;Boss参数!$B$63*Boss参数!$B$62,"超过暂定合计上限",""))</f>
        <v/>
      </c>
    </row>
    <row r="136" spans="1:25" ht="38.1" customHeight="1">
      <c r="A136" s="1" t="str">
        <f>行动模拟!A136</f>
        <v/>
      </c>
      <c r="B136" s="1">
        <f>行动模拟!B136</f>
        <v>0</v>
      </c>
      <c r="C136" s="1">
        <f>行动模拟!C136</f>
        <v>0</v>
      </c>
      <c r="D136" s="1">
        <f>行动模拟!D136</f>
        <v>0</v>
      </c>
      <c r="E136" s="1" t="str">
        <f>行动模拟!O136</f>
        <v/>
      </c>
      <c r="F136" s="1" t="str">
        <f>行动模拟!P136</f>
        <v/>
      </c>
      <c r="G136" s="1" t="str">
        <f>IF(行动模拟!D136="","",行动模拟!E136)</f>
        <v/>
      </c>
      <c r="H136" s="1" t="str">
        <f>IF(COUNT(行动模拟!F136:H136)=0,"",SUM(行动模拟!F136:H136))</f>
        <v/>
      </c>
      <c r="I136" s="1" t="str">
        <f t="shared" si="7"/>
        <v/>
      </c>
      <c r="J136" s="1" t="str">
        <f t="shared" si="8"/>
        <v/>
      </c>
      <c r="K136" s="1" t="str">
        <f t="shared" si="9"/>
        <v/>
      </c>
      <c r="L136" s="1" t="str">
        <f t="shared" si="10"/>
        <v/>
      </c>
      <c r="M136" s="1" t="str">
        <f t="shared" si="11"/>
        <v/>
      </c>
      <c r="N136" s="1" t="str">
        <f>IF(ISNUMBER(行动模拟!F136),行动模拟!F136,"")</f>
        <v/>
      </c>
      <c r="O136" s="1" t="str">
        <f>IF(COUNT(行动模拟!G136:H136)=0,"",SUM(行动模拟!G136:H136))</f>
        <v/>
      </c>
      <c r="P136" s="1" t="str">
        <f>IF(H136="","",IF(G136="是",后台计算!DX130,IF(G136="否",后台计算!DW130,"")))</f>
        <v/>
      </c>
      <c r="Q136" s="1" t="str">
        <f>IF(H136="","",IF(G136="是",后台计算!BV130-后台计算!DX130,IF(G136="否",后台计算!BU130-后台计算!DW130,"")))</f>
        <v/>
      </c>
      <c r="R136" s="1" t="str">
        <f t="shared" si="12"/>
        <v/>
      </c>
      <c r="S136" s="1" t="str">
        <f t="shared" si="13"/>
        <v/>
      </c>
      <c r="T136" s="1" t="str">
        <f>IF(AND(后台计算!DH130="洞穿",O136&gt;0),IF(O136=ROUNDDOWN(N136*0.4,0),"实测附加=floor(主伤害×40%)；稳态来源待确认","实测附加关系需核对"),"")</f>
        <v/>
      </c>
      <c r="U136" s="1">
        <f>IF(D136="","",后台计算!EQ130)</f>
        <v>232</v>
      </c>
      <c r="V136" s="1">
        <f>IF(D136="","",后台计算!ER130)</f>
        <v>0.9</v>
      </c>
      <c r="W136" s="1">
        <f>IF(D136="","",后台计算!ES130)</f>
        <v>0.65</v>
      </c>
      <c r="X136" s="1" t="str">
        <f>IF(D136="","",IF(Boss参数!$B$60=1,"此前实测；缺失用预测","此前预测"))</f>
        <v>此前实测；缺失用预测</v>
      </c>
      <c r="Y136" s="1" t="str">
        <f>IF(H136="","",IF(H136&gt;Boss参数!$B$63*Boss参数!$B$62,"超过暂定合计上限",""))</f>
        <v/>
      </c>
    </row>
    <row r="137" spans="1:25" ht="38.1" customHeight="1">
      <c r="A137" s="1" t="str">
        <f>行动模拟!A137</f>
        <v/>
      </c>
      <c r="B137" s="1">
        <f>行动模拟!B137</f>
        <v>0</v>
      </c>
      <c r="C137" s="1">
        <f>行动模拟!C137</f>
        <v>0</v>
      </c>
      <c r="D137" s="1">
        <f>行动模拟!D137</f>
        <v>0</v>
      </c>
      <c r="E137" s="1" t="str">
        <f>行动模拟!O137</f>
        <v/>
      </c>
      <c r="F137" s="1" t="str">
        <f>行动模拟!P137</f>
        <v/>
      </c>
      <c r="G137" s="1" t="str">
        <f>IF(行动模拟!D137="","",行动模拟!E137)</f>
        <v/>
      </c>
      <c r="H137" s="1" t="str">
        <f>IF(COUNT(行动模拟!F137:H137)=0,"",SUM(行动模拟!F137:H137))</f>
        <v/>
      </c>
      <c r="I137" s="1" t="str">
        <f t="shared" ref="I137:I200" si="14">IF(H137="","",IF(G137="是",F137,IF(G137="否",E137,"")))</f>
        <v/>
      </c>
      <c r="J137" s="1" t="str">
        <f t="shared" ref="J137:J200" si="15">IF(OR(H137="",I137=""),"",H137-I137)</f>
        <v/>
      </c>
      <c r="K137" s="1" t="str">
        <f t="shared" ref="K137:K200" si="16">IF(J137="","",ABS(J137))</f>
        <v/>
      </c>
      <c r="L137" s="1" t="str">
        <f t="shared" ref="L137:L200" si="17">IF(OR(H137="",I137=""),"",IF(H137=0,IF(I137=0,0,"实测为0"),ABS(J137)/H137))</f>
        <v/>
      </c>
      <c r="M137" s="1" t="str">
        <f t="shared" ref="M137:M200" si="18">IF(H137="","",IF(AND(G137&lt;&gt;"是",G137&lt;&gt;"否"),"缺少暴击判定",IF(L137&gt;0.03,"存在差异：请看核对说明并核对行动状态","数值差异≤3%；机制仍需核实")))</f>
        <v/>
      </c>
      <c r="N137" s="1" t="str">
        <f>IF(ISNUMBER(行动模拟!F137),行动模拟!F137,"")</f>
        <v/>
      </c>
      <c r="O137" s="1" t="str">
        <f>IF(COUNT(行动模拟!G137:H137)=0,"",SUM(行动模拟!G137:H137))</f>
        <v/>
      </c>
      <c r="P137" s="1" t="str">
        <f>IF(H137="","",IF(G137="是",后台计算!DX131,IF(G137="否",后台计算!DW131,"")))</f>
        <v/>
      </c>
      <c r="Q137" s="1" t="str">
        <f>IF(H137="","",IF(G137="是",后台计算!BV131-后台计算!DX131,IF(G137="否",后台计算!BU131-后台计算!DW131,"")))</f>
        <v/>
      </c>
      <c r="R137" s="1" t="str">
        <f t="shared" ref="R137:R200" si="19">IF(OR(N137="",P137=""),"",N137-P137)</f>
        <v/>
      </c>
      <c r="S137" s="1" t="str">
        <f t="shared" ref="S137:S200" si="20">IF(OR(O137="",Q137=""),"",O137-Q137)</f>
        <v/>
      </c>
      <c r="T137" s="1" t="str">
        <f>IF(AND(后台计算!DH131="洞穿",O137&gt;0),IF(O137=ROUNDDOWN(N137*0.4,0),"实测附加=floor(主伤害×40%)；稳态来源待确认","实测附加关系需核对"),"")</f>
        <v/>
      </c>
      <c r="U137" s="1">
        <f>IF(D137="","",后台计算!EQ131)</f>
        <v>232</v>
      </c>
      <c r="V137" s="1">
        <f>IF(D137="","",后台计算!ER131)</f>
        <v>0.9</v>
      </c>
      <c r="W137" s="1">
        <f>IF(D137="","",后台计算!ES131)</f>
        <v>0.65</v>
      </c>
      <c r="X137" s="1" t="str">
        <f>IF(D137="","",IF(Boss参数!$B$60=1,"此前实测；缺失用预测","此前预测"))</f>
        <v>此前实测；缺失用预测</v>
      </c>
      <c r="Y137" s="1" t="str">
        <f>IF(H137="","",IF(H137&gt;Boss参数!$B$63*Boss参数!$B$62,"超过暂定合计上限",""))</f>
        <v/>
      </c>
    </row>
    <row r="138" spans="1:25" ht="38.1" customHeight="1">
      <c r="A138" s="1" t="str">
        <f>行动模拟!A138</f>
        <v/>
      </c>
      <c r="B138" s="1">
        <f>行动模拟!B138</f>
        <v>0</v>
      </c>
      <c r="C138" s="1">
        <f>行动模拟!C138</f>
        <v>0</v>
      </c>
      <c r="D138" s="1">
        <f>行动模拟!D138</f>
        <v>0</v>
      </c>
      <c r="E138" s="1" t="str">
        <f>行动模拟!O138</f>
        <v/>
      </c>
      <c r="F138" s="1" t="str">
        <f>行动模拟!P138</f>
        <v/>
      </c>
      <c r="G138" s="1" t="str">
        <f>IF(行动模拟!D138="","",行动模拟!E138)</f>
        <v/>
      </c>
      <c r="H138" s="1" t="str">
        <f>IF(COUNT(行动模拟!F138:H138)=0,"",SUM(行动模拟!F138:H138))</f>
        <v/>
      </c>
      <c r="I138" s="1" t="str">
        <f t="shared" si="14"/>
        <v/>
      </c>
      <c r="J138" s="1" t="str">
        <f t="shared" si="15"/>
        <v/>
      </c>
      <c r="K138" s="1" t="str">
        <f t="shared" si="16"/>
        <v/>
      </c>
      <c r="L138" s="1" t="str">
        <f t="shared" si="17"/>
        <v/>
      </c>
      <c r="M138" s="1" t="str">
        <f t="shared" si="18"/>
        <v/>
      </c>
      <c r="N138" s="1" t="str">
        <f>IF(ISNUMBER(行动模拟!F138),行动模拟!F138,"")</f>
        <v/>
      </c>
      <c r="O138" s="1" t="str">
        <f>IF(COUNT(行动模拟!G138:H138)=0,"",SUM(行动模拟!G138:H138))</f>
        <v/>
      </c>
      <c r="P138" s="1" t="str">
        <f>IF(H138="","",IF(G138="是",后台计算!DX132,IF(G138="否",后台计算!DW132,"")))</f>
        <v/>
      </c>
      <c r="Q138" s="1" t="str">
        <f>IF(H138="","",IF(G138="是",后台计算!BV132-后台计算!DX132,IF(G138="否",后台计算!BU132-后台计算!DW132,"")))</f>
        <v/>
      </c>
      <c r="R138" s="1" t="str">
        <f t="shared" si="19"/>
        <v/>
      </c>
      <c r="S138" s="1" t="str">
        <f t="shared" si="20"/>
        <v/>
      </c>
      <c r="T138" s="1" t="str">
        <f>IF(AND(后台计算!DH132="洞穿",O138&gt;0),IF(O138=ROUNDDOWN(N138*0.4,0),"实测附加=floor(主伤害×40%)；稳态来源待确认","实测附加关系需核对"),"")</f>
        <v/>
      </c>
      <c r="U138" s="1">
        <f>IF(D138="","",后台计算!EQ132)</f>
        <v>232</v>
      </c>
      <c r="V138" s="1">
        <f>IF(D138="","",后台计算!ER132)</f>
        <v>0.9</v>
      </c>
      <c r="W138" s="1">
        <f>IF(D138="","",后台计算!ES132)</f>
        <v>0.65</v>
      </c>
      <c r="X138" s="1" t="str">
        <f>IF(D138="","",IF(Boss参数!$B$60=1,"此前实测；缺失用预测","此前预测"))</f>
        <v>此前实测；缺失用预测</v>
      </c>
      <c r="Y138" s="1" t="str">
        <f>IF(H138="","",IF(H138&gt;Boss参数!$B$63*Boss参数!$B$62,"超过暂定合计上限",""))</f>
        <v/>
      </c>
    </row>
    <row r="139" spans="1:25" ht="38.1" customHeight="1">
      <c r="A139" s="1" t="str">
        <f>行动模拟!A139</f>
        <v/>
      </c>
      <c r="B139" s="1">
        <f>行动模拟!B139</f>
        <v>0</v>
      </c>
      <c r="C139" s="1">
        <f>行动模拟!C139</f>
        <v>0</v>
      </c>
      <c r="D139" s="1">
        <f>行动模拟!D139</f>
        <v>0</v>
      </c>
      <c r="E139" s="1" t="str">
        <f>行动模拟!O139</f>
        <v/>
      </c>
      <c r="F139" s="1" t="str">
        <f>行动模拟!P139</f>
        <v/>
      </c>
      <c r="G139" s="1" t="str">
        <f>IF(行动模拟!D139="","",行动模拟!E139)</f>
        <v/>
      </c>
      <c r="H139" s="1" t="str">
        <f>IF(COUNT(行动模拟!F139:H139)=0,"",SUM(行动模拟!F139:H139))</f>
        <v/>
      </c>
      <c r="I139" s="1" t="str">
        <f t="shared" si="14"/>
        <v/>
      </c>
      <c r="J139" s="1" t="str">
        <f t="shared" si="15"/>
        <v/>
      </c>
      <c r="K139" s="1" t="str">
        <f t="shared" si="16"/>
        <v/>
      </c>
      <c r="L139" s="1" t="str">
        <f t="shared" si="17"/>
        <v/>
      </c>
      <c r="M139" s="1" t="str">
        <f t="shared" si="18"/>
        <v/>
      </c>
      <c r="N139" s="1" t="str">
        <f>IF(ISNUMBER(行动模拟!F139),行动模拟!F139,"")</f>
        <v/>
      </c>
      <c r="O139" s="1" t="str">
        <f>IF(COUNT(行动模拟!G139:H139)=0,"",SUM(行动模拟!G139:H139))</f>
        <v/>
      </c>
      <c r="P139" s="1" t="str">
        <f>IF(H139="","",IF(G139="是",后台计算!DX133,IF(G139="否",后台计算!DW133,"")))</f>
        <v/>
      </c>
      <c r="Q139" s="1" t="str">
        <f>IF(H139="","",IF(G139="是",后台计算!BV133-后台计算!DX133,IF(G139="否",后台计算!BU133-后台计算!DW133,"")))</f>
        <v/>
      </c>
      <c r="R139" s="1" t="str">
        <f t="shared" si="19"/>
        <v/>
      </c>
      <c r="S139" s="1" t="str">
        <f t="shared" si="20"/>
        <v/>
      </c>
      <c r="T139" s="1" t="str">
        <f>IF(AND(后台计算!DH133="洞穿",O139&gt;0),IF(O139=ROUNDDOWN(N139*0.4,0),"实测附加=floor(主伤害×40%)；稳态来源待确认","实测附加关系需核对"),"")</f>
        <v/>
      </c>
      <c r="U139" s="1">
        <f>IF(D139="","",后台计算!EQ133)</f>
        <v>232</v>
      </c>
      <c r="V139" s="1">
        <f>IF(D139="","",后台计算!ER133)</f>
        <v>0.9</v>
      </c>
      <c r="W139" s="1">
        <f>IF(D139="","",后台计算!ES133)</f>
        <v>0.65</v>
      </c>
      <c r="X139" s="1" t="str">
        <f>IF(D139="","",IF(Boss参数!$B$60=1,"此前实测；缺失用预测","此前预测"))</f>
        <v>此前实测；缺失用预测</v>
      </c>
      <c r="Y139" s="1" t="str">
        <f>IF(H139="","",IF(H139&gt;Boss参数!$B$63*Boss参数!$B$62,"超过暂定合计上限",""))</f>
        <v/>
      </c>
    </row>
    <row r="140" spans="1:25" ht="38.1" customHeight="1">
      <c r="A140" s="1" t="str">
        <f>行动模拟!A140</f>
        <v/>
      </c>
      <c r="B140" s="1">
        <f>行动模拟!B140</f>
        <v>0</v>
      </c>
      <c r="C140" s="1">
        <f>行动模拟!C140</f>
        <v>0</v>
      </c>
      <c r="D140" s="1">
        <f>行动模拟!D140</f>
        <v>0</v>
      </c>
      <c r="E140" s="1" t="str">
        <f>行动模拟!O140</f>
        <v/>
      </c>
      <c r="F140" s="1" t="str">
        <f>行动模拟!P140</f>
        <v/>
      </c>
      <c r="G140" s="1" t="str">
        <f>IF(行动模拟!D140="","",行动模拟!E140)</f>
        <v/>
      </c>
      <c r="H140" s="1" t="str">
        <f>IF(COUNT(行动模拟!F140:H140)=0,"",SUM(行动模拟!F140:H140))</f>
        <v/>
      </c>
      <c r="I140" s="1" t="str">
        <f t="shared" si="14"/>
        <v/>
      </c>
      <c r="J140" s="1" t="str">
        <f t="shared" si="15"/>
        <v/>
      </c>
      <c r="K140" s="1" t="str">
        <f t="shared" si="16"/>
        <v/>
      </c>
      <c r="L140" s="1" t="str">
        <f t="shared" si="17"/>
        <v/>
      </c>
      <c r="M140" s="1" t="str">
        <f t="shared" si="18"/>
        <v/>
      </c>
      <c r="N140" s="1" t="str">
        <f>IF(ISNUMBER(行动模拟!F140),行动模拟!F140,"")</f>
        <v/>
      </c>
      <c r="O140" s="1" t="str">
        <f>IF(COUNT(行动模拟!G140:H140)=0,"",SUM(行动模拟!G140:H140))</f>
        <v/>
      </c>
      <c r="P140" s="1" t="str">
        <f>IF(H140="","",IF(G140="是",后台计算!DX134,IF(G140="否",后台计算!DW134,"")))</f>
        <v/>
      </c>
      <c r="Q140" s="1" t="str">
        <f>IF(H140="","",IF(G140="是",后台计算!BV134-后台计算!DX134,IF(G140="否",后台计算!BU134-后台计算!DW134,"")))</f>
        <v/>
      </c>
      <c r="R140" s="1" t="str">
        <f t="shared" si="19"/>
        <v/>
      </c>
      <c r="S140" s="1" t="str">
        <f t="shared" si="20"/>
        <v/>
      </c>
      <c r="T140" s="1" t="str">
        <f>IF(AND(后台计算!DH134="洞穿",O140&gt;0),IF(O140=ROUNDDOWN(N140*0.4,0),"实测附加=floor(主伤害×40%)；稳态来源待确认","实测附加关系需核对"),"")</f>
        <v/>
      </c>
      <c r="U140" s="1">
        <f>IF(D140="","",后台计算!EQ134)</f>
        <v>232</v>
      </c>
      <c r="V140" s="1">
        <f>IF(D140="","",后台计算!ER134)</f>
        <v>0.9</v>
      </c>
      <c r="W140" s="1">
        <f>IF(D140="","",后台计算!ES134)</f>
        <v>0.65</v>
      </c>
      <c r="X140" s="1" t="str">
        <f>IF(D140="","",IF(Boss参数!$B$60=1,"此前实测；缺失用预测","此前预测"))</f>
        <v>此前实测；缺失用预测</v>
      </c>
      <c r="Y140" s="1" t="str">
        <f>IF(H140="","",IF(H140&gt;Boss参数!$B$63*Boss参数!$B$62,"超过暂定合计上限",""))</f>
        <v/>
      </c>
    </row>
    <row r="141" spans="1:25" ht="38.1" customHeight="1">
      <c r="A141" s="1" t="str">
        <f>行动模拟!A141</f>
        <v/>
      </c>
      <c r="B141" s="1">
        <f>行动模拟!B141</f>
        <v>0</v>
      </c>
      <c r="C141" s="1">
        <f>行动模拟!C141</f>
        <v>0</v>
      </c>
      <c r="D141" s="1">
        <f>行动模拟!D141</f>
        <v>0</v>
      </c>
      <c r="E141" s="1" t="str">
        <f>行动模拟!O141</f>
        <v/>
      </c>
      <c r="F141" s="1" t="str">
        <f>行动模拟!P141</f>
        <v/>
      </c>
      <c r="G141" s="1" t="str">
        <f>IF(行动模拟!D141="","",行动模拟!E141)</f>
        <v/>
      </c>
      <c r="H141" s="1" t="str">
        <f>IF(COUNT(行动模拟!F141:H141)=0,"",SUM(行动模拟!F141:H141))</f>
        <v/>
      </c>
      <c r="I141" s="1" t="str">
        <f t="shared" si="14"/>
        <v/>
      </c>
      <c r="J141" s="1" t="str">
        <f t="shared" si="15"/>
        <v/>
      </c>
      <c r="K141" s="1" t="str">
        <f t="shared" si="16"/>
        <v/>
      </c>
      <c r="L141" s="1" t="str">
        <f t="shared" si="17"/>
        <v/>
      </c>
      <c r="M141" s="1" t="str">
        <f t="shared" si="18"/>
        <v/>
      </c>
      <c r="N141" s="1" t="str">
        <f>IF(ISNUMBER(行动模拟!F141),行动模拟!F141,"")</f>
        <v/>
      </c>
      <c r="O141" s="1" t="str">
        <f>IF(COUNT(行动模拟!G141:H141)=0,"",SUM(行动模拟!G141:H141))</f>
        <v/>
      </c>
      <c r="P141" s="1" t="str">
        <f>IF(H141="","",IF(G141="是",后台计算!DX135,IF(G141="否",后台计算!DW135,"")))</f>
        <v/>
      </c>
      <c r="Q141" s="1" t="str">
        <f>IF(H141="","",IF(G141="是",后台计算!BV135-后台计算!DX135,IF(G141="否",后台计算!BU135-后台计算!DW135,"")))</f>
        <v/>
      </c>
      <c r="R141" s="1" t="str">
        <f t="shared" si="19"/>
        <v/>
      </c>
      <c r="S141" s="1" t="str">
        <f t="shared" si="20"/>
        <v/>
      </c>
      <c r="T141" s="1" t="str">
        <f>IF(AND(后台计算!DH135="洞穿",O141&gt;0),IF(O141=ROUNDDOWN(N141*0.4,0),"实测附加=floor(主伤害×40%)；稳态来源待确认","实测附加关系需核对"),"")</f>
        <v/>
      </c>
      <c r="U141" s="1">
        <f>IF(D141="","",后台计算!EQ135)</f>
        <v>232</v>
      </c>
      <c r="V141" s="1">
        <f>IF(D141="","",后台计算!ER135)</f>
        <v>0.9</v>
      </c>
      <c r="W141" s="1">
        <f>IF(D141="","",后台计算!ES135)</f>
        <v>0.65</v>
      </c>
      <c r="X141" s="1" t="str">
        <f>IF(D141="","",IF(Boss参数!$B$60=1,"此前实测；缺失用预测","此前预测"))</f>
        <v>此前实测；缺失用预测</v>
      </c>
      <c r="Y141" s="1" t="str">
        <f>IF(H141="","",IF(H141&gt;Boss参数!$B$63*Boss参数!$B$62,"超过暂定合计上限",""))</f>
        <v/>
      </c>
    </row>
    <row r="142" spans="1:25" ht="38.1" customHeight="1">
      <c r="A142" s="1" t="str">
        <f>行动模拟!A142</f>
        <v/>
      </c>
      <c r="B142" s="1">
        <f>行动模拟!B142</f>
        <v>0</v>
      </c>
      <c r="C142" s="1">
        <f>行动模拟!C142</f>
        <v>0</v>
      </c>
      <c r="D142" s="1">
        <f>行动模拟!D142</f>
        <v>0</v>
      </c>
      <c r="E142" s="1" t="str">
        <f>行动模拟!O142</f>
        <v/>
      </c>
      <c r="F142" s="1" t="str">
        <f>行动模拟!P142</f>
        <v/>
      </c>
      <c r="G142" s="1" t="str">
        <f>IF(行动模拟!D142="","",行动模拟!E142)</f>
        <v/>
      </c>
      <c r="H142" s="1" t="str">
        <f>IF(COUNT(行动模拟!F142:H142)=0,"",SUM(行动模拟!F142:H142))</f>
        <v/>
      </c>
      <c r="I142" s="1" t="str">
        <f t="shared" si="14"/>
        <v/>
      </c>
      <c r="J142" s="1" t="str">
        <f t="shared" si="15"/>
        <v/>
      </c>
      <c r="K142" s="1" t="str">
        <f t="shared" si="16"/>
        <v/>
      </c>
      <c r="L142" s="1" t="str">
        <f t="shared" si="17"/>
        <v/>
      </c>
      <c r="M142" s="1" t="str">
        <f t="shared" si="18"/>
        <v/>
      </c>
      <c r="N142" s="1" t="str">
        <f>IF(ISNUMBER(行动模拟!F142),行动模拟!F142,"")</f>
        <v/>
      </c>
      <c r="O142" s="1" t="str">
        <f>IF(COUNT(行动模拟!G142:H142)=0,"",SUM(行动模拟!G142:H142))</f>
        <v/>
      </c>
      <c r="P142" s="1" t="str">
        <f>IF(H142="","",IF(G142="是",后台计算!DX136,IF(G142="否",后台计算!DW136,"")))</f>
        <v/>
      </c>
      <c r="Q142" s="1" t="str">
        <f>IF(H142="","",IF(G142="是",后台计算!BV136-后台计算!DX136,IF(G142="否",后台计算!BU136-后台计算!DW136,"")))</f>
        <v/>
      </c>
      <c r="R142" s="1" t="str">
        <f t="shared" si="19"/>
        <v/>
      </c>
      <c r="S142" s="1" t="str">
        <f t="shared" si="20"/>
        <v/>
      </c>
      <c r="T142" s="1" t="str">
        <f>IF(AND(后台计算!DH136="洞穿",O142&gt;0),IF(O142=ROUNDDOWN(N142*0.4,0),"实测附加=floor(主伤害×40%)；稳态来源待确认","实测附加关系需核对"),"")</f>
        <v/>
      </c>
      <c r="U142" s="1">
        <f>IF(D142="","",后台计算!EQ136)</f>
        <v>232</v>
      </c>
      <c r="V142" s="1">
        <f>IF(D142="","",后台计算!ER136)</f>
        <v>0.9</v>
      </c>
      <c r="W142" s="1">
        <f>IF(D142="","",后台计算!ES136)</f>
        <v>0.65</v>
      </c>
      <c r="X142" s="1" t="str">
        <f>IF(D142="","",IF(Boss参数!$B$60=1,"此前实测；缺失用预测","此前预测"))</f>
        <v>此前实测；缺失用预测</v>
      </c>
      <c r="Y142" s="1" t="str">
        <f>IF(H142="","",IF(H142&gt;Boss参数!$B$63*Boss参数!$B$62,"超过暂定合计上限",""))</f>
        <v/>
      </c>
    </row>
    <row r="143" spans="1:25" ht="38.1" customHeight="1">
      <c r="A143" s="1" t="str">
        <f>行动模拟!A143</f>
        <v/>
      </c>
      <c r="B143" s="1">
        <f>行动模拟!B143</f>
        <v>0</v>
      </c>
      <c r="C143" s="1">
        <f>行动模拟!C143</f>
        <v>0</v>
      </c>
      <c r="D143" s="1">
        <f>行动模拟!D143</f>
        <v>0</v>
      </c>
      <c r="E143" s="1" t="str">
        <f>行动模拟!O143</f>
        <v/>
      </c>
      <c r="F143" s="1" t="str">
        <f>行动模拟!P143</f>
        <v/>
      </c>
      <c r="G143" s="1" t="str">
        <f>IF(行动模拟!D143="","",行动模拟!E143)</f>
        <v/>
      </c>
      <c r="H143" s="1" t="str">
        <f>IF(COUNT(行动模拟!F143:H143)=0,"",SUM(行动模拟!F143:H143))</f>
        <v/>
      </c>
      <c r="I143" s="1" t="str">
        <f t="shared" si="14"/>
        <v/>
      </c>
      <c r="J143" s="1" t="str">
        <f t="shared" si="15"/>
        <v/>
      </c>
      <c r="K143" s="1" t="str">
        <f t="shared" si="16"/>
        <v/>
      </c>
      <c r="L143" s="1" t="str">
        <f t="shared" si="17"/>
        <v/>
      </c>
      <c r="M143" s="1" t="str">
        <f t="shared" si="18"/>
        <v/>
      </c>
      <c r="N143" s="1" t="str">
        <f>IF(ISNUMBER(行动模拟!F143),行动模拟!F143,"")</f>
        <v/>
      </c>
      <c r="O143" s="1" t="str">
        <f>IF(COUNT(行动模拟!G143:H143)=0,"",SUM(行动模拟!G143:H143))</f>
        <v/>
      </c>
      <c r="P143" s="1" t="str">
        <f>IF(H143="","",IF(G143="是",后台计算!DX137,IF(G143="否",后台计算!DW137,"")))</f>
        <v/>
      </c>
      <c r="Q143" s="1" t="str">
        <f>IF(H143="","",IF(G143="是",后台计算!BV137-后台计算!DX137,IF(G143="否",后台计算!BU137-后台计算!DW137,"")))</f>
        <v/>
      </c>
      <c r="R143" s="1" t="str">
        <f t="shared" si="19"/>
        <v/>
      </c>
      <c r="S143" s="1" t="str">
        <f t="shared" si="20"/>
        <v/>
      </c>
      <c r="T143" s="1" t="str">
        <f>IF(AND(后台计算!DH137="洞穿",O143&gt;0),IF(O143=ROUNDDOWN(N143*0.4,0),"实测附加=floor(主伤害×40%)；稳态来源待确认","实测附加关系需核对"),"")</f>
        <v/>
      </c>
      <c r="U143" s="1">
        <f>IF(D143="","",后台计算!EQ137)</f>
        <v>232</v>
      </c>
      <c r="V143" s="1">
        <f>IF(D143="","",后台计算!ER137)</f>
        <v>0.9</v>
      </c>
      <c r="W143" s="1">
        <f>IF(D143="","",后台计算!ES137)</f>
        <v>0.65</v>
      </c>
      <c r="X143" s="1" t="str">
        <f>IF(D143="","",IF(Boss参数!$B$60=1,"此前实测；缺失用预测","此前预测"))</f>
        <v>此前实测；缺失用预测</v>
      </c>
      <c r="Y143" s="1" t="str">
        <f>IF(H143="","",IF(H143&gt;Boss参数!$B$63*Boss参数!$B$62,"超过暂定合计上限",""))</f>
        <v/>
      </c>
    </row>
    <row r="144" spans="1:25" ht="38.1" customHeight="1">
      <c r="A144" s="1" t="str">
        <f>行动模拟!A144</f>
        <v/>
      </c>
      <c r="B144" s="1">
        <f>行动模拟!B144</f>
        <v>0</v>
      </c>
      <c r="C144" s="1">
        <f>行动模拟!C144</f>
        <v>0</v>
      </c>
      <c r="D144" s="1">
        <f>行动模拟!D144</f>
        <v>0</v>
      </c>
      <c r="E144" s="1" t="str">
        <f>行动模拟!O144</f>
        <v/>
      </c>
      <c r="F144" s="1" t="str">
        <f>行动模拟!P144</f>
        <v/>
      </c>
      <c r="G144" s="1" t="str">
        <f>IF(行动模拟!D144="","",行动模拟!E144)</f>
        <v/>
      </c>
      <c r="H144" s="1" t="str">
        <f>IF(COUNT(行动模拟!F144:H144)=0,"",SUM(行动模拟!F144:H144))</f>
        <v/>
      </c>
      <c r="I144" s="1" t="str">
        <f t="shared" si="14"/>
        <v/>
      </c>
      <c r="J144" s="1" t="str">
        <f t="shared" si="15"/>
        <v/>
      </c>
      <c r="K144" s="1" t="str">
        <f t="shared" si="16"/>
        <v/>
      </c>
      <c r="L144" s="1" t="str">
        <f t="shared" si="17"/>
        <v/>
      </c>
      <c r="M144" s="1" t="str">
        <f t="shared" si="18"/>
        <v/>
      </c>
      <c r="N144" s="1" t="str">
        <f>IF(ISNUMBER(行动模拟!F144),行动模拟!F144,"")</f>
        <v/>
      </c>
      <c r="O144" s="1" t="str">
        <f>IF(COUNT(行动模拟!G144:H144)=0,"",SUM(行动模拟!G144:H144))</f>
        <v/>
      </c>
      <c r="P144" s="1" t="str">
        <f>IF(H144="","",IF(G144="是",后台计算!DX138,IF(G144="否",后台计算!DW138,"")))</f>
        <v/>
      </c>
      <c r="Q144" s="1" t="str">
        <f>IF(H144="","",IF(G144="是",后台计算!BV138-后台计算!DX138,IF(G144="否",后台计算!BU138-后台计算!DW138,"")))</f>
        <v/>
      </c>
      <c r="R144" s="1" t="str">
        <f t="shared" si="19"/>
        <v/>
      </c>
      <c r="S144" s="1" t="str">
        <f t="shared" si="20"/>
        <v/>
      </c>
      <c r="T144" s="1" t="str">
        <f>IF(AND(后台计算!DH138="洞穿",O144&gt;0),IF(O144=ROUNDDOWN(N144*0.4,0),"实测附加=floor(主伤害×40%)；稳态来源待确认","实测附加关系需核对"),"")</f>
        <v/>
      </c>
      <c r="U144" s="1">
        <f>IF(D144="","",后台计算!EQ138)</f>
        <v>232</v>
      </c>
      <c r="V144" s="1">
        <f>IF(D144="","",后台计算!ER138)</f>
        <v>0.9</v>
      </c>
      <c r="W144" s="1">
        <f>IF(D144="","",后台计算!ES138)</f>
        <v>0.65</v>
      </c>
      <c r="X144" s="1" t="str">
        <f>IF(D144="","",IF(Boss参数!$B$60=1,"此前实测；缺失用预测","此前预测"))</f>
        <v>此前实测；缺失用预测</v>
      </c>
      <c r="Y144" s="1" t="str">
        <f>IF(H144="","",IF(H144&gt;Boss参数!$B$63*Boss参数!$B$62,"超过暂定合计上限",""))</f>
        <v/>
      </c>
    </row>
    <row r="145" spans="1:25" ht="38.1" customHeight="1">
      <c r="A145" s="1" t="str">
        <f>行动模拟!A145</f>
        <v/>
      </c>
      <c r="B145" s="1">
        <f>行动模拟!B145</f>
        <v>0</v>
      </c>
      <c r="C145" s="1">
        <f>行动模拟!C145</f>
        <v>0</v>
      </c>
      <c r="D145" s="1">
        <f>行动模拟!D145</f>
        <v>0</v>
      </c>
      <c r="E145" s="1" t="str">
        <f>行动模拟!O145</f>
        <v/>
      </c>
      <c r="F145" s="1" t="str">
        <f>行动模拟!P145</f>
        <v/>
      </c>
      <c r="G145" s="1" t="str">
        <f>IF(行动模拟!D145="","",行动模拟!E145)</f>
        <v/>
      </c>
      <c r="H145" s="1" t="str">
        <f>IF(COUNT(行动模拟!F145:H145)=0,"",SUM(行动模拟!F145:H145))</f>
        <v/>
      </c>
      <c r="I145" s="1" t="str">
        <f t="shared" si="14"/>
        <v/>
      </c>
      <c r="J145" s="1" t="str">
        <f t="shared" si="15"/>
        <v/>
      </c>
      <c r="K145" s="1" t="str">
        <f t="shared" si="16"/>
        <v/>
      </c>
      <c r="L145" s="1" t="str">
        <f t="shared" si="17"/>
        <v/>
      </c>
      <c r="M145" s="1" t="str">
        <f t="shared" si="18"/>
        <v/>
      </c>
      <c r="N145" s="1" t="str">
        <f>IF(ISNUMBER(行动模拟!F145),行动模拟!F145,"")</f>
        <v/>
      </c>
      <c r="O145" s="1" t="str">
        <f>IF(COUNT(行动模拟!G145:H145)=0,"",SUM(行动模拟!G145:H145))</f>
        <v/>
      </c>
      <c r="P145" s="1" t="str">
        <f>IF(H145="","",IF(G145="是",后台计算!DX139,IF(G145="否",后台计算!DW139,"")))</f>
        <v/>
      </c>
      <c r="Q145" s="1" t="str">
        <f>IF(H145="","",IF(G145="是",后台计算!BV139-后台计算!DX139,IF(G145="否",后台计算!BU139-后台计算!DW139,"")))</f>
        <v/>
      </c>
      <c r="R145" s="1" t="str">
        <f t="shared" si="19"/>
        <v/>
      </c>
      <c r="S145" s="1" t="str">
        <f t="shared" si="20"/>
        <v/>
      </c>
      <c r="T145" s="1" t="str">
        <f>IF(AND(后台计算!DH139="洞穿",O145&gt;0),IF(O145=ROUNDDOWN(N145*0.4,0),"实测附加=floor(主伤害×40%)；稳态来源待确认","实测附加关系需核对"),"")</f>
        <v/>
      </c>
      <c r="U145" s="1">
        <f>IF(D145="","",后台计算!EQ139)</f>
        <v>232</v>
      </c>
      <c r="V145" s="1">
        <f>IF(D145="","",后台计算!ER139)</f>
        <v>0.9</v>
      </c>
      <c r="W145" s="1">
        <f>IF(D145="","",后台计算!ES139)</f>
        <v>0.65</v>
      </c>
      <c r="X145" s="1" t="str">
        <f>IF(D145="","",IF(Boss参数!$B$60=1,"此前实测；缺失用预测","此前预测"))</f>
        <v>此前实测；缺失用预测</v>
      </c>
      <c r="Y145" s="1" t="str">
        <f>IF(H145="","",IF(H145&gt;Boss参数!$B$63*Boss参数!$B$62,"超过暂定合计上限",""))</f>
        <v/>
      </c>
    </row>
    <row r="146" spans="1:25" ht="38.1" customHeight="1">
      <c r="A146" s="1" t="str">
        <f>行动模拟!A146</f>
        <v/>
      </c>
      <c r="B146" s="1">
        <f>行动模拟!B146</f>
        <v>0</v>
      </c>
      <c r="C146" s="1">
        <f>行动模拟!C146</f>
        <v>0</v>
      </c>
      <c r="D146" s="1">
        <f>行动模拟!D146</f>
        <v>0</v>
      </c>
      <c r="E146" s="1" t="str">
        <f>行动模拟!O146</f>
        <v/>
      </c>
      <c r="F146" s="1" t="str">
        <f>行动模拟!P146</f>
        <v/>
      </c>
      <c r="G146" s="1" t="str">
        <f>IF(行动模拟!D146="","",行动模拟!E146)</f>
        <v/>
      </c>
      <c r="H146" s="1" t="str">
        <f>IF(COUNT(行动模拟!F146:H146)=0,"",SUM(行动模拟!F146:H146))</f>
        <v/>
      </c>
      <c r="I146" s="1" t="str">
        <f t="shared" si="14"/>
        <v/>
      </c>
      <c r="J146" s="1" t="str">
        <f t="shared" si="15"/>
        <v/>
      </c>
      <c r="K146" s="1" t="str">
        <f t="shared" si="16"/>
        <v/>
      </c>
      <c r="L146" s="1" t="str">
        <f t="shared" si="17"/>
        <v/>
      </c>
      <c r="M146" s="1" t="str">
        <f t="shared" si="18"/>
        <v/>
      </c>
      <c r="N146" s="1" t="str">
        <f>IF(ISNUMBER(行动模拟!F146),行动模拟!F146,"")</f>
        <v/>
      </c>
      <c r="O146" s="1" t="str">
        <f>IF(COUNT(行动模拟!G146:H146)=0,"",SUM(行动模拟!G146:H146))</f>
        <v/>
      </c>
      <c r="P146" s="1" t="str">
        <f>IF(H146="","",IF(G146="是",后台计算!DX140,IF(G146="否",后台计算!DW140,"")))</f>
        <v/>
      </c>
      <c r="Q146" s="1" t="str">
        <f>IF(H146="","",IF(G146="是",后台计算!BV140-后台计算!DX140,IF(G146="否",后台计算!BU140-后台计算!DW140,"")))</f>
        <v/>
      </c>
      <c r="R146" s="1" t="str">
        <f t="shared" si="19"/>
        <v/>
      </c>
      <c r="S146" s="1" t="str">
        <f t="shared" si="20"/>
        <v/>
      </c>
      <c r="T146" s="1" t="str">
        <f>IF(AND(后台计算!DH140="洞穿",O146&gt;0),IF(O146=ROUNDDOWN(N146*0.4,0),"实测附加=floor(主伤害×40%)；稳态来源待确认","实测附加关系需核对"),"")</f>
        <v/>
      </c>
      <c r="U146" s="1">
        <f>IF(D146="","",后台计算!EQ140)</f>
        <v>232</v>
      </c>
      <c r="V146" s="1">
        <f>IF(D146="","",后台计算!ER140)</f>
        <v>0.9</v>
      </c>
      <c r="W146" s="1">
        <f>IF(D146="","",后台计算!ES140)</f>
        <v>0.65</v>
      </c>
      <c r="X146" s="1" t="str">
        <f>IF(D146="","",IF(Boss参数!$B$60=1,"此前实测；缺失用预测","此前预测"))</f>
        <v>此前实测；缺失用预测</v>
      </c>
      <c r="Y146" s="1" t="str">
        <f>IF(H146="","",IF(H146&gt;Boss参数!$B$63*Boss参数!$B$62,"超过暂定合计上限",""))</f>
        <v/>
      </c>
    </row>
    <row r="147" spans="1:25" ht="38.1" customHeight="1">
      <c r="A147" s="1" t="str">
        <f>行动模拟!A147</f>
        <v/>
      </c>
      <c r="B147" s="1">
        <f>行动模拟!B147</f>
        <v>0</v>
      </c>
      <c r="C147" s="1">
        <f>行动模拟!C147</f>
        <v>0</v>
      </c>
      <c r="D147" s="1">
        <f>行动模拟!D147</f>
        <v>0</v>
      </c>
      <c r="E147" s="1" t="str">
        <f>行动模拟!O147</f>
        <v/>
      </c>
      <c r="F147" s="1" t="str">
        <f>行动模拟!P147</f>
        <v/>
      </c>
      <c r="G147" s="1" t="str">
        <f>IF(行动模拟!D147="","",行动模拟!E147)</f>
        <v/>
      </c>
      <c r="H147" s="1" t="str">
        <f>IF(COUNT(行动模拟!F147:H147)=0,"",SUM(行动模拟!F147:H147))</f>
        <v/>
      </c>
      <c r="I147" s="1" t="str">
        <f t="shared" si="14"/>
        <v/>
      </c>
      <c r="J147" s="1" t="str">
        <f t="shared" si="15"/>
        <v/>
      </c>
      <c r="K147" s="1" t="str">
        <f t="shared" si="16"/>
        <v/>
      </c>
      <c r="L147" s="1" t="str">
        <f t="shared" si="17"/>
        <v/>
      </c>
      <c r="M147" s="1" t="str">
        <f t="shared" si="18"/>
        <v/>
      </c>
      <c r="N147" s="1" t="str">
        <f>IF(ISNUMBER(行动模拟!F147),行动模拟!F147,"")</f>
        <v/>
      </c>
      <c r="O147" s="1" t="str">
        <f>IF(COUNT(行动模拟!G147:H147)=0,"",SUM(行动模拟!G147:H147))</f>
        <v/>
      </c>
      <c r="P147" s="1" t="str">
        <f>IF(H147="","",IF(G147="是",后台计算!DX141,IF(G147="否",后台计算!DW141,"")))</f>
        <v/>
      </c>
      <c r="Q147" s="1" t="str">
        <f>IF(H147="","",IF(G147="是",后台计算!BV141-后台计算!DX141,IF(G147="否",后台计算!BU141-后台计算!DW141,"")))</f>
        <v/>
      </c>
      <c r="R147" s="1" t="str">
        <f t="shared" si="19"/>
        <v/>
      </c>
      <c r="S147" s="1" t="str">
        <f t="shared" si="20"/>
        <v/>
      </c>
      <c r="T147" s="1" t="str">
        <f>IF(AND(后台计算!DH141="洞穿",O147&gt;0),IF(O147=ROUNDDOWN(N147*0.4,0),"实测附加=floor(主伤害×40%)；稳态来源待确认","实测附加关系需核对"),"")</f>
        <v/>
      </c>
      <c r="U147" s="1">
        <f>IF(D147="","",后台计算!EQ141)</f>
        <v>232</v>
      </c>
      <c r="V147" s="1">
        <f>IF(D147="","",后台计算!ER141)</f>
        <v>0.9</v>
      </c>
      <c r="W147" s="1">
        <f>IF(D147="","",后台计算!ES141)</f>
        <v>0.65</v>
      </c>
      <c r="X147" s="1" t="str">
        <f>IF(D147="","",IF(Boss参数!$B$60=1,"此前实测；缺失用预测","此前预测"))</f>
        <v>此前实测；缺失用预测</v>
      </c>
      <c r="Y147" s="1" t="str">
        <f>IF(H147="","",IF(H147&gt;Boss参数!$B$63*Boss参数!$B$62,"超过暂定合计上限",""))</f>
        <v/>
      </c>
    </row>
    <row r="148" spans="1:25" ht="38.1" customHeight="1">
      <c r="A148" s="1" t="str">
        <f>行动模拟!A148</f>
        <v/>
      </c>
      <c r="B148" s="1">
        <f>行动模拟!B148</f>
        <v>0</v>
      </c>
      <c r="C148" s="1">
        <f>行动模拟!C148</f>
        <v>0</v>
      </c>
      <c r="D148" s="1">
        <f>行动模拟!D148</f>
        <v>0</v>
      </c>
      <c r="E148" s="1" t="str">
        <f>行动模拟!O148</f>
        <v/>
      </c>
      <c r="F148" s="1" t="str">
        <f>行动模拟!P148</f>
        <v/>
      </c>
      <c r="G148" s="1" t="str">
        <f>IF(行动模拟!D148="","",行动模拟!E148)</f>
        <v/>
      </c>
      <c r="H148" s="1" t="str">
        <f>IF(COUNT(行动模拟!F148:H148)=0,"",SUM(行动模拟!F148:H148))</f>
        <v/>
      </c>
      <c r="I148" s="1" t="str">
        <f t="shared" si="14"/>
        <v/>
      </c>
      <c r="J148" s="1" t="str">
        <f t="shared" si="15"/>
        <v/>
      </c>
      <c r="K148" s="1" t="str">
        <f t="shared" si="16"/>
        <v/>
      </c>
      <c r="L148" s="1" t="str">
        <f t="shared" si="17"/>
        <v/>
      </c>
      <c r="M148" s="1" t="str">
        <f t="shared" si="18"/>
        <v/>
      </c>
      <c r="N148" s="1" t="str">
        <f>IF(ISNUMBER(行动模拟!F148),行动模拟!F148,"")</f>
        <v/>
      </c>
      <c r="O148" s="1" t="str">
        <f>IF(COUNT(行动模拟!G148:H148)=0,"",SUM(行动模拟!G148:H148))</f>
        <v/>
      </c>
      <c r="P148" s="1" t="str">
        <f>IF(H148="","",IF(G148="是",后台计算!DX142,IF(G148="否",后台计算!DW142,"")))</f>
        <v/>
      </c>
      <c r="Q148" s="1" t="str">
        <f>IF(H148="","",IF(G148="是",后台计算!BV142-后台计算!DX142,IF(G148="否",后台计算!BU142-后台计算!DW142,"")))</f>
        <v/>
      </c>
      <c r="R148" s="1" t="str">
        <f t="shared" si="19"/>
        <v/>
      </c>
      <c r="S148" s="1" t="str">
        <f t="shared" si="20"/>
        <v/>
      </c>
      <c r="T148" s="1" t="str">
        <f>IF(AND(后台计算!DH142="洞穿",O148&gt;0),IF(O148=ROUNDDOWN(N148*0.4,0),"实测附加=floor(主伤害×40%)；稳态来源待确认","实测附加关系需核对"),"")</f>
        <v/>
      </c>
      <c r="U148" s="1">
        <f>IF(D148="","",后台计算!EQ142)</f>
        <v>232</v>
      </c>
      <c r="V148" s="1">
        <f>IF(D148="","",后台计算!ER142)</f>
        <v>0.9</v>
      </c>
      <c r="W148" s="1">
        <f>IF(D148="","",后台计算!ES142)</f>
        <v>0.65</v>
      </c>
      <c r="X148" s="1" t="str">
        <f>IF(D148="","",IF(Boss参数!$B$60=1,"此前实测；缺失用预测","此前预测"))</f>
        <v>此前实测；缺失用预测</v>
      </c>
      <c r="Y148" s="1" t="str">
        <f>IF(H148="","",IF(H148&gt;Boss参数!$B$63*Boss参数!$B$62,"超过暂定合计上限",""))</f>
        <v/>
      </c>
    </row>
    <row r="149" spans="1:25" ht="38.1" customHeight="1">
      <c r="A149" s="1" t="str">
        <f>行动模拟!A149</f>
        <v/>
      </c>
      <c r="B149" s="1">
        <f>行动模拟!B149</f>
        <v>0</v>
      </c>
      <c r="C149" s="1">
        <f>行动模拟!C149</f>
        <v>0</v>
      </c>
      <c r="D149" s="1">
        <f>行动模拟!D149</f>
        <v>0</v>
      </c>
      <c r="E149" s="1" t="str">
        <f>行动模拟!O149</f>
        <v/>
      </c>
      <c r="F149" s="1" t="str">
        <f>行动模拟!P149</f>
        <v/>
      </c>
      <c r="G149" s="1" t="str">
        <f>IF(行动模拟!D149="","",行动模拟!E149)</f>
        <v/>
      </c>
      <c r="H149" s="1" t="str">
        <f>IF(COUNT(行动模拟!F149:H149)=0,"",SUM(行动模拟!F149:H149))</f>
        <v/>
      </c>
      <c r="I149" s="1" t="str">
        <f t="shared" si="14"/>
        <v/>
      </c>
      <c r="J149" s="1" t="str">
        <f t="shared" si="15"/>
        <v/>
      </c>
      <c r="K149" s="1" t="str">
        <f t="shared" si="16"/>
        <v/>
      </c>
      <c r="L149" s="1" t="str">
        <f t="shared" si="17"/>
        <v/>
      </c>
      <c r="M149" s="1" t="str">
        <f t="shared" si="18"/>
        <v/>
      </c>
      <c r="N149" s="1" t="str">
        <f>IF(ISNUMBER(行动模拟!F149),行动模拟!F149,"")</f>
        <v/>
      </c>
      <c r="O149" s="1" t="str">
        <f>IF(COUNT(行动模拟!G149:H149)=0,"",SUM(行动模拟!G149:H149))</f>
        <v/>
      </c>
      <c r="P149" s="1" t="str">
        <f>IF(H149="","",IF(G149="是",后台计算!DX143,IF(G149="否",后台计算!DW143,"")))</f>
        <v/>
      </c>
      <c r="Q149" s="1" t="str">
        <f>IF(H149="","",IF(G149="是",后台计算!BV143-后台计算!DX143,IF(G149="否",后台计算!BU143-后台计算!DW143,"")))</f>
        <v/>
      </c>
      <c r="R149" s="1" t="str">
        <f t="shared" si="19"/>
        <v/>
      </c>
      <c r="S149" s="1" t="str">
        <f t="shared" si="20"/>
        <v/>
      </c>
      <c r="T149" s="1" t="str">
        <f>IF(AND(后台计算!DH143="洞穿",O149&gt;0),IF(O149=ROUNDDOWN(N149*0.4,0),"实测附加=floor(主伤害×40%)；稳态来源待确认","实测附加关系需核对"),"")</f>
        <v/>
      </c>
      <c r="U149" s="1">
        <f>IF(D149="","",后台计算!EQ143)</f>
        <v>232</v>
      </c>
      <c r="V149" s="1">
        <f>IF(D149="","",后台计算!ER143)</f>
        <v>0.9</v>
      </c>
      <c r="W149" s="1">
        <f>IF(D149="","",后台计算!ES143)</f>
        <v>0.65</v>
      </c>
      <c r="X149" s="1" t="str">
        <f>IF(D149="","",IF(Boss参数!$B$60=1,"此前实测；缺失用预测","此前预测"))</f>
        <v>此前实测；缺失用预测</v>
      </c>
      <c r="Y149" s="1" t="str">
        <f>IF(H149="","",IF(H149&gt;Boss参数!$B$63*Boss参数!$B$62,"超过暂定合计上限",""))</f>
        <v/>
      </c>
    </row>
    <row r="150" spans="1:25" ht="38.1" customHeight="1">
      <c r="A150" s="1" t="str">
        <f>行动模拟!A150</f>
        <v/>
      </c>
      <c r="B150" s="1">
        <f>行动模拟!B150</f>
        <v>0</v>
      </c>
      <c r="C150" s="1">
        <f>行动模拟!C150</f>
        <v>0</v>
      </c>
      <c r="D150" s="1">
        <f>行动模拟!D150</f>
        <v>0</v>
      </c>
      <c r="E150" s="1" t="str">
        <f>行动模拟!O150</f>
        <v/>
      </c>
      <c r="F150" s="1" t="str">
        <f>行动模拟!P150</f>
        <v/>
      </c>
      <c r="G150" s="1" t="str">
        <f>IF(行动模拟!D150="","",行动模拟!E150)</f>
        <v/>
      </c>
      <c r="H150" s="1" t="str">
        <f>IF(COUNT(行动模拟!F150:H150)=0,"",SUM(行动模拟!F150:H150))</f>
        <v/>
      </c>
      <c r="I150" s="1" t="str">
        <f t="shared" si="14"/>
        <v/>
      </c>
      <c r="J150" s="1" t="str">
        <f t="shared" si="15"/>
        <v/>
      </c>
      <c r="K150" s="1" t="str">
        <f t="shared" si="16"/>
        <v/>
      </c>
      <c r="L150" s="1" t="str">
        <f t="shared" si="17"/>
        <v/>
      </c>
      <c r="M150" s="1" t="str">
        <f t="shared" si="18"/>
        <v/>
      </c>
      <c r="N150" s="1" t="str">
        <f>IF(ISNUMBER(行动模拟!F150),行动模拟!F150,"")</f>
        <v/>
      </c>
      <c r="O150" s="1" t="str">
        <f>IF(COUNT(行动模拟!G150:H150)=0,"",SUM(行动模拟!G150:H150))</f>
        <v/>
      </c>
      <c r="P150" s="1" t="str">
        <f>IF(H150="","",IF(G150="是",后台计算!DX144,IF(G150="否",后台计算!DW144,"")))</f>
        <v/>
      </c>
      <c r="Q150" s="1" t="str">
        <f>IF(H150="","",IF(G150="是",后台计算!BV144-后台计算!DX144,IF(G150="否",后台计算!BU144-后台计算!DW144,"")))</f>
        <v/>
      </c>
      <c r="R150" s="1" t="str">
        <f t="shared" si="19"/>
        <v/>
      </c>
      <c r="S150" s="1" t="str">
        <f t="shared" si="20"/>
        <v/>
      </c>
      <c r="T150" s="1" t="str">
        <f>IF(AND(后台计算!DH144="洞穿",O150&gt;0),IF(O150=ROUNDDOWN(N150*0.4,0),"实测附加=floor(主伤害×40%)；稳态来源待确认","实测附加关系需核对"),"")</f>
        <v/>
      </c>
      <c r="U150" s="1">
        <f>IF(D150="","",后台计算!EQ144)</f>
        <v>232</v>
      </c>
      <c r="V150" s="1">
        <f>IF(D150="","",后台计算!ER144)</f>
        <v>0.9</v>
      </c>
      <c r="W150" s="1">
        <f>IF(D150="","",后台计算!ES144)</f>
        <v>0.65</v>
      </c>
      <c r="X150" s="1" t="str">
        <f>IF(D150="","",IF(Boss参数!$B$60=1,"此前实测；缺失用预测","此前预测"))</f>
        <v>此前实测；缺失用预测</v>
      </c>
      <c r="Y150" s="1" t="str">
        <f>IF(H150="","",IF(H150&gt;Boss参数!$B$63*Boss参数!$B$62,"超过暂定合计上限",""))</f>
        <v/>
      </c>
    </row>
    <row r="151" spans="1:25" ht="38.1" customHeight="1">
      <c r="A151" s="1" t="str">
        <f>行动模拟!A151</f>
        <v/>
      </c>
      <c r="B151" s="1">
        <f>行动模拟!B151</f>
        <v>0</v>
      </c>
      <c r="C151" s="1">
        <f>行动模拟!C151</f>
        <v>0</v>
      </c>
      <c r="D151" s="1">
        <f>行动模拟!D151</f>
        <v>0</v>
      </c>
      <c r="E151" s="1" t="str">
        <f>行动模拟!O151</f>
        <v/>
      </c>
      <c r="F151" s="1" t="str">
        <f>行动模拟!P151</f>
        <v/>
      </c>
      <c r="G151" s="1" t="str">
        <f>IF(行动模拟!D151="","",行动模拟!E151)</f>
        <v/>
      </c>
      <c r="H151" s="1" t="str">
        <f>IF(COUNT(行动模拟!F151:H151)=0,"",SUM(行动模拟!F151:H151))</f>
        <v/>
      </c>
      <c r="I151" s="1" t="str">
        <f t="shared" si="14"/>
        <v/>
      </c>
      <c r="J151" s="1" t="str">
        <f t="shared" si="15"/>
        <v/>
      </c>
      <c r="K151" s="1" t="str">
        <f t="shared" si="16"/>
        <v/>
      </c>
      <c r="L151" s="1" t="str">
        <f t="shared" si="17"/>
        <v/>
      </c>
      <c r="M151" s="1" t="str">
        <f t="shared" si="18"/>
        <v/>
      </c>
      <c r="N151" s="1" t="str">
        <f>IF(ISNUMBER(行动模拟!F151),行动模拟!F151,"")</f>
        <v/>
      </c>
      <c r="O151" s="1" t="str">
        <f>IF(COUNT(行动模拟!G151:H151)=0,"",SUM(行动模拟!G151:H151))</f>
        <v/>
      </c>
      <c r="P151" s="1" t="str">
        <f>IF(H151="","",IF(G151="是",后台计算!DX145,IF(G151="否",后台计算!DW145,"")))</f>
        <v/>
      </c>
      <c r="Q151" s="1" t="str">
        <f>IF(H151="","",IF(G151="是",后台计算!BV145-后台计算!DX145,IF(G151="否",后台计算!BU145-后台计算!DW145,"")))</f>
        <v/>
      </c>
      <c r="R151" s="1" t="str">
        <f t="shared" si="19"/>
        <v/>
      </c>
      <c r="S151" s="1" t="str">
        <f t="shared" si="20"/>
        <v/>
      </c>
      <c r="T151" s="1" t="str">
        <f>IF(AND(后台计算!DH145="洞穿",O151&gt;0),IF(O151=ROUNDDOWN(N151*0.4,0),"实测附加=floor(主伤害×40%)；稳态来源待确认","实测附加关系需核对"),"")</f>
        <v/>
      </c>
      <c r="U151" s="1">
        <f>IF(D151="","",后台计算!EQ145)</f>
        <v>232</v>
      </c>
      <c r="V151" s="1">
        <f>IF(D151="","",后台计算!ER145)</f>
        <v>0.9</v>
      </c>
      <c r="W151" s="1">
        <f>IF(D151="","",后台计算!ES145)</f>
        <v>0.65</v>
      </c>
      <c r="X151" s="1" t="str">
        <f>IF(D151="","",IF(Boss参数!$B$60=1,"此前实测；缺失用预测","此前预测"))</f>
        <v>此前实测；缺失用预测</v>
      </c>
      <c r="Y151" s="1" t="str">
        <f>IF(H151="","",IF(H151&gt;Boss参数!$B$63*Boss参数!$B$62,"超过暂定合计上限",""))</f>
        <v/>
      </c>
    </row>
    <row r="152" spans="1:25" ht="38.1" customHeight="1">
      <c r="A152" s="1" t="str">
        <f>行动模拟!A152</f>
        <v/>
      </c>
      <c r="B152" s="1">
        <f>行动模拟!B152</f>
        <v>0</v>
      </c>
      <c r="C152" s="1">
        <f>行动模拟!C152</f>
        <v>0</v>
      </c>
      <c r="D152" s="1">
        <f>行动模拟!D152</f>
        <v>0</v>
      </c>
      <c r="E152" s="1" t="str">
        <f>行动模拟!O152</f>
        <v/>
      </c>
      <c r="F152" s="1" t="str">
        <f>行动模拟!P152</f>
        <v/>
      </c>
      <c r="G152" s="1" t="str">
        <f>IF(行动模拟!D152="","",行动模拟!E152)</f>
        <v/>
      </c>
      <c r="H152" s="1" t="str">
        <f>IF(COUNT(行动模拟!F152:H152)=0,"",SUM(行动模拟!F152:H152))</f>
        <v/>
      </c>
      <c r="I152" s="1" t="str">
        <f t="shared" si="14"/>
        <v/>
      </c>
      <c r="J152" s="1" t="str">
        <f t="shared" si="15"/>
        <v/>
      </c>
      <c r="K152" s="1" t="str">
        <f t="shared" si="16"/>
        <v/>
      </c>
      <c r="L152" s="1" t="str">
        <f t="shared" si="17"/>
        <v/>
      </c>
      <c r="M152" s="1" t="str">
        <f t="shared" si="18"/>
        <v/>
      </c>
      <c r="N152" s="1" t="str">
        <f>IF(ISNUMBER(行动模拟!F152),行动模拟!F152,"")</f>
        <v/>
      </c>
      <c r="O152" s="1" t="str">
        <f>IF(COUNT(行动模拟!G152:H152)=0,"",SUM(行动模拟!G152:H152))</f>
        <v/>
      </c>
      <c r="P152" s="1" t="str">
        <f>IF(H152="","",IF(G152="是",后台计算!DX146,IF(G152="否",后台计算!DW146,"")))</f>
        <v/>
      </c>
      <c r="Q152" s="1" t="str">
        <f>IF(H152="","",IF(G152="是",后台计算!BV146-后台计算!DX146,IF(G152="否",后台计算!BU146-后台计算!DW146,"")))</f>
        <v/>
      </c>
      <c r="R152" s="1" t="str">
        <f t="shared" si="19"/>
        <v/>
      </c>
      <c r="S152" s="1" t="str">
        <f t="shared" si="20"/>
        <v/>
      </c>
      <c r="T152" s="1" t="str">
        <f>IF(AND(后台计算!DH146="洞穿",O152&gt;0),IF(O152=ROUNDDOWN(N152*0.4,0),"实测附加=floor(主伤害×40%)；稳态来源待确认","实测附加关系需核对"),"")</f>
        <v/>
      </c>
      <c r="U152" s="1">
        <f>IF(D152="","",后台计算!EQ146)</f>
        <v>232</v>
      </c>
      <c r="V152" s="1">
        <f>IF(D152="","",后台计算!ER146)</f>
        <v>0.9</v>
      </c>
      <c r="W152" s="1">
        <f>IF(D152="","",后台计算!ES146)</f>
        <v>0.65</v>
      </c>
      <c r="X152" s="1" t="str">
        <f>IF(D152="","",IF(Boss参数!$B$60=1,"此前实测；缺失用预测","此前预测"))</f>
        <v>此前实测；缺失用预测</v>
      </c>
      <c r="Y152" s="1" t="str">
        <f>IF(H152="","",IF(H152&gt;Boss参数!$B$63*Boss参数!$B$62,"超过暂定合计上限",""))</f>
        <v/>
      </c>
    </row>
    <row r="153" spans="1:25" ht="38.1" customHeight="1">
      <c r="A153" s="1" t="str">
        <f>行动模拟!A153</f>
        <v/>
      </c>
      <c r="B153" s="1">
        <f>行动模拟!B153</f>
        <v>0</v>
      </c>
      <c r="C153" s="1">
        <f>行动模拟!C153</f>
        <v>0</v>
      </c>
      <c r="D153" s="1">
        <f>行动模拟!D153</f>
        <v>0</v>
      </c>
      <c r="E153" s="1" t="str">
        <f>行动模拟!O153</f>
        <v/>
      </c>
      <c r="F153" s="1" t="str">
        <f>行动模拟!P153</f>
        <v/>
      </c>
      <c r="G153" s="1" t="str">
        <f>IF(行动模拟!D153="","",行动模拟!E153)</f>
        <v/>
      </c>
      <c r="H153" s="1" t="str">
        <f>IF(COUNT(行动模拟!F153:H153)=0,"",SUM(行动模拟!F153:H153))</f>
        <v/>
      </c>
      <c r="I153" s="1" t="str">
        <f t="shared" si="14"/>
        <v/>
      </c>
      <c r="J153" s="1" t="str">
        <f t="shared" si="15"/>
        <v/>
      </c>
      <c r="K153" s="1" t="str">
        <f t="shared" si="16"/>
        <v/>
      </c>
      <c r="L153" s="1" t="str">
        <f t="shared" si="17"/>
        <v/>
      </c>
      <c r="M153" s="1" t="str">
        <f t="shared" si="18"/>
        <v/>
      </c>
      <c r="N153" s="1" t="str">
        <f>IF(ISNUMBER(行动模拟!F153),行动模拟!F153,"")</f>
        <v/>
      </c>
      <c r="O153" s="1" t="str">
        <f>IF(COUNT(行动模拟!G153:H153)=0,"",SUM(行动模拟!G153:H153))</f>
        <v/>
      </c>
      <c r="P153" s="1" t="str">
        <f>IF(H153="","",IF(G153="是",后台计算!DX147,IF(G153="否",后台计算!DW147,"")))</f>
        <v/>
      </c>
      <c r="Q153" s="1" t="str">
        <f>IF(H153="","",IF(G153="是",后台计算!BV147-后台计算!DX147,IF(G153="否",后台计算!BU147-后台计算!DW147,"")))</f>
        <v/>
      </c>
      <c r="R153" s="1" t="str">
        <f t="shared" si="19"/>
        <v/>
      </c>
      <c r="S153" s="1" t="str">
        <f t="shared" si="20"/>
        <v/>
      </c>
      <c r="T153" s="1" t="str">
        <f>IF(AND(后台计算!DH147="洞穿",O153&gt;0),IF(O153=ROUNDDOWN(N153*0.4,0),"实测附加=floor(主伤害×40%)；稳态来源待确认","实测附加关系需核对"),"")</f>
        <v/>
      </c>
      <c r="U153" s="1">
        <f>IF(D153="","",后台计算!EQ147)</f>
        <v>232</v>
      </c>
      <c r="V153" s="1">
        <f>IF(D153="","",后台计算!ER147)</f>
        <v>0.9</v>
      </c>
      <c r="W153" s="1">
        <f>IF(D153="","",后台计算!ES147)</f>
        <v>0.65</v>
      </c>
      <c r="X153" s="1" t="str">
        <f>IF(D153="","",IF(Boss参数!$B$60=1,"此前实测；缺失用预测","此前预测"))</f>
        <v>此前实测；缺失用预测</v>
      </c>
      <c r="Y153" s="1" t="str">
        <f>IF(H153="","",IF(H153&gt;Boss参数!$B$63*Boss参数!$B$62,"超过暂定合计上限",""))</f>
        <v/>
      </c>
    </row>
    <row r="154" spans="1:25" ht="38.1" customHeight="1">
      <c r="A154" s="1" t="str">
        <f>行动模拟!A154</f>
        <v/>
      </c>
      <c r="B154" s="1">
        <f>行动模拟!B154</f>
        <v>0</v>
      </c>
      <c r="C154" s="1">
        <f>行动模拟!C154</f>
        <v>0</v>
      </c>
      <c r="D154" s="1">
        <f>行动模拟!D154</f>
        <v>0</v>
      </c>
      <c r="E154" s="1" t="str">
        <f>行动模拟!O154</f>
        <v/>
      </c>
      <c r="F154" s="1" t="str">
        <f>行动模拟!P154</f>
        <v/>
      </c>
      <c r="G154" s="1" t="str">
        <f>IF(行动模拟!D154="","",行动模拟!E154)</f>
        <v/>
      </c>
      <c r="H154" s="1" t="str">
        <f>IF(COUNT(行动模拟!F154:H154)=0,"",SUM(行动模拟!F154:H154))</f>
        <v/>
      </c>
      <c r="I154" s="1" t="str">
        <f t="shared" si="14"/>
        <v/>
      </c>
      <c r="J154" s="1" t="str">
        <f t="shared" si="15"/>
        <v/>
      </c>
      <c r="K154" s="1" t="str">
        <f t="shared" si="16"/>
        <v/>
      </c>
      <c r="L154" s="1" t="str">
        <f t="shared" si="17"/>
        <v/>
      </c>
      <c r="M154" s="1" t="str">
        <f t="shared" si="18"/>
        <v/>
      </c>
      <c r="N154" s="1" t="str">
        <f>IF(ISNUMBER(行动模拟!F154),行动模拟!F154,"")</f>
        <v/>
      </c>
      <c r="O154" s="1" t="str">
        <f>IF(COUNT(行动模拟!G154:H154)=0,"",SUM(行动模拟!G154:H154))</f>
        <v/>
      </c>
      <c r="P154" s="1" t="str">
        <f>IF(H154="","",IF(G154="是",后台计算!DX148,IF(G154="否",后台计算!DW148,"")))</f>
        <v/>
      </c>
      <c r="Q154" s="1" t="str">
        <f>IF(H154="","",IF(G154="是",后台计算!BV148-后台计算!DX148,IF(G154="否",后台计算!BU148-后台计算!DW148,"")))</f>
        <v/>
      </c>
      <c r="R154" s="1" t="str">
        <f t="shared" si="19"/>
        <v/>
      </c>
      <c r="S154" s="1" t="str">
        <f t="shared" si="20"/>
        <v/>
      </c>
      <c r="T154" s="1" t="str">
        <f>IF(AND(后台计算!DH148="洞穿",O154&gt;0),IF(O154=ROUNDDOWN(N154*0.4,0),"实测附加=floor(主伤害×40%)；稳态来源待确认","实测附加关系需核对"),"")</f>
        <v/>
      </c>
      <c r="U154" s="1">
        <f>IF(D154="","",后台计算!EQ148)</f>
        <v>232</v>
      </c>
      <c r="V154" s="1">
        <f>IF(D154="","",后台计算!ER148)</f>
        <v>0.9</v>
      </c>
      <c r="W154" s="1">
        <f>IF(D154="","",后台计算!ES148)</f>
        <v>0.65</v>
      </c>
      <c r="X154" s="1" t="str">
        <f>IF(D154="","",IF(Boss参数!$B$60=1,"此前实测；缺失用预测","此前预测"))</f>
        <v>此前实测；缺失用预测</v>
      </c>
      <c r="Y154" s="1" t="str">
        <f>IF(H154="","",IF(H154&gt;Boss参数!$B$63*Boss参数!$B$62,"超过暂定合计上限",""))</f>
        <v/>
      </c>
    </row>
    <row r="155" spans="1:25" ht="38.1" customHeight="1">
      <c r="A155" s="1" t="str">
        <f>行动模拟!A155</f>
        <v/>
      </c>
      <c r="B155" s="1">
        <f>行动模拟!B155</f>
        <v>0</v>
      </c>
      <c r="C155" s="1">
        <f>行动模拟!C155</f>
        <v>0</v>
      </c>
      <c r="D155" s="1">
        <f>行动模拟!D155</f>
        <v>0</v>
      </c>
      <c r="E155" s="1" t="str">
        <f>行动模拟!O155</f>
        <v/>
      </c>
      <c r="F155" s="1" t="str">
        <f>行动模拟!P155</f>
        <v/>
      </c>
      <c r="G155" s="1" t="str">
        <f>IF(行动模拟!D155="","",行动模拟!E155)</f>
        <v/>
      </c>
      <c r="H155" s="1" t="str">
        <f>IF(COUNT(行动模拟!F155:H155)=0,"",SUM(行动模拟!F155:H155))</f>
        <v/>
      </c>
      <c r="I155" s="1" t="str">
        <f t="shared" si="14"/>
        <v/>
      </c>
      <c r="J155" s="1" t="str">
        <f t="shared" si="15"/>
        <v/>
      </c>
      <c r="K155" s="1" t="str">
        <f t="shared" si="16"/>
        <v/>
      </c>
      <c r="L155" s="1" t="str">
        <f t="shared" si="17"/>
        <v/>
      </c>
      <c r="M155" s="1" t="str">
        <f t="shared" si="18"/>
        <v/>
      </c>
      <c r="N155" s="1" t="str">
        <f>IF(ISNUMBER(行动模拟!F155),行动模拟!F155,"")</f>
        <v/>
      </c>
      <c r="O155" s="1" t="str">
        <f>IF(COUNT(行动模拟!G155:H155)=0,"",SUM(行动模拟!G155:H155))</f>
        <v/>
      </c>
      <c r="P155" s="1" t="str">
        <f>IF(H155="","",IF(G155="是",后台计算!DX149,IF(G155="否",后台计算!DW149,"")))</f>
        <v/>
      </c>
      <c r="Q155" s="1" t="str">
        <f>IF(H155="","",IF(G155="是",后台计算!BV149-后台计算!DX149,IF(G155="否",后台计算!BU149-后台计算!DW149,"")))</f>
        <v/>
      </c>
      <c r="R155" s="1" t="str">
        <f t="shared" si="19"/>
        <v/>
      </c>
      <c r="S155" s="1" t="str">
        <f t="shared" si="20"/>
        <v/>
      </c>
      <c r="T155" s="1" t="str">
        <f>IF(AND(后台计算!DH149="洞穿",O155&gt;0),IF(O155=ROUNDDOWN(N155*0.4,0),"实测附加=floor(主伤害×40%)；稳态来源待确认","实测附加关系需核对"),"")</f>
        <v/>
      </c>
      <c r="U155" s="1">
        <f>IF(D155="","",后台计算!EQ149)</f>
        <v>232</v>
      </c>
      <c r="V155" s="1">
        <f>IF(D155="","",后台计算!ER149)</f>
        <v>0.9</v>
      </c>
      <c r="W155" s="1">
        <f>IF(D155="","",后台计算!ES149)</f>
        <v>0.65</v>
      </c>
      <c r="X155" s="1" t="str">
        <f>IF(D155="","",IF(Boss参数!$B$60=1,"此前实测；缺失用预测","此前预测"))</f>
        <v>此前实测；缺失用预测</v>
      </c>
      <c r="Y155" s="1" t="str">
        <f>IF(H155="","",IF(H155&gt;Boss参数!$B$63*Boss参数!$B$62,"超过暂定合计上限",""))</f>
        <v/>
      </c>
    </row>
    <row r="156" spans="1:25" ht="38.1" customHeight="1">
      <c r="A156" s="1" t="str">
        <f>行动模拟!A156</f>
        <v/>
      </c>
      <c r="B156" s="1">
        <f>行动模拟!B156</f>
        <v>0</v>
      </c>
      <c r="C156" s="1">
        <f>行动模拟!C156</f>
        <v>0</v>
      </c>
      <c r="D156" s="1">
        <f>行动模拟!D156</f>
        <v>0</v>
      </c>
      <c r="E156" s="1" t="str">
        <f>行动模拟!O156</f>
        <v/>
      </c>
      <c r="F156" s="1" t="str">
        <f>行动模拟!P156</f>
        <v/>
      </c>
      <c r="G156" s="1" t="str">
        <f>IF(行动模拟!D156="","",行动模拟!E156)</f>
        <v/>
      </c>
      <c r="H156" s="1" t="str">
        <f>IF(COUNT(行动模拟!F156:H156)=0,"",SUM(行动模拟!F156:H156))</f>
        <v/>
      </c>
      <c r="I156" s="1" t="str">
        <f t="shared" si="14"/>
        <v/>
      </c>
      <c r="J156" s="1" t="str">
        <f t="shared" si="15"/>
        <v/>
      </c>
      <c r="K156" s="1" t="str">
        <f t="shared" si="16"/>
        <v/>
      </c>
      <c r="L156" s="1" t="str">
        <f t="shared" si="17"/>
        <v/>
      </c>
      <c r="M156" s="1" t="str">
        <f t="shared" si="18"/>
        <v/>
      </c>
      <c r="N156" s="1" t="str">
        <f>IF(ISNUMBER(行动模拟!F156),行动模拟!F156,"")</f>
        <v/>
      </c>
      <c r="O156" s="1" t="str">
        <f>IF(COUNT(行动模拟!G156:H156)=0,"",SUM(行动模拟!G156:H156))</f>
        <v/>
      </c>
      <c r="P156" s="1" t="str">
        <f>IF(H156="","",IF(G156="是",后台计算!DX150,IF(G156="否",后台计算!DW150,"")))</f>
        <v/>
      </c>
      <c r="Q156" s="1" t="str">
        <f>IF(H156="","",IF(G156="是",后台计算!BV150-后台计算!DX150,IF(G156="否",后台计算!BU150-后台计算!DW150,"")))</f>
        <v/>
      </c>
      <c r="R156" s="1" t="str">
        <f t="shared" si="19"/>
        <v/>
      </c>
      <c r="S156" s="1" t="str">
        <f t="shared" si="20"/>
        <v/>
      </c>
      <c r="T156" s="1" t="str">
        <f>IF(AND(后台计算!DH150="洞穿",O156&gt;0),IF(O156=ROUNDDOWN(N156*0.4,0),"实测附加=floor(主伤害×40%)；稳态来源待确认","实测附加关系需核对"),"")</f>
        <v/>
      </c>
      <c r="U156" s="1">
        <f>IF(D156="","",后台计算!EQ150)</f>
        <v>232</v>
      </c>
      <c r="V156" s="1">
        <f>IF(D156="","",后台计算!ER150)</f>
        <v>0.9</v>
      </c>
      <c r="W156" s="1">
        <f>IF(D156="","",后台计算!ES150)</f>
        <v>0.65</v>
      </c>
      <c r="X156" s="1" t="str">
        <f>IF(D156="","",IF(Boss参数!$B$60=1,"此前实测；缺失用预测","此前预测"))</f>
        <v>此前实测；缺失用预测</v>
      </c>
      <c r="Y156" s="1" t="str">
        <f>IF(H156="","",IF(H156&gt;Boss参数!$B$63*Boss参数!$B$62,"超过暂定合计上限",""))</f>
        <v/>
      </c>
    </row>
    <row r="157" spans="1:25" ht="38.1" customHeight="1">
      <c r="A157" s="1" t="str">
        <f>行动模拟!A157</f>
        <v/>
      </c>
      <c r="B157" s="1">
        <f>行动模拟!B157</f>
        <v>0</v>
      </c>
      <c r="C157" s="1">
        <f>行动模拟!C157</f>
        <v>0</v>
      </c>
      <c r="D157" s="1">
        <f>行动模拟!D157</f>
        <v>0</v>
      </c>
      <c r="E157" s="1" t="str">
        <f>行动模拟!O157</f>
        <v/>
      </c>
      <c r="F157" s="1" t="str">
        <f>行动模拟!P157</f>
        <v/>
      </c>
      <c r="G157" s="1" t="str">
        <f>IF(行动模拟!D157="","",行动模拟!E157)</f>
        <v/>
      </c>
      <c r="H157" s="1" t="str">
        <f>IF(COUNT(行动模拟!F157:H157)=0,"",SUM(行动模拟!F157:H157))</f>
        <v/>
      </c>
      <c r="I157" s="1" t="str">
        <f t="shared" si="14"/>
        <v/>
      </c>
      <c r="J157" s="1" t="str">
        <f t="shared" si="15"/>
        <v/>
      </c>
      <c r="K157" s="1" t="str">
        <f t="shared" si="16"/>
        <v/>
      </c>
      <c r="L157" s="1" t="str">
        <f t="shared" si="17"/>
        <v/>
      </c>
      <c r="M157" s="1" t="str">
        <f t="shared" si="18"/>
        <v/>
      </c>
      <c r="N157" s="1" t="str">
        <f>IF(ISNUMBER(行动模拟!F157),行动模拟!F157,"")</f>
        <v/>
      </c>
      <c r="O157" s="1" t="str">
        <f>IF(COUNT(行动模拟!G157:H157)=0,"",SUM(行动模拟!G157:H157))</f>
        <v/>
      </c>
      <c r="P157" s="1" t="str">
        <f>IF(H157="","",IF(G157="是",后台计算!DX151,IF(G157="否",后台计算!DW151,"")))</f>
        <v/>
      </c>
      <c r="Q157" s="1" t="str">
        <f>IF(H157="","",IF(G157="是",后台计算!BV151-后台计算!DX151,IF(G157="否",后台计算!BU151-后台计算!DW151,"")))</f>
        <v/>
      </c>
      <c r="R157" s="1" t="str">
        <f t="shared" si="19"/>
        <v/>
      </c>
      <c r="S157" s="1" t="str">
        <f t="shared" si="20"/>
        <v/>
      </c>
      <c r="T157" s="1" t="str">
        <f>IF(AND(后台计算!DH151="洞穿",O157&gt;0),IF(O157=ROUNDDOWN(N157*0.4,0),"实测附加=floor(主伤害×40%)；稳态来源待确认","实测附加关系需核对"),"")</f>
        <v/>
      </c>
      <c r="U157" s="1">
        <f>IF(D157="","",后台计算!EQ151)</f>
        <v>232</v>
      </c>
      <c r="V157" s="1">
        <f>IF(D157="","",后台计算!ER151)</f>
        <v>0.9</v>
      </c>
      <c r="W157" s="1">
        <f>IF(D157="","",后台计算!ES151)</f>
        <v>0.65</v>
      </c>
      <c r="X157" s="1" t="str">
        <f>IF(D157="","",IF(Boss参数!$B$60=1,"此前实测；缺失用预测","此前预测"))</f>
        <v>此前实测；缺失用预测</v>
      </c>
      <c r="Y157" s="1" t="str">
        <f>IF(H157="","",IF(H157&gt;Boss参数!$B$63*Boss参数!$B$62,"超过暂定合计上限",""))</f>
        <v/>
      </c>
    </row>
    <row r="158" spans="1:25" ht="38.1" customHeight="1">
      <c r="A158" s="1" t="str">
        <f>行动模拟!A158</f>
        <v/>
      </c>
      <c r="B158" s="1">
        <f>行动模拟!B158</f>
        <v>0</v>
      </c>
      <c r="C158" s="1">
        <f>行动模拟!C158</f>
        <v>0</v>
      </c>
      <c r="D158" s="1">
        <f>行动模拟!D158</f>
        <v>0</v>
      </c>
      <c r="E158" s="1" t="str">
        <f>行动模拟!O158</f>
        <v/>
      </c>
      <c r="F158" s="1" t="str">
        <f>行动模拟!P158</f>
        <v/>
      </c>
      <c r="G158" s="1" t="str">
        <f>IF(行动模拟!D158="","",行动模拟!E158)</f>
        <v/>
      </c>
      <c r="H158" s="1" t="str">
        <f>IF(COUNT(行动模拟!F158:H158)=0,"",SUM(行动模拟!F158:H158))</f>
        <v/>
      </c>
      <c r="I158" s="1" t="str">
        <f t="shared" si="14"/>
        <v/>
      </c>
      <c r="J158" s="1" t="str">
        <f t="shared" si="15"/>
        <v/>
      </c>
      <c r="K158" s="1" t="str">
        <f t="shared" si="16"/>
        <v/>
      </c>
      <c r="L158" s="1" t="str">
        <f t="shared" si="17"/>
        <v/>
      </c>
      <c r="M158" s="1" t="str">
        <f t="shared" si="18"/>
        <v/>
      </c>
      <c r="N158" s="1" t="str">
        <f>IF(ISNUMBER(行动模拟!F158),行动模拟!F158,"")</f>
        <v/>
      </c>
      <c r="O158" s="1" t="str">
        <f>IF(COUNT(行动模拟!G158:H158)=0,"",SUM(行动模拟!G158:H158))</f>
        <v/>
      </c>
      <c r="P158" s="1" t="str">
        <f>IF(H158="","",IF(G158="是",后台计算!DX152,IF(G158="否",后台计算!DW152,"")))</f>
        <v/>
      </c>
      <c r="Q158" s="1" t="str">
        <f>IF(H158="","",IF(G158="是",后台计算!BV152-后台计算!DX152,IF(G158="否",后台计算!BU152-后台计算!DW152,"")))</f>
        <v/>
      </c>
      <c r="R158" s="1" t="str">
        <f t="shared" si="19"/>
        <v/>
      </c>
      <c r="S158" s="1" t="str">
        <f t="shared" si="20"/>
        <v/>
      </c>
      <c r="T158" s="1" t="str">
        <f>IF(AND(后台计算!DH152="洞穿",O158&gt;0),IF(O158=ROUNDDOWN(N158*0.4,0),"实测附加=floor(主伤害×40%)；稳态来源待确认","实测附加关系需核对"),"")</f>
        <v/>
      </c>
      <c r="U158" s="1">
        <f>IF(D158="","",后台计算!EQ152)</f>
        <v>232</v>
      </c>
      <c r="V158" s="1">
        <f>IF(D158="","",后台计算!ER152)</f>
        <v>0.9</v>
      </c>
      <c r="W158" s="1">
        <f>IF(D158="","",后台计算!ES152)</f>
        <v>0.65</v>
      </c>
      <c r="X158" s="1" t="str">
        <f>IF(D158="","",IF(Boss参数!$B$60=1,"此前实测；缺失用预测","此前预测"))</f>
        <v>此前实测；缺失用预测</v>
      </c>
      <c r="Y158" s="1" t="str">
        <f>IF(H158="","",IF(H158&gt;Boss参数!$B$63*Boss参数!$B$62,"超过暂定合计上限",""))</f>
        <v/>
      </c>
    </row>
    <row r="159" spans="1:25" ht="38.1" customHeight="1">
      <c r="A159" s="1" t="str">
        <f>行动模拟!A159</f>
        <v/>
      </c>
      <c r="B159" s="1">
        <f>行动模拟!B159</f>
        <v>0</v>
      </c>
      <c r="C159" s="1">
        <f>行动模拟!C159</f>
        <v>0</v>
      </c>
      <c r="D159" s="1">
        <f>行动模拟!D159</f>
        <v>0</v>
      </c>
      <c r="E159" s="1" t="str">
        <f>行动模拟!O159</f>
        <v/>
      </c>
      <c r="F159" s="1" t="str">
        <f>行动模拟!P159</f>
        <v/>
      </c>
      <c r="G159" s="1" t="str">
        <f>IF(行动模拟!D159="","",行动模拟!E159)</f>
        <v/>
      </c>
      <c r="H159" s="1" t="str">
        <f>IF(COUNT(行动模拟!F159:H159)=0,"",SUM(行动模拟!F159:H159))</f>
        <v/>
      </c>
      <c r="I159" s="1" t="str">
        <f t="shared" si="14"/>
        <v/>
      </c>
      <c r="J159" s="1" t="str">
        <f t="shared" si="15"/>
        <v/>
      </c>
      <c r="K159" s="1" t="str">
        <f t="shared" si="16"/>
        <v/>
      </c>
      <c r="L159" s="1" t="str">
        <f t="shared" si="17"/>
        <v/>
      </c>
      <c r="M159" s="1" t="str">
        <f t="shared" si="18"/>
        <v/>
      </c>
      <c r="N159" s="1" t="str">
        <f>IF(ISNUMBER(行动模拟!F159),行动模拟!F159,"")</f>
        <v/>
      </c>
      <c r="O159" s="1" t="str">
        <f>IF(COUNT(行动模拟!G159:H159)=0,"",SUM(行动模拟!G159:H159))</f>
        <v/>
      </c>
      <c r="P159" s="1" t="str">
        <f>IF(H159="","",IF(G159="是",后台计算!DX153,IF(G159="否",后台计算!DW153,"")))</f>
        <v/>
      </c>
      <c r="Q159" s="1" t="str">
        <f>IF(H159="","",IF(G159="是",后台计算!BV153-后台计算!DX153,IF(G159="否",后台计算!BU153-后台计算!DW153,"")))</f>
        <v/>
      </c>
      <c r="R159" s="1" t="str">
        <f t="shared" si="19"/>
        <v/>
      </c>
      <c r="S159" s="1" t="str">
        <f t="shared" si="20"/>
        <v/>
      </c>
      <c r="T159" s="1" t="str">
        <f>IF(AND(后台计算!DH153="洞穿",O159&gt;0),IF(O159=ROUNDDOWN(N159*0.4,0),"实测附加=floor(主伤害×40%)；稳态来源待确认","实测附加关系需核对"),"")</f>
        <v/>
      </c>
      <c r="U159" s="1">
        <f>IF(D159="","",后台计算!EQ153)</f>
        <v>232</v>
      </c>
      <c r="V159" s="1">
        <f>IF(D159="","",后台计算!ER153)</f>
        <v>0.9</v>
      </c>
      <c r="W159" s="1">
        <f>IF(D159="","",后台计算!ES153)</f>
        <v>0.65</v>
      </c>
      <c r="X159" s="1" t="str">
        <f>IF(D159="","",IF(Boss参数!$B$60=1,"此前实测；缺失用预测","此前预测"))</f>
        <v>此前实测；缺失用预测</v>
      </c>
      <c r="Y159" s="1" t="str">
        <f>IF(H159="","",IF(H159&gt;Boss参数!$B$63*Boss参数!$B$62,"超过暂定合计上限",""))</f>
        <v/>
      </c>
    </row>
    <row r="160" spans="1:25" ht="38.1" customHeight="1">
      <c r="A160" s="1" t="str">
        <f>行动模拟!A160</f>
        <v/>
      </c>
      <c r="B160" s="1">
        <f>行动模拟!B160</f>
        <v>0</v>
      </c>
      <c r="C160" s="1">
        <f>行动模拟!C160</f>
        <v>0</v>
      </c>
      <c r="D160" s="1">
        <f>行动模拟!D160</f>
        <v>0</v>
      </c>
      <c r="E160" s="1" t="str">
        <f>行动模拟!O160</f>
        <v/>
      </c>
      <c r="F160" s="1" t="str">
        <f>行动模拟!P160</f>
        <v/>
      </c>
      <c r="G160" s="1" t="str">
        <f>IF(行动模拟!D160="","",行动模拟!E160)</f>
        <v/>
      </c>
      <c r="H160" s="1" t="str">
        <f>IF(COUNT(行动模拟!F160:H160)=0,"",SUM(行动模拟!F160:H160))</f>
        <v/>
      </c>
      <c r="I160" s="1" t="str">
        <f t="shared" si="14"/>
        <v/>
      </c>
      <c r="J160" s="1" t="str">
        <f t="shared" si="15"/>
        <v/>
      </c>
      <c r="K160" s="1" t="str">
        <f t="shared" si="16"/>
        <v/>
      </c>
      <c r="L160" s="1" t="str">
        <f t="shared" si="17"/>
        <v/>
      </c>
      <c r="M160" s="1" t="str">
        <f t="shared" si="18"/>
        <v/>
      </c>
      <c r="N160" s="1" t="str">
        <f>IF(ISNUMBER(行动模拟!F160),行动模拟!F160,"")</f>
        <v/>
      </c>
      <c r="O160" s="1" t="str">
        <f>IF(COUNT(行动模拟!G160:H160)=0,"",SUM(行动模拟!G160:H160))</f>
        <v/>
      </c>
      <c r="P160" s="1" t="str">
        <f>IF(H160="","",IF(G160="是",后台计算!DX154,IF(G160="否",后台计算!DW154,"")))</f>
        <v/>
      </c>
      <c r="Q160" s="1" t="str">
        <f>IF(H160="","",IF(G160="是",后台计算!BV154-后台计算!DX154,IF(G160="否",后台计算!BU154-后台计算!DW154,"")))</f>
        <v/>
      </c>
      <c r="R160" s="1" t="str">
        <f t="shared" si="19"/>
        <v/>
      </c>
      <c r="S160" s="1" t="str">
        <f t="shared" si="20"/>
        <v/>
      </c>
      <c r="T160" s="1" t="str">
        <f>IF(AND(后台计算!DH154="洞穿",O160&gt;0),IF(O160=ROUNDDOWN(N160*0.4,0),"实测附加=floor(主伤害×40%)；稳态来源待确认","实测附加关系需核对"),"")</f>
        <v/>
      </c>
      <c r="U160" s="1">
        <f>IF(D160="","",后台计算!EQ154)</f>
        <v>232</v>
      </c>
      <c r="V160" s="1">
        <f>IF(D160="","",后台计算!ER154)</f>
        <v>0.9</v>
      </c>
      <c r="W160" s="1">
        <f>IF(D160="","",后台计算!ES154)</f>
        <v>0.65</v>
      </c>
      <c r="X160" s="1" t="str">
        <f>IF(D160="","",IF(Boss参数!$B$60=1,"此前实测；缺失用预测","此前预测"))</f>
        <v>此前实测；缺失用预测</v>
      </c>
      <c r="Y160" s="1" t="str">
        <f>IF(H160="","",IF(H160&gt;Boss参数!$B$63*Boss参数!$B$62,"超过暂定合计上限",""))</f>
        <v/>
      </c>
    </row>
    <row r="161" spans="1:25" ht="38.1" customHeight="1">
      <c r="A161" s="1" t="str">
        <f>行动模拟!A161</f>
        <v/>
      </c>
      <c r="B161" s="1">
        <f>行动模拟!B161</f>
        <v>0</v>
      </c>
      <c r="C161" s="1">
        <f>行动模拟!C161</f>
        <v>0</v>
      </c>
      <c r="D161" s="1">
        <f>行动模拟!D161</f>
        <v>0</v>
      </c>
      <c r="E161" s="1" t="str">
        <f>行动模拟!O161</f>
        <v/>
      </c>
      <c r="F161" s="1" t="str">
        <f>行动模拟!P161</f>
        <v/>
      </c>
      <c r="G161" s="1" t="str">
        <f>IF(行动模拟!D161="","",行动模拟!E161)</f>
        <v/>
      </c>
      <c r="H161" s="1" t="str">
        <f>IF(COUNT(行动模拟!F161:H161)=0,"",SUM(行动模拟!F161:H161))</f>
        <v/>
      </c>
      <c r="I161" s="1" t="str">
        <f t="shared" si="14"/>
        <v/>
      </c>
      <c r="J161" s="1" t="str">
        <f t="shared" si="15"/>
        <v/>
      </c>
      <c r="K161" s="1" t="str">
        <f t="shared" si="16"/>
        <v/>
      </c>
      <c r="L161" s="1" t="str">
        <f t="shared" si="17"/>
        <v/>
      </c>
      <c r="M161" s="1" t="str">
        <f t="shared" si="18"/>
        <v/>
      </c>
      <c r="N161" s="1" t="str">
        <f>IF(ISNUMBER(行动模拟!F161),行动模拟!F161,"")</f>
        <v/>
      </c>
      <c r="O161" s="1" t="str">
        <f>IF(COUNT(行动模拟!G161:H161)=0,"",SUM(行动模拟!G161:H161))</f>
        <v/>
      </c>
      <c r="P161" s="1" t="str">
        <f>IF(H161="","",IF(G161="是",后台计算!DX155,IF(G161="否",后台计算!DW155,"")))</f>
        <v/>
      </c>
      <c r="Q161" s="1" t="str">
        <f>IF(H161="","",IF(G161="是",后台计算!BV155-后台计算!DX155,IF(G161="否",后台计算!BU155-后台计算!DW155,"")))</f>
        <v/>
      </c>
      <c r="R161" s="1" t="str">
        <f t="shared" si="19"/>
        <v/>
      </c>
      <c r="S161" s="1" t="str">
        <f t="shared" si="20"/>
        <v/>
      </c>
      <c r="T161" s="1" t="str">
        <f>IF(AND(后台计算!DH155="洞穿",O161&gt;0),IF(O161=ROUNDDOWN(N161*0.4,0),"实测附加=floor(主伤害×40%)；稳态来源待确认","实测附加关系需核对"),"")</f>
        <v/>
      </c>
      <c r="U161" s="1">
        <f>IF(D161="","",后台计算!EQ155)</f>
        <v>232</v>
      </c>
      <c r="V161" s="1">
        <f>IF(D161="","",后台计算!ER155)</f>
        <v>0.9</v>
      </c>
      <c r="W161" s="1">
        <f>IF(D161="","",后台计算!ES155)</f>
        <v>0.65</v>
      </c>
      <c r="X161" s="1" t="str">
        <f>IF(D161="","",IF(Boss参数!$B$60=1,"此前实测；缺失用预测","此前预测"))</f>
        <v>此前实测；缺失用预测</v>
      </c>
      <c r="Y161" s="1" t="str">
        <f>IF(H161="","",IF(H161&gt;Boss参数!$B$63*Boss参数!$B$62,"超过暂定合计上限",""))</f>
        <v/>
      </c>
    </row>
    <row r="162" spans="1:25" ht="38.1" customHeight="1">
      <c r="A162" s="1" t="str">
        <f>行动模拟!A162</f>
        <v/>
      </c>
      <c r="B162" s="1">
        <f>行动模拟!B162</f>
        <v>0</v>
      </c>
      <c r="C162" s="1">
        <f>行动模拟!C162</f>
        <v>0</v>
      </c>
      <c r="D162" s="1">
        <f>行动模拟!D162</f>
        <v>0</v>
      </c>
      <c r="E162" s="1" t="str">
        <f>行动模拟!O162</f>
        <v/>
      </c>
      <c r="F162" s="1" t="str">
        <f>行动模拟!P162</f>
        <v/>
      </c>
      <c r="G162" s="1" t="str">
        <f>IF(行动模拟!D162="","",行动模拟!E162)</f>
        <v/>
      </c>
      <c r="H162" s="1" t="str">
        <f>IF(COUNT(行动模拟!F162:H162)=0,"",SUM(行动模拟!F162:H162))</f>
        <v/>
      </c>
      <c r="I162" s="1" t="str">
        <f t="shared" si="14"/>
        <v/>
      </c>
      <c r="J162" s="1" t="str">
        <f t="shared" si="15"/>
        <v/>
      </c>
      <c r="K162" s="1" t="str">
        <f t="shared" si="16"/>
        <v/>
      </c>
      <c r="L162" s="1" t="str">
        <f t="shared" si="17"/>
        <v/>
      </c>
      <c r="M162" s="1" t="str">
        <f t="shared" si="18"/>
        <v/>
      </c>
      <c r="N162" s="1" t="str">
        <f>IF(ISNUMBER(行动模拟!F162),行动模拟!F162,"")</f>
        <v/>
      </c>
      <c r="O162" s="1" t="str">
        <f>IF(COUNT(行动模拟!G162:H162)=0,"",SUM(行动模拟!G162:H162))</f>
        <v/>
      </c>
      <c r="P162" s="1" t="str">
        <f>IF(H162="","",IF(G162="是",后台计算!DX156,IF(G162="否",后台计算!DW156,"")))</f>
        <v/>
      </c>
      <c r="Q162" s="1" t="str">
        <f>IF(H162="","",IF(G162="是",后台计算!BV156-后台计算!DX156,IF(G162="否",后台计算!BU156-后台计算!DW156,"")))</f>
        <v/>
      </c>
      <c r="R162" s="1" t="str">
        <f t="shared" si="19"/>
        <v/>
      </c>
      <c r="S162" s="1" t="str">
        <f t="shared" si="20"/>
        <v/>
      </c>
      <c r="T162" s="1" t="str">
        <f>IF(AND(后台计算!DH156="洞穿",O162&gt;0),IF(O162=ROUNDDOWN(N162*0.4,0),"实测附加=floor(主伤害×40%)；稳态来源待确认","实测附加关系需核对"),"")</f>
        <v/>
      </c>
      <c r="U162" s="1">
        <f>IF(D162="","",后台计算!EQ156)</f>
        <v>232</v>
      </c>
      <c r="V162" s="1">
        <f>IF(D162="","",后台计算!ER156)</f>
        <v>0.9</v>
      </c>
      <c r="W162" s="1">
        <f>IF(D162="","",后台计算!ES156)</f>
        <v>0.65</v>
      </c>
      <c r="X162" s="1" t="str">
        <f>IF(D162="","",IF(Boss参数!$B$60=1,"此前实测；缺失用预测","此前预测"))</f>
        <v>此前实测；缺失用预测</v>
      </c>
      <c r="Y162" s="1" t="str">
        <f>IF(H162="","",IF(H162&gt;Boss参数!$B$63*Boss参数!$B$62,"超过暂定合计上限",""))</f>
        <v/>
      </c>
    </row>
    <row r="163" spans="1:25" ht="38.1" customHeight="1">
      <c r="A163" s="1" t="str">
        <f>行动模拟!A163</f>
        <v/>
      </c>
      <c r="B163" s="1">
        <f>行动模拟!B163</f>
        <v>0</v>
      </c>
      <c r="C163" s="1">
        <f>行动模拟!C163</f>
        <v>0</v>
      </c>
      <c r="D163" s="1">
        <f>行动模拟!D163</f>
        <v>0</v>
      </c>
      <c r="E163" s="1" t="str">
        <f>行动模拟!O163</f>
        <v/>
      </c>
      <c r="F163" s="1" t="str">
        <f>行动模拟!P163</f>
        <v/>
      </c>
      <c r="G163" s="1" t="str">
        <f>IF(行动模拟!D163="","",行动模拟!E163)</f>
        <v/>
      </c>
      <c r="H163" s="1" t="str">
        <f>IF(COUNT(行动模拟!F163:H163)=0,"",SUM(行动模拟!F163:H163))</f>
        <v/>
      </c>
      <c r="I163" s="1" t="str">
        <f t="shared" si="14"/>
        <v/>
      </c>
      <c r="J163" s="1" t="str">
        <f t="shared" si="15"/>
        <v/>
      </c>
      <c r="K163" s="1" t="str">
        <f t="shared" si="16"/>
        <v/>
      </c>
      <c r="L163" s="1" t="str">
        <f t="shared" si="17"/>
        <v/>
      </c>
      <c r="M163" s="1" t="str">
        <f t="shared" si="18"/>
        <v/>
      </c>
      <c r="N163" s="1" t="str">
        <f>IF(ISNUMBER(行动模拟!F163),行动模拟!F163,"")</f>
        <v/>
      </c>
      <c r="O163" s="1" t="str">
        <f>IF(COUNT(行动模拟!G163:H163)=0,"",SUM(行动模拟!G163:H163))</f>
        <v/>
      </c>
      <c r="P163" s="1" t="str">
        <f>IF(H163="","",IF(G163="是",后台计算!DX157,IF(G163="否",后台计算!DW157,"")))</f>
        <v/>
      </c>
      <c r="Q163" s="1" t="str">
        <f>IF(H163="","",IF(G163="是",后台计算!BV157-后台计算!DX157,IF(G163="否",后台计算!BU157-后台计算!DW157,"")))</f>
        <v/>
      </c>
      <c r="R163" s="1" t="str">
        <f t="shared" si="19"/>
        <v/>
      </c>
      <c r="S163" s="1" t="str">
        <f t="shared" si="20"/>
        <v/>
      </c>
      <c r="T163" s="1" t="str">
        <f>IF(AND(后台计算!DH157="洞穿",O163&gt;0),IF(O163=ROUNDDOWN(N163*0.4,0),"实测附加=floor(主伤害×40%)；稳态来源待确认","实测附加关系需核对"),"")</f>
        <v/>
      </c>
      <c r="U163" s="1">
        <f>IF(D163="","",后台计算!EQ157)</f>
        <v>232</v>
      </c>
      <c r="V163" s="1">
        <f>IF(D163="","",后台计算!ER157)</f>
        <v>0.9</v>
      </c>
      <c r="W163" s="1">
        <f>IF(D163="","",后台计算!ES157)</f>
        <v>0.65</v>
      </c>
      <c r="X163" s="1" t="str">
        <f>IF(D163="","",IF(Boss参数!$B$60=1,"此前实测；缺失用预测","此前预测"))</f>
        <v>此前实测；缺失用预测</v>
      </c>
      <c r="Y163" s="1" t="str">
        <f>IF(H163="","",IF(H163&gt;Boss参数!$B$63*Boss参数!$B$62,"超过暂定合计上限",""))</f>
        <v/>
      </c>
    </row>
    <row r="164" spans="1:25" ht="38.1" customHeight="1">
      <c r="A164" s="1" t="str">
        <f>行动模拟!A164</f>
        <v/>
      </c>
      <c r="B164" s="1">
        <f>行动模拟!B164</f>
        <v>0</v>
      </c>
      <c r="C164" s="1">
        <f>行动模拟!C164</f>
        <v>0</v>
      </c>
      <c r="D164" s="1">
        <f>行动模拟!D164</f>
        <v>0</v>
      </c>
      <c r="E164" s="1" t="str">
        <f>行动模拟!O164</f>
        <v/>
      </c>
      <c r="F164" s="1" t="str">
        <f>行动模拟!P164</f>
        <v/>
      </c>
      <c r="G164" s="1" t="str">
        <f>IF(行动模拟!D164="","",行动模拟!E164)</f>
        <v/>
      </c>
      <c r="H164" s="1" t="str">
        <f>IF(COUNT(行动模拟!F164:H164)=0,"",SUM(行动模拟!F164:H164))</f>
        <v/>
      </c>
      <c r="I164" s="1" t="str">
        <f t="shared" si="14"/>
        <v/>
      </c>
      <c r="J164" s="1" t="str">
        <f t="shared" si="15"/>
        <v/>
      </c>
      <c r="K164" s="1" t="str">
        <f t="shared" si="16"/>
        <v/>
      </c>
      <c r="L164" s="1" t="str">
        <f t="shared" si="17"/>
        <v/>
      </c>
      <c r="M164" s="1" t="str">
        <f t="shared" si="18"/>
        <v/>
      </c>
      <c r="N164" s="1" t="str">
        <f>IF(ISNUMBER(行动模拟!F164),行动模拟!F164,"")</f>
        <v/>
      </c>
      <c r="O164" s="1" t="str">
        <f>IF(COUNT(行动模拟!G164:H164)=0,"",SUM(行动模拟!G164:H164))</f>
        <v/>
      </c>
      <c r="P164" s="1" t="str">
        <f>IF(H164="","",IF(G164="是",后台计算!DX158,IF(G164="否",后台计算!DW158,"")))</f>
        <v/>
      </c>
      <c r="Q164" s="1" t="str">
        <f>IF(H164="","",IF(G164="是",后台计算!BV158-后台计算!DX158,IF(G164="否",后台计算!BU158-后台计算!DW158,"")))</f>
        <v/>
      </c>
      <c r="R164" s="1" t="str">
        <f t="shared" si="19"/>
        <v/>
      </c>
      <c r="S164" s="1" t="str">
        <f t="shared" si="20"/>
        <v/>
      </c>
      <c r="T164" s="1" t="str">
        <f>IF(AND(后台计算!DH158="洞穿",O164&gt;0),IF(O164=ROUNDDOWN(N164*0.4,0),"实测附加=floor(主伤害×40%)；稳态来源待确认","实测附加关系需核对"),"")</f>
        <v/>
      </c>
      <c r="U164" s="1">
        <f>IF(D164="","",后台计算!EQ158)</f>
        <v>232</v>
      </c>
      <c r="V164" s="1">
        <f>IF(D164="","",后台计算!ER158)</f>
        <v>0.9</v>
      </c>
      <c r="W164" s="1">
        <f>IF(D164="","",后台计算!ES158)</f>
        <v>0.65</v>
      </c>
      <c r="X164" s="1" t="str">
        <f>IF(D164="","",IF(Boss参数!$B$60=1,"此前实测；缺失用预测","此前预测"))</f>
        <v>此前实测；缺失用预测</v>
      </c>
      <c r="Y164" s="1" t="str">
        <f>IF(H164="","",IF(H164&gt;Boss参数!$B$63*Boss参数!$B$62,"超过暂定合计上限",""))</f>
        <v/>
      </c>
    </row>
    <row r="165" spans="1:25" ht="38.1" customHeight="1">
      <c r="A165" s="1" t="str">
        <f>行动模拟!A165</f>
        <v/>
      </c>
      <c r="B165" s="1">
        <f>行动模拟!B165</f>
        <v>0</v>
      </c>
      <c r="C165" s="1">
        <f>行动模拟!C165</f>
        <v>0</v>
      </c>
      <c r="D165" s="1">
        <f>行动模拟!D165</f>
        <v>0</v>
      </c>
      <c r="E165" s="1" t="str">
        <f>行动模拟!O165</f>
        <v/>
      </c>
      <c r="F165" s="1" t="str">
        <f>行动模拟!P165</f>
        <v/>
      </c>
      <c r="G165" s="1" t="str">
        <f>IF(行动模拟!D165="","",行动模拟!E165)</f>
        <v/>
      </c>
      <c r="H165" s="1" t="str">
        <f>IF(COUNT(行动模拟!F165:H165)=0,"",SUM(行动模拟!F165:H165))</f>
        <v/>
      </c>
      <c r="I165" s="1" t="str">
        <f t="shared" si="14"/>
        <v/>
      </c>
      <c r="J165" s="1" t="str">
        <f t="shared" si="15"/>
        <v/>
      </c>
      <c r="K165" s="1" t="str">
        <f t="shared" si="16"/>
        <v/>
      </c>
      <c r="L165" s="1" t="str">
        <f t="shared" si="17"/>
        <v/>
      </c>
      <c r="M165" s="1" t="str">
        <f t="shared" si="18"/>
        <v/>
      </c>
      <c r="N165" s="1" t="str">
        <f>IF(ISNUMBER(行动模拟!F165),行动模拟!F165,"")</f>
        <v/>
      </c>
      <c r="O165" s="1" t="str">
        <f>IF(COUNT(行动模拟!G165:H165)=0,"",SUM(行动模拟!G165:H165))</f>
        <v/>
      </c>
      <c r="P165" s="1" t="str">
        <f>IF(H165="","",IF(G165="是",后台计算!DX159,IF(G165="否",后台计算!DW159,"")))</f>
        <v/>
      </c>
      <c r="Q165" s="1" t="str">
        <f>IF(H165="","",IF(G165="是",后台计算!BV159-后台计算!DX159,IF(G165="否",后台计算!BU159-后台计算!DW159,"")))</f>
        <v/>
      </c>
      <c r="R165" s="1" t="str">
        <f t="shared" si="19"/>
        <v/>
      </c>
      <c r="S165" s="1" t="str">
        <f t="shared" si="20"/>
        <v/>
      </c>
      <c r="T165" s="1" t="str">
        <f>IF(AND(后台计算!DH159="洞穿",O165&gt;0),IF(O165=ROUNDDOWN(N165*0.4,0),"实测附加=floor(主伤害×40%)；稳态来源待确认","实测附加关系需核对"),"")</f>
        <v/>
      </c>
      <c r="U165" s="1">
        <f>IF(D165="","",后台计算!EQ159)</f>
        <v>232</v>
      </c>
      <c r="V165" s="1">
        <f>IF(D165="","",后台计算!ER159)</f>
        <v>0.9</v>
      </c>
      <c r="W165" s="1">
        <f>IF(D165="","",后台计算!ES159)</f>
        <v>0.65</v>
      </c>
      <c r="X165" s="1" t="str">
        <f>IF(D165="","",IF(Boss参数!$B$60=1,"此前实测；缺失用预测","此前预测"))</f>
        <v>此前实测；缺失用预测</v>
      </c>
      <c r="Y165" s="1" t="str">
        <f>IF(H165="","",IF(H165&gt;Boss参数!$B$63*Boss参数!$B$62,"超过暂定合计上限",""))</f>
        <v/>
      </c>
    </row>
    <row r="166" spans="1:25" ht="38.1" customHeight="1">
      <c r="A166" s="1" t="str">
        <f>行动模拟!A166</f>
        <v/>
      </c>
      <c r="B166" s="1">
        <f>行动模拟!B166</f>
        <v>0</v>
      </c>
      <c r="C166" s="1">
        <f>行动模拟!C166</f>
        <v>0</v>
      </c>
      <c r="D166" s="1">
        <f>行动模拟!D166</f>
        <v>0</v>
      </c>
      <c r="E166" s="1" t="str">
        <f>行动模拟!O166</f>
        <v/>
      </c>
      <c r="F166" s="1" t="str">
        <f>行动模拟!P166</f>
        <v/>
      </c>
      <c r="G166" s="1" t="str">
        <f>IF(行动模拟!D166="","",行动模拟!E166)</f>
        <v/>
      </c>
      <c r="H166" s="1" t="str">
        <f>IF(COUNT(行动模拟!F166:H166)=0,"",SUM(行动模拟!F166:H166))</f>
        <v/>
      </c>
      <c r="I166" s="1" t="str">
        <f t="shared" si="14"/>
        <v/>
      </c>
      <c r="J166" s="1" t="str">
        <f t="shared" si="15"/>
        <v/>
      </c>
      <c r="K166" s="1" t="str">
        <f t="shared" si="16"/>
        <v/>
      </c>
      <c r="L166" s="1" t="str">
        <f t="shared" si="17"/>
        <v/>
      </c>
      <c r="M166" s="1" t="str">
        <f t="shared" si="18"/>
        <v/>
      </c>
      <c r="N166" s="1" t="str">
        <f>IF(ISNUMBER(行动模拟!F166),行动模拟!F166,"")</f>
        <v/>
      </c>
      <c r="O166" s="1" t="str">
        <f>IF(COUNT(行动模拟!G166:H166)=0,"",SUM(行动模拟!G166:H166))</f>
        <v/>
      </c>
      <c r="P166" s="1" t="str">
        <f>IF(H166="","",IF(G166="是",后台计算!DX160,IF(G166="否",后台计算!DW160,"")))</f>
        <v/>
      </c>
      <c r="Q166" s="1" t="str">
        <f>IF(H166="","",IF(G166="是",后台计算!BV160-后台计算!DX160,IF(G166="否",后台计算!BU160-后台计算!DW160,"")))</f>
        <v/>
      </c>
      <c r="R166" s="1" t="str">
        <f t="shared" si="19"/>
        <v/>
      </c>
      <c r="S166" s="1" t="str">
        <f t="shared" si="20"/>
        <v/>
      </c>
      <c r="T166" s="1" t="str">
        <f>IF(AND(后台计算!DH160="洞穿",O166&gt;0),IF(O166=ROUNDDOWN(N166*0.4,0),"实测附加=floor(主伤害×40%)；稳态来源待确认","实测附加关系需核对"),"")</f>
        <v/>
      </c>
      <c r="U166" s="1">
        <f>IF(D166="","",后台计算!EQ160)</f>
        <v>232</v>
      </c>
      <c r="V166" s="1">
        <f>IF(D166="","",后台计算!ER160)</f>
        <v>0.9</v>
      </c>
      <c r="W166" s="1">
        <f>IF(D166="","",后台计算!ES160)</f>
        <v>0.65</v>
      </c>
      <c r="X166" s="1" t="str">
        <f>IF(D166="","",IF(Boss参数!$B$60=1,"此前实测；缺失用预测","此前预测"))</f>
        <v>此前实测；缺失用预测</v>
      </c>
      <c r="Y166" s="1" t="str">
        <f>IF(H166="","",IF(H166&gt;Boss参数!$B$63*Boss参数!$B$62,"超过暂定合计上限",""))</f>
        <v/>
      </c>
    </row>
    <row r="167" spans="1:25" ht="38.1" customHeight="1">
      <c r="A167" s="1" t="str">
        <f>行动模拟!A167</f>
        <v/>
      </c>
      <c r="B167" s="1">
        <f>行动模拟!B167</f>
        <v>0</v>
      </c>
      <c r="C167" s="1">
        <f>行动模拟!C167</f>
        <v>0</v>
      </c>
      <c r="D167" s="1">
        <f>行动模拟!D167</f>
        <v>0</v>
      </c>
      <c r="E167" s="1" t="str">
        <f>行动模拟!O167</f>
        <v/>
      </c>
      <c r="F167" s="1" t="str">
        <f>行动模拟!P167</f>
        <v/>
      </c>
      <c r="G167" s="1" t="str">
        <f>IF(行动模拟!D167="","",行动模拟!E167)</f>
        <v/>
      </c>
      <c r="H167" s="1" t="str">
        <f>IF(COUNT(行动模拟!F167:H167)=0,"",SUM(行动模拟!F167:H167))</f>
        <v/>
      </c>
      <c r="I167" s="1" t="str">
        <f t="shared" si="14"/>
        <v/>
      </c>
      <c r="J167" s="1" t="str">
        <f t="shared" si="15"/>
        <v/>
      </c>
      <c r="K167" s="1" t="str">
        <f t="shared" si="16"/>
        <v/>
      </c>
      <c r="L167" s="1" t="str">
        <f t="shared" si="17"/>
        <v/>
      </c>
      <c r="M167" s="1" t="str">
        <f t="shared" si="18"/>
        <v/>
      </c>
      <c r="N167" s="1" t="str">
        <f>IF(ISNUMBER(行动模拟!F167),行动模拟!F167,"")</f>
        <v/>
      </c>
      <c r="O167" s="1" t="str">
        <f>IF(COUNT(行动模拟!G167:H167)=0,"",SUM(行动模拟!G167:H167))</f>
        <v/>
      </c>
      <c r="P167" s="1" t="str">
        <f>IF(H167="","",IF(G167="是",后台计算!DX161,IF(G167="否",后台计算!DW161,"")))</f>
        <v/>
      </c>
      <c r="Q167" s="1" t="str">
        <f>IF(H167="","",IF(G167="是",后台计算!BV161-后台计算!DX161,IF(G167="否",后台计算!BU161-后台计算!DW161,"")))</f>
        <v/>
      </c>
      <c r="R167" s="1" t="str">
        <f t="shared" si="19"/>
        <v/>
      </c>
      <c r="S167" s="1" t="str">
        <f t="shared" si="20"/>
        <v/>
      </c>
      <c r="T167" s="1" t="str">
        <f>IF(AND(后台计算!DH161="洞穿",O167&gt;0),IF(O167=ROUNDDOWN(N167*0.4,0),"实测附加=floor(主伤害×40%)；稳态来源待确认","实测附加关系需核对"),"")</f>
        <v/>
      </c>
      <c r="U167" s="1">
        <f>IF(D167="","",后台计算!EQ161)</f>
        <v>232</v>
      </c>
      <c r="V167" s="1">
        <f>IF(D167="","",后台计算!ER161)</f>
        <v>0.9</v>
      </c>
      <c r="W167" s="1">
        <f>IF(D167="","",后台计算!ES161)</f>
        <v>0.65</v>
      </c>
      <c r="X167" s="1" t="str">
        <f>IF(D167="","",IF(Boss参数!$B$60=1,"此前实测；缺失用预测","此前预测"))</f>
        <v>此前实测；缺失用预测</v>
      </c>
      <c r="Y167" s="1" t="str">
        <f>IF(H167="","",IF(H167&gt;Boss参数!$B$63*Boss参数!$B$62,"超过暂定合计上限",""))</f>
        <v/>
      </c>
    </row>
    <row r="168" spans="1:25" ht="38.1" customHeight="1">
      <c r="A168" s="1" t="str">
        <f>行动模拟!A168</f>
        <v/>
      </c>
      <c r="B168" s="1">
        <f>行动模拟!B168</f>
        <v>0</v>
      </c>
      <c r="C168" s="1">
        <f>行动模拟!C168</f>
        <v>0</v>
      </c>
      <c r="D168" s="1">
        <f>行动模拟!D168</f>
        <v>0</v>
      </c>
      <c r="E168" s="1" t="str">
        <f>行动模拟!O168</f>
        <v/>
      </c>
      <c r="F168" s="1" t="str">
        <f>行动模拟!P168</f>
        <v/>
      </c>
      <c r="G168" s="1" t="str">
        <f>IF(行动模拟!D168="","",行动模拟!E168)</f>
        <v/>
      </c>
      <c r="H168" s="1" t="str">
        <f>IF(COUNT(行动模拟!F168:H168)=0,"",SUM(行动模拟!F168:H168))</f>
        <v/>
      </c>
      <c r="I168" s="1" t="str">
        <f t="shared" si="14"/>
        <v/>
      </c>
      <c r="J168" s="1" t="str">
        <f t="shared" si="15"/>
        <v/>
      </c>
      <c r="K168" s="1" t="str">
        <f t="shared" si="16"/>
        <v/>
      </c>
      <c r="L168" s="1" t="str">
        <f t="shared" si="17"/>
        <v/>
      </c>
      <c r="M168" s="1" t="str">
        <f t="shared" si="18"/>
        <v/>
      </c>
      <c r="N168" s="1" t="str">
        <f>IF(ISNUMBER(行动模拟!F168),行动模拟!F168,"")</f>
        <v/>
      </c>
      <c r="O168" s="1" t="str">
        <f>IF(COUNT(行动模拟!G168:H168)=0,"",SUM(行动模拟!G168:H168))</f>
        <v/>
      </c>
      <c r="P168" s="1" t="str">
        <f>IF(H168="","",IF(G168="是",后台计算!DX162,IF(G168="否",后台计算!DW162,"")))</f>
        <v/>
      </c>
      <c r="Q168" s="1" t="str">
        <f>IF(H168="","",IF(G168="是",后台计算!BV162-后台计算!DX162,IF(G168="否",后台计算!BU162-后台计算!DW162,"")))</f>
        <v/>
      </c>
      <c r="R168" s="1" t="str">
        <f t="shared" si="19"/>
        <v/>
      </c>
      <c r="S168" s="1" t="str">
        <f t="shared" si="20"/>
        <v/>
      </c>
      <c r="T168" s="1" t="str">
        <f>IF(AND(后台计算!DH162="洞穿",O168&gt;0),IF(O168=ROUNDDOWN(N168*0.4,0),"实测附加=floor(主伤害×40%)；稳态来源待确认","实测附加关系需核对"),"")</f>
        <v/>
      </c>
      <c r="U168" s="1">
        <f>IF(D168="","",后台计算!EQ162)</f>
        <v>232</v>
      </c>
      <c r="V168" s="1">
        <f>IF(D168="","",后台计算!ER162)</f>
        <v>0.9</v>
      </c>
      <c r="W168" s="1">
        <f>IF(D168="","",后台计算!ES162)</f>
        <v>0.65</v>
      </c>
      <c r="X168" s="1" t="str">
        <f>IF(D168="","",IF(Boss参数!$B$60=1,"此前实测；缺失用预测","此前预测"))</f>
        <v>此前实测；缺失用预测</v>
      </c>
      <c r="Y168" s="1" t="str">
        <f>IF(H168="","",IF(H168&gt;Boss参数!$B$63*Boss参数!$B$62,"超过暂定合计上限",""))</f>
        <v/>
      </c>
    </row>
    <row r="169" spans="1:25" ht="38.1" customHeight="1">
      <c r="A169" s="1" t="str">
        <f>行动模拟!A169</f>
        <v/>
      </c>
      <c r="B169" s="1">
        <f>行动模拟!B169</f>
        <v>0</v>
      </c>
      <c r="C169" s="1">
        <f>行动模拟!C169</f>
        <v>0</v>
      </c>
      <c r="D169" s="1">
        <f>行动模拟!D169</f>
        <v>0</v>
      </c>
      <c r="E169" s="1" t="str">
        <f>行动模拟!O169</f>
        <v/>
      </c>
      <c r="F169" s="1" t="str">
        <f>行动模拟!P169</f>
        <v/>
      </c>
      <c r="G169" s="1" t="str">
        <f>IF(行动模拟!D169="","",行动模拟!E169)</f>
        <v/>
      </c>
      <c r="H169" s="1" t="str">
        <f>IF(COUNT(行动模拟!F169:H169)=0,"",SUM(行动模拟!F169:H169))</f>
        <v/>
      </c>
      <c r="I169" s="1" t="str">
        <f t="shared" si="14"/>
        <v/>
      </c>
      <c r="J169" s="1" t="str">
        <f t="shared" si="15"/>
        <v/>
      </c>
      <c r="K169" s="1" t="str">
        <f t="shared" si="16"/>
        <v/>
      </c>
      <c r="L169" s="1" t="str">
        <f t="shared" si="17"/>
        <v/>
      </c>
      <c r="M169" s="1" t="str">
        <f t="shared" si="18"/>
        <v/>
      </c>
      <c r="N169" s="1" t="str">
        <f>IF(ISNUMBER(行动模拟!F169),行动模拟!F169,"")</f>
        <v/>
      </c>
      <c r="O169" s="1" t="str">
        <f>IF(COUNT(行动模拟!G169:H169)=0,"",SUM(行动模拟!G169:H169))</f>
        <v/>
      </c>
      <c r="P169" s="1" t="str">
        <f>IF(H169="","",IF(G169="是",后台计算!DX163,IF(G169="否",后台计算!DW163,"")))</f>
        <v/>
      </c>
      <c r="Q169" s="1" t="str">
        <f>IF(H169="","",IF(G169="是",后台计算!BV163-后台计算!DX163,IF(G169="否",后台计算!BU163-后台计算!DW163,"")))</f>
        <v/>
      </c>
      <c r="R169" s="1" t="str">
        <f t="shared" si="19"/>
        <v/>
      </c>
      <c r="S169" s="1" t="str">
        <f t="shared" si="20"/>
        <v/>
      </c>
      <c r="T169" s="1" t="str">
        <f>IF(AND(后台计算!DH163="洞穿",O169&gt;0),IF(O169=ROUNDDOWN(N169*0.4,0),"实测附加=floor(主伤害×40%)；稳态来源待确认","实测附加关系需核对"),"")</f>
        <v/>
      </c>
      <c r="U169" s="1">
        <f>IF(D169="","",后台计算!EQ163)</f>
        <v>232</v>
      </c>
      <c r="V169" s="1">
        <f>IF(D169="","",后台计算!ER163)</f>
        <v>0.9</v>
      </c>
      <c r="W169" s="1">
        <f>IF(D169="","",后台计算!ES163)</f>
        <v>0.65</v>
      </c>
      <c r="X169" s="1" t="str">
        <f>IF(D169="","",IF(Boss参数!$B$60=1,"此前实测；缺失用预测","此前预测"))</f>
        <v>此前实测；缺失用预测</v>
      </c>
      <c r="Y169" s="1" t="str">
        <f>IF(H169="","",IF(H169&gt;Boss参数!$B$63*Boss参数!$B$62,"超过暂定合计上限",""))</f>
        <v/>
      </c>
    </row>
    <row r="170" spans="1:25" ht="38.1" customHeight="1">
      <c r="A170" s="1" t="str">
        <f>行动模拟!A170</f>
        <v/>
      </c>
      <c r="B170" s="1">
        <f>行动模拟!B170</f>
        <v>0</v>
      </c>
      <c r="C170" s="1">
        <f>行动模拟!C170</f>
        <v>0</v>
      </c>
      <c r="D170" s="1">
        <f>行动模拟!D170</f>
        <v>0</v>
      </c>
      <c r="E170" s="1" t="str">
        <f>行动模拟!O170</f>
        <v/>
      </c>
      <c r="F170" s="1" t="str">
        <f>行动模拟!P170</f>
        <v/>
      </c>
      <c r="G170" s="1" t="str">
        <f>IF(行动模拟!D170="","",行动模拟!E170)</f>
        <v/>
      </c>
      <c r="H170" s="1" t="str">
        <f>IF(COUNT(行动模拟!F170:H170)=0,"",SUM(行动模拟!F170:H170))</f>
        <v/>
      </c>
      <c r="I170" s="1" t="str">
        <f t="shared" si="14"/>
        <v/>
      </c>
      <c r="J170" s="1" t="str">
        <f t="shared" si="15"/>
        <v/>
      </c>
      <c r="K170" s="1" t="str">
        <f t="shared" si="16"/>
        <v/>
      </c>
      <c r="L170" s="1" t="str">
        <f t="shared" si="17"/>
        <v/>
      </c>
      <c r="M170" s="1" t="str">
        <f t="shared" si="18"/>
        <v/>
      </c>
      <c r="N170" s="1" t="str">
        <f>IF(ISNUMBER(行动模拟!F170),行动模拟!F170,"")</f>
        <v/>
      </c>
      <c r="O170" s="1" t="str">
        <f>IF(COUNT(行动模拟!G170:H170)=0,"",SUM(行动模拟!G170:H170))</f>
        <v/>
      </c>
      <c r="P170" s="1" t="str">
        <f>IF(H170="","",IF(G170="是",后台计算!DX164,IF(G170="否",后台计算!DW164,"")))</f>
        <v/>
      </c>
      <c r="Q170" s="1" t="str">
        <f>IF(H170="","",IF(G170="是",后台计算!BV164-后台计算!DX164,IF(G170="否",后台计算!BU164-后台计算!DW164,"")))</f>
        <v/>
      </c>
      <c r="R170" s="1" t="str">
        <f t="shared" si="19"/>
        <v/>
      </c>
      <c r="S170" s="1" t="str">
        <f t="shared" si="20"/>
        <v/>
      </c>
      <c r="T170" s="1" t="str">
        <f>IF(AND(后台计算!DH164="洞穿",O170&gt;0),IF(O170=ROUNDDOWN(N170*0.4,0),"实测附加=floor(主伤害×40%)；稳态来源待确认","实测附加关系需核对"),"")</f>
        <v/>
      </c>
      <c r="U170" s="1">
        <f>IF(D170="","",后台计算!EQ164)</f>
        <v>232</v>
      </c>
      <c r="V170" s="1">
        <f>IF(D170="","",后台计算!ER164)</f>
        <v>0.9</v>
      </c>
      <c r="W170" s="1">
        <f>IF(D170="","",后台计算!ES164)</f>
        <v>0.65</v>
      </c>
      <c r="X170" s="1" t="str">
        <f>IF(D170="","",IF(Boss参数!$B$60=1,"此前实测；缺失用预测","此前预测"))</f>
        <v>此前实测；缺失用预测</v>
      </c>
      <c r="Y170" s="1" t="str">
        <f>IF(H170="","",IF(H170&gt;Boss参数!$B$63*Boss参数!$B$62,"超过暂定合计上限",""))</f>
        <v/>
      </c>
    </row>
    <row r="171" spans="1:25" ht="38.1" customHeight="1">
      <c r="A171" s="1" t="str">
        <f>行动模拟!A171</f>
        <v/>
      </c>
      <c r="B171" s="1">
        <f>行动模拟!B171</f>
        <v>0</v>
      </c>
      <c r="C171" s="1">
        <f>行动模拟!C171</f>
        <v>0</v>
      </c>
      <c r="D171" s="1">
        <f>行动模拟!D171</f>
        <v>0</v>
      </c>
      <c r="E171" s="1" t="str">
        <f>行动模拟!O171</f>
        <v/>
      </c>
      <c r="F171" s="1" t="str">
        <f>行动模拟!P171</f>
        <v/>
      </c>
      <c r="G171" s="1" t="str">
        <f>IF(行动模拟!D171="","",行动模拟!E171)</f>
        <v/>
      </c>
      <c r="H171" s="1" t="str">
        <f>IF(COUNT(行动模拟!F171:H171)=0,"",SUM(行动模拟!F171:H171))</f>
        <v/>
      </c>
      <c r="I171" s="1" t="str">
        <f t="shared" si="14"/>
        <v/>
      </c>
      <c r="J171" s="1" t="str">
        <f t="shared" si="15"/>
        <v/>
      </c>
      <c r="K171" s="1" t="str">
        <f t="shared" si="16"/>
        <v/>
      </c>
      <c r="L171" s="1" t="str">
        <f t="shared" si="17"/>
        <v/>
      </c>
      <c r="M171" s="1" t="str">
        <f t="shared" si="18"/>
        <v/>
      </c>
      <c r="N171" s="1" t="str">
        <f>IF(ISNUMBER(行动模拟!F171),行动模拟!F171,"")</f>
        <v/>
      </c>
      <c r="O171" s="1" t="str">
        <f>IF(COUNT(行动模拟!G171:H171)=0,"",SUM(行动模拟!G171:H171))</f>
        <v/>
      </c>
      <c r="P171" s="1" t="str">
        <f>IF(H171="","",IF(G171="是",后台计算!DX165,IF(G171="否",后台计算!DW165,"")))</f>
        <v/>
      </c>
      <c r="Q171" s="1" t="str">
        <f>IF(H171="","",IF(G171="是",后台计算!BV165-后台计算!DX165,IF(G171="否",后台计算!BU165-后台计算!DW165,"")))</f>
        <v/>
      </c>
      <c r="R171" s="1" t="str">
        <f t="shared" si="19"/>
        <v/>
      </c>
      <c r="S171" s="1" t="str">
        <f t="shared" si="20"/>
        <v/>
      </c>
      <c r="T171" s="1" t="str">
        <f>IF(AND(后台计算!DH165="洞穿",O171&gt;0),IF(O171=ROUNDDOWN(N171*0.4,0),"实测附加=floor(主伤害×40%)；稳态来源待确认","实测附加关系需核对"),"")</f>
        <v/>
      </c>
      <c r="U171" s="1">
        <f>IF(D171="","",后台计算!EQ165)</f>
        <v>232</v>
      </c>
      <c r="V171" s="1">
        <f>IF(D171="","",后台计算!ER165)</f>
        <v>0.9</v>
      </c>
      <c r="W171" s="1">
        <f>IF(D171="","",后台计算!ES165)</f>
        <v>0.65</v>
      </c>
      <c r="X171" s="1" t="str">
        <f>IF(D171="","",IF(Boss参数!$B$60=1,"此前实测；缺失用预测","此前预测"))</f>
        <v>此前实测；缺失用预测</v>
      </c>
      <c r="Y171" s="1" t="str">
        <f>IF(H171="","",IF(H171&gt;Boss参数!$B$63*Boss参数!$B$62,"超过暂定合计上限",""))</f>
        <v/>
      </c>
    </row>
    <row r="172" spans="1:25" ht="38.1" customHeight="1">
      <c r="A172" s="1" t="str">
        <f>行动模拟!A172</f>
        <v/>
      </c>
      <c r="B172" s="1">
        <f>行动模拟!B172</f>
        <v>0</v>
      </c>
      <c r="C172" s="1">
        <f>行动模拟!C172</f>
        <v>0</v>
      </c>
      <c r="D172" s="1">
        <f>行动模拟!D172</f>
        <v>0</v>
      </c>
      <c r="E172" s="1" t="str">
        <f>行动模拟!O172</f>
        <v/>
      </c>
      <c r="F172" s="1" t="str">
        <f>行动模拟!P172</f>
        <v/>
      </c>
      <c r="G172" s="1" t="str">
        <f>IF(行动模拟!D172="","",行动模拟!E172)</f>
        <v/>
      </c>
      <c r="H172" s="1" t="str">
        <f>IF(COUNT(行动模拟!F172:H172)=0,"",SUM(行动模拟!F172:H172))</f>
        <v/>
      </c>
      <c r="I172" s="1" t="str">
        <f t="shared" si="14"/>
        <v/>
      </c>
      <c r="J172" s="1" t="str">
        <f t="shared" si="15"/>
        <v/>
      </c>
      <c r="K172" s="1" t="str">
        <f t="shared" si="16"/>
        <v/>
      </c>
      <c r="L172" s="1" t="str">
        <f t="shared" si="17"/>
        <v/>
      </c>
      <c r="M172" s="1" t="str">
        <f t="shared" si="18"/>
        <v/>
      </c>
      <c r="N172" s="1" t="str">
        <f>IF(ISNUMBER(行动模拟!F172),行动模拟!F172,"")</f>
        <v/>
      </c>
      <c r="O172" s="1" t="str">
        <f>IF(COUNT(行动模拟!G172:H172)=0,"",SUM(行动模拟!G172:H172))</f>
        <v/>
      </c>
      <c r="P172" s="1" t="str">
        <f>IF(H172="","",IF(G172="是",后台计算!DX166,IF(G172="否",后台计算!DW166,"")))</f>
        <v/>
      </c>
      <c r="Q172" s="1" t="str">
        <f>IF(H172="","",IF(G172="是",后台计算!BV166-后台计算!DX166,IF(G172="否",后台计算!BU166-后台计算!DW166,"")))</f>
        <v/>
      </c>
      <c r="R172" s="1" t="str">
        <f t="shared" si="19"/>
        <v/>
      </c>
      <c r="S172" s="1" t="str">
        <f t="shared" si="20"/>
        <v/>
      </c>
      <c r="T172" s="1" t="str">
        <f>IF(AND(后台计算!DH166="洞穿",O172&gt;0),IF(O172=ROUNDDOWN(N172*0.4,0),"实测附加=floor(主伤害×40%)；稳态来源待确认","实测附加关系需核对"),"")</f>
        <v/>
      </c>
      <c r="U172" s="1">
        <f>IF(D172="","",后台计算!EQ166)</f>
        <v>232</v>
      </c>
      <c r="V172" s="1">
        <f>IF(D172="","",后台计算!ER166)</f>
        <v>0.9</v>
      </c>
      <c r="W172" s="1">
        <f>IF(D172="","",后台计算!ES166)</f>
        <v>0.65</v>
      </c>
      <c r="X172" s="1" t="str">
        <f>IF(D172="","",IF(Boss参数!$B$60=1,"此前实测；缺失用预测","此前预测"))</f>
        <v>此前实测；缺失用预测</v>
      </c>
      <c r="Y172" s="1" t="str">
        <f>IF(H172="","",IF(H172&gt;Boss参数!$B$63*Boss参数!$B$62,"超过暂定合计上限",""))</f>
        <v/>
      </c>
    </row>
    <row r="173" spans="1:25" ht="38.1" customHeight="1">
      <c r="A173" s="1" t="str">
        <f>行动模拟!A173</f>
        <v/>
      </c>
      <c r="B173" s="1">
        <f>行动模拟!B173</f>
        <v>0</v>
      </c>
      <c r="C173" s="1">
        <f>行动模拟!C173</f>
        <v>0</v>
      </c>
      <c r="D173" s="1">
        <f>行动模拟!D173</f>
        <v>0</v>
      </c>
      <c r="E173" s="1" t="str">
        <f>行动模拟!O173</f>
        <v/>
      </c>
      <c r="F173" s="1" t="str">
        <f>行动模拟!P173</f>
        <v/>
      </c>
      <c r="G173" s="1" t="str">
        <f>IF(行动模拟!D173="","",行动模拟!E173)</f>
        <v/>
      </c>
      <c r="H173" s="1" t="str">
        <f>IF(COUNT(行动模拟!F173:H173)=0,"",SUM(行动模拟!F173:H173))</f>
        <v/>
      </c>
      <c r="I173" s="1" t="str">
        <f t="shared" si="14"/>
        <v/>
      </c>
      <c r="J173" s="1" t="str">
        <f t="shared" si="15"/>
        <v/>
      </c>
      <c r="K173" s="1" t="str">
        <f t="shared" si="16"/>
        <v/>
      </c>
      <c r="L173" s="1" t="str">
        <f t="shared" si="17"/>
        <v/>
      </c>
      <c r="M173" s="1" t="str">
        <f t="shared" si="18"/>
        <v/>
      </c>
      <c r="N173" s="1" t="str">
        <f>IF(ISNUMBER(行动模拟!F173),行动模拟!F173,"")</f>
        <v/>
      </c>
      <c r="O173" s="1" t="str">
        <f>IF(COUNT(行动模拟!G173:H173)=0,"",SUM(行动模拟!G173:H173))</f>
        <v/>
      </c>
      <c r="P173" s="1" t="str">
        <f>IF(H173="","",IF(G173="是",后台计算!DX167,IF(G173="否",后台计算!DW167,"")))</f>
        <v/>
      </c>
      <c r="Q173" s="1" t="str">
        <f>IF(H173="","",IF(G173="是",后台计算!BV167-后台计算!DX167,IF(G173="否",后台计算!BU167-后台计算!DW167,"")))</f>
        <v/>
      </c>
      <c r="R173" s="1" t="str">
        <f t="shared" si="19"/>
        <v/>
      </c>
      <c r="S173" s="1" t="str">
        <f t="shared" si="20"/>
        <v/>
      </c>
      <c r="T173" s="1" t="str">
        <f>IF(AND(后台计算!DH167="洞穿",O173&gt;0),IF(O173=ROUNDDOWN(N173*0.4,0),"实测附加=floor(主伤害×40%)；稳态来源待确认","实测附加关系需核对"),"")</f>
        <v/>
      </c>
      <c r="U173" s="1">
        <f>IF(D173="","",后台计算!EQ167)</f>
        <v>232</v>
      </c>
      <c r="V173" s="1">
        <f>IF(D173="","",后台计算!ER167)</f>
        <v>0.9</v>
      </c>
      <c r="W173" s="1">
        <f>IF(D173="","",后台计算!ES167)</f>
        <v>0.65</v>
      </c>
      <c r="X173" s="1" t="str">
        <f>IF(D173="","",IF(Boss参数!$B$60=1,"此前实测；缺失用预测","此前预测"))</f>
        <v>此前实测；缺失用预测</v>
      </c>
      <c r="Y173" s="1" t="str">
        <f>IF(H173="","",IF(H173&gt;Boss参数!$B$63*Boss参数!$B$62,"超过暂定合计上限",""))</f>
        <v/>
      </c>
    </row>
    <row r="174" spans="1:25" ht="38.1" customHeight="1">
      <c r="A174" s="1" t="str">
        <f>行动模拟!A174</f>
        <v/>
      </c>
      <c r="B174" s="1">
        <f>行动模拟!B174</f>
        <v>0</v>
      </c>
      <c r="C174" s="1">
        <f>行动模拟!C174</f>
        <v>0</v>
      </c>
      <c r="D174" s="1">
        <f>行动模拟!D174</f>
        <v>0</v>
      </c>
      <c r="E174" s="1" t="str">
        <f>行动模拟!O174</f>
        <v/>
      </c>
      <c r="F174" s="1" t="str">
        <f>行动模拟!P174</f>
        <v/>
      </c>
      <c r="G174" s="1" t="str">
        <f>IF(行动模拟!D174="","",行动模拟!E174)</f>
        <v/>
      </c>
      <c r="H174" s="1" t="str">
        <f>IF(COUNT(行动模拟!F174:H174)=0,"",SUM(行动模拟!F174:H174))</f>
        <v/>
      </c>
      <c r="I174" s="1" t="str">
        <f t="shared" si="14"/>
        <v/>
      </c>
      <c r="J174" s="1" t="str">
        <f t="shared" si="15"/>
        <v/>
      </c>
      <c r="K174" s="1" t="str">
        <f t="shared" si="16"/>
        <v/>
      </c>
      <c r="L174" s="1" t="str">
        <f t="shared" si="17"/>
        <v/>
      </c>
      <c r="M174" s="1" t="str">
        <f t="shared" si="18"/>
        <v/>
      </c>
      <c r="N174" s="1" t="str">
        <f>IF(ISNUMBER(行动模拟!F174),行动模拟!F174,"")</f>
        <v/>
      </c>
      <c r="O174" s="1" t="str">
        <f>IF(COUNT(行动模拟!G174:H174)=0,"",SUM(行动模拟!G174:H174))</f>
        <v/>
      </c>
      <c r="P174" s="1" t="str">
        <f>IF(H174="","",IF(G174="是",后台计算!DX168,IF(G174="否",后台计算!DW168,"")))</f>
        <v/>
      </c>
      <c r="Q174" s="1" t="str">
        <f>IF(H174="","",IF(G174="是",后台计算!BV168-后台计算!DX168,IF(G174="否",后台计算!BU168-后台计算!DW168,"")))</f>
        <v/>
      </c>
      <c r="R174" s="1" t="str">
        <f t="shared" si="19"/>
        <v/>
      </c>
      <c r="S174" s="1" t="str">
        <f t="shared" si="20"/>
        <v/>
      </c>
      <c r="T174" s="1" t="str">
        <f>IF(AND(后台计算!DH168="洞穿",O174&gt;0),IF(O174=ROUNDDOWN(N174*0.4,0),"实测附加=floor(主伤害×40%)；稳态来源待确认","实测附加关系需核对"),"")</f>
        <v/>
      </c>
      <c r="U174" s="1">
        <f>IF(D174="","",后台计算!EQ168)</f>
        <v>232</v>
      </c>
      <c r="V174" s="1">
        <f>IF(D174="","",后台计算!ER168)</f>
        <v>0.9</v>
      </c>
      <c r="W174" s="1">
        <f>IF(D174="","",后台计算!ES168)</f>
        <v>0.65</v>
      </c>
      <c r="X174" s="1" t="str">
        <f>IF(D174="","",IF(Boss参数!$B$60=1,"此前实测；缺失用预测","此前预测"))</f>
        <v>此前实测；缺失用预测</v>
      </c>
      <c r="Y174" s="1" t="str">
        <f>IF(H174="","",IF(H174&gt;Boss参数!$B$63*Boss参数!$B$62,"超过暂定合计上限",""))</f>
        <v/>
      </c>
    </row>
    <row r="175" spans="1:25" ht="38.1" customHeight="1">
      <c r="A175" s="1" t="str">
        <f>行动模拟!A175</f>
        <v/>
      </c>
      <c r="B175" s="1">
        <f>行动模拟!B175</f>
        <v>0</v>
      </c>
      <c r="C175" s="1">
        <f>行动模拟!C175</f>
        <v>0</v>
      </c>
      <c r="D175" s="1">
        <f>行动模拟!D175</f>
        <v>0</v>
      </c>
      <c r="E175" s="1" t="str">
        <f>行动模拟!O175</f>
        <v/>
      </c>
      <c r="F175" s="1" t="str">
        <f>行动模拟!P175</f>
        <v/>
      </c>
      <c r="G175" s="1" t="str">
        <f>IF(行动模拟!D175="","",行动模拟!E175)</f>
        <v/>
      </c>
      <c r="H175" s="1" t="str">
        <f>IF(COUNT(行动模拟!F175:H175)=0,"",SUM(行动模拟!F175:H175))</f>
        <v/>
      </c>
      <c r="I175" s="1" t="str">
        <f t="shared" si="14"/>
        <v/>
      </c>
      <c r="J175" s="1" t="str">
        <f t="shared" si="15"/>
        <v/>
      </c>
      <c r="K175" s="1" t="str">
        <f t="shared" si="16"/>
        <v/>
      </c>
      <c r="L175" s="1" t="str">
        <f t="shared" si="17"/>
        <v/>
      </c>
      <c r="M175" s="1" t="str">
        <f t="shared" si="18"/>
        <v/>
      </c>
      <c r="N175" s="1" t="str">
        <f>IF(ISNUMBER(行动模拟!F175),行动模拟!F175,"")</f>
        <v/>
      </c>
      <c r="O175" s="1" t="str">
        <f>IF(COUNT(行动模拟!G175:H175)=0,"",SUM(行动模拟!G175:H175))</f>
        <v/>
      </c>
      <c r="P175" s="1" t="str">
        <f>IF(H175="","",IF(G175="是",后台计算!DX169,IF(G175="否",后台计算!DW169,"")))</f>
        <v/>
      </c>
      <c r="Q175" s="1" t="str">
        <f>IF(H175="","",IF(G175="是",后台计算!BV169-后台计算!DX169,IF(G175="否",后台计算!BU169-后台计算!DW169,"")))</f>
        <v/>
      </c>
      <c r="R175" s="1" t="str">
        <f t="shared" si="19"/>
        <v/>
      </c>
      <c r="S175" s="1" t="str">
        <f t="shared" si="20"/>
        <v/>
      </c>
      <c r="T175" s="1" t="str">
        <f>IF(AND(后台计算!DH169="洞穿",O175&gt;0),IF(O175=ROUNDDOWN(N175*0.4,0),"实测附加=floor(主伤害×40%)；稳态来源待确认","实测附加关系需核对"),"")</f>
        <v/>
      </c>
      <c r="U175" s="1">
        <f>IF(D175="","",后台计算!EQ169)</f>
        <v>232</v>
      </c>
      <c r="V175" s="1">
        <f>IF(D175="","",后台计算!ER169)</f>
        <v>0.9</v>
      </c>
      <c r="W175" s="1">
        <f>IF(D175="","",后台计算!ES169)</f>
        <v>0.65</v>
      </c>
      <c r="X175" s="1" t="str">
        <f>IF(D175="","",IF(Boss参数!$B$60=1,"此前实测；缺失用预测","此前预测"))</f>
        <v>此前实测；缺失用预测</v>
      </c>
      <c r="Y175" s="1" t="str">
        <f>IF(H175="","",IF(H175&gt;Boss参数!$B$63*Boss参数!$B$62,"超过暂定合计上限",""))</f>
        <v/>
      </c>
    </row>
    <row r="176" spans="1:25" ht="38.1" customHeight="1">
      <c r="A176" s="1" t="str">
        <f>行动模拟!A176</f>
        <v/>
      </c>
      <c r="B176" s="1">
        <f>行动模拟!B176</f>
        <v>0</v>
      </c>
      <c r="C176" s="1">
        <f>行动模拟!C176</f>
        <v>0</v>
      </c>
      <c r="D176" s="1">
        <f>行动模拟!D176</f>
        <v>0</v>
      </c>
      <c r="E176" s="1" t="str">
        <f>行动模拟!O176</f>
        <v/>
      </c>
      <c r="F176" s="1" t="str">
        <f>行动模拟!P176</f>
        <v/>
      </c>
      <c r="G176" s="1" t="str">
        <f>IF(行动模拟!D176="","",行动模拟!E176)</f>
        <v/>
      </c>
      <c r="H176" s="1" t="str">
        <f>IF(COUNT(行动模拟!F176:H176)=0,"",SUM(行动模拟!F176:H176))</f>
        <v/>
      </c>
      <c r="I176" s="1" t="str">
        <f t="shared" si="14"/>
        <v/>
      </c>
      <c r="J176" s="1" t="str">
        <f t="shared" si="15"/>
        <v/>
      </c>
      <c r="K176" s="1" t="str">
        <f t="shared" si="16"/>
        <v/>
      </c>
      <c r="L176" s="1" t="str">
        <f t="shared" si="17"/>
        <v/>
      </c>
      <c r="M176" s="1" t="str">
        <f t="shared" si="18"/>
        <v/>
      </c>
      <c r="N176" s="1" t="str">
        <f>IF(ISNUMBER(行动模拟!F176),行动模拟!F176,"")</f>
        <v/>
      </c>
      <c r="O176" s="1" t="str">
        <f>IF(COUNT(行动模拟!G176:H176)=0,"",SUM(行动模拟!G176:H176))</f>
        <v/>
      </c>
      <c r="P176" s="1" t="str">
        <f>IF(H176="","",IF(G176="是",后台计算!DX170,IF(G176="否",后台计算!DW170,"")))</f>
        <v/>
      </c>
      <c r="Q176" s="1" t="str">
        <f>IF(H176="","",IF(G176="是",后台计算!BV170-后台计算!DX170,IF(G176="否",后台计算!BU170-后台计算!DW170,"")))</f>
        <v/>
      </c>
      <c r="R176" s="1" t="str">
        <f t="shared" si="19"/>
        <v/>
      </c>
      <c r="S176" s="1" t="str">
        <f t="shared" si="20"/>
        <v/>
      </c>
      <c r="T176" s="1" t="str">
        <f>IF(AND(后台计算!DH170="洞穿",O176&gt;0),IF(O176=ROUNDDOWN(N176*0.4,0),"实测附加=floor(主伤害×40%)；稳态来源待确认","实测附加关系需核对"),"")</f>
        <v/>
      </c>
      <c r="U176" s="1">
        <f>IF(D176="","",后台计算!EQ170)</f>
        <v>232</v>
      </c>
      <c r="V176" s="1">
        <f>IF(D176="","",后台计算!ER170)</f>
        <v>0.9</v>
      </c>
      <c r="W176" s="1">
        <f>IF(D176="","",后台计算!ES170)</f>
        <v>0.65</v>
      </c>
      <c r="X176" s="1" t="str">
        <f>IF(D176="","",IF(Boss参数!$B$60=1,"此前实测；缺失用预测","此前预测"))</f>
        <v>此前实测；缺失用预测</v>
      </c>
      <c r="Y176" s="1" t="str">
        <f>IF(H176="","",IF(H176&gt;Boss参数!$B$63*Boss参数!$B$62,"超过暂定合计上限",""))</f>
        <v/>
      </c>
    </row>
    <row r="177" spans="1:25" ht="38.1" customHeight="1">
      <c r="A177" s="1" t="str">
        <f>行动模拟!A177</f>
        <v/>
      </c>
      <c r="B177" s="1">
        <f>行动模拟!B177</f>
        <v>0</v>
      </c>
      <c r="C177" s="1">
        <f>行动模拟!C177</f>
        <v>0</v>
      </c>
      <c r="D177" s="1">
        <f>行动模拟!D177</f>
        <v>0</v>
      </c>
      <c r="E177" s="1" t="str">
        <f>行动模拟!O177</f>
        <v/>
      </c>
      <c r="F177" s="1" t="str">
        <f>行动模拟!P177</f>
        <v/>
      </c>
      <c r="G177" s="1" t="str">
        <f>IF(行动模拟!D177="","",行动模拟!E177)</f>
        <v/>
      </c>
      <c r="H177" s="1" t="str">
        <f>IF(COUNT(行动模拟!F177:H177)=0,"",SUM(行动模拟!F177:H177))</f>
        <v/>
      </c>
      <c r="I177" s="1" t="str">
        <f t="shared" si="14"/>
        <v/>
      </c>
      <c r="J177" s="1" t="str">
        <f t="shared" si="15"/>
        <v/>
      </c>
      <c r="K177" s="1" t="str">
        <f t="shared" si="16"/>
        <v/>
      </c>
      <c r="L177" s="1" t="str">
        <f t="shared" si="17"/>
        <v/>
      </c>
      <c r="M177" s="1" t="str">
        <f t="shared" si="18"/>
        <v/>
      </c>
      <c r="N177" s="1" t="str">
        <f>IF(ISNUMBER(行动模拟!F177),行动模拟!F177,"")</f>
        <v/>
      </c>
      <c r="O177" s="1" t="str">
        <f>IF(COUNT(行动模拟!G177:H177)=0,"",SUM(行动模拟!G177:H177))</f>
        <v/>
      </c>
      <c r="P177" s="1" t="str">
        <f>IF(H177="","",IF(G177="是",后台计算!DX171,IF(G177="否",后台计算!DW171,"")))</f>
        <v/>
      </c>
      <c r="Q177" s="1" t="str">
        <f>IF(H177="","",IF(G177="是",后台计算!BV171-后台计算!DX171,IF(G177="否",后台计算!BU171-后台计算!DW171,"")))</f>
        <v/>
      </c>
      <c r="R177" s="1" t="str">
        <f t="shared" si="19"/>
        <v/>
      </c>
      <c r="S177" s="1" t="str">
        <f t="shared" si="20"/>
        <v/>
      </c>
      <c r="T177" s="1" t="str">
        <f>IF(AND(后台计算!DH171="洞穿",O177&gt;0),IF(O177=ROUNDDOWN(N177*0.4,0),"实测附加=floor(主伤害×40%)；稳态来源待确认","实测附加关系需核对"),"")</f>
        <v/>
      </c>
      <c r="U177" s="1">
        <f>IF(D177="","",后台计算!EQ171)</f>
        <v>232</v>
      </c>
      <c r="V177" s="1">
        <f>IF(D177="","",后台计算!ER171)</f>
        <v>0.9</v>
      </c>
      <c r="W177" s="1">
        <f>IF(D177="","",后台计算!ES171)</f>
        <v>0.65</v>
      </c>
      <c r="X177" s="1" t="str">
        <f>IF(D177="","",IF(Boss参数!$B$60=1,"此前实测；缺失用预测","此前预测"))</f>
        <v>此前实测；缺失用预测</v>
      </c>
      <c r="Y177" s="1" t="str">
        <f>IF(H177="","",IF(H177&gt;Boss参数!$B$63*Boss参数!$B$62,"超过暂定合计上限",""))</f>
        <v/>
      </c>
    </row>
    <row r="178" spans="1:25" ht="38.1" customHeight="1">
      <c r="A178" s="1" t="str">
        <f>行动模拟!A178</f>
        <v/>
      </c>
      <c r="B178" s="1">
        <f>行动模拟!B178</f>
        <v>0</v>
      </c>
      <c r="C178" s="1">
        <f>行动模拟!C178</f>
        <v>0</v>
      </c>
      <c r="D178" s="1">
        <f>行动模拟!D178</f>
        <v>0</v>
      </c>
      <c r="E178" s="1" t="str">
        <f>行动模拟!O178</f>
        <v/>
      </c>
      <c r="F178" s="1" t="str">
        <f>行动模拟!P178</f>
        <v/>
      </c>
      <c r="G178" s="1" t="str">
        <f>IF(行动模拟!D178="","",行动模拟!E178)</f>
        <v/>
      </c>
      <c r="H178" s="1" t="str">
        <f>IF(COUNT(行动模拟!F178:H178)=0,"",SUM(行动模拟!F178:H178))</f>
        <v/>
      </c>
      <c r="I178" s="1" t="str">
        <f t="shared" si="14"/>
        <v/>
      </c>
      <c r="J178" s="1" t="str">
        <f t="shared" si="15"/>
        <v/>
      </c>
      <c r="K178" s="1" t="str">
        <f t="shared" si="16"/>
        <v/>
      </c>
      <c r="L178" s="1" t="str">
        <f t="shared" si="17"/>
        <v/>
      </c>
      <c r="M178" s="1" t="str">
        <f t="shared" si="18"/>
        <v/>
      </c>
      <c r="N178" s="1" t="str">
        <f>IF(ISNUMBER(行动模拟!F178),行动模拟!F178,"")</f>
        <v/>
      </c>
      <c r="O178" s="1" t="str">
        <f>IF(COUNT(行动模拟!G178:H178)=0,"",SUM(行动模拟!G178:H178))</f>
        <v/>
      </c>
      <c r="P178" s="1" t="str">
        <f>IF(H178="","",IF(G178="是",后台计算!DX172,IF(G178="否",后台计算!DW172,"")))</f>
        <v/>
      </c>
      <c r="Q178" s="1" t="str">
        <f>IF(H178="","",IF(G178="是",后台计算!BV172-后台计算!DX172,IF(G178="否",后台计算!BU172-后台计算!DW172,"")))</f>
        <v/>
      </c>
      <c r="R178" s="1" t="str">
        <f t="shared" si="19"/>
        <v/>
      </c>
      <c r="S178" s="1" t="str">
        <f t="shared" si="20"/>
        <v/>
      </c>
      <c r="T178" s="1" t="str">
        <f>IF(AND(后台计算!DH172="洞穿",O178&gt;0),IF(O178=ROUNDDOWN(N178*0.4,0),"实测附加=floor(主伤害×40%)；稳态来源待确认","实测附加关系需核对"),"")</f>
        <v/>
      </c>
      <c r="U178" s="1">
        <f>IF(D178="","",后台计算!EQ172)</f>
        <v>232</v>
      </c>
      <c r="V178" s="1">
        <f>IF(D178="","",后台计算!ER172)</f>
        <v>0.9</v>
      </c>
      <c r="W178" s="1">
        <f>IF(D178="","",后台计算!ES172)</f>
        <v>0.65</v>
      </c>
      <c r="X178" s="1" t="str">
        <f>IF(D178="","",IF(Boss参数!$B$60=1,"此前实测；缺失用预测","此前预测"))</f>
        <v>此前实测；缺失用预测</v>
      </c>
      <c r="Y178" s="1" t="str">
        <f>IF(H178="","",IF(H178&gt;Boss参数!$B$63*Boss参数!$B$62,"超过暂定合计上限",""))</f>
        <v/>
      </c>
    </row>
    <row r="179" spans="1:25" ht="38.1" customHeight="1">
      <c r="A179" s="1" t="str">
        <f>行动模拟!A179</f>
        <v/>
      </c>
      <c r="B179" s="1">
        <f>行动模拟!B179</f>
        <v>0</v>
      </c>
      <c r="C179" s="1">
        <f>行动模拟!C179</f>
        <v>0</v>
      </c>
      <c r="D179" s="1">
        <f>行动模拟!D179</f>
        <v>0</v>
      </c>
      <c r="E179" s="1" t="str">
        <f>行动模拟!O179</f>
        <v/>
      </c>
      <c r="F179" s="1" t="str">
        <f>行动模拟!P179</f>
        <v/>
      </c>
      <c r="G179" s="1" t="str">
        <f>IF(行动模拟!D179="","",行动模拟!E179)</f>
        <v/>
      </c>
      <c r="H179" s="1" t="str">
        <f>IF(COUNT(行动模拟!F179:H179)=0,"",SUM(行动模拟!F179:H179))</f>
        <v/>
      </c>
      <c r="I179" s="1" t="str">
        <f t="shared" si="14"/>
        <v/>
      </c>
      <c r="J179" s="1" t="str">
        <f t="shared" si="15"/>
        <v/>
      </c>
      <c r="K179" s="1" t="str">
        <f t="shared" si="16"/>
        <v/>
      </c>
      <c r="L179" s="1" t="str">
        <f t="shared" si="17"/>
        <v/>
      </c>
      <c r="M179" s="1" t="str">
        <f t="shared" si="18"/>
        <v/>
      </c>
      <c r="N179" s="1" t="str">
        <f>IF(ISNUMBER(行动模拟!F179),行动模拟!F179,"")</f>
        <v/>
      </c>
      <c r="O179" s="1" t="str">
        <f>IF(COUNT(行动模拟!G179:H179)=0,"",SUM(行动模拟!G179:H179))</f>
        <v/>
      </c>
      <c r="P179" s="1" t="str">
        <f>IF(H179="","",IF(G179="是",后台计算!DX173,IF(G179="否",后台计算!DW173,"")))</f>
        <v/>
      </c>
      <c r="Q179" s="1" t="str">
        <f>IF(H179="","",IF(G179="是",后台计算!BV173-后台计算!DX173,IF(G179="否",后台计算!BU173-后台计算!DW173,"")))</f>
        <v/>
      </c>
      <c r="R179" s="1" t="str">
        <f t="shared" si="19"/>
        <v/>
      </c>
      <c r="S179" s="1" t="str">
        <f t="shared" si="20"/>
        <v/>
      </c>
      <c r="T179" s="1" t="str">
        <f>IF(AND(后台计算!DH173="洞穿",O179&gt;0),IF(O179=ROUNDDOWN(N179*0.4,0),"实测附加=floor(主伤害×40%)；稳态来源待确认","实测附加关系需核对"),"")</f>
        <v/>
      </c>
      <c r="U179" s="1">
        <f>IF(D179="","",后台计算!EQ173)</f>
        <v>232</v>
      </c>
      <c r="V179" s="1">
        <f>IF(D179="","",后台计算!ER173)</f>
        <v>0.9</v>
      </c>
      <c r="W179" s="1">
        <f>IF(D179="","",后台计算!ES173)</f>
        <v>0.65</v>
      </c>
      <c r="X179" s="1" t="str">
        <f>IF(D179="","",IF(Boss参数!$B$60=1,"此前实测；缺失用预测","此前预测"))</f>
        <v>此前实测；缺失用预测</v>
      </c>
      <c r="Y179" s="1" t="str">
        <f>IF(H179="","",IF(H179&gt;Boss参数!$B$63*Boss参数!$B$62,"超过暂定合计上限",""))</f>
        <v/>
      </c>
    </row>
    <row r="180" spans="1:25" ht="38.1" customHeight="1">
      <c r="A180" s="1" t="str">
        <f>行动模拟!A180</f>
        <v/>
      </c>
      <c r="B180" s="1">
        <f>行动模拟!B180</f>
        <v>0</v>
      </c>
      <c r="C180" s="1">
        <f>行动模拟!C180</f>
        <v>0</v>
      </c>
      <c r="D180" s="1">
        <f>行动模拟!D180</f>
        <v>0</v>
      </c>
      <c r="E180" s="1" t="str">
        <f>行动模拟!O180</f>
        <v/>
      </c>
      <c r="F180" s="1" t="str">
        <f>行动模拟!P180</f>
        <v/>
      </c>
      <c r="G180" s="1" t="str">
        <f>IF(行动模拟!D180="","",行动模拟!E180)</f>
        <v/>
      </c>
      <c r="H180" s="1" t="str">
        <f>IF(COUNT(行动模拟!F180:H180)=0,"",SUM(行动模拟!F180:H180))</f>
        <v/>
      </c>
      <c r="I180" s="1" t="str">
        <f t="shared" si="14"/>
        <v/>
      </c>
      <c r="J180" s="1" t="str">
        <f t="shared" si="15"/>
        <v/>
      </c>
      <c r="K180" s="1" t="str">
        <f t="shared" si="16"/>
        <v/>
      </c>
      <c r="L180" s="1" t="str">
        <f t="shared" si="17"/>
        <v/>
      </c>
      <c r="M180" s="1" t="str">
        <f t="shared" si="18"/>
        <v/>
      </c>
      <c r="N180" s="1" t="str">
        <f>IF(ISNUMBER(行动模拟!F180),行动模拟!F180,"")</f>
        <v/>
      </c>
      <c r="O180" s="1" t="str">
        <f>IF(COUNT(行动模拟!G180:H180)=0,"",SUM(行动模拟!G180:H180))</f>
        <v/>
      </c>
      <c r="P180" s="1" t="str">
        <f>IF(H180="","",IF(G180="是",后台计算!DX174,IF(G180="否",后台计算!DW174,"")))</f>
        <v/>
      </c>
      <c r="Q180" s="1" t="str">
        <f>IF(H180="","",IF(G180="是",后台计算!BV174-后台计算!DX174,IF(G180="否",后台计算!BU174-后台计算!DW174,"")))</f>
        <v/>
      </c>
      <c r="R180" s="1" t="str">
        <f t="shared" si="19"/>
        <v/>
      </c>
      <c r="S180" s="1" t="str">
        <f t="shared" si="20"/>
        <v/>
      </c>
      <c r="T180" s="1" t="str">
        <f>IF(AND(后台计算!DH174="洞穿",O180&gt;0),IF(O180=ROUNDDOWN(N180*0.4,0),"实测附加=floor(主伤害×40%)；稳态来源待确认","实测附加关系需核对"),"")</f>
        <v/>
      </c>
      <c r="U180" s="1">
        <f>IF(D180="","",后台计算!EQ174)</f>
        <v>232</v>
      </c>
      <c r="V180" s="1">
        <f>IF(D180="","",后台计算!ER174)</f>
        <v>0.9</v>
      </c>
      <c r="W180" s="1">
        <f>IF(D180="","",后台计算!ES174)</f>
        <v>0.65</v>
      </c>
      <c r="X180" s="1" t="str">
        <f>IF(D180="","",IF(Boss参数!$B$60=1,"此前实测；缺失用预测","此前预测"))</f>
        <v>此前实测；缺失用预测</v>
      </c>
      <c r="Y180" s="1" t="str">
        <f>IF(H180="","",IF(H180&gt;Boss参数!$B$63*Boss参数!$B$62,"超过暂定合计上限",""))</f>
        <v/>
      </c>
    </row>
    <row r="181" spans="1:25" ht="38.1" customHeight="1">
      <c r="A181" s="1" t="str">
        <f>行动模拟!A181</f>
        <v/>
      </c>
      <c r="B181" s="1">
        <f>行动模拟!B181</f>
        <v>0</v>
      </c>
      <c r="C181" s="1">
        <f>行动模拟!C181</f>
        <v>0</v>
      </c>
      <c r="D181" s="1">
        <f>行动模拟!D181</f>
        <v>0</v>
      </c>
      <c r="E181" s="1" t="str">
        <f>行动模拟!O181</f>
        <v/>
      </c>
      <c r="F181" s="1" t="str">
        <f>行动模拟!P181</f>
        <v/>
      </c>
      <c r="G181" s="1" t="str">
        <f>IF(行动模拟!D181="","",行动模拟!E181)</f>
        <v/>
      </c>
      <c r="H181" s="1" t="str">
        <f>IF(COUNT(行动模拟!F181:H181)=0,"",SUM(行动模拟!F181:H181))</f>
        <v/>
      </c>
      <c r="I181" s="1" t="str">
        <f t="shared" si="14"/>
        <v/>
      </c>
      <c r="J181" s="1" t="str">
        <f t="shared" si="15"/>
        <v/>
      </c>
      <c r="K181" s="1" t="str">
        <f t="shared" si="16"/>
        <v/>
      </c>
      <c r="L181" s="1" t="str">
        <f t="shared" si="17"/>
        <v/>
      </c>
      <c r="M181" s="1" t="str">
        <f t="shared" si="18"/>
        <v/>
      </c>
      <c r="N181" s="1" t="str">
        <f>IF(ISNUMBER(行动模拟!F181),行动模拟!F181,"")</f>
        <v/>
      </c>
      <c r="O181" s="1" t="str">
        <f>IF(COUNT(行动模拟!G181:H181)=0,"",SUM(行动模拟!G181:H181))</f>
        <v/>
      </c>
      <c r="P181" s="1" t="str">
        <f>IF(H181="","",IF(G181="是",后台计算!DX175,IF(G181="否",后台计算!DW175,"")))</f>
        <v/>
      </c>
      <c r="Q181" s="1" t="str">
        <f>IF(H181="","",IF(G181="是",后台计算!BV175-后台计算!DX175,IF(G181="否",后台计算!BU175-后台计算!DW175,"")))</f>
        <v/>
      </c>
      <c r="R181" s="1" t="str">
        <f t="shared" si="19"/>
        <v/>
      </c>
      <c r="S181" s="1" t="str">
        <f t="shared" si="20"/>
        <v/>
      </c>
      <c r="T181" s="1" t="str">
        <f>IF(AND(后台计算!DH175="洞穿",O181&gt;0),IF(O181=ROUNDDOWN(N181*0.4,0),"实测附加=floor(主伤害×40%)；稳态来源待确认","实测附加关系需核对"),"")</f>
        <v/>
      </c>
      <c r="U181" s="1">
        <f>IF(D181="","",后台计算!EQ175)</f>
        <v>232</v>
      </c>
      <c r="V181" s="1">
        <f>IF(D181="","",后台计算!ER175)</f>
        <v>0.9</v>
      </c>
      <c r="W181" s="1">
        <f>IF(D181="","",后台计算!ES175)</f>
        <v>0.65</v>
      </c>
      <c r="X181" s="1" t="str">
        <f>IF(D181="","",IF(Boss参数!$B$60=1,"此前实测；缺失用预测","此前预测"))</f>
        <v>此前实测；缺失用预测</v>
      </c>
      <c r="Y181" s="1" t="str">
        <f>IF(H181="","",IF(H181&gt;Boss参数!$B$63*Boss参数!$B$62,"超过暂定合计上限",""))</f>
        <v/>
      </c>
    </row>
    <row r="182" spans="1:25" ht="38.1" customHeight="1">
      <c r="A182" s="1" t="str">
        <f>行动模拟!A182</f>
        <v/>
      </c>
      <c r="B182" s="1">
        <f>行动模拟!B182</f>
        <v>0</v>
      </c>
      <c r="C182" s="1">
        <f>行动模拟!C182</f>
        <v>0</v>
      </c>
      <c r="D182" s="1">
        <f>行动模拟!D182</f>
        <v>0</v>
      </c>
      <c r="E182" s="1" t="str">
        <f>行动模拟!O182</f>
        <v/>
      </c>
      <c r="F182" s="1" t="str">
        <f>行动模拟!P182</f>
        <v/>
      </c>
      <c r="G182" s="1" t="str">
        <f>IF(行动模拟!D182="","",行动模拟!E182)</f>
        <v/>
      </c>
      <c r="H182" s="1" t="str">
        <f>IF(COUNT(行动模拟!F182:H182)=0,"",SUM(行动模拟!F182:H182))</f>
        <v/>
      </c>
      <c r="I182" s="1" t="str">
        <f t="shared" si="14"/>
        <v/>
      </c>
      <c r="J182" s="1" t="str">
        <f t="shared" si="15"/>
        <v/>
      </c>
      <c r="K182" s="1" t="str">
        <f t="shared" si="16"/>
        <v/>
      </c>
      <c r="L182" s="1" t="str">
        <f t="shared" si="17"/>
        <v/>
      </c>
      <c r="M182" s="1" t="str">
        <f t="shared" si="18"/>
        <v/>
      </c>
      <c r="N182" s="1" t="str">
        <f>IF(ISNUMBER(行动模拟!F182),行动模拟!F182,"")</f>
        <v/>
      </c>
      <c r="O182" s="1" t="str">
        <f>IF(COUNT(行动模拟!G182:H182)=0,"",SUM(行动模拟!G182:H182))</f>
        <v/>
      </c>
      <c r="P182" s="1" t="str">
        <f>IF(H182="","",IF(G182="是",后台计算!DX176,IF(G182="否",后台计算!DW176,"")))</f>
        <v/>
      </c>
      <c r="Q182" s="1" t="str">
        <f>IF(H182="","",IF(G182="是",后台计算!BV176-后台计算!DX176,IF(G182="否",后台计算!BU176-后台计算!DW176,"")))</f>
        <v/>
      </c>
      <c r="R182" s="1" t="str">
        <f t="shared" si="19"/>
        <v/>
      </c>
      <c r="S182" s="1" t="str">
        <f t="shared" si="20"/>
        <v/>
      </c>
      <c r="T182" s="1" t="str">
        <f>IF(AND(后台计算!DH176="洞穿",O182&gt;0),IF(O182=ROUNDDOWN(N182*0.4,0),"实测附加=floor(主伤害×40%)；稳态来源待确认","实测附加关系需核对"),"")</f>
        <v/>
      </c>
      <c r="U182" s="1">
        <f>IF(D182="","",后台计算!EQ176)</f>
        <v>232</v>
      </c>
      <c r="V182" s="1">
        <f>IF(D182="","",后台计算!ER176)</f>
        <v>0.9</v>
      </c>
      <c r="W182" s="1">
        <f>IF(D182="","",后台计算!ES176)</f>
        <v>0.65</v>
      </c>
      <c r="X182" s="1" t="str">
        <f>IF(D182="","",IF(Boss参数!$B$60=1,"此前实测；缺失用预测","此前预测"))</f>
        <v>此前实测；缺失用预测</v>
      </c>
      <c r="Y182" s="1" t="str">
        <f>IF(H182="","",IF(H182&gt;Boss参数!$B$63*Boss参数!$B$62,"超过暂定合计上限",""))</f>
        <v/>
      </c>
    </row>
    <row r="183" spans="1:25" ht="38.1" customHeight="1">
      <c r="A183" s="1" t="str">
        <f>行动模拟!A183</f>
        <v/>
      </c>
      <c r="B183" s="1">
        <f>行动模拟!B183</f>
        <v>0</v>
      </c>
      <c r="C183" s="1">
        <f>行动模拟!C183</f>
        <v>0</v>
      </c>
      <c r="D183" s="1">
        <f>行动模拟!D183</f>
        <v>0</v>
      </c>
      <c r="E183" s="1" t="str">
        <f>行动模拟!O183</f>
        <v/>
      </c>
      <c r="F183" s="1" t="str">
        <f>行动模拟!P183</f>
        <v/>
      </c>
      <c r="G183" s="1" t="str">
        <f>IF(行动模拟!D183="","",行动模拟!E183)</f>
        <v/>
      </c>
      <c r="H183" s="1" t="str">
        <f>IF(COUNT(行动模拟!F183:H183)=0,"",SUM(行动模拟!F183:H183))</f>
        <v/>
      </c>
      <c r="I183" s="1" t="str">
        <f t="shared" si="14"/>
        <v/>
      </c>
      <c r="J183" s="1" t="str">
        <f t="shared" si="15"/>
        <v/>
      </c>
      <c r="K183" s="1" t="str">
        <f t="shared" si="16"/>
        <v/>
      </c>
      <c r="L183" s="1" t="str">
        <f t="shared" si="17"/>
        <v/>
      </c>
      <c r="M183" s="1" t="str">
        <f t="shared" si="18"/>
        <v/>
      </c>
      <c r="N183" s="1" t="str">
        <f>IF(ISNUMBER(行动模拟!F183),行动模拟!F183,"")</f>
        <v/>
      </c>
      <c r="O183" s="1" t="str">
        <f>IF(COUNT(行动模拟!G183:H183)=0,"",SUM(行动模拟!G183:H183))</f>
        <v/>
      </c>
      <c r="P183" s="1" t="str">
        <f>IF(H183="","",IF(G183="是",后台计算!DX177,IF(G183="否",后台计算!DW177,"")))</f>
        <v/>
      </c>
      <c r="Q183" s="1" t="str">
        <f>IF(H183="","",IF(G183="是",后台计算!BV177-后台计算!DX177,IF(G183="否",后台计算!BU177-后台计算!DW177,"")))</f>
        <v/>
      </c>
      <c r="R183" s="1" t="str">
        <f t="shared" si="19"/>
        <v/>
      </c>
      <c r="S183" s="1" t="str">
        <f t="shared" si="20"/>
        <v/>
      </c>
      <c r="T183" s="1" t="str">
        <f>IF(AND(后台计算!DH177="洞穿",O183&gt;0),IF(O183=ROUNDDOWN(N183*0.4,0),"实测附加=floor(主伤害×40%)；稳态来源待确认","实测附加关系需核对"),"")</f>
        <v/>
      </c>
      <c r="U183" s="1">
        <f>IF(D183="","",后台计算!EQ177)</f>
        <v>232</v>
      </c>
      <c r="V183" s="1">
        <f>IF(D183="","",后台计算!ER177)</f>
        <v>0.9</v>
      </c>
      <c r="W183" s="1">
        <f>IF(D183="","",后台计算!ES177)</f>
        <v>0.65</v>
      </c>
      <c r="X183" s="1" t="str">
        <f>IF(D183="","",IF(Boss参数!$B$60=1,"此前实测；缺失用预测","此前预测"))</f>
        <v>此前实测；缺失用预测</v>
      </c>
      <c r="Y183" s="1" t="str">
        <f>IF(H183="","",IF(H183&gt;Boss参数!$B$63*Boss参数!$B$62,"超过暂定合计上限",""))</f>
        <v/>
      </c>
    </row>
    <row r="184" spans="1:25" ht="38.1" customHeight="1">
      <c r="A184" s="1" t="str">
        <f>行动模拟!A184</f>
        <v/>
      </c>
      <c r="B184" s="1">
        <f>行动模拟!B184</f>
        <v>0</v>
      </c>
      <c r="C184" s="1">
        <f>行动模拟!C184</f>
        <v>0</v>
      </c>
      <c r="D184" s="1">
        <f>行动模拟!D184</f>
        <v>0</v>
      </c>
      <c r="E184" s="1" t="str">
        <f>行动模拟!O184</f>
        <v/>
      </c>
      <c r="F184" s="1" t="str">
        <f>行动模拟!P184</f>
        <v/>
      </c>
      <c r="G184" s="1" t="str">
        <f>IF(行动模拟!D184="","",行动模拟!E184)</f>
        <v/>
      </c>
      <c r="H184" s="1" t="str">
        <f>IF(COUNT(行动模拟!F184:H184)=0,"",SUM(行动模拟!F184:H184))</f>
        <v/>
      </c>
      <c r="I184" s="1" t="str">
        <f t="shared" si="14"/>
        <v/>
      </c>
      <c r="J184" s="1" t="str">
        <f t="shared" si="15"/>
        <v/>
      </c>
      <c r="K184" s="1" t="str">
        <f t="shared" si="16"/>
        <v/>
      </c>
      <c r="L184" s="1" t="str">
        <f t="shared" si="17"/>
        <v/>
      </c>
      <c r="M184" s="1" t="str">
        <f t="shared" si="18"/>
        <v/>
      </c>
      <c r="N184" s="1" t="str">
        <f>IF(ISNUMBER(行动模拟!F184),行动模拟!F184,"")</f>
        <v/>
      </c>
      <c r="O184" s="1" t="str">
        <f>IF(COUNT(行动模拟!G184:H184)=0,"",SUM(行动模拟!G184:H184))</f>
        <v/>
      </c>
      <c r="P184" s="1" t="str">
        <f>IF(H184="","",IF(G184="是",后台计算!DX178,IF(G184="否",后台计算!DW178,"")))</f>
        <v/>
      </c>
      <c r="Q184" s="1" t="str">
        <f>IF(H184="","",IF(G184="是",后台计算!BV178-后台计算!DX178,IF(G184="否",后台计算!BU178-后台计算!DW178,"")))</f>
        <v/>
      </c>
      <c r="R184" s="1" t="str">
        <f t="shared" si="19"/>
        <v/>
      </c>
      <c r="S184" s="1" t="str">
        <f t="shared" si="20"/>
        <v/>
      </c>
      <c r="T184" s="1" t="str">
        <f>IF(AND(后台计算!DH178="洞穿",O184&gt;0),IF(O184=ROUNDDOWN(N184*0.4,0),"实测附加=floor(主伤害×40%)；稳态来源待确认","实测附加关系需核对"),"")</f>
        <v/>
      </c>
      <c r="U184" s="1">
        <f>IF(D184="","",后台计算!EQ178)</f>
        <v>232</v>
      </c>
      <c r="V184" s="1">
        <f>IF(D184="","",后台计算!ER178)</f>
        <v>0.9</v>
      </c>
      <c r="W184" s="1">
        <f>IF(D184="","",后台计算!ES178)</f>
        <v>0.65</v>
      </c>
      <c r="X184" s="1" t="str">
        <f>IF(D184="","",IF(Boss参数!$B$60=1,"此前实测；缺失用预测","此前预测"))</f>
        <v>此前实测；缺失用预测</v>
      </c>
      <c r="Y184" s="1" t="str">
        <f>IF(H184="","",IF(H184&gt;Boss参数!$B$63*Boss参数!$B$62,"超过暂定合计上限",""))</f>
        <v/>
      </c>
    </row>
    <row r="185" spans="1:25" ht="38.1" customHeight="1">
      <c r="A185" s="1" t="str">
        <f>行动模拟!A185</f>
        <v/>
      </c>
      <c r="B185" s="1">
        <f>行动模拟!B185</f>
        <v>0</v>
      </c>
      <c r="C185" s="1">
        <f>行动模拟!C185</f>
        <v>0</v>
      </c>
      <c r="D185" s="1">
        <f>行动模拟!D185</f>
        <v>0</v>
      </c>
      <c r="E185" s="1" t="str">
        <f>行动模拟!O185</f>
        <v/>
      </c>
      <c r="F185" s="1" t="str">
        <f>行动模拟!P185</f>
        <v/>
      </c>
      <c r="G185" s="1" t="str">
        <f>IF(行动模拟!D185="","",行动模拟!E185)</f>
        <v/>
      </c>
      <c r="H185" s="1" t="str">
        <f>IF(COUNT(行动模拟!F185:H185)=0,"",SUM(行动模拟!F185:H185))</f>
        <v/>
      </c>
      <c r="I185" s="1" t="str">
        <f t="shared" si="14"/>
        <v/>
      </c>
      <c r="J185" s="1" t="str">
        <f t="shared" si="15"/>
        <v/>
      </c>
      <c r="K185" s="1" t="str">
        <f t="shared" si="16"/>
        <v/>
      </c>
      <c r="L185" s="1" t="str">
        <f t="shared" si="17"/>
        <v/>
      </c>
      <c r="M185" s="1" t="str">
        <f t="shared" si="18"/>
        <v/>
      </c>
      <c r="N185" s="1" t="str">
        <f>IF(ISNUMBER(行动模拟!F185),行动模拟!F185,"")</f>
        <v/>
      </c>
      <c r="O185" s="1" t="str">
        <f>IF(COUNT(行动模拟!G185:H185)=0,"",SUM(行动模拟!G185:H185))</f>
        <v/>
      </c>
      <c r="P185" s="1" t="str">
        <f>IF(H185="","",IF(G185="是",后台计算!DX179,IF(G185="否",后台计算!DW179,"")))</f>
        <v/>
      </c>
      <c r="Q185" s="1" t="str">
        <f>IF(H185="","",IF(G185="是",后台计算!BV179-后台计算!DX179,IF(G185="否",后台计算!BU179-后台计算!DW179,"")))</f>
        <v/>
      </c>
      <c r="R185" s="1" t="str">
        <f t="shared" si="19"/>
        <v/>
      </c>
      <c r="S185" s="1" t="str">
        <f t="shared" si="20"/>
        <v/>
      </c>
      <c r="T185" s="1" t="str">
        <f>IF(AND(后台计算!DH179="洞穿",O185&gt;0),IF(O185=ROUNDDOWN(N185*0.4,0),"实测附加=floor(主伤害×40%)；稳态来源待确认","实测附加关系需核对"),"")</f>
        <v/>
      </c>
      <c r="U185" s="1">
        <f>IF(D185="","",后台计算!EQ179)</f>
        <v>232</v>
      </c>
      <c r="V185" s="1">
        <f>IF(D185="","",后台计算!ER179)</f>
        <v>0.9</v>
      </c>
      <c r="W185" s="1">
        <f>IF(D185="","",后台计算!ES179)</f>
        <v>0.65</v>
      </c>
      <c r="X185" s="1" t="str">
        <f>IF(D185="","",IF(Boss参数!$B$60=1,"此前实测；缺失用预测","此前预测"))</f>
        <v>此前实测；缺失用预测</v>
      </c>
      <c r="Y185" s="1" t="str">
        <f>IF(H185="","",IF(H185&gt;Boss参数!$B$63*Boss参数!$B$62,"超过暂定合计上限",""))</f>
        <v/>
      </c>
    </row>
    <row r="186" spans="1:25" ht="38.1" customHeight="1">
      <c r="A186" s="1" t="str">
        <f>行动模拟!A186</f>
        <v/>
      </c>
      <c r="B186" s="1">
        <f>行动模拟!B186</f>
        <v>0</v>
      </c>
      <c r="C186" s="1">
        <f>行动模拟!C186</f>
        <v>0</v>
      </c>
      <c r="D186" s="1">
        <f>行动模拟!D186</f>
        <v>0</v>
      </c>
      <c r="E186" s="1" t="str">
        <f>行动模拟!O186</f>
        <v/>
      </c>
      <c r="F186" s="1" t="str">
        <f>行动模拟!P186</f>
        <v/>
      </c>
      <c r="G186" s="1" t="str">
        <f>IF(行动模拟!D186="","",行动模拟!E186)</f>
        <v/>
      </c>
      <c r="H186" s="1" t="str">
        <f>IF(COUNT(行动模拟!F186:H186)=0,"",SUM(行动模拟!F186:H186))</f>
        <v/>
      </c>
      <c r="I186" s="1" t="str">
        <f t="shared" si="14"/>
        <v/>
      </c>
      <c r="J186" s="1" t="str">
        <f t="shared" si="15"/>
        <v/>
      </c>
      <c r="K186" s="1" t="str">
        <f t="shared" si="16"/>
        <v/>
      </c>
      <c r="L186" s="1" t="str">
        <f t="shared" si="17"/>
        <v/>
      </c>
      <c r="M186" s="1" t="str">
        <f t="shared" si="18"/>
        <v/>
      </c>
      <c r="N186" s="1" t="str">
        <f>IF(ISNUMBER(行动模拟!F186),行动模拟!F186,"")</f>
        <v/>
      </c>
      <c r="O186" s="1" t="str">
        <f>IF(COUNT(行动模拟!G186:H186)=0,"",SUM(行动模拟!G186:H186))</f>
        <v/>
      </c>
      <c r="P186" s="1" t="str">
        <f>IF(H186="","",IF(G186="是",后台计算!DX180,IF(G186="否",后台计算!DW180,"")))</f>
        <v/>
      </c>
      <c r="Q186" s="1" t="str">
        <f>IF(H186="","",IF(G186="是",后台计算!BV180-后台计算!DX180,IF(G186="否",后台计算!BU180-后台计算!DW180,"")))</f>
        <v/>
      </c>
      <c r="R186" s="1" t="str">
        <f t="shared" si="19"/>
        <v/>
      </c>
      <c r="S186" s="1" t="str">
        <f t="shared" si="20"/>
        <v/>
      </c>
      <c r="T186" s="1" t="str">
        <f>IF(AND(后台计算!DH180="洞穿",O186&gt;0),IF(O186=ROUNDDOWN(N186*0.4,0),"实测附加=floor(主伤害×40%)；稳态来源待确认","实测附加关系需核对"),"")</f>
        <v/>
      </c>
      <c r="U186" s="1">
        <f>IF(D186="","",后台计算!EQ180)</f>
        <v>232</v>
      </c>
      <c r="V186" s="1">
        <f>IF(D186="","",后台计算!ER180)</f>
        <v>0.9</v>
      </c>
      <c r="W186" s="1">
        <f>IF(D186="","",后台计算!ES180)</f>
        <v>0.65</v>
      </c>
      <c r="X186" s="1" t="str">
        <f>IF(D186="","",IF(Boss参数!$B$60=1,"此前实测；缺失用预测","此前预测"))</f>
        <v>此前实测；缺失用预测</v>
      </c>
      <c r="Y186" s="1" t="str">
        <f>IF(H186="","",IF(H186&gt;Boss参数!$B$63*Boss参数!$B$62,"超过暂定合计上限",""))</f>
        <v/>
      </c>
    </row>
    <row r="187" spans="1:25" ht="38.1" customHeight="1">
      <c r="A187" s="1" t="str">
        <f>行动模拟!A187</f>
        <v/>
      </c>
      <c r="B187" s="1">
        <f>行动模拟!B187</f>
        <v>0</v>
      </c>
      <c r="C187" s="1">
        <f>行动模拟!C187</f>
        <v>0</v>
      </c>
      <c r="D187" s="1">
        <f>行动模拟!D187</f>
        <v>0</v>
      </c>
      <c r="E187" s="1" t="str">
        <f>行动模拟!O187</f>
        <v/>
      </c>
      <c r="F187" s="1" t="str">
        <f>行动模拟!P187</f>
        <v/>
      </c>
      <c r="G187" s="1" t="str">
        <f>IF(行动模拟!D187="","",行动模拟!E187)</f>
        <v/>
      </c>
      <c r="H187" s="1" t="str">
        <f>IF(COUNT(行动模拟!F187:H187)=0,"",SUM(行动模拟!F187:H187))</f>
        <v/>
      </c>
      <c r="I187" s="1" t="str">
        <f t="shared" si="14"/>
        <v/>
      </c>
      <c r="J187" s="1" t="str">
        <f t="shared" si="15"/>
        <v/>
      </c>
      <c r="K187" s="1" t="str">
        <f t="shared" si="16"/>
        <v/>
      </c>
      <c r="L187" s="1" t="str">
        <f t="shared" si="17"/>
        <v/>
      </c>
      <c r="M187" s="1" t="str">
        <f t="shared" si="18"/>
        <v/>
      </c>
      <c r="N187" s="1" t="str">
        <f>IF(ISNUMBER(行动模拟!F187),行动模拟!F187,"")</f>
        <v/>
      </c>
      <c r="O187" s="1" t="str">
        <f>IF(COUNT(行动模拟!G187:H187)=0,"",SUM(行动模拟!G187:H187))</f>
        <v/>
      </c>
      <c r="P187" s="1" t="str">
        <f>IF(H187="","",IF(G187="是",后台计算!DX181,IF(G187="否",后台计算!DW181,"")))</f>
        <v/>
      </c>
      <c r="Q187" s="1" t="str">
        <f>IF(H187="","",IF(G187="是",后台计算!BV181-后台计算!DX181,IF(G187="否",后台计算!BU181-后台计算!DW181,"")))</f>
        <v/>
      </c>
      <c r="R187" s="1" t="str">
        <f t="shared" si="19"/>
        <v/>
      </c>
      <c r="S187" s="1" t="str">
        <f t="shared" si="20"/>
        <v/>
      </c>
      <c r="T187" s="1" t="str">
        <f>IF(AND(后台计算!DH181="洞穿",O187&gt;0),IF(O187=ROUNDDOWN(N187*0.4,0),"实测附加=floor(主伤害×40%)；稳态来源待确认","实测附加关系需核对"),"")</f>
        <v/>
      </c>
      <c r="U187" s="1">
        <f>IF(D187="","",后台计算!EQ181)</f>
        <v>232</v>
      </c>
      <c r="V187" s="1">
        <f>IF(D187="","",后台计算!ER181)</f>
        <v>0.9</v>
      </c>
      <c r="W187" s="1">
        <f>IF(D187="","",后台计算!ES181)</f>
        <v>0.65</v>
      </c>
      <c r="X187" s="1" t="str">
        <f>IF(D187="","",IF(Boss参数!$B$60=1,"此前实测；缺失用预测","此前预测"))</f>
        <v>此前实测；缺失用预测</v>
      </c>
      <c r="Y187" s="1" t="str">
        <f>IF(H187="","",IF(H187&gt;Boss参数!$B$63*Boss参数!$B$62,"超过暂定合计上限",""))</f>
        <v/>
      </c>
    </row>
    <row r="188" spans="1:25" ht="38.1" customHeight="1">
      <c r="A188" s="1" t="str">
        <f>行动模拟!A188</f>
        <v/>
      </c>
      <c r="B188" s="1">
        <f>行动模拟!B188</f>
        <v>0</v>
      </c>
      <c r="C188" s="1">
        <f>行动模拟!C188</f>
        <v>0</v>
      </c>
      <c r="D188" s="1">
        <f>行动模拟!D188</f>
        <v>0</v>
      </c>
      <c r="E188" s="1" t="str">
        <f>行动模拟!O188</f>
        <v/>
      </c>
      <c r="F188" s="1" t="str">
        <f>行动模拟!P188</f>
        <v/>
      </c>
      <c r="G188" s="1" t="str">
        <f>IF(行动模拟!D188="","",行动模拟!E188)</f>
        <v/>
      </c>
      <c r="H188" s="1" t="str">
        <f>IF(COUNT(行动模拟!F188:H188)=0,"",SUM(行动模拟!F188:H188))</f>
        <v/>
      </c>
      <c r="I188" s="1" t="str">
        <f t="shared" si="14"/>
        <v/>
      </c>
      <c r="J188" s="1" t="str">
        <f t="shared" si="15"/>
        <v/>
      </c>
      <c r="K188" s="1" t="str">
        <f t="shared" si="16"/>
        <v/>
      </c>
      <c r="L188" s="1" t="str">
        <f t="shared" si="17"/>
        <v/>
      </c>
      <c r="M188" s="1" t="str">
        <f t="shared" si="18"/>
        <v/>
      </c>
      <c r="N188" s="1" t="str">
        <f>IF(ISNUMBER(行动模拟!F188),行动模拟!F188,"")</f>
        <v/>
      </c>
      <c r="O188" s="1" t="str">
        <f>IF(COUNT(行动模拟!G188:H188)=0,"",SUM(行动模拟!G188:H188))</f>
        <v/>
      </c>
      <c r="P188" s="1" t="str">
        <f>IF(H188="","",IF(G188="是",后台计算!DX182,IF(G188="否",后台计算!DW182,"")))</f>
        <v/>
      </c>
      <c r="Q188" s="1" t="str">
        <f>IF(H188="","",IF(G188="是",后台计算!BV182-后台计算!DX182,IF(G188="否",后台计算!BU182-后台计算!DW182,"")))</f>
        <v/>
      </c>
      <c r="R188" s="1" t="str">
        <f t="shared" si="19"/>
        <v/>
      </c>
      <c r="S188" s="1" t="str">
        <f t="shared" si="20"/>
        <v/>
      </c>
      <c r="T188" s="1" t="str">
        <f>IF(AND(后台计算!DH182="洞穿",O188&gt;0),IF(O188=ROUNDDOWN(N188*0.4,0),"实测附加=floor(主伤害×40%)；稳态来源待确认","实测附加关系需核对"),"")</f>
        <v/>
      </c>
      <c r="U188" s="1">
        <f>IF(D188="","",后台计算!EQ182)</f>
        <v>232</v>
      </c>
      <c r="V188" s="1">
        <f>IF(D188="","",后台计算!ER182)</f>
        <v>0.9</v>
      </c>
      <c r="W188" s="1">
        <f>IF(D188="","",后台计算!ES182)</f>
        <v>0.65</v>
      </c>
      <c r="X188" s="1" t="str">
        <f>IF(D188="","",IF(Boss参数!$B$60=1,"此前实测；缺失用预测","此前预测"))</f>
        <v>此前实测；缺失用预测</v>
      </c>
      <c r="Y188" s="1" t="str">
        <f>IF(H188="","",IF(H188&gt;Boss参数!$B$63*Boss参数!$B$62,"超过暂定合计上限",""))</f>
        <v/>
      </c>
    </row>
    <row r="189" spans="1:25" ht="38.1" customHeight="1">
      <c r="A189" s="1" t="str">
        <f>行动模拟!A189</f>
        <v/>
      </c>
      <c r="B189" s="1">
        <f>行动模拟!B189</f>
        <v>0</v>
      </c>
      <c r="C189" s="1">
        <f>行动模拟!C189</f>
        <v>0</v>
      </c>
      <c r="D189" s="1">
        <f>行动模拟!D189</f>
        <v>0</v>
      </c>
      <c r="E189" s="1" t="str">
        <f>行动模拟!O189</f>
        <v/>
      </c>
      <c r="F189" s="1" t="str">
        <f>行动模拟!P189</f>
        <v/>
      </c>
      <c r="G189" s="1" t="str">
        <f>IF(行动模拟!D189="","",行动模拟!E189)</f>
        <v/>
      </c>
      <c r="H189" s="1" t="str">
        <f>IF(COUNT(行动模拟!F189:H189)=0,"",SUM(行动模拟!F189:H189))</f>
        <v/>
      </c>
      <c r="I189" s="1" t="str">
        <f t="shared" si="14"/>
        <v/>
      </c>
      <c r="J189" s="1" t="str">
        <f t="shared" si="15"/>
        <v/>
      </c>
      <c r="K189" s="1" t="str">
        <f t="shared" si="16"/>
        <v/>
      </c>
      <c r="L189" s="1" t="str">
        <f t="shared" si="17"/>
        <v/>
      </c>
      <c r="M189" s="1" t="str">
        <f t="shared" si="18"/>
        <v/>
      </c>
      <c r="N189" s="1" t="str">
        <f>IF(ISNUMBER(行动模拟!F189),行动模拟!F189,"")</f>
        <v/>
      </c>
      <c r="O189" s="1" t="str">
        <f>IF(COUNT(行动模拟!G189:H189)=0,"",SUM(行动模拟!G189:H189))</f>
        <v/>
      </c>
      <c r="P189" s="1" t="str">
        <f>IF(H189="","",IF(G189="是",后台计算!DX183,IF(G189="否",后台计算!DW183,"")))</f>
        <v/>
      </c>
      <c r="Q189" s="1" t="str">
        <f>IF(H189="","",IF(G189="是",后台计算!BV183-后台计算!DX183,IF(G189="否",后台计算!BU183-后台计算!DW183,"")))</f>
        <v/>
      </c>
      <c r="R189" s="1" t="str">
        <f t="shared" si="19"/>
        <v/>
      </c>
      <c r="S189" s="1" t="str">
        <f t="shared" si="20"/>
        <v/>
      </c>
      <c r="T189" s="1" t="str">
        <f>IF(AND(后台计算!DH183="洞穿",O189&gt;0),IF(O189=ROUNDDOWN(N189*0.4,0),"实测附加=floor(主伤害×40%)；稳态来源待确认","实测附加关系需核对"),"")</f>
        <v/>
      </c>
      <c r="U189" s="1">
        <f>IF(D189="","",后台计算!EQ183)</f>
        <v>232</v>
      </c>
      <c r="V189" s="1">
        <f>IF(D189="","",后台计算!ER183)</f>
        <v>0.9</v>
      </c>
      <c r="W189" s="1">
        <f>IF(D189="","",后台计算!ES183)</f>
        <v>0.65</v>
      </c>
      <c r="X189" s="1" t="str">
        <f>IF(D189="","",IF(Boss参数!$B$60=1,"此前实测；缺失用预测","此前预测"))</f>
        <v>此前实测；缺失用预测</v>
      </c>
      <c r="Y189" s="1" t="str">
        <f>IF(H189="","",IF(H189&gt;Boss参数!$B$63*Boss参数!$B$62,"超过暂定合计上限",""))</f>
        <v/>
      </c>
    </row>
    <row r="190" spans="1:25" ht="38.1" customHeight="1">
      <c r="A190" s="1" t="str">
        <f>行动模拟!A190</f>
        <v/>
      </c>
      <c r="B190" s="1">
        <f>行动模拟!B190</f>
        <v>0</v>
      </c>
      <c r="C190" s="1">
        <f>行动模拟!C190</f>
        <v>0</v>
      </c>
      <c r="D190" s="1">
        <f>行动模拟!D190</f>
        <v>0</v>
      </c>
      <c r="E190" s="1" t="str">
        <f>行动模拟!O190</f>
        <v/>
      </c>
      <c r="F190" s="1" t="str">
        <f>行动模拟!P190</f>
        <v/>
      </c>
      <c r="G190" s="1" t="str">
        <f>IF(行动模拟!D190="","",行动模拟!E190)</f>
        <v/>
      </c>
      <c r="H190" s="1" t="str">
        <f>IF(COUNT(行动模拟!F190:H190)=0,"",SUM(行动模拟!F190:H190))</f>
        <v/>
      </c>
      <c r="I190" s="1" t="str">
        <f t="shared" si="14"/>
        <v/>
      </c>
      <c r="J190" s="1" t="str">
        <f t="shared" si="15"/>
        <v/>
      </c>
      <c r="K190" s="1" t="str">
        <f t="shared" si="16"/>
        <v/>
      </c>
      <c r="L190" s="1" t="str">
        <f t="shared" si="17"/>
        <v/>
      </c>
      <c r="M190" s="1" t="str">
        <f t="shared" si="18"/>
        <v/>
      </c>
      <c r="N190" s="1" t="str">
        <f>IF(ISNUMBER(行动模拟!F190),行动模拟!F190,"")</f>
        <v/>
      </c>
      <c r="O190" s="1" t="str">
        <f>IF(COUNT(行动模拟!G190:H190)=0,"",SUM(行动模拟!G190:H190))</f>
        <v/>
      </c>
      <c r="P190" s="1" t="str">
        <f>IF(H190="","",IF(G190="是",后台计算!DX184,IF(G190="否",后台计算!DW184,"")))</f>
        <v/>
      </c>
      <c r="Q190" s="1" t="str">
        <f>IF(H190="","",IF(G190="是",后台计算!BV184-后台计算!DX184,IF(G190="否",后台计算!BU184-后台计算!DW184,"")))</f>
        <v/>
      </c>
      <c r="R190" s="1" t="str">
        <f t="shared" si="19"/>
        <v/>
      </c>
      <c r="S190" s="1" t="str">
        <f t="shared" si="20"/>
        <v/>
      </c>
      <c r="T190" s="1" t="str">
        <f>IF(AND(后台计算!DH184="洞穿",O190&gt;0),IF(O190=ROUNDDOWN(N190*0.4,0),"实测附加=floor(主伤害×40%)；稳态来源待确认","实测附加关系需核对"),"")</f>
        <v/>
      </c>
      <c r="U190" s="1">
        <f>IF(D190="","",后台计算!EQ184)</f>
        <v>232</v>
      </c>
      <c r="V190" s="1">
        <f>IF(D190="","",后台计算!ER184)</f>
        <v>0.9</v>
      </c>
      <c r="W190" s="1">
        <f>IF(D190="","",后台计算!ES184)</f>
        <v>0.65</v>
      </c>
      <c r="X190" s="1" t="str">
        <f>IF(D190="","",IF(Boss参数!$B$60=1,"此前实测；缺失用预测","此前预测"))</f>
        <v>此前实测；缺失用预测</v>
      </c>
      <c r="Y190" s="1" t="str">
        <f>IF(H190="","",IF(H190&gt;Boss参数!$B$63*Boss参数!$B$62,"超过暂定合计上限",""))</f>
        <v/>
      </c>
    </row>
    <row r="191" spans="1:25" ht="38.1" customHeight="1">
      <c r="A191" s="1" t="str">
        <f>行动模拟!A191</f>
        <v/>
      </c>
      <c r="B191" s="1">
        <f>行动模拟!B191</f>
        <v>0</v>
      </c>
      <c r="C191" s="1">
        <f>行动模拟!C191</f>
        <v>0</v>
      </c>
      <c r="D191" s="1">
        <f>行动模拟!D191</f>
        <v>0</v>
      </c>
      <c r="E191" s="1" t="str">
        <f>行动模拟!O191</f>
        <v/>
      </c>
      <c r="F191" s="1" t="str">
        <f>行动模拟!P191</f>
        <v/>
      </c>
      <c r="G191" s="1" t="str">
        <f>IF(行动模拟!D191="","",行动模拟!E191)</f>
        <v/>
      </c>
      <c r="H191" s="1" t="str">
        <f>IF(COUNT(行动模拟!F191:H191)=0,"",SUM(行动模拟!F191:H191))</f>
        <v/>
      </c>
      <c r="I191" s="1" t="str">
        <f t="shared" si="14"/>
        <v/>
      </c>
      <c r="J191" s="1" t="str">
        <f t="shared" si="15"/>
        <v/>
      </c>
      <c r="K191" s="1" t="str">
        <f t="shared" si="16"/>
        <v/>
      </c>
      <c r="L191" s="1" t="str">
        <f t="shared" si="17"/>
        <v/>
      </c>
      <c r="M191" s="1" t="str">
        <f t="shared" si="18"/>
        <v/>
      </c>
      <c r="N191" s="1" t="str">
        <f>IF(ISNUMBER(行动模拟!F191),行动模拟!F191,"")</f>
        <v/>
      </c>
      <c r="O191" s="1" t="str">
        <f>IF(COUNT(行动模拟!G191:H191)=0,"",SUM(行动模拟!G191:H191))</f>
        <v/>
      </c>
      <c r="P191" s="1" t="str">
        <f>IF(H191="","",IF(G191="是",后台计算!DX185,IF(G191="否",后台计算!DW185,"")))</f>
        <v/>
      </c>
      <c r="Q191" s="1" t="str">
        <f>IF(H191="","",IF(G191="是",后台计算!BV185-后台计算!DX185,IF(G191="否",后台计算!BU185-后台计算!DW185,"")))</f>
        <v/>
      </c>
      <c r="R191" s="1" t="str">
        <f t="shared" si="19"/>
        <v/>
      </c>
      <c r="S191" s="1" t="str">
        <f t="shared" si="20"/>
        <v/>
      </c>
      <c r="T191" s="1" t="str">
        <f>IF(AND(后台计算!DH185="洞穿",O191&gt;0),IF(O191=ROUNDDOWN(N191*0.4,0),"实测附加=floor(主伤害×40%)；稳态来源待确认","实测附加关系需核对"),"")</f>
        <v/>
      </c>
      <c r="U191" s="1">
        <f>IF(D191="","",后台计算!EQ185)</f>
        <v>232</v>
      </c>
      <c r="V191" s="1">
        <f>IF(D191="","",后台计算!ER185)</f>
        <v>0.9</v>
      </c>
      <c r="W191" s="1">
        <f>IF(D191="","",后台计算!ES185)</f>
        <v>0.65</v>
      </c>
      <c r="X191" s="1" t="str">
        <f>IF(D191="","",IF(Boss参数!$B$60=1,"此前实测；缺失用预测","此前预测"))</f>
        <v>此前实测；缺失用预测</v>
      </c>
      <c r="Y191" s="1" t="str">
        <f>IF(H191="","",IF(H191&gt;Boss参数!$B$63*Boss参数!$B$62,"超过暂定合计上限",""))</f>
        <v/>
      </c>
    </row>
    <row r="192" spans="1:25" ht="38.1" customHeight="1">
      <c r="A192" s="1" t="str">
        <f>行动模拟!A192</f>
        <v/>
      </c>
      <c r="B192" s="1">
        <f>行动模拟!B192</f>
        <v>0</v>
      </c>
      <c r="C192" s="1">
        <f>行动模拟!C192</f>
        <v>0</v>
      </c>
      <c r="D192" s="1">
        <f>行动模拟!D192</f>
        <v>0</v>
      </c>
      <c r="E192" s="1" t="str">
        <f>行动模拟!O192</f>
        <v/>
      </c>
      <c r="F192" s="1" t="str">
        <f>行动模拟!P192</f>
        <v/>
      </c>
      <c r="G192" s="1" t="str">
        <f>IF(行动模拟!D192="","",行动模拟!E192)</f>
        <v/>
      </c>
      <c r="H192" s="1" t="str">
        <f>IF(COUNT(行动模拟!F192:H192)=0,"",SUM(行动模拟!F192:H192))</f>
        <v/>
      </c>
      <c r="I192" s="1" t="str">
        <f t="shared" si="14"/>
        <v/>
      </c>
      <c r="J192" s="1" t="str">
        <f t="shared" si="15"/>
        <v/>
      </c>
      <c r="K192" s="1" t="str">
        <f t="shared" si="16"/>
        <v/>
      </c>
      <c r="L192" s="1" t="str">
        <f t="shared" si="17"/>
        <v/>
      </c>
      <c r="M192" s="1" t="str">
        <f t="shared" si="18"/>
        <v/>
      </c>
      <c r="N192" s="1" t="str">
        <f>IF(ISNUMBER(行动模拟!F192),行动模拟!F192,"")</f>
        <v/>
      </c>
      <c r="O192" s="1" t="str">
        <f>IF(COUNT(行动模拟!G192:H192)=0,"",SUM(行动模拟!G192:H192))</f>
        <v/>
      </c>
      <c r="P192" s="1" t="str">
        <f>IF(H192="","",IF(G192="是",后台计算!DX186,IF(G192="否",后台计算!DW186,"")))</f>
        <v/>
      </c>
      <c r="Q192" s="1" t="str">
        <f>IF(H192="","",IF(G192="是",后台计算!BV186-后台计算!DX186,IF(G192="否",后台计算!BU186-后台计算!DW186,"")))</f>
        <v/>
      </c>
      <c r="R192" s="1" t="str">
        <f t="shared" si="19"/>
        <v/>
      </c>
      <c r="S192" s="1" t="str">
        <f t="shared" si="20"/>
        <v/>
      </c>
      <c r="T192" s="1" t="str">
        <f>IF(AND(后台计算!DH186="洞穿",O192&gt;0),IF(O192=ROUNDDOWN(N192*0.4,0),"实测附加=floor(主伤害×40%)；稳态来源待确认","实测附加关系需核对"),"")</f>
        <v/>
      </c>
      <c r="U192" s="1">
        <f>IF(D192="","",后台计算!EQ186)</f>
        <v>232</v>
      </c>
      <c r="V192" s="1">
        <f>IF(D192="","",后台计算!ER186)</f>
        <v>0.9</v>
      </c>
      <c r="W192" s="1">
        <f>IF(D192="","",后台计算!ES186)</f>
        <v>0.65</v>
      </c>
      <c r="X192" s="1" t="str">
        <f>IF(D192="","",IF(Boss参数!$B$60=1,"此前实测；缺失用预测","此前预测"))</f>
        <v>此前实测；缺失用预测</v>
      </c>
      <c r="Y192" s="1" t="str">
        <f>IF(H192="","",IF(H192&gt;Boss参数!$B$63*Boss参数!$B$62,"超过暂定合计上限",""))</f>
        <v/>
      </c>
    </row>
    <row r="193" spans="1:25" ht="38.1" customHeight="1">
      <c r="A193" s="1" t="str">
        <f>行动模拟!A193</f>
        <v/>
      </c>
      <c r="B193" s="1">
        <f>行动模拟!B193</f>
        <v>0</v>
      </c>
      <c r="C193" s="1">
        <f>行动模拟!C193</f>
        <v>0</v>
      </c>
      <c r="D193" s="1">
        <f>行动模拟!D193</f>
        <v>0</v>
      </c>
      <c r="E193" s="1" t="str">
        <f>行动模拟!O193</f>
        <v/>
      </c>
      <c r="F193" s="1" t="str">
        <f>行动模拟!P193</f>
        <v/>
      </c>
      <c r="G193" s="1" t="str">
        <f>IF(行动模拟!D193="","",行动模拟!E193)</f>
        <v/>
      </c>
      <c r="H193" s="1" t="str">
        <f>IF(COUNT(行动模拟!F193:H193)=0,"",SUM(行动模拟!F193:H193))</f>
        <v/>
      </c>
      <c r="I193" s="1" t="str">
        <f t="shared" si="14"/>
        <v/>
      </c>
      <c r="J193" s="1" t="str">
        <f t="shared" si="15"/>
        <v/>
      </c>
      <c r="K193" s="1" t="str">
        <f t="shared" si="16"/>
        <v/>
      </c>
      <c r="L193" s="1" t="str">
        <f t="shared" si="17"/>
        <v/>
      </c>
      <c r="M193" s="1" t="str">
        <f t="shared" si="18"/>
        <v/>
      </c>
      <c r="N193" s="1" t="str">
        <f>IF(ISNUMBER(行动模拟!F193),行动模拟!F193,"")</f>
        <v/>
      </c>
      <c r="O193" s="1" t="str">
        <f>IF(COUNT(行动模拟!G193:H193)=0,"",SUM(行动模拟!G193:H193))</f>
        <v/>
      </c>
      <c r="P193" s="1" t="str">
        <f>IF(H193="","",IF(G193="是",后台计算!DX187,IF(G193="否",后台计算!DW187,"")))</f>
        <v/>
      </c>
      <c r="Q193" s="1" t="str">
        <f>IF(H193="","",IF(G193="是",后台计算!BV187-后台计算!DX187,IF(G193="否",后台计算!BU187-后台计算!DW187,"")))</f>
        <v/>
      </c>
      <c r="R193" s="1" t="str">
        <f t="shared" si="19"/>
        <v/>
      </c>
      <c r="S193" s="1" t="str">
        <f t="shared" si="20"/>
        <v/>
      </c>
      <c r="T193" s="1" t="str">
        <f>IF(AND(后台计算!DH187="洞穿",O193&gt;0),IF(O193=ROUNDDOWN(N193*0.4,0),"实测附加=floor(主伤害×40%)；稳态来源待确认","实测附加关系需核对"),"")</f>
        <v/>
      </c>
      <c r="U193" s="1">
        <f>IF(D193="","",后台计算!EQ187)</f>
        <v>232</v>
      </c>
      <c r="V193" s="1">
        <f>IF(D193="","",后台计算!ER187)</f>
        <v>0.9</v>
      </c>
      <c r="W193" s="1">
        <f>IF(D193="","",后台计算!ES187)</f>
        <v>0.65</v>
      </c>
      <c r="X193" s="1" t="str">
        <f>IF(D193="","",IF(Boss参数!$B$60=1,"此前实测；缺失用预测","此前预测"))</f>
        <v>此前实测；缺失用预测</v>
      </c>
      <c r="Y193" s="1" t="str">
        <f>IF(H193="","",IF(H193&gt;Boss参数!$B$63*Boss参数!$B$62,"超过暂定合计上限",""))</f>
        <v/>
      </c>
    </row>
    <row r="194" spans="1:25" ht="38.1" customHeight="1">
      <c r="A194" s="1" t="str">
        <f>行动模拟!A194</f>
        <v/>
      </c>
      <c r="B194" s="1">
        <f>行动模拟!B194</f>
        <v>0</v>
      </c>
      <c r="C194" s="1">
        <f>行动模拟!C194</f>
        <v>0</v>
      </c>
      <c r="D194" s="1">
        <f>行动模拟!D194</f>
        <v>0</v>
      </c>
      <c r="E194" s="1" t="str">
        <f>行动模拟!O194</f>
        <v/>
      </c>
      <c r="F194" s="1" t="str">
        <f>行动模拟!P194</f>
        <v/>
      </c>
      <c r="G194" s="1" t="str">
        <f>IF(行动模拟!D194="","",行动模拟!E194)</f>
        <v/>
      </c>
      <c r="H194" s="1" t="str">
        <f>IF(COUNT(行动模拟!F194:H194)=0,"",SUM(行动模拟!F194:H194))</f>
        <v/>
      </c>
      <c r="I194" s="1" t="str">
        <f t="shared" si="14"/>
        <v/>
      </c>
      <c r="J194" s="1" t="str">
        <f t="shared" si="15"/>
        <v/>
      </c>
      <c r="K194" s="1" t="str">
        <f t="shared" si="16"/>
        <v/>
      </c>
      <c r="L194" s="1" t="str">
        <f t="shared" si="17"/>
        <v/>
      </c>
      <c r="M194" s="1" t="str">
        <f t="shared" si="18"/>
        <v/>
      </c>
      <c r="N194" s="1" t="str">
        <f>IF(ISNUMBER(行动模拟!F194),行动模拟!F194,"")</f>
        <v/>
      </c>
      <c r="O194" s="1" t="str">
        <f>IF(COUNT(行动模拟!G194:H194)=0,"",SUM(行动模拟!G194:H194))</f>
        <v/>
      </c>
      <c r="P194" s="1" t="str">
        <f>IF(H194="","",IF(G194="是",后台计算!DX188,IF(G194="否",后台计算!DW188,"")))</f>
        <v/>
      </c>
      <c r="Q194" s="1" t="str">
        <f>IF(H194="","",IF(G194="是",后台计算!BV188-后台计算!DX188,IF(G194="否",后台计算!BU188-后台计算!DW188,"")))</f>
        <v/>
      </c>
      <c r="R194" s="1" t="str">
        <f t="shared" si="19"/>
        <v/>
      </c>
      <c r="S194" s="1" t="str">
        <f t="shared" si="20"/>
        <v/>
      </c>
      <c r="T194" s="1" t="str">
        <f>IF(AND(后台计算!DH188="洞穿",O194&gt;0),IF(O194=ROUNDDOWN(N194*0.4,0),"实测附加=floor(主伤害×40%)；稳态来源待确认","实测附加关系需核对"),"")</f>
        <v/>
      </c>
      <c r="U194" s="1">
        <f>IF(D194="","",后台计算!EQ188)</f>
        <v>232</v>
      </c>
      <c r="V194" s="1">
        <f>IF(D194="","",后台计算!ER188)</f>
        <v>0.9</v>
      </c>
      <c r="W194" s="1">
        <f>IF(D194="","",后台计算!ES188)</f>
        <v>0.65</v>
      </c>
      <c r="X194" s="1" t="str">
        <f>IF(D194="","",IF(Boss参数!$B$60=1,"此前实测；缺失用预测","此前预测"))</f>
        <v>此前实测；缺失用预测</v>
      </c>
      <c r="Y194" s="1" t="str">
        <f>IF(H194="","",IF(H194&gt;Boss参数!$B$63*Boss参数!$B$62,"超过暂定合计上限",""))</f>
        <v/>
      </c>
    </row>
    <row r="195" spans="1:25" ht="38.1" customHeight="1">
      <c r="A195" s="1" t="str">
        <f>行动模拟!A195</f>
        <v/>
      </c>
      <c r="B195" s="1">
        <f>行动模拟!B195</f>
        <v>0</v>
      </c>
      <c r="C195" s="1">
        <f>行动模拟!C195</f>
        <v>0</v>
      </c>
      <c r="D195" s="1">
        <f>行动模拟!D195</f>
        <v>0</v>
      </c>
      <c r="E195" s="1" t="str">
        <f>行动模拟!O195</f>
        <v/>
      </c>
      <c r="F195" s="1" t="str">
        <f>行动模拟!P195</f>
        <v/>
      </c>
      <c r="G195" s="1" t="str">
        <f>IF(行动模拟!D195="","",行动模拟!E195)</f>
        <v/>
      </c>
      <c r="H195" s="1" t="str">
        <f>IF(COUNT(行动模拟!F195:H195)=0,"",SUM(行动模拟!F195:H195))</f>
        <v/>
      </c>
      <c r="I195" s="1" t="str">
        <f t="shared" si="14"/>
        <v/>
      </c>
      <c r="J195" s="1" t="str">
        <f t="shared" si="15"/>
        <v/>
      </c>
      <c r="K195" s="1" t="str">
        <f t="shared" si="16"/>
        <v/>
      </c>
      <c r="L195" s="1" t="str">
        <f t="shared" si="17"/>
        <v/>
      </c>
      <c r="M195" s="1" t="str">
        <f t="shared" si="18"/>
        <v/>
      </c>
      <c r="N195" s="1" t="str">
        <f>IF(ISNUMBER(行动模拟!F195),行动模拟!F195,"")</f>
        <v/>
      </c>
      <c r="O195" s="1" t="str">
        <f>IF(COUNT(行动模拟!G195:H195)=0,"",SUM(行动模拟!G195:H195))</f>
        <v/>
      </c>
      <c r="P195" s="1" t="str">
        <f>IF(H195="","",IF(G195="是",后台计算!DX189,IF(G195="否",后台计算!DW189,"")))</f>
        <v/>
      </c>
      <c r="Q195" s="1" t="str">
        <f>IF(H195="","",IF(G195="是",后台计算!BV189-后台计算!DX189,IF(G195="否",后台计算!BU189-后台计算!DW189,"")))</f>
        <v/>
      </c>
      <c r="R195" s="1" t="str">
        <f t="shared" si="19"/>
        <v/>
      </c>
      <c r="S195" s="1" t="str">
        <f t="shared" si="20"/>
        <v/>
      </c>
      <c r="T195" s="1" t="str">
        <f>IF(AND(后台计算!DH189="洞穿",O195&gt;0),IF(O195=ROUNDDOWN(N195*0.4,0),"实测附加=floor(主伤害×40%)；稳态来源待确认","实测附加关系需核对"),"")</f>
        <v/>
      </c>
      <c r="U195" s="1">
        <f>IF(D195="","",后台计算!EQ189)</f>
        <v>232</v>
      </c>
      <c r="V195" s="1">
        <f>IF(D195="","",后台计算!ER189)</f>
        <v>0.9</v>
      </c>
      <c r="W195" s="1">
        <f>IF(D195="","",后台计算!ES189)</f>
        <v>0.65</v>
      </c>
      <c r="X195" s="1" t="str">
        <f>IF(D195="","",IF(Boss参数!$B$60=1,"此前实测；缺失用预测","此前预测"))</f>
        <v>此前实测；缺失用预测</v>
      </c>
      <c r="Y195" s="1" t="str">
        <f>IF(H195="","",IF(H195&gt;Boss参数!$B$63*Boss参数!$B$62,"超过暂定合计上限",""))</f>
        <v/>
      </c>
    </row>
    <row r="196" spans="1:25" ht="38.1" customHeight="1">
      <c r="A196" s="1" t="str">
        <f>行动模拟!A196</f>
        <v/>
      </c>
      <c r="B196" s="1">
        <f>行动模拟!B196</f>
        <v>0</v>
      </c>
      <c r="C196" s="1">
        <f>行动模拟!C196</f>
        <v>0</v>
      </c>
      <c r="D196" s="1">
        <f>行动模拟!D196</f>
        <v>0</v>
      </c>
      <c r="E196" s="1" t="str">
        <f>行动模拟!O196</f>
        <v/>
      </c>
      <c r="F196" s="1" t="str">
        <f>行动模拟!P196</f>
        <v/>
      </c>
      <c r="G196" s="1" t="str">
        <f>IF(行动模拟!D196="","",行动模拟!E196)</f>
        <v/>
      </c>
      <c r="H196" s="1" t="str">
        <f>IF(COUNT(行动模拟!F196:H196)=0,"",SUM(行动模拟!F196:H196))</f>
        <v/>
      </c>
      <c r="I196" s="1" t="str">
        <f t="shared" si="14"/>
        <v/>
      </c>
      <c r="J196" s="1" t="str">
        <f t="shared" si="15"/>
        <v/>
      </c>
      <c r="K196" s="1" t="str">
        <f t="shared" si="16"/>
        <v/>
      </c>
      <c r="L196" s="1" t="str">
        <f t="shared" si="17"/>
        <v/>
      </c>
      <c r="M196" s="1" t="str">
        <f t="shared" si="18"/>
        <v/>
      </c>
      <c r="N196" s="1" t="str">
        <f>IF(ISNUMBER(行动模拟!F196),行动模拟!F196,"")</f>
        <v/>
      </c>
      <c r="O196" s="1" t="str">
        <f>IF(COUNT(行动模拟!G196:H196)=0,"",SUM(行动模拟!G196:H196))</f>
        <v/>
      </c>
      <c r="P196" s="1" t="str">
        <f>IF(H196="","",IF(G196="是",后台计算!DX190,IF(G196="否",后台计算!DW190,"")))</f>
        <v/>
      </c>
      <c r="Q196" s="1" t="str">
        <f>IF(H196="","",IF(G196="是",后台计算!BV190-后台计算!DX190,IF(G196="否",后台计算!BU190-后台计算!DW190,"")))</f>
        <v/>
      </c>
      <c r="R196" s="1" t="str">
        <f t="shared" si="19"/>
        <v/>
      </c>
      <c r="S196" s="1" t="str">
        <f t="shared" si="20"/>
        <v/>
      </c>
      <c r="T196" s="1" t="str">
        <f>IF(AND(后台计算!DH190="洞穿",O196&gt;0),IF(O196=ROUNDDOWN(N196*0.4,0),"实测附加=floor(主伤害×40%)；稳态来源待确认","实测附加关系需核对"),"")</f>
        <v/>
      </c>
      <c r="U196" s="1">
        <f>IF(D196="","",后台计算!EQ190)</f>
        <v>232</v>
      </c>
      <c r="V196" s="1">
        <f>IF(D196="","",后台计算!ER190)</f>
        <v>0.9</v>
      </c>
      <c r="W196" s="1">
        <f>IF(D196="","",后台计算!ES190)</f>
        <v>0.65</v>
      </c>
      <c r="X196" s="1" t="str">
        <f>IF(D196="","",IF(Boss参数!$B$60=1,"此前实测；缺失用预测","此前预测"))</f>
        <v>此前实测；缺失用预测</v>
      </c>
      <c r="Y196" s="1" t="str">
        <f>IF(H196="","",IF(H196&gt;Boss参数!$B$63*Boss参数!$B$62,"超过暂定合计上限",""))</f>
        <v/>
      </c>
    </row>
    <row r="197" spans="1:25" ht="38.1" customHeight="1">
      <c r="A197" s="1" t="str">
        <f>行动模拟!A197</f>
        <v/>
      </c>
      <c r="B197" s="1">
        <f>行动模拟!B197</f>
        <v>0</v>
      </c>
      <c r="C197" s="1">
        <f>行动模拟!C197</f>
        <v>0</v>
      </c>
      <c r="D197" s="1">
        <f>行动模拟!D197</f>
        <v>0</v>
      </c>
      <c r="E197" s="1" t="str">
        <f>行动模拟!O197</f>
        <v/>
      </c>
      <c r="F197" s="1" t="str">
        <f>行动模拟!P197</f>
        <v/>
      </c>
      <c r="G197" s="1" t="str">
        <f>IF(行动模拟!D197="","",行动模拟!E197)</f>
        <v/>
      </c>
      <c r="H197" s="1" t="str">
        <f>IF(COUNT(行动模拟!F197:H197)=0,"",SUM(行动模拟!F197:H197))</f>
        <v/>
      </c>
      <c r="I197" s="1" t="str">
        <f t="shared" si="14"/>
        <v/>
      </c>
      <c r="J197" s="1" t="str">
        <f t="shared" si="15"/>
        <v/>
      </c>
      <c r="K197" s="1" t="str">
        <f t="shared" si="16"/>
        <v/>
      </c>
      <c r="L197" s="1" t="str">
        <f t="shared" si="17"/>
        <v/>
      </c>
      <c r="M197" s="1" t="str">
        <f t="shared" si="18"/>
        <v/>
      </c>
      <c r="N197" s="1" t="str">
        <f>IF(ISNUMBER(行动模拟!F197),行动模拟!F197,"")</f>
        <v/>
      </c>
      <c r="O197" s="1" t="str">
        <f>IF(COUNT(行动模拟!G197:H197)=0,"",SUM(行动模拟!G197:H197))</f>
        <v/>
      </c>
      <c r="P197" s="1" t="str">
        <f>IF(H197="","",IF(G197="是",后台计算!DX191,IF(G197="否",后台计算!DW191,"")))</f>
        <v/>
      </c>
      <c r="Q197" s="1" t="str">
        <f>IF(H197="","",IF(G197="是",后台计算!BV191-后台计算!DX191,IF(G197="否",后台计算!BU191-后台计算!DW191,"")))</f>
        <v/>
      </c>
      <c r="R197" s="1" t="str">
        <f t="shared" si="19"/>
        <v/>
      </c>
      <c r="S197" s="1" t="str">
        <f t="shared" si="20"/>
        <v/>
      </c>
      <c r="T197" s="1" t="str">
        <f>IF(AND(后台计算!DH191="洞穿",O197&gt;0),IF(O197=ROUNDDOWN(N197*0.4,0),"实测附加=floor(主伤害×40%)；稳态来源待确认","实测附加关系需核对"),"")</f>
        <v/>
      </c>
      <c r="U197" s="1">
        <f>IF(D197="","",后台计算!EQ191)</f>
        <v>232</v>
      </c>
      <c r="V197" s="1">
        <f>IF(D197="","",后台计算!ER191)</f>
        <v>0.9</v>
      </c>
      <c r="W197" s="1">
        <f>IF(D197="","",后台计算!ES191)</f>
        <v>0.65</v>
      </c>
      <c r="X197" s="1" t="str">
        <f>IF(D197="","",IF(Boss参数!$B$60=1,"此前实测；缺失用预测","此前预测"))</f>
        <v>此前实测；缺失用预测</v>
      </c>
      <c r="Y197" s="1" t="str">
        <f>IF(H197="","",IF(H197&gt;Boss参数!$B$63*Boss参数!$B$62,"超过暂定合计上限",""))</f>
        <v/>
      </c>
    </row>
    <row r="198" spans="1:25" ht="38.1" customHeight="1">
      <c r="A198" s="1" t="str">
        <f>行动模拟!A198</f>
        <v/>
      </c>
      <c r="B198" s="1">
        <f>行动模拟!B198</f>
        <v>0</v>
      </c>
      <c r="C198" s="1">
        <f>行动模拟!C198</f>
        <v>0</v>
      </c>
      <c r="D198" s="1">
        <f>行动模拟!D198</f>
        <v>0</v>
      </c>
      <c r="E198" s="1" t="str">
        <f>行动模拟!O198</f>
        <v/>
      </c>
      <c r="F198" s="1" t="str">
        <f>行动模拟!P198</f>
        <v/>
      </c>
      <c r="G198" s="1" t="str">
        <f>IF(行动模拟!D198="","",行动模拟!E198)</f>
        <v/>
      </c>
      <c r="H198" s="1" t="str">
        <f>IF(COUNT(行动模拟!F198:H198)=0,"",SUM(行动模拟!F198:H198))</f>
        <v/>
      </c>
      <c r="I198" s="1" t="str">
        <f t="shared" si="14"/>
        <v/>
      </c>
      <c r="J198" s="1" t="str">
        <f t="shared" si="15"/>
        <v/>
      </c>
      <c r="K198" s="1" t="str">
        <f t="shared" si="16"/>
        <v/>
      </c>
      <c r="L198" s="1" t="str">
        <f t="shared" si="17"/>
        <v/>
      </c>
      <c r="M198" s="1" t="str">
        <f t="shared" si="18"/>
        <v/>
      </c>
      <c r="N198" s="1" t="str">
        <f>IF(ISNUMBER(行动模拟!F198),行动模拟!F198,"")</f>
        <v/>
      </c>
      <c r="O198" s="1" t="str">
        <f>IF(COUNT(行动模拟!G198:H198)=0,"",SUM(行动模拟!G198:H198))</f>
        <v/>
      </c>
      <c r="P198" s="1" t="str">
        <f>IF(H198="","",IF(G198="是",后台计算!DX192,IF(G198="否",后台计算!DW192,"")))</f>
        <v/>
      </c>
      <c r="Q198" s="1" t="str">
        <f>IF(H198="","",IF(G198="是",后台计算!BV192-后台计算!DX192,IF(G198="否",后台计算!BU192-后台计算!DW192,"")))</f>
        <v/>
      </c>
      <c r="R198" s="1" t="str">
        <f t="shared" si="19"/>
        <v/>
      </c>
      <c r="S198" s="1" t="str">
        <f t="shared" si="20"/>
        <v/>
      </c>
      <c r="T198" s="1" t="str">
        <f>IF(AND(后台计算!DH192="洞穿",O198&gt;0),IF(O198=ROUNDDOWN(N198*0.4,0),"实测附加=floor(主伤害×40%)；稳态来源待确认","实测附加关系需核对"),"")</f>
        <v/>
      </c>
      <c r="U198" s="1">
        <f>IF(D198="","",后台计算!EQ192)</f>
        <v>232</v>
      </c>
      <c r="V198" s="1">
        <f>IF(D198="","",后台计算!ER192)</f>
        <v>0.9</v>
      </c>
      <c r="W198" s="1">
        <f>IF(D198="","",后台计算!ES192)</f>
        <v>0.65</v>
      </c>
      <c r="X198" s="1" t="str">
        <f>IF(D198="","",IF(Boss参数!$B$60=1,"此前实测；缺失用预测","此前预测"))</f>
        <v>此前实测；缺失用预测</v>
      </c>
      <c r="Y198" s="1" t="str">
        <f>IF(H198="","",IF(H198&gt;Boss参数!$B$63*Boss参数!$B$62,"超过暂定合计上限",""))</f>
        <v/>
      </c>
    </row>
    <row r="199" spans="1:25" ht="38.1" customHeight="1">
      <c r="A199" s="1" t="str">
        <f>行动模拟!A199</f>
        <v/>
      </c>
      <c r="B199" s="1">
        <f>行动模拟!B199</f>
        <v>0</v>
      </c>
      <c r="C199" s="1">
        <f>行动模拟!C199</f>
        <v>0</v>
      </c>
      <c r="D199" s="1">
        <f>行动模拟!D199</f>
        <v>0</v>
      </c>
      <c r="E199" s="1" t="str">
        <f>行动模拟!O199</f>
        <v/>
      </c>
      <c r="F199" s="1" t="str">
        <f>行动模拟!P199</f>
        <v/>
      </c>
      <c r="G199" s="1" t="str">
        <f>IF(行动模拟!D199="","",行动模拟!E199)</f>
        <v/>
      </c>
      <c r="H199" s="1" t="str">
        <f>IF(COUNT(行动模拟!F199:H199)=0,"",SUM(行动模拟!F199:H199))</f>
        <v/>
      </c>
      <c r="I199" s="1" t="str">
        <f t="shared" si="14"/>
        <v/>
      </c>
      <c r="J199" s="1" t="str">
        <f t="shared" si="15"/>
        <v/>
      </c>
      <c r="K199" s="1" t="str">
        <f t="shared" si="16"/>
        <v/>
      </c>
      <c r="L199" s="1" t="str">
        <f t="shared" si="17"/>
        <v/>
      </c>
      <c r="M199" s="1" t="str">
        <f t="shared" si="18"/>
        <v/>
      </c>
      <c r="N199" s="1" t="str">
        <f>IF(ISNUMBER(行动模拟!F199),行动模拟!F199,"")</f>
        <v/>
      </c>
      <c r="O199" s="1" t="str">
        <f>IF(COUNT(行动模拟!G199:H199)=0,"",SUM(行动模拟!G199:H199))</f>
        <v/>
      </c>
      <c r="P199" s="1" t="str">
        <f>IF(H199="","",IF(G199="是",后台计算!DX193,IF(G199="否",后台计算!DW193,"")))</f>
        <v/>
      </c>
      <c r="Q199" s="1" t="str">
        <f>IF(H199="","",IF(G199="是",后台计算!BV193-后台计算!DX193,IF(G199="否",后台计算!BU193-后台计算!DW193,"")))</f>
        <v/>
      </c>
      <c r="R199" s="1" t="str">
        <f t="shared" si="19"/>
        <v/>
      </c>
      <c r="S199" s="1" t="str">
        <f t="shared" si="20"/>
        <v/>
      </c>
      <c r="T199" s="1" t="str">
        <f>IF(AND(后台计算!DH193="洞穿",O199&gt;0),IF(O199=ROUNDDOWN(N199*0.4,0),"实测附加=floor(主伤害×40%)；稳态来源待确认","实测附加关系需核对"),"")</f>
        <v/>
      </c>
      <c r="U199" s="1">
        <f>IF(D199="","",后台计算!EQ193)</f>
        <v>232</v>
      </c>
      <c r="V199" s="1">
        <f>IF(D199="","",后台计算!ER193)</f>
        <v>0.9</v>
      </c>
      <c r="W199" s="1">
        <f>IF(D199="","",后台计算!ES193)</f>
        <v>0.65</v>
      </c>
      <c r="X199" s="1" t="str">
        <f>IF(D199="","",IF(Boss参数!$B$60=1,"此前实测；缺失用预测","此前预测"))</f>
        <v>此前实测；缺失用预测</v>
      </c>
      <c r="Y199" s="1" t="str">
        <f>IF(H199="","",IF(H199&gt;Boss参数!$B$63*Boss参数!$B$62,"超过暂定合计上限",""))</f>
        <v/>
      </c>
    </row>
    <row r="200" spans="1:25" ht="38.1" customHeight="1">
      <c r="A200" s="1" t="str">
        <f>行动模拟!A200</f>
        <v/>
      </c>
      <c r="B200" s="1">
        <f>行动模拟!B200</f>
        <v>0</v>
      </c>
      <c r="C200" s="1">
        <f>行动模拟!C200</f>
        <v>0</v>
      </c>
      <c r="D200" s="1">
        <f>行动模拟!D200</f>
        <v>0</v>
      </c>
      <c r="E200" s="1" t="str">
        <f>行动模拟!O200</f>
        <v/>
      </c>
      <c r="F200" s="1" t="str">
        <f>行动模拟!P200</f>
        <v/>
      </c>
      <c r="G200" s="1" t="str">
        <f>IF(行动模拟!D200="","",行动模拟!E200)</f>
        <v/>
      </c>
      <c r="H200" s="1" t="str">
        <f>IF(COUNT(行动模拟!F200:H200)=0,"",SUM(行动模拟!F200:H200))</f>
        <v/>
      </c>
      <c r="I200" s="1" t="str">
        <f t="shared" si="14"/>
        <v/>
      </c>
      <c r="J200" s="1" t="str">
        <f t="shared" si="15"/>
        <v/>
      </c>
      <c r="K200" s="1" t="str">
        <f t="shared" si="16"/>
        <v/>
      </c>
      <c r="L200" s="1" t="str">
        <f t="shared" si="17"/>
        <v/>
      </c>
      <c r="M200" s="1" t="str">
        <f t="shared" si="18"/>
        <v/>
      </c>
      <c r="N200" s="1" t="str">
        <f>IF(ISNUMBER(行动模拟!F200),行动模拟!F200,"")</f>
        <v/>
      </c>
      <c r="O200" s="1" t="str">
        <f>IF(COUNT(行动模拟!G200:H200)=0,"",SUM(行动模拟!G200:H200))</f>
        <v/>
      </c>
      <c r="P200" s="1" t="str">
        <f>IF(H200="","",IF(G200="是",后台计算!DX194,IF(G200="否",后台计算!DW194,"")))</f>
        <v/>
      </c>
      <c r="Q200" s="1" t="str">
        <f>IF(H200="","",IF(G200="是",后台计算!BV194-后台计算!DX194,IF(G200="否",后台计算!BU194-后台计算!DW194,"")))</f>
        <v/>
      </c>
      <c r="R200" s="1" t="str">
        <f t="shared" si="19"/>
        <v/>
      </c>
      <c r="S200" s="1" t="str">
        <f t="shared" si="20"/>
        <v/>
      </c>
      <c r="T200" s="1" t="str">
        <f>IF(AND(后台计算!DH194="洞穿",O200&gt;0),IF(O200=ROUNDDOWN(N200*0.4,0),"实测附加=floor(主伤害×40%)；稳态来源待确认","实测附加关系需核对"),"")</f>
        <v/>
      </c>
      <c r="U200" s="1">
        <f>IF(D200="","",后台计算!EQ194)</f>
        <v>232</v>
      </c>
      <c r="V200" s="1">
        <f>IF(D200="","",后台计算!ER194)</f>
        <v>0.9</v>
      </c>
      <c r="W200" s="1">
        <f>IF(D200="","",后台计算!ES194)</f>
        <v>0.65</v>
      </c>
      <c r="X200" s="1" t="str">
        <f>IF(D200="","",IF(Boss参数!$B$60=1,"此前实测；缺失用预测","此前预测"))</f>
        <v>此前实测；缺失用预测</v>
      </c>
      <c r="Y200" s="1" t="str">
        <f>IF(H200="","",IF(H200&gt;Boss参数!$B$63*Boss参数!$B$62,"超过暂定合计上限",""))</f>
        <v/>
      </c>
    </row>
    <row r="201" spans="1:25" ht="38.1" customHeight="1">
      <c r="A201" s="1" t="str">
        <f>行动模拟!A201</f>
        <v/>
      </c>
      <c r="B201" s="1">
        <f>行动模拟!B201</f>
        <v>0</v>
      </c>
      <c r="C201" s="1">
        <f>行动模拟!C201</f>
        <v>0</v>
      </c>
      <c r="D201" s="1">
        <f>行动模拟!D201</f>
        <v>0</v>
      </c>
      <c r="E201" s="1" t="str">
        <f>行动模拟!O201</f>
        <v/>
      </c>
      <c r="F201" s="1" t="str">
        <f>行动模拟!P201</f>
        <v/>
      </c>
      <c r="G201" s="1" t="str">
        <f>IF(行动模拟!D201="","",行动模拟!E201)</f>
        <v/>
      </c>
      <c r="H201" s="1" t="str">
        <f>IF(COUNT(行动模拟!F201:H201)=0,"",SUM(行动模拟!F201:H201))</f>
        <v/>
      </c>
      <c r="I201" s="1" t="str">
        <f t="shared" ref="I201:I248" si="21">IF(H201="","",IF(G201="是",F201,IF(G201="否",E201,"")))</f>
        <v/>
      </c>
      <c r="J201" s="1" t="str">
        <f t="shared" ref="J201:J248" si="22">IF(OR(H201="",I201=""),"",H201-I201)</f>
        <v/>
      </c>
      <c r="K201" s="1" t="str">
        <f t="shared" ref="K201:K248" si="23">IF(J201="","",ABS(J201))</f>
        <v/>
      </c>
      <c r="L201" s="1" t="str">
        <f t="shared" ref="L201:L248" si="24">IF(OR(H201="",I201=""),"",IF(H201=0,IF(I201=0,0,"实测为0"),ABS(J201)/H201))</f>
        <v/>
      </c>
      <c r="M201" s="1" t="str">
        <f t="shared" ref="M201:M248" si="25">IF(H201="","",IF(AND(G201&lt;&gt;"是",G201&lt;&gt;"否"),"缺少暴击判定",IF(L201&gt;0.03,"存在差异：请看核对说明并核对行动状态","数值差异≤3%；机制仍需核实")))</f>
        <v/>
      </c>
      <c r="N201" s="1" t="str">
        <f>IF(ISNUMBER(行动模拟!F201),行动模拟!F201,"")</f>
        <v/>
      </c>
      <c r="O201" s="1" t="str">
        <f>IF(COUNT(行动模拟!G201:H201)=0,"",SUM(行动模拟!G201:H201))</f>
        <v/>
      </c>
      <c r="P201" s="1" t="str">
        <f>IF(H201="","",IF(G201="是",后台计算!DX195,IF(G201="否",后台计算!DW195,"")))</f>
        <v/>
      </c>
      <c r="Q201" s="1" t="str">
        <f>IF(H201="","",IF(G201="是",后台计算!BV195-后台计算!DX195,IF(G201="否",后台计算!BU195-后台计算!DW195,"")))</f>
        <v/>
      </c>
      <c r="R201" s="1" t="str">
        <f t="shared" ref="R201:R248" si="26">IF(OR(N201="",P201=""),"",N201-P201)</f>
        <v/>
      </c>
      <c r="S201" s="1" t="str">
        <f t="shared" ref="S201:S248" si="27">IF(OR(O201="",Q201=""),"",O201-Q201)</f>
        <v/>
      </c>
      <c r="T201" s="1" t="str">
        <f>IF(AND(后台计算!DH195="洞穿",O201&gt;0),IF(O201=ROUNDDOWN(N201*0.4,0),"实测附加=floor(主伤害×40%)；稳态来源待确认","实测附加关系需核对"),"")</f>
        <v/>
      </c>
      <c r="U201" s="1">
        <f>IF(D201="","",后台计算!EQ195)</f>
        <v>232</v>
      </c>
      <c r="V201" s="1">
        <f>IF(D201="","",后台计算!ER195)</f>
        <v>0.9</v>
      </c>
      <c r="W201" s="1">
        <f>IF(D201="","",后台计算!ES195)</f>
        <v>0.65</v>
      </c>
      <c r="X201" s="1" t="str">
        <f>IF(D201="","",IF(Boss参数!$B$60=1,"此前实测；缺失用预测","此前预测"))</f>
        <v>此前实测；缺失用预测</v>
      </c>
      <c r="Y201" s="1" t="str">
        <f>IF(H201="","",IF(H201&gt;Boss参数!$B$63*Boss参数!$B$62,"超过暂定合计上限",""))</f>
        <v/>
      </c>
    </row>
    <row r="202" spans="1:25" ht="38.1" customHeight="1">
      <c r="A202" s="1" t="str">
        <f>行动模拟!A202</f>
        <v/>
      </c>
      <c r="B202" s="1">
        <f>行动模拟!B202</f>
        <v>0</v>
      </c>
      <c r="C202" s="1">
        <f>行动模拟!C202</f>
        <v>0</v>
      </c>
      <c r="D202" s="1">
        <f>行动模拟!D202</f>
        <v>0</v>
      </c>
      <c r="E202" s="1" t="str">
        <f>行动模拟!O202</f>
        <v/>
      </c>
      <c r="F202" s="1" t="str">
        <f>行动模拟!P202</f>
        <v/>
      </c>
      <c r="G202" s="1" t="str">
        <f>IF(行动模拟!D202="","",行动模拟!E202)</f>
        <v/>
      </c>
      <c r="H202" s="1" t="str">
        <f>IF(COUNT(行动模拟!F202:H202)=0,"",SUM(行动模拟!F202:H202))</f>
        <v/>
      </c>
      <c r="I202" s="1" t="str">
        <f t="shared" si="21"/>
        <v/>
      </c>
      <c r="J202" s="1" t="str">
        <f t="shared" si="22"/>
        <v/>
      </c>
      <c r="K202" s="1" t="str">
        <f t="shared" si="23"/>
        <v/>
      </c>
      <c r="L202" s="1" t="str">
        <f t="shared" si="24"/>
        <v/>
      </c>
      <c r="M202" s="1" t="str">
        <f t="shared" si="25"/>
        <v/>
      </c>
      <c r="N202" s="1" t="str">
        <f>IF(ISNUMBER(行动模拟!F202),行动模拟!F202,"")</f>
        <v/>
      </c>
      <c r="O202" s="1" t="str">
        <f>IF(COUNT(行动模拟!G202:H202)=0,"",SUM(行动模拟!G202:H202))</f>
        <v/>
      </c>
      <c r="P202" s="1" t="str">
        <f>IF(H202="","",IF(G202="是",后台计算!DX196,IF(G202="否",后台计算!DW196,"")))</f>
        <v/>
      </c>
      <c r="Q202" s="1" t="str">
        <f>IF(H202="","",IF(G202="是",后台计算!BV196-后台计算!DX196,IF(G202="否",后台计算!BU196-后台计算!DW196,"")))</f>
        <v/>
      </c>
      <c r="R202" s="1" t="str">
        <f t="shared" si="26"/>
        <v/>
      </c>
      <c r="S202" s="1" t="str">
        <f t="shared" si="27"/>
        <v/>
      </c>
      <c r="T202" s="1" t="str">
        <f>IF(AND(后台计算!DH196="洞穿",O202&gt;0),IF(O202=ROUNDDOWN(N202*0.4,0),"实测附加=floor(主伤害×40%)；稳态来源待确认","实测附加关系需核对"),"")</f>
        <v/>
      </c>
      <c r="U202" s="1">
        <f>IF(D202="","",后台计算!EQ196)</f>
        <v>232</v>
      </c>
      <c r="V202" s="1">
        <f>IF(D202="","",后台计算!ER196)</f>
        <v>0.9</v>
      </c>
      <c r="W202" s="1">
        <f>IF(D202="","",后台计算!ES196)</f>
        <v>0.65</v>
      </c>
      <c r="X202" s="1" t="str">
        <f>IF(D202="","",IF(Boss参数!$B$60=1,"此前实测；缺失用预测","此前预测"))</f>
        <v>此前实测；缺失用预测</v>
      </c>
      <c r="Y202" s="1" t="str">
        <f>IF(H202="","",IF(H202&gt;Boss参数!$B$63*Boss参数!$B$62,"超过暂定合计上限",""))</f>
        <v/>
      </c>
    </row>
    <row r="203" spans="1:25" ht="38.1" customHeight="1">
      <c r="A203" s="1" t="str">
        <f>行动模拟!A203</f>
        <v/>
      </c>
      <c r="B203" s="1">
        <f>行动模拟!B203</f>
        <v>0</v>
      </c>
      <c r="C203" s="1">
        <f>行动模拟!C203</f>
        <v>0</v>
      </c>
      <c r="D203" s="1">
        <f>行动模拟!D203</f>
        <v>0</v>
      </c>
      <c r="E203" s="1" t="str">
        <f>行动模拟!O203</f>
        <v/>
      </c>
      <c r="F203" s="1" t="str">
        <f>行动模拟!P203</f>
        <v/>
      </c>
      <c r="G203" s="1" t="str">
        <f>IF(行动模拟!D203="","",行动模拟!E203)</f>
        <v/>
      </c>
      <c r="H203" s="1" t="str">
        <f>IF(COUNT(行动模拟!F203:H203)=0,"",SUM(行动模拟!F203:H203))</f>
        <v/>
      </c>
      <c r="I203" s="1" t="str">
        <f t="shared" si="21"/>
        <v/>
      </c>
      <c r="J203" s="1" t="str">
        <f t="shared" si="22"/>
        <v/>
      </c>
      <c r="K203" s="1" t="str">
        <f t="shared" si="23"/>
        <v/>
      </c>
      <c r="L203" s="1" t="str">
        <f t="shared" si="24"/>
        <v/>
      </c>
      <c r="M203" s="1" t="str">
        <f t="shared" si="25"/>
        <v/>
      </c>
      <c r="N203" s="1" t="str">
        <f>IF(ISNUMBER(行动模拟!F203),行动模拟!F203,"")</f>
        <v/>
      </c>
      <c r="O203" s="1" t="str">
        <f>IF(COUNT(行动模拟!G203:H203)=0,"",SUM(行动模拟!G203:H203))</f>
        <v/>
      </c>
      <c r="P203" s="1" t="str">
        <f>IF(H203="","",IF(G203="是",后台计算!DX197,IF(G203="否",后台计算!DW197,"")))</f>
        <v/>
      </c>
      <c r="Q203" s="1" t="str">
        <f>IF(H203="","",IF(G203="是",后台计算!BV197-后台计算!DX197,IF(G203="否",后台计算!BU197-后台计算!DW197,"")))</f>
        <v/>
      </c>
      <c r="R203" s="1" t="str">
        <f t="shared" si="26"/>
        <v/>
      </c>
      <c r="S203" s="1" t="str">
        <f t="shared" si="27"/>
        <v/>
      </c>
      <c r="T203" s="1" t="str">
        <f>IF(AND(后台计算!DH197="洞穿",O203&gt;0),IF(O203=ROUNDDOWN(N203*0.4,0),"实测附加=floor(主伤害×40%)；稳态来源待确认","实测附加关系需核对"),"")</f>
        <v/>
      </c>
      <c r="U203" s="1">
        <f>IF(D203="","",后台计算!EQ197)</f>
        <v>232</v>
      </c>
      <c r="V203" s="1">
        <f>IF(D203="","",后台计算!ER197)</f>
        <v>0.9</v>
      </c>
      <c r="W203" s="1">
        <f>IF(D203="","",后台计算!ES197)</f>
        <v>0.65</v>
      </c>
      <c r="X203" s="1" t="str">
        <f>IF(D203="","",IF(Boss参数!$B$60=1,"此前实测；缺失用预测","此前预测"))</f>
        <v>此前实测；缺失用预测</v>
      </c>
      <c r="Y203" s="1" t="str">
        <f>IF(H203="","",IF(H203&gt;Boss参数!$B$63*Boss参数!$B$62,"超过暂定合计上限",""))</f>
        <v/>
      </c>
    </row>
    <row r="204" spans="1:25" ht="38.1" customHeight="1">
      <c r="A204" s="1" t="str">
        <f>行动模拟!A204</f>
        <v/>
      </c>
      <c r="B204" s="1">
        <f>行动模拟!B204</f>
        <v>0</v>
      </c>
      <c r="C204" s="1">
        <f>行动模拟!C204</f>
        <v>0</v>
      </c>
      <c r="D204" s="1">
        <f>行动模拟!D204</f>
        <v>0</v>
      </c>
      <c r="E204" s="1" t="str">
        <f>行动模拟!O204</f>
        <v/>
      </c>
      <c r="F204" s="1" t="str">
        <f>行动模拟!P204</f>
        <v/>
      </c>
      <c r="G204" s="1" t="str">
        <f>IF(行动模拟!D204="","",行动模拟!E204)</f>
        <v/>
      </c>
      <c r="H204" s="1" t="str">
        <f>IF(COUNT(行动模拟!F204:H204)=0,"",SUM(行动模拟!F204:H204))</f>
        <v/>
      </c>
      <c r="I204" s="1" t="str">
        <f t="shared" si="21"/>
        <v/>
      </c>
      <c r="J204" s="1" t="str">
        <f t="shared" si="22"/>
        <v/>
      </c>
      <c r="K204" s="1" t="str">
        <f t="shared" si="23"/>
        <v/>
      </c>
      <c r="L204" s="1" t="str">
        <f t="shared" si="24"/>
        <v/>
      </c>
      <c r="M204" s="1" t="str">
        <f t="shared" si="25"/>
        <v/>
      </c>
      <c r="N204" s="1" t="str">
        <f>IF(ISNUMBER(行动模拟!F204),行动模拟!F204,"")</f>
        <v/>
      </c>
      <c r="O204" s="1" t="str">
        <f>IF(COUNT(行动模拟!G204:H204)=0,"",SUM(行动模拟!G204:H204))</f>
        <v/>
      </c>
      <c r="P204" s="1" t="str">
        <f>IF(H204="","",IF(G204="是",后台计算!DX198,IF(G204="否",后台计算!DW198,"")))</f>
        <v/>
      </c>
      <c r="Q204" s="1" t="str">
        <f>IF(H204="","",IF(G204="是",后台计算!BV198-后台计算!DX198,IF(G204="否",后台计算!BU198-后台计算!DW198,"")))</f>
        <v/>
      </c>
      <c r="R204" s="1" t="str">
        <f t="shared" si="26"/>
        <v/>
      </c>
      <c r="S204" s="1" t="str">
        <f t="shared" si="27"/>
        <v/>
      </c>
      <c r="T204" s="1" t="str">
        <f>IF(AND(后台计算!DH198="洞穿",O204&gt;0),IF(O204=ROUNDDOWN(N204*0.4,0),"实测附加=floor(主伤害×40%)；稳态来源待确认","实测附加关系需核对"),"")</f>
        <v/>
      </c>
      <c r="U204" s="1">
        <f>IF(D204="","",后台计算!EQ198)</f>
        <v>232</v>
      </c>
      <c r="V204" s="1">
        <f>IF(D204="","",后台计算!ER198)</f>
        <v>0.9</v>
      </c>
      <c r="W204" s="1">
        <f>IF(D204="","",后台计算!ES198)</f>
        <v>0.65</v>
      </c>
      <c r="X204" s="1" t="str">
        <f>IF(D204="","",IF(Boss参数!$B$60=1,"此前实测；缺失用预测","此前预测"))</f>
        <v>此前实测；缺失用预测</v>
      </c>
      <c r="Y204" s="1" t="str">
        <f>IF(H204="","",IF(H204&gt;Boss参数!$B$63*Boss参数!$B$62,"超过暂定合计上限",""))</f>
        <v/>
      </c>
    </row>
    <row r="205" spans="1:25" ht="38.1" customHeight="1">
      <c r="A205" s="1" t="str">
        <f>行动模拟!A205</f>
        <v/>
      </c>
      <c r="B205" s="1">
        <f>行动模拟!B205</f>
        <v>0</v>
      </c>
      <c r="C205" s="1">
        <f>行动模拟!C205</f>
        <v>0</v>
      </c>
      <c r="D205" s="1">
        <f>行动模拟!D205</f>
        <v>0</v>
      </c>
      <c r="E205" s="1" t="str">
        <f>行动模拟!O205</f>
        <v/>
      </c>
      <c r="F205" s="1" t="str">
        <f>行动模拟!P205</f>
        <v/>
      </c>
      <c r="G205" s="1" t="str">
        <f>IF(行动模拟!D205="","",行动模拟!E205)</f>
        <v/>
      </c>
      <c r="H205" s="1" t="str">
        <f>IF(COUNT(行动模拟!F205:H205)=0,"",SUM(行动模拟!F205:H205))</f>
        <v/>
      </c>
      <c r="I205" s="1" t="str">
        <f t="shared" si="21"/>
        <v/>
      </c>
      <c r="J205" s="1" t="str">
        <f t="shared" si="22"/>
        <v/>
      </c>
      <c r="K205" s="1" t="str">
        <f t="shared" si="23"/>
        <v/>
      </c>
      <c r="L205" s="1" t="str">
        <f t="shared" si="24"/>
        <v/>
      </c>
      <c r="M205" s="1" t="str">
        <f t="shared" si="25"/>
        <v/>
      </c>
      <c r="N205" s="1" t="str">
        <f>IF(ISNUMBER(行动模拟!F205),行动模拟!F205,"")</f>
        <v/>
      </c>
      <c r="O205" s="1" t="str">
        <f>IF(COUNT(行动模拟!G205:H205)=0,"",SUM(行动模拟!G205:H205))</f>
        <v/>
      </c>
      <c r="P205" s="1" t="str">
        <f>IF(H205="","",IF(G205="是",后台计算!DX199,IF(G205="否",后台计算!DW199,"")))</f>
        <v/>
      </c>
      <c r="Q205" s="1" t="str">
        <f>IF(H205="","",IF(G205="是",后台计算!BV199-后台计算!DX199,IF(G205="否",后台计算!BU199-后台计算!DW199,"")))</f>
        <v/>
      </c>
      <c r="R205" s="1" t="str">
        <f t="shared" si="26"/>
        <v/>
      </c>
      <c r="S205" s="1" t="str">
        <f t="shared" si="27"/>
        <v/>
      </c>
      <c r="T205" s="1" t="str">
        <f>IF(AND(后台计算!DH199="洞穿",O205&gt;0),IF(O205=ROUNDDOWN(N205*0.4,0),"实测附加=floor(主伤害×40%)；稳态来源待确认","实测附加关系需核对"),"")</f>
        <v/>
      </c>
      <c r="U205" s="1">
        <f>IF(D205="","",后台计算!EQ199)</f>
        <v>232</v>
      </c>
      <c r="V205" s="1">
        <f>IF(D205="","",后台计算!ER199)</f>
        <v>0.9</v>
      </c>
      <c r="W205" s="1">
        <f>IF(D205="","",后台计算!ES199)</f>
        <v>0.65</v>
      </c>
      <c r="X205" s="1" t="str">
        <f>IF(D205="","",IF(Boss参数!$B$60=1,"此前实测；缺失用预测","此前预测"))</f>
        <v>此前实测；缺失用预测</v>
      </c>
      <c r="Y205" s="1" t="str">
        <f>IF(H205="","",IF(H205&gt;Boss参数!$B$63*Boss参数!$B$62,"超过暂定合计上限",""))</f>
        <v/>
      </c>
    </row>
    <row r="206" spans="1:25" ht="38.1" customHeight="1">
      <c r="A206" s="1" t="str">
        <f>行动模拟!A206</f>
        <v/>
      </c>
      <c r="B206" s="1">
        <f>行动模拟!B206</f>
        <v>0</v>
      </c>
      <c r="C206" s="1">
        <f>行动模拟!C206</f>
        <v>0</v>
      </c>
      <c r="D206" s="1">
        <f>行动模拟!D206</f>
        <v>0</v>
      </c>
      <c r="E206" s="1" t="str">
        <f>行动模拟!O206</f>
        <v/>
      </c>
      <c r="F206" s="1" t="str">
        <f>行动模拟!P206</f>
        <v/>
      </c>
      <c r="G206" s="1" t="str">
        <f>IF(行动模拟!D206="","",行动模拟!E206)</f>
        <v/>
      </c>
      <c r="H206" s="1" t="str">
        <f>IF(COUNT(行动模拟!F206:H206)=0,"",SUM(行动模拟!F206:H206))</f>
        <v/>
      </c>
      <c r="I206" s="1" t="str">
        <f t="shared" si="21"/>
        <v/>
      </c>
      <c r="J206" s="1" t="str">
        <f t="shared" si="22"/>
        <v/>
      </c>
      <c r="K206" s="1" t="str">
        <f t="shared" si="23"/>
        <v/>
      </c>
      <c r="L206" s="1" t="str">
        <f t="shared" si="24"/>
        <v/>
      </c>
      <c r="M206" s="1" t="str">
        <f t="shared" si="25"/>
        <v/>
      </c>
      <c r="N206" s="1" t="str">
        <f>IF(ISNUMBER(行动模拟!F206),行动模拟!F206,"")</f>
        <v/>
      </c>
      <c r="O206" s="1" t="str">
        <f>IF(COUNT(行动模拟!G206:H206)=0,"",SUM(行动模拟!G206:H206))</f>
        <v/>
      </c>
      <c r="P206" s="1" t="str">
        <f>IF(H206="","",IF(G206="是",后台计算!DX200,IF(G206="否",后台计算!DW200,"")))</f>
        <v/>
      </c>
      <c r="Q206" s="1" t="str">
        <f>IF(H206="","",IF(G206="是",后台计算!BV200-后台计算!DX200,IF(G206="否",后台计算!BU200-后台计算!DW200,"")))</f>
        <v/>
      </c>
      <c r="R206" s="1" t="str">
        <f t="shared" si="26"/>
        <v/>
      </c>
      <c r="S206" s="1" t="str">
        <f t="shared" si="27"/>
        <v/>
      </c>
      <c r="T206" s="1" t="str">
        <f>IF(AND(后台计算!DH200="洞穿",O206&gt;0),IF(O206=ROUNDDOWN(N206*0.4,0),"实测附加=floor(主伤害×40%)；稳态来源待确认","实测附加关系需核对"),"")</f>
        <v/>
      </c>
      <c r="U206" s="1">
        <f>IF(D206="","",后台计算!EQ200)</f>
        <v>232</v>
      </c>
      <c r="V206" s="1">
        <f>IF(D206="","",后台计算!ER200)</f>
        <v>0.9</v>
      </c>
      <c r="W206" s="1">
        <f>IF(D206="","",后台计算!ES200)</f>
        <v>0.65</v>
      </c>
      <c r="X206" s="1" t="str">
        <f>IF(D206="","",IF(Boss参数!$B$60=1,"此前实测；缺失用预测","此前预测"))</f>
        <v>此前实测；缺失用预测</v>
      </c>
      <c r="Y206" s="1" t="str">
        <f>IF(H206="","",IF(H206&gt;Boss参数!$B$63*Boss参数!$B$62,"超过暂定合计上限",""))</f>
        <v/>
      </c>
    </row>
    <row r="207" spans="1:25" ht="38.1" customHeight="1">
      <c r="A207" s="1" t="str">
        <f>行动模拟!A207</f>
        <v/>
      </c>
      <c r="B207" s="1">
        <f>行动模拟!B207</f>
        <v>0</v>
      </c>
      <c r="C207" s="1">
        <f>行动模拟!C207</f>
        <v>0</v>
      </c>
      <c r="D207" s="1">
        <f>行动模拟!D207</f>
        <v>0</v>
      </c>
      <c r="E207" s="1" t="str">
        <f>行动模拟!O207</f>
        <v/>
      </c>
      <c r="F207" s="1" t="str">
        <f>行动模拟!P207</f>
        <v/>
      </c>
      <c r="G207" s="1" t="str">
        <f>IF(行动模拟!D207="","",行动模拟!E207)</f>
        <v/>
      </c>
      <c r="H207" s="1" t="str">
        <f>IF(COUNT(行动模拟!F207:H207)=0,"",SUM(行动模拟!F207:H207))</f>
        <v/>
      </c>
      <c r="I207" s="1" t="str">
        <f t="shared" si="21"/>
        <v/>
      </c>
      <c r="J207" s="1" t="str">
        <f t="shared" si="22"/>
        <v/>
      </c>
      <c r="K207" s="1" t="str">
        <f t="shared" si="23"/>
        <v/>
      </c>
      <c r="L207" s="1" t="str">
        <f t="shared" si="24"/>
        <v/>
      </c>
      <c r="M207" s="1" t="str">
        <f t="shared" si="25"/>
        <v/>
      </c>
      <c r="N207" s="1" t="str">
        <f>IF(ISNUMBER(行动模拟!F207),行动模拟!F207,"")</f>
        <v/>
      </c>
      <c r="O207" s="1" t="str">
        <f>IF(COUNT(行动模拟!G207:H207)=0,"",SUM(行动模拟!G207:H207))</f>
        <v/>
      </c>
      <c r="P207" s="1" t="str">
        <f>IF(H207="","",IF(G207="是",后台计算!DX201,IF(G207="否",后台计算!DW201,"")))</f>
        <v/>
      </c>
      <c r="Q207" s="1" t="str">
        <f>IF(H207="","",IF(G207="是",后台计算!BV201-后台计算!DX201,IF(G207="否",后台计算!BU201-后台计算!DW201,"")))</f>
        <v/>
      </c>
      <c r="R207" s="1" t="str">
        <f t="shared" si="26"/>
        <v/>
      </c>
      <c r="S207" s="1" t="str">
        <f t="shared" si="27"/>
        <v/>
      </c>
      <c r="T207" s="1" t="str">
        <f>IF(AND(后台计算!DH201="洞穿",O207&gt;0),IF(O207=ROUNDDOWN(N207*0.4,0),"实测附加=floor(主伤害×40%)；稳态来源待确认","实测附加关系需核对"),"")</f>
        <v/>
      </c>
      <c r="U207" s="1">
        <f>IF(D207="","",后台计算!EQ201)</f>
        <v>232</v>
      </c>
      <c r="V207" s="1">
        <f>IF(D207="","",后台计算!ER201)</f>
        <v>0.9</v>
      </c>
      <c r="W207" s="1">
        <f>IF(D207="","",后台计算!ES201)</f>
        <v>0.65</v>
      </c>
      <c r="X207" s="1" t="str">
        <f>IF(D207="","",IF(Boss参数!$B$60=1,"此前实测；缺失用预测","此前预测"))</f>
        <v>此前实测；缺失用预测</v>
      </c>
      <c r="Y207" s="1" t="str">
        <f>IF(H207="","",IF(H207&gt;Boss参数!$B$63*Boss参数!$B$62,"超过暂定合计上限",""))</f>
        <v/>
      </c>
    </row>
    <row r="208" spans="1:25" ht="38.1" customHeight="1">
      <c r="A208" s="1" t="str">
        <f>行动模拟!A208</f>
        <v/>
      </c>
      <c r="B208" s="1">
        <f>行动模拟!B208</f>
        <v>0</v>
      </c>
      <c r="C208" s="1">
        <f>行动模拟!C208</f>
        <v>0</v>
      </c>
      <c r="D208" s="1">
        <f>行动模拟!D208</f>
        <v>0</v>
      </c>
      <c r="E208" s="1" t="str">
        <f>行动模拟!O208</f>
        <v/>
      </c>
      <c r="F208" s="1" t="str">
        <f>行动模拟!P208</f>
        <v/>
      </c>
      <c r="G208" s="1" t="str">
        <f>IF(行动模拟!D208="","",行动模拟!E208)</f>
        <v/>
      </c>
      <c r="H208" s="1" t="str">
        <f>IF(COUNT(行动模拟!F208:H208)=0,"",SUM(行动模拟!F208:H208))</f>
        <v/>
      </c>
      <c r="I208" s="1" t="str">
        <f t="shared" si="21"/>
        <v/>
      </c>
      <c r="J208" s="1" t="str">
        <f t="shared" si="22"/>
        <v/>
      </c>
      <c r="K208" s="1" t="str">
        <f t="shared" si="23"/>
        <v/>
      </c>
      <c r="L208" s="1" t="str">
        <f t="shared" si="24"/>
        <v/>
      </c>
      <c r="M208" s="1" t="str">
        <f t="shared" si="25"/>
        <v/>
      </c>
      <c r="N208" s="1" t="str">
        <f>IF(ISNUMBER(行动模拟!F208),行动模拟!F208,"")</f>
        <v/>
      </c>
      <c r="O208" s="1" t="str">
        <f>IF(COUNT(行动模拟!G208:H208)=0,"",SUM(行动模拟!G208:H208))</f>
        <v/>
      </c>
      <c r="P208" s="1" t="str">
        <f>IF(H208="","",IF(G208="是",后台计算!DX202,IF(G208="否",后台计算!DW202,"")))</f>
        <v/>
      </c>
      <c r="Q208" s="1" t="str">
        <f>IF(H208="","",IF(G208="是",后台计算!BV202-后台计算!DX202,IF(G208="否",后台计算!BU202-后台计算!DW202,"")))</f>
        <v/>
      </c>
      <c r="R208" s="1" t="str">
        <f t="shared" si="26"/>
        <v/>
      </c>
      <c r="S208" s="1" t="str">
        <f t="shared" si="27"/>
        <v/>
      </c>
      <c r="T208" s="1" t="str">
        <f>IF(AND(后台计算!DH202="洞穿",O208&gt;0),IF(O208=ROUNDDOWN(N208*0.4,0),"实测附加=floor(主伤害×40%)；稳态来源待确认","实测附加关系需核对"),"")</f>
        <v/>
      </c>
      <c r="U208" s="1">
        <f>IF(D208="","",后台计算!EQ202)</f>
        <v>232</v>
      </c>
      <c r="V208" s="1">
        <f>IF(D208="","",后台计算!ER202)</f>
        <v>0.9</v>
      </c>
      <c r="W208" s="1">
        <f>IF(D208="","",后台计算!ES202)</f>
        <v>0.65</v>
      </c>
      <c r="X208" s="1" t="str">
        <f>IF(D208="","",IF(Boss参数!$B$60=1,"此前实测；缺失用预测","此前预测"))</f>
        <v>此前实测；缺失用预测</v>
      </c>
      <c r="Y208" s="1" t="str">
        <f>IF(H208="","",IF(H208&gt;Boss参数!$B$63*Boss参数!$B$62,"超过暂定合计上限",""))</f>
        <v/>
      </c>
    </row>
    <row r="209" spans="1:25" ht="38.1" customHeight="1">
      <c r="A209" s="1" t="str">
        <f>行动模拟!A209</f>
        <v/>
      </c>
      <c r="B209" s="1">
        <f>行动模拟!B209</f>
        <v>0</v>
      </c>
      <c r="C209" s="1">
        <f>行动模拟!C209</f>
        <v>0</v>
      </c>
      <c r="D209" s="1">
        <f>行动模拟!D209</f>
        <v>0</v>
      </c>
      <c r="E209" s="1" t="str">
        <f>行动模拟!O209</f>
        <v/>
      </c>
      <c r="F209" s="1" t="str">
        <f>行动模拟!P209</f>
        <v/>
      </c>
      <c r="G209" s="1" t="str">
        <f>IF(行动模拟!D209="","",行动模拟!E209)</f>
        <v/>
      </c>
      <c r="H209" s="1" t="str">
        <f>IF(COUNT(行动模拟!F209:H209)=0,"",SUM(行动模拟!F209:H209))</f>
        <v/>
      </c>
      <c r="I209" s="1" t="str">
        <f t="shared" si="21"/>
        <v/>
      </c>
      <c r="J209" s="1" t="str">
        <f t="shared" si="22"/>
        <v/>
      </c>
      <c r="K209" s="1" t="str">
        <f t="shared" si="23"/>
        <v/>
      </c>
      <c r="L209" s="1" t="str">
        <f t="shared" si="24"/>
        <v/>
      </c>
      <c r="M209" s="1" t="str">
        <f t="shared" si="25"/>
        <v/>
      </c>
      <c r="N209" s="1" t="str">
        <f>IF(ISNUMBER(行动模拟!F209),行动模拟!F209,"")</f>
        <v/>
      </c>
      <c r="O209" s="1" t="str">
        <f>IF(COUNT(行动模拟!G209:H209)=0,"",SUM(行动模拟!G209:H209))</f>
        <v/>
      </c>
      <c r="P209" s="1" t="str">
        <f>IF(H209="","",IF(G209="是",后台计算!DX203,IF(G209="否",后台计算!DW203,"")))</f>
        <v/>
      </c>
      <c r="Q209" s="1" t="str">
        <f>IF(H209="","",IF(G209="是",后台计算!BV203-后台计算!DX203,IF(G209="否",后台计算!BU203-后台计算!DW203,"")))</f>
        <v/>
      </c>
      <c r="R209" s="1" t="str">
        <f t="shared" si="26"/>
        <v/>
      </c>
      <c r="S209" s="1" t="str">
        <f t="shared" si="27"/>
        <v/>
      </c>
      <c r="T209" s="1" t="str">
        <f>IF(AND(后台计算!DH203="洞穿",O209&gt;0),IF(O209=ROUNDDOWN(N209*0.4,0),"实测附加=floor(主伤害×40%)；稳态来源待确认","实测附加关系需核对"),"")</f>
        <v/>
      </c>
      <c r="U209" s="1">
        <f>IF(D209="","",后台计算!EQ203)</f>
        <v>232</v>
      </c>
      <c r="V209" s="1">
        <f>IF(D209="","",后台计算!ER203)</f>
        <v>0.9</v>
      </c>
      <c r="W209" s="1">
        <f>IF(D209="","",后台计算!ES203)</f>
        <v>0.65</v>
      </c>
      <c r="X209" s="1" t="str">
        <f>IF(D209="","",IF(Boss参数!$B$60=1,"此前实测；缺失用预测","此前预测"))</f>
        <v>此前实测；缺失用预测</v>
      </c>
      <c r="Y209" s="1" t="str">
        <f>IF(H209="","",IF(H209&gt;Boss参数!$B$63*Boss参数!$B$62,"超过暂定合计上限",""))</f>
        <v/>
      </c>
    </row>
    <row r="210" spans="1:25" ht="38.1" customHeight="1">
      <c r="A210" s="1" t="str">
        <f>行动模拟!A210</f>
        <v/>
      </c>
      <c r="B210" s="1">
        <f>行动模拟!B210</f>
        <v>0</v>
      </c>
      <c r="C210" s="1">
        <f>行动模拟!C210</f>
        <v>0</v>
      </c>
      <c r="D210" s="1">
        <f>行动模拟!D210</f>
        <v>0</v>
      </c>
      <c r="E210" s="1" t="str">
        <f>行动模拟!O210</f>
        <v/>
      </c>
      <c r="F210" s="1" t="str">
        <f>行动模拟!P210</f>
        <v/>
      </c>
      <c r="G210" s="1" t="str">
        <f>IF(行动模拟!D210="","",行动模拟!E210)</f>
        <v/>
      </c>
      <c r="H210" s="1" t="str">
        <f>IF(COUNT(行动模拟!F210:H210)=0,"",SUM(行动模拟!F210:H210))</f>
        <v/>
      </c>
      <c r="I210" s="1" t="str">
        <f t="shared" si="21"/>
        <v/>
      </c>
      <c r="J210" s="1" t="str">
        <f t="shared" si="22"/>
        <v/>
      </c>
      <c r="K210" s="1" t="str">
        <f t="shared" si="23"/>
        <v/>
      </c>
      <c r="L210" s="1" t="str">
        <f t="shared" si="24"/>
        <v/>
      </c>
      <c r="M210" s="1" t="str">
        <f t="shared" si="25"/>
        <v/>
      </c>
      <c r="N210" s="1" t="str">
        <f>IF(ISNUMBER(行动模拟!F210),行动模拟!F210,"")</f>
        <v/>
      </c>
      <c r="O210" s="1" t="str">
        <f>IF(COUNT(行动模拟!G210:H210)=0,"",SUM(行动模拟!G210:H210))</f>
        <v/>
      </c>
      <c r="P210" s="1" t="str">
        <f>IF(H210="","",IF(G210="是",后台计算!DX204,IF(G210="否",后台计算!DW204,"")))</f>
        <v/>
      </c>
      <c r="Q210" s="1" t="str">
        <f>IF(H210="","",IF(G210="是",后台计算!BV204-后台计算!DX204,IF(G210="否",后台计算!BU204-后台计算!DW204,"")))</f>
        <v/>
      </c>
      <c r="R210" s="1" t="str">
        <f t="shared" si="26"/>
        <v/>
      </c>
      <c r="S210" s="1" t="str">
        <f t="shared" si="27"/>
        <v/>
      </c>
      <c r="T210" s="1" t="str">
        <f>IF(AND(后台计算!DH204="洞穿",O210&gt;0),IF(O210=ROUNDDOWN(N210*0.4,0),"实测附加=floor(主伤害×40%)；稳态来源待确认","实测附加关系需核对"),"")</f>
        <v/>
      </c>
      <c r="U210" s="1">
        <f>IF(D210="","",后台计算!EQ204)</f>
        <v>232</v>
      </c>
      <c r="V210" s="1">
        <f>IF(D210="","",后台计算!ER204)</f>
        <v>0.9</v>
      </c>
      <c r="W210" s="1">
        <f>IF(D210="","",后台计算!ES204)</f>
        <v>0.65</v>
      </c>
      <c r="X210" s="1" t="str">
        <f>IF(D210="","",IF(Boss参数!$B$60=1,"此前实测；缺失用预测","此前预测"))</f>
        <v>此前实测；缺失用预测</v>
      </c>
      <c r="Y210" s="1" t="str">
        <f>IF(H210="","",IF(H210&gt;Boss参数!$B$63*Boss参数!$B$62,"超过暂定合计上限",""))</f>
        <v/>
      </c>
    </row>
    <row r="211" spans="1:25" ht="38.1" customHeight="1">
      <c r="A211" s="1" t="str">
        <f>行动模拟!A211</f>
        <v/>
      </c>
      <c r="B211" s="1">
        <f>行动模拟!B211</f>
        <v>0</v>
      </c>
      <c r="C211" s="1">
        <f>行动模拟!C211</f>
        <v>0</v>
      </c>
      <c r="D211" s="1">
        <f>行动模拟!D211</f>
        <v>0</v>
      </c>
      <c r="E211" s="1" t="str">
        <f>行动模拟!O211</f>
        <v/>
      </c>
      <c r="F211" s="1" t="str">
        <f>行动模拟!P211</f>
        <v/>
      </c>
      <c r="G211" s="1" t="str">
        <f>IF(行动模拟!D211="","",行动模拟!E211)</f>
        <v/>
      </c>
      <c r="H211" s="1" t="str">
        <f>IF(COUNT(行动模拟!F211:H211)=0,"",SUM(行动模拟!F211:H211))</f>
        <v/>
      </c>
      <c r="I211" s="1" t="str">
        <f t="shared" si="21"/>
        <v/>
      </c>
      <c r="J211" s="1" t="str">
        <f t="shared" si="22"/>
        <v/>
      </c>
      <c r="K211" s="1" t="str">
        <f t="shared" si="23"/>
        <v/>
      </c>
      <c r="L211" s="1" t="str">
        <f t="shared" si="24"/>
        <v/>
      </c>
      <c r="M211" s="1" t="str">
        <f t="shared" si="25"/>
        <v/>
      </c>
      <c r="N211" s="1" t="str">
        <f>IF(ISNUMBER(行动模拟!F211),行动模拟!F211,"")</f>
        <v/>
      </c>
      <c r="O211" s="1" t="str">
        <f>IF(COUNT(行动模拟!G211:H211)=0,"",SUM(行动模拟!G211:H211))</f>
        <v/>
      </c>
      <c r="P211" s="1" t="str">
        <f>IF(H211="","",IF(G211="是",后台计算!DX205,IF(G211="否",后台计算!DW205,"")))</f>
        <v/>
      </c>
      <c r="Q211" s="1" t="str">
        <f>IF(H211="","",IF(G211="是",后台计算!BV205-后台计算!DX205,IF(G211="否",后台计算!BU205-后台计算!DW205,"")))</f>
        <v/>
      </c>
      <c r="R211" s="1" t="str">
        <f t="shared" si="26"/>
        <v/>
      </c>
      <c r="S211" s="1" t="str">
        <f t="shared" si="27"/>
        <v/>
      </c>
      <c r="T211" s="1" t="str">
        <f>IF(AND(后台计算!DH205="洞穿",O211&gt;0),IF(O211=ROUNDDOWN(N211*0.4,0),"实测附加=floor(主伤害×40%)；稳态来源待确认","实测附加关系需核对"),"")</f>
        <v/>
      </c>
      <c r="U211" s="1">
        <f>IF(D211="","",后台计算!EQ205)</f>
        <v>232</v>
      </c>
      <c r="V211" s="1">
        <f>IF(D211="","",后台计算!ER205)</f>
        <v>0.9</v>
      </c>
      <c r="W211" s="1">
        <f>IF(D211="","",后台计算!ES205)</f>
        <v>0.65</v>
      </c>
      <c r="X211" s="1" t="str">
        <f>IF(D211="","",IF(Boss参数!$B$60=1,"此前实测；缺失用预测","此前预测"))</f>
        <v>此前实测；缺失用预测</v>
      </c>
      <c r="Y211" s="1" t="str">
        <f>IF(H211="","",IF(H211&gt;Boss参数!$B$63*Boss参数!$B$62,"超过暂定合计上限",""))</f>
        <v/>
      </c>
    </row>
    <row r="212" spans="1:25" ht="38.1" customHeight="1">
      <c r="A212" s="1" t="str">
        <f>行动模拟!A212</f>
        <v/>
      </c>
      <c r="B212" s="1">
        <f>行动模拟!B212</f>
        <v>0</v>
      </c>
      <c r="C212" s="1">
        <f>行动模拟!C212</f>
        <v>0</v>
      </c>
      <c r="D212" s="1">
        <f>行动模拟!D212</f>
        <v>0</v>
      </c>
      <c r="E212" s="1" t="str">
        <f>行动模拟!O212</f>
        <v/>
      </c>
      <c r="F212" s="1" t="str">
        <f>行动模拟!P212</f>
        <v/>
      </c>
      <c r="G212" s="1" t="str">
        <f>IF(行动模拟!D212="","",行动模拟!E212)</f>
        <v/>
      </c>
      <c r="H212" s="1" t="str">
        <f>IF(COUNT(行动模拟!F212:H212)=0,"",SUM(行动模拟!F212:H212))</f>
        <v/>
      </c>
      <c r="I212" s="1" t="str">
        <f t="shared" si="21"/>
        <v/>
      </c>
      <c r="J212" s="1" t="str">
        <f t="shared" si="22"/>
        <v/>
      </c>
      <c r="K212" s="1" t="str">
        <f t="shared" si="23"/>
        <v/>
      </c>
      <c r="L212" s="1" t="str">
        <f t="shared" si="24"/>
        <v/>
      </c>
      <c r="M212" s="1" t="str">
        <f t="shared" si="25"/>
        <v/>
      </c>
      <c r="N212" s="1" t="str">
        <f>IF(ISNUMBER(行动模拟!F212),行动模拟!F212,"")</f>
        <v/>
      </c>
      <c r="O212" s="1" t="str">
        <f>IF(COUNT(行动模拟!G212:H212)=0,"",SUM(行动模拟!G212:H212))</f>
        <v/>
      </c>
      <c r="P212" s="1" t="str">
        <f>IF(H212="","",IF(G212="是",后台计算!DX206,IF(G212="否",后台计算!DW206,"")))</f>
        <v/>
      </c>
      <c r="Q212" s="1" t="str">
        <f>IF(H212="","",IF(G212="是",后台计算!BV206-后台计算!DX206,IF(G212="否",后台计算!BU206-后台计算!DW206,"")))</f>
        <v/>
      </c>
      <c r="R212" s="1" t="str">
        <f t="shared" si="26"/>
        <v/>
      </c>
      <c r="S212" s="1" t="str">
        <f t="shared" si="27"/>
        <v/>
      </c>
      <c r="T212" s="1" t="str">
        <f>IF(AND(后台计算!DH206="洞穿",O212&gt;0),IF(O212=ROUNDDOWN(N212*0.4,0),"实测附加=floor(主伤害×40%)；稳态来源待确认","实测附加关系需核对"),"")</f>
        <v/>
      </c>
      <c r="U212" s="1">
        <f>IF(D212="","",后台计算!EQ206)</f>
        <v>232</v>
      </c>
      <c r="V212" s="1">
        <f>IF(D212="","",后台计算!ER206)</f>
        <v>0.9</v>
      </c>
      <c r="W212" s="1">
        <f>IF(D212="","",后台计算!ES206)</f>
        <v>0.65</v>
      </c>
      <c r="X212" s="1" t="str">
        <f>IF(D212="","",IF(Boss参数!$B$60=1,"此前实测；缺失用预测","此前预测"))</f>
        <v>此前实测；缺失用预测</v>
      </c>
      <c r="Y212" s="1" t="str">
        <f>IF(H212="","",IF(H212&gt;Boss参数!$B$63*Boss参数!$B$62,"超过暂定合计上限",""))</f>
        <v/>
      </c>
    </row>
    <row r="213" spans="1:25" ht="38.1" customHeight="1">
      <c r="A213" s="1" t="str">
        <f>行动模拟!A213</f>
        <v/>
      </c>
      <c r="B213" s="1">
        <f>行动模拟!B213</f>
        <v>0</v>
      </c>
      <c r="C213" s="1">
        <f>行动模拟!C213</f>
        <v>0</v>
      </c>
      <c r="D213" s="1">
        <f>行动模拟!D213</f>
        <v>0</v>
      </c>
      <c r="E213" s="1" t="str">
        <f>行动模拟!O213</f>
        <v/>
      </c>
      <c r="F213" s="1" t="str">
        <f>行动模拟!P213</f>
        <v/>
      </c>
      <c r="G213" s="1" t="str">
        <f>IF(行动模拟!D213="","",行动模拟!E213)</f>
        <v/>
      </c>
      <c r="H213" s="1" t="str">
        <f>IF(COUNT(行动模拟!F213:H213)=0,"",SUM(行动模拟!F213:H213))</f>
        <v/>
      </c>
      <c r="I213" s="1" t="str">
        <f t="shared" si="21"/>
        <v/>
      </c>
      <c r="J213" s="1" t="str">
        <f t="shared" si="22"/>
        <v/>
      </c>
      <c r="K213" s="1" t="str">
        <f t="shared" si="23"/>
        <v/>
      </c>
      <c r="L213" s="1" t="str">
        <f t="shared" si="24"/>
        <v/>
      </c>
      <c r="M213" s="1" t="str">
        <f t="shared" si="25"/>
        <v/>
      </c>
      <c r="N213" s="1" t="str">
        <f>IF(ISNUMBER(行动模拟!F213),行动模拟!F213,"")</f>
        <v/>
      </c>
      <c r="O213" s="1" t="str">
        <f>IF(COUNT(行动模拟!G213:H213)=0,"",SUM(行动模拟!G213:H213))</f>
        <v/>
      </c>
      <c r="P213" s="1" t="str">
        <f>IF(H213="","",IF(G213="是",后台计算!DX207,IF(G213="否",后台计算!DW207,"")))</f>
        <v/>
      </c>
      <c r="Q213" s="1" t="str">
        <f>IF(H213="","",IF(G213="是",后台计算!BV207-后台计算!DX207,IF(G213="否",后台计算!BU207-后台计算!DW207,"")))</f>
        <v/>
      </c>
      <c r="R213" s="1" t="str">
        <f t="shared" si="26"/>
        <v/>
      </c>
      <c r="S213" s="1" t="str">
        <f t="shared" si="27"/>
        <v/>
      </c>
      <c r="T213" s="1" t="str">
        <f>IF(AND(后台计算!DH207="洞穿",O213&gt;0),IF(O213=ROUNDDOWN(N213*0.4,0),"实测附加=floor(主伤害×40%)；稳态来源待确认","实测附加关系需核对"),"")</f>
        <v/>
      </c>
      <c r="U213" s="1">
        <f>IF(D213="","",后台计算!EQ207)</f>
        <v>232</v>
      </c>
      <c r="V213" s="1">
        <f>IF(D213="","",后台计算!ER207)</f>
        <v>0.9</v>
      </c>
      <c r="W213" s="1">
        <f>IF(D213="","",后台计算!ES207)</f>
        <v>0.65</v>
      </c>
      <c r="X213" s="1" t="str">
        <f>IF(D213="","",IF(Boss参数!$B$60=1,"此前实测；缺失用预测","此前预测"))</f>
        <v>此前实测；缺失用预测</v>
      </c>
      <c r="Y213" s="1" t="str">
        <f>IF(H213="","",IF(H213&gt;Boss参数!$B$63*Boss参数!$B$62,"超过暂定合计上限",""))</f>
        <v/>
      </c>
    </row>
    <row r="214" spans="1:25" ht="38.1" customHeight="1">
      <c r="A214" s="1" t="str">
        <f>行动模拟!A214</f>
        <v/>
      </c>
      <c r="B214" s="1">
        <f>行动模拟!B214</f>
        <v>0</v>
      </c>
      <c r="C214" s="1">
        <f>行动模拟!C214</f>
        <v>0</v>
      </c>
      <c r="D214" s="1">
        <f>行动模拟!D214</f>
        <v>0</v>
      </c>
      <c r="E214" s="1" t="str">
        <f>行动模拟!O214</f>
        <v/>
      </c>
      <c r="F214" s="1" t="str">
        <f>行动模拟!P214</f>
        <v/>
      </c>
      <c r="G214" s="1" t="str">
        <f>IF(行动模拟!D214="","",行动模拟!E214)</f>
        <v/>
      </c>
      <c r="H214" s="1" t="str">
        <f>IF(COUNT(行动模拟!F214:H214)=0,"",SUM(行动模拟!F214:H214))</f>
        <v/>
      </c>
      <c r="I214" s="1" t="str">
        <f t="shared" si="21"/>
        <v/>
      </c>
      <c r="J214" s="1" t="str">
        <f t="shared" si="22"/>
        <v/>
      </c>
      <c r="K214" s="1" t="str">
        <f t="shared" si="23"/>
        <v/>
      </c>
      <c r="L214" s="1" t="str">
        <f t="shared" si="24"/>
        <v/>
      </c>
      <c r="M214" s="1" t="str">
        <f t="shared" si="25"/>
        <v/>
      </c>
      <c r="N214" s="1" t="str">
        <f>IF(ISNUMBER(行动模拟!F214),行动模拟!F214,"")</f>
        <v/>
      </c>
      <c r="O214" s="1" t="str">
        <f>IF(COUNT(行动模拟!G214:H214)=0,"",SUM(行动模拟!G214:H214))</f>
        <v/>
      </c>
      <c r="P214" s="1" t="str">
        <f>IF(H214="","",IF(G214="是",后台计算!DX208,IF(G214="否",后台计算!DW208,"")))</f>
        <v/>
      </c>
      <c r="Q214" s="1" t="str">
        <f>IF(H214="","",IF(G214="是",后台计算!BV208-后台计算!DX208,IF(G214="否",后台计算!BU208-后台计算!DW208,"")))</f>
        <v/>
      </c>
      <c r="R214" s="1" t="str">
        <f t="shared" si="26"/>
        <v/>
      </c>
      <c r="S214" s="1" t="str">
        <f t="shared" si="27"/>
        <v/>
      </c>
      <c r="T214" s="1" t="str">
        <f>IF(AND(后台计算!DH208="洞穿",O214&gt;0),IF(O214=ROUNDDOWN(N214*0.4,0),"实测附加=floor(主伤害×40%)；稳态来源待确认","实测附加关系需核对"),"")</f>
        <v/>
      </c>
      <c r="U214" s="1">
        <f>IF(D214="","",后台计算!EQ208)</f>
        <v>232</v>
      </c>
      <c r="V214" s="1">
        <f>IF(D214="","",后台计算!ER208)</f>
        <v>0.9</v>
      </c>
      <c r="W214" s="1">
        <f>IF(D214="","",后台计算!ES208)</f>
        <v>0.65</v>
      </c>
      <c r="X214" s="1" t="str">
        <f>IF(D214="","",IF(Boss参数!$B$60=1,"此前实测；缺失用预测","此前预测"))</f>
        <v>此前实测；缺失用预测</v>
      </c>
      <c r="Y214" s="1" t="str">
        <f>IF(H214="","",IF(H214&gt;Boss参数!$B$63*Boss参数!$B$62,"超过暂定合计上限",""))</f>
        <v/>
      </c>
    </row>
    <row r="215" spans="1:25" ht="38.1" customHeight="1">
      <c r="A215" s="1" t="str">
        <f>行动模拟!A215</f>
        <v/>
      </c>
      <c r="B215" s="1">
        <f>行动模拟!B215</f>
        <v>0</v>
      </c>
      <c r="C215" s="1">
        <f>行动模拟!C215</f>
        <v>0</v>
      </c>
      <c r="D215" s="1">
        <f>行动模拟!D215</f>
        <v>0</v>
      </c>
      <c r="E215" s="1" t="str">
        <f>行动模拟!O215</f>
        <v/>
      </c>
      <c r="F215" s="1" t="str">
        <f>行动模拟!P215</f>
        <v/>
      </c>
      <c r="G215" s="1" t="str">
        <f>IF(行动模拟!D215="","",行动模拟!E215)</f>
        <v/>
      </c>
      <c r="H215" s="1" t="str">
        <f>IF(COUNT(行动模拟!F215:H215)=0,"",SUM(行动模拟!F215:H215))</f>
        <v/>
      </c>
      <c r="I215" s="1" t="str">
        <f t="shared" si="21"/>
        <v/>
      </c>
      <c r="J215" s="1" t="str">
        <f t="shared" si="22"/>
        <v/>
      </c>
      <c r="K215" s="1" t="str">
        <f t="shared" si="23"/>
        <v/>
      </c>
      <c r="L215" s="1" t="str">
        <f t="shared" si="24"/>
        <v/>
      </c>
      <c r="M215" s="1" t="str">
        <f t="shared" si="25"/>
        <v/>
      </c>
      <c r="N215" s="1" t="str">
        <f>IF(ISNUMBER(行动模拟!F215),行动模拟!F215,"")</f>
        <v/>
      </c>
      <c r="O215" s="1" t="str">
        <f>IF(COUNT(行动模拟!G215:H215)=0,"",SUM(行动模拟!G215:H215))</f>
        <v/>
      </c>
      <c r="P215" s="1" t="str">
        <f>IF(H215="","",IF(G215="是",后台计算!DX209,IF(G215="否",后台计算!DW209,"")))</f>
        <v/>
      </c>
      <c r="Q215" s="1" t="str">
        <f>IF(H215="","",IF(G215="是",后台计算!BV209-后台计算!DX209,IF(G215="否",后台计算!BU209-后台计算!DW209,"")))</f>
        <v/>
      </c>
      <c r="R215" s="1" t="str">
        <f t="shared" si="26"/>
        <v/>
      </c>
      <c r="S215" s="1" t="str">
        <f t="shared" si="27"/>
        <v/>
      </c>
      <c r="T215" s="1" t="str">
        <f>IF(AND(后台计算!DH209="洞穿",O215&gt;0),IF(O215=ROUNDDOWN(N215*0.4,0),"实测附加=floor(主伤害×40%)；稳态来源待确认","实测附加关系需核对"),"")</f>
        <v/>
      </c>
      <c r="U215" s="1">
        <f>IF(D215="","",后台计算!EQ209)</f>
        <v>232</v>
      </c>
      <c r="V215" s="1">
        <f>IF(D215="","",后台计算!ER209)</f>
        <v>0.9</v>
      </c>
      <c r="W215" s="1">
        <f>IF(D215="","",后台计算!ES209)</f>
        <v>0.65</v>
      </c>
      <c r="X215" s="1" t="str">
        <f>IF(D215="","",IF(Boss参数!$B$60=1,"此前实测；缺失用预测","此前预测"))</f>
        <v>此前实测；缺失用预测</v>
      </c>
      <c r="Y215" s="1" t="str">
        <f>IF(H215="","",IF(H215&gt;Boss参数!$B$63*Boss参数!$B$62,"超过暂定合计上限",""))</f>
        <v/>
      </c>
    </row>
    <row r="216" spans="1:25" ht="38.1" customHeight="1">
      <c r="A216" s="1" t="str">
        <f>行动模拟!A216</f>
        <v/>
      </c>
      <c r="B216" s="1">
        <f>行动模拟!B216</f>
        <v>0</v>
      </c>
      <c r="C216" s="1">
        <f>行动模拟!C216</f>
        <v>0</v>
      </c>
      <c r="D216" s="1">
        <f>行动模拟!D216</f>
        <v>0</v>
      </c>
      <c r="E216" s="1" t="str">
        <f>行动模拟!O216</f>
        <v/>
      </c>
      <c r="F216" s="1" t="str">
        <f>行动模拟!P216</f>
        <v/>
      </c>
      <c r="G216" s="1" t="str">
        <f>IF(行动模拟!D216="","",行动模拟!E216)</f>
        <v/>
      </c>
      <c r="H216" s="1" t="str">
        <f>IF(COUNT(行动模拟!F216:H216)=0,"",SUM(行动模拟!F216:H216))</f>
        <v/>
      </c>
      <c r="I216" s="1" t="str">
        <f t="shared" si="21"/>
        <v/>
      </c>
      <c r="J216" s="1" t="str">
        <f t="shared" si="22"/>
        <v/>
      </c>
      <c r="K216" s="1" t="str">
        <f t="shared" si="23"/>
        <v/>
      </c>
      <c r="L216" s="1" t="str">
        <f t="shared" si="24"/>
        <v/>
      </c>
      <c r="M216" s="1" t="str">
        <f t="shared" si="25"/>
        <v/>
      </c>
      <c r="N216" s="1" t="str">
        <f>IF(ISNUMBER(行动模拟!F216),行动模拟!F216,"")</f>
        <v/>
      </c>
      <c r="O216" s="1" t="str">
        <f>IF(COUNT(行动模拟!G216:H216)=0,"",SUM(行动模拟!G216:H216))</f>
        <v/>
      </c>
      <c r="P216" s="1" t="str">
        <f>IF(H216="","",IF(G216="是",后台计算!DX210,IF(G216="否",后台计算!DW210,"")))</f>
        <v/>
      </c>
      <c r="Q216" s="1" t="str">
        <f>IF(H216="","",IF(G216="是",后台计算!BV210-后台计算!DX210,IF(G216="否",后台计算!BU210-后台计算!DW210,"")))</f>
        <v/>
      </c>
      <c r="R216" s="1" t="str">
        <f t="shared" si="26"/>
        <v/>
      </c>
      <c r="S216" s="1" t="str">
        <f t="shared" si="27"/>
        <v/>
      </c>
      <c r="T216" s="1" t="str">
        <f>IF(AND(后台计算!DH210="洞穿",O216&gt;0),IF(O216=ROUNDDOWN(N216*0.4,0),"实测附加=floor(主伤害×40%)；稳态来源待确认","实测附加关系需核对"),"")</f>
        <v/>
      </c>
      <c r="U216" s="1">
        <f>IF(D216="","",后台计算!EQ210)</f>
        <v>232</v>
      </c>
      <c r="V216" s="1">
        <f>IF(D216="","",后台计算!ER210)</f>
        <v>0.9</v>
      </c>
      <c r="W216" s="1">
        <f>IF(D216="","",后台计算!ES210)</f>
        <v>0.65</v>
      </c>
      <c r="X216" s="1" t="str">
        <f>IF(D216="","",IF(Boss参数!$B$60=1,"此前实测；缺失用预测","此前预测"))</f>
        <v>此前实测；缺失用预测</v>
      </c>
      <c r="Y216" s="1" t="str">
        <f>IF(H216="","",IF(H216&gt;Boss参数!$B$63*Boss参数!$B$62,"超过暂定合计上限",""))</f>
        <v/>
      </c>
    </row>
    <row r="217" spans="1:25" ht="38.1" customHeight="1">
      <c r="A217" s="1" t="str">
        <f>行动模拟!A217</f>
        <v/>
      </c>
      <c r="B217" s="1">
        <f>行动模拟!B217</f>
        <v>0</v>
      </c>
      <c r="C217" s="1">
        <f>行动模拟!C217</f>
        <v>0</v>
      </c>
      <c r="D217" s="1">
        <f>行动模拟!D217</f>
        <v>0</v>
      </c>
      <c r="E217" s="1" t="str">
        <f>行动模拟!O217</f>
        <v/>
      </c>
      <c r="F217" s="1" t="str">
        <f>行动模拟!P217</f>
        <v/>
      </c>
      <c r="G217" s="1" t="str">
        <f>IF(行动模拟!D217="","",行动模拟!E217)</f>
        <v/>
      </c>
      <c r="H217" s="1" t="str">
        <f>IF(COUNT(行动模拟!F217:H217)=0,"",SUM(行动模拟!F217:H217))</f>
        <v/>
      </c>
      <c r="I217" s="1" t="str">
        <f t="shared" si="21"/>
        <v/>
      </c>
      <c r="J217" s="1" t="str">
        <f t="shared" si="22"/>
        <v/>
      </c>
      <c r="K217" s="1" t="str">
        <f t="shared" si="23"/>
        <v/>
      </c>
      <c r="L217" s="1" t="str">
        <f t="shared" si="24"/>
        <v/>
      </c>
      <c r="M217" s="1" t="str">
        <f t="shared" si="25"/>
        <v/>
      </c>
      <c r="N217" s="1" t="str">
        <f>IF(ISNUMBER(行动模拟!F217),行动模拟!F217,"")</f>
        <v/>
      </c>
      <c r="O217" s="1" t="str">
        <f>IF(COUNT(行动模拟!G217:H217)=0,"",SUM(行动模拟!G217:H217))</f>
        <v/>
      </c>
      <c r="P217" s="1" t="str">
        <f>IF(H217="","",IF(G217="是",后台计算!DX211,IF(G217="否",后台计算!DW211,"")))</f>
        <v/>
      </c>
      <c r="Q217" s="1" t="str">
        <f>IF(H217="","",IF(G217="是",后台计算!BV211-后台计算!DX211,IF(G217="否",后台计算!BU211-后台计算!DW211,"")))</f>
        <v/>
      </c>
      <c r="R217" s="1" t="str">
        <f t="shared" si="26"/>
        <v/>
      </c>
      <c r="S217" s="1" t="str">
        <f t="shared" si="27"/>
        <v/>
      </c>
      <c r="T217" s="1" t="str">
        <f>IF(AND(后台计算!DH211="洞穿",O217&gt;0),IF(O217=ROUNDDOWN(N217*0.4,0),"实测附加=floor(主伤害×40%)；稳态来源待确认","实测附加关系需核对"),"")</f>
        <v/>
      </c>
      <c r="U217" s="1">
        <f>IF(D217="","",后台计算!EQ211)</f>
        <v>232</v>
      </c>
      <c r="V217" s="1">
        <f>IF(D217="","",后台计算!ER211)</f>
        <v>0.9</v>
      </c>
      <c r="W217" s="1">
        <f>IF(D217="","",后台计算!ES211)</f>
        <v>0.65</v>
      </c>
      <c r="X217" s="1" t="str">
        <f>IF(D217="","",IF(Boss参数!$B$60=1,"此前实测；缺失用预测","此前预测"))</f>
        <v>此前实测；缺失用预测</v>
      </c>
      <c r="Y217" s="1" t="str">
        <f>IF(H217="","",IF(H217&gt;Boss参数!$B$63*Boss参数!$B$62,"超过暂定合计上限",""))</f>
        <v/>
      </c>
    </row>
    <row r="218" spans="1:25" ht="38.1" customHeight="1">
      <c r="A218" s="1" t="str">
        <f>行动模拟!A218</f>
        <v/>
      </c>
      <c r="B218" s="1">
        <f>行动模拟!B218</f>
        <v>0</v>
      </c>
      <c r="C218" s="1">
        <f>行动模拟!C218</f>
        <v>0</v>
      </c>
      <c r="D218" s="1">
        <f>行动模拟!D218</f>
        <v>0</v>
      </c>
      <c r="E218" s="1" t="str">
        <f>行动模拟!O218</f>
        <v/>
      </c>
      <c r="F218" s="1" t="str">
        <f>行动模拟!P218</f>
        <v/>
      </c>
      <c r="G218" s="1" t="str">
        <f>IF(行动模拟!D218="","",行动模拟!E218)</f>
        <v/>
      </c>
      <c r="H218" s="1" t="str">
        <f>IF(COUNT(行动模拟!F218:H218)=0,"",SUM(行动模拟!F218:H218))</f>
        <v/>
      </c>
      <c r="I218" s="1" t="str">
        <f t="shared" si="21"/>
        <v/>
      </c>
      <c r="J218" s="1" t="str">
        <f t="shared" si="22"/>
        <v/>
      </c>
      <c r="K218" s="1" t="str">
        <f t="shared" si="23"/>
        <v/>
      </c>
      <c r="L218" s="1" t="str">
        <f t="shared" si="24"/>
        <v/>
      </c>
      <c r="M218" s="1" t="str">
        <f t="shared" si="25"/>
        <v/>
      </c>
      <c r="N218" s="1" t="str">
        <f>IF(ISNUMBER(行动模拟!F218),行动模拟!F218,"")</f>
        <v/>
      </c>
      <c r="O218" s="1" t="str">
        <f>IF(COUNT(行动模拟!G218:H218)=0,"",SUM(行动模拟!G218:H218))</f>
        <v/>
      </c>
      <c r="P218" s="1" t="str">
        <f>IF(H218="","",IF(G218="是",后台计算!DX212,IF(G218="否",后台计算!DW212,"")))</f>
        <v/>
      </c>
      <c r="Q218" s="1" t="str">
        <f>IF(H218="","",IF(G218="是",后台计算!BV212-后台计算!DX212,IF(G218="否",后台计算!BU212-后台计算!DW212,"")))</f>
        <v/>
      </c>
      <c r="R218" s="1" t="str">
        <f t="shared" si="26"/>
        <v/>
      </c>
      <c r="S218" s="1" t="str">
        <f t="shared" si="27"/>
        <v/>
      </c>
      <c r="T218" s="1" t="str">
        <f>IF(AND(后台计算!DH212="洞穿",O218&gt;0),IF(O218=ROUNDDOWN(N218*0.4,0),"实测附加=floor(主伤害×40%)；稳态来源待确认","实测附加关系需核对"),"")</f>
        <v/>
      </c>
      <c r="U218" s="1">
        <f>IF(D218="","",后台计算!EQ212)</f>
        <v>232</v>
      </c>
      <c r="V218" s="1">
        <f>IF(D218="","",后台计算!ER212)</f>
        <v>0.9</v>
      </c>
      <c r="W218" s="1">
        <f>IF(D218="","",后台计算!ES212)</f>
        <v>0.65</v>
      </c>
      <c r="X218" s="1" t="str">
        <f>IF(D218="","",IF(Boss参数!$B$60=1,"此前实测；缺失用预测","此前预测"))</f>
        <v>此前实测；缺失用预测</v>
      </c>
      <c r="Y218" s="1" t="str">
        <f>IF(H218="","",IF(H218&gt;Boss参数!$B$63*Boss参数!$B$62,"超过暂定合计上限",""))</f>
        <v/>
      </c>
    </row>
    <row r="219" spans="1:25" ht="38.1" customHeight="1">
      <c r="A219" s="1" t="str">
        <f>行动模拟!A219</f>
        <v/>
      </c>
      <c r="B219" s="1">
        <f>行动模拟!B219</f>
        <v>0</v>
      </c>
      <c r="C219" s="1">
        <f>行动模拟!C219</f>
        <v>0</v>
      </c>
      <c r="D219" s="1">
        <f>行动模拟!D219</f>
        <v>0</v>
      </c>
      <c r="E219" s="1" t="str">
        <f>行动模拟!O219</f>
        <v/>
      </c>
      <c r="F219" s="1" t="str">
        <f>行动模拟!P219</f>
        <v/>
      </c>
      <c r="G219" s="1" t="str">
        <f>IF(行动模拟!D219="","",行动模拟!E219)</f>
        <v/>
      </c>
      <c r="H219" s="1" t="str">
        <f>IF(COUNT(行动模拟!F219:H219)=0,"",SUM(行动模拟!F219:H219))</f>
        <v/>
      </c>
      <c r="I219" s="1" t="str">
        <f t="shared" si="21"/>
        <v/>
      </c>
      <c r="J219" s="1" t="str">
        <f t="shared" si="22"/>
        <v/>
      </c>
      <c r="K219" s="1" t="str">
        <f t="shared" si="23"/>
        <v/>
      </c>
      <c r="L219" s="1" t="str">
        <f t="shared" si="24"/>
        <v/>
      </c>
      <c r="M219" s="1" t="str">
        <f t="shared" si="25"/>
        <v/>
      </c>
      <c r="N219" s="1" t="str">
        <f>IF(ISNUMBER(行动模拟!F219),行动模拟!F219,"")</f>
        <v/>
      </c>
      <c r="O219" s="1" t="str">
        <f>IF(COUNT(行动模拟!G219:H219)=0,"",SUM(行动模拟!G219:H219))</f>
        <v/>
      </c>
      <c r="P219" s="1" t="str">
        <f>IF(H219="","",IF(G219="是",后台计算!DX213,IF(G219="否",后台计算!DW213,"")))</f>
        <v/>
      </c>
      <c r="Q219" s="1" t="str">
        <f>IF(H219="","",IF(G219="是",后台计算!BV213-后台计算!DX213,IF(G219="否",后台计算!BU213-后台计算!DW213,"")))</f>
        <v/>
      </c>
      <c r="R219" s="1" t="str">
        <f t="shared" si="26"/>
        <v/>
      </c>
      <c r="S219" s="1" t="str">
        <f t="shared" si="27"/>
        <v/>
      </c>
      <c r="T219" s="1" t="str">
        <f>IF(AND(后台计算!DH213="洞穿",O219&gt;0),IF(O219=ROUNDDOWN(N219*0.4,0),"实测附加=floor(主伤害×40%)；稳态来源待确认","实测附加关系需核对"),"")</f>
        <v/>
      </c>
      <c r="U219" s="1">
        <f>IF(D219="","",后台计算!EQ213)</f>
        <v>232</v>
      </c>
      <c r="V219" s="1">
        <f>IF(D219="","",后台计算!ER213)</f>
        <v>0.9</v>
      </c>
      <c r="W219" s="1">
        <f>IF(D219="","",后台计算!ES213)</f>
        <v>0.65</v>
      </c>
      <c r="X219" s="1" t="str">
        <f>IF(D219="","",IF(Boss参数!$B$60=1,"此前实测；缺失用预测","此前预测"))</f>
        <v>此前实测；缺失用预测</v>
      </c>
      <c r="Y219" s="1" t="str">
        <f>IF(H219="","",IF(H219&gt;Boss参数!$B$63*Boss参数!$B$62,"超过暂定合计上限",""))</f>
        <v/>
      </c>
    </row>
    <row r="220" spans="1:25" ht="38.1" customHeight="1">
      <c r="A220" s="1" t="str">
        <f>行动模拟!A220</f>
        <v/>
      </c>
      <c r="B220" s="1">
        <f>行动模拟!B220</f>
        <v>0</v>
      </c>
      <c r="C220" s="1">
        <f>行动模拟!C220</f>
        <v>0</v>
      </c>
      <c r="D220" s="1">
        <f>行动模拟!D220</f>
        <v>0</v>
      </c>
      <c r="E220" s="1" t="str">
        <f>行动模拟!O220</f>
        <v/>
      </c>
      <c r="F220" s="1" t="str">
        <f>行动模拟!P220</f>
        <v/>
      </c>
      <c r="G220" s="1" t="str">
        <f>IF(行动模拟!D220="","",行动模拟!E220)</f>
        <v/>
      </c>
      <c r="H220" s="1" t="str">
        <f>IF(COUNT(行动模拟!F220:H220)=0,"",SUM(行动模拟!F220:H220))</f>
        <v/>
      </c>
      <c r="I220" s="1" t="str">
        <f t="shared" si="21"/>
        <v/>
      </c>
      <c r="J220" s="1" t="str">
        <f t="shared" si="22"/>
        <v/>
      </c>
      <c r="K220" s="1" t="str">
        <f t="shared" si="23"/>
        <v/>
      </c>
      <c r="L220" s="1" t="str">
        <f t="shared" si="24"/>
        <v/>
      </c>
      <c r="M220" s="1" t="str">
        <f t="shared" si="25"/>
        <v/>
      </c>
      <c r="N220" s="1" t="str">
        <f>IF(ISNUMBER(行动模拟!F220),行动模拟!F220,"")</f>
        <v/>
      </c>
      <c r="O220" s="1" t="str">
        <f>IF(COUNT(行动模拟!G220:H220)=0,"",SUM(行动模拟!G220:H220))</f>
        <v/>
      </c>
      <c r="P220" s="1" t="str">
        <f>IF(H220="","",IF(G220="是",后台计算!DX214,IF(G220="否",后台计算!DW214,"")))</f>
        <v/>
      </c>
      <c r="Q220" s="1" t="str">
        <f>IF(H220="","",IF(G220="是",后台计算!BV214-后台计算!DX214,IF(G220="否",后台计算!BU214-后台计算!DW214,"")))</f>
        <v/>
      </c>
      <c r="R220" s="1" t="str">
        <f t="shared" si="26"/>
        <v/>
      </c>
      <c r="S220" s="1" t="str">
        <f t="shared" si="27"/>
        <v/>
      </c>
      <c r="T220" s="1" t="str">
        <f>IF(AND(后台计算!DH214="洞穿",O220&gt;0),IF(O220=ROUNDDOWN(N220*0.4,0),"实测附加=floor(主伤害×40%)；稳态来源待确认","实测附加关系需核对"),"")</f>
        <v/>
      </c>
      <c r="U220" s="1">
        <f>IF(D220="","",后台计算!EQ214)</f>
        <v>232</v>
      </c>
      <c r="V220" s="1">
        <f>IF(D220="","",后台计算!ER214)</f>
        <v>0.9</v>
      </c>
      <c r="W220" s="1">
        <f>IF(D220="","",后台计算!ES214)</f>
        <v>0.65</v>
      </c>
      <c r="X220" s="1" t="str">
        <f>IF(D220="","",IF(Boss参数!$B$60=1,"此前实测；缺失用预测","此前预测"))</f>
        <v>此前实测；缺失用预测</v>
      </c>
      <c r="Y220" s="1" t="str">
        <f>IF(H220="","",IF(H220&gt;Boss参数!$B$63*Boss参数!$B$62,"超过暂定合计上限",""))</f>
        <v/>
      </c>
    </row>
    <row r="221" spans="1:25" ht="38.1" customHeight="1">
      <c r="A221" s="1" t="str">
        <f>行动模拟!A221</f>
        <v/>
      </c>
      <c r="B221" s="1">
        <f>行动模拟!B221</f>
        <v>0</v>
      </c>
      <c r="C221" s="1">
        <f>行动模拟!C221</f>
        <v>0</v>
      </c>
      <c r="D221" s="1">
        <f>行动模拟!D221</f>
        <v>0</v>
      </c>
      <c r="E221" s="1" t="str">
        <f>行动模拟!O221</f>
        <v/>
      </c>
      <c r="F221" s="1" t="str">
        <f>行动模拟!P221</f>
        <v/>
      </c>
      <c r="G221" s="1" t="str">
        <f>IF(行动模拟!D221="","",行动模拟!E221)</f>
        <v/>
      </c>
      <c r="H221" s="1" t="str">
        <f>IF(COUNT(行动模拟!F221:H221)=0,"",SUM(行动模拟!F221:H221))</f>
        <v/>
      </c>
      <c r="I221" s="1" t="str">
        <f t="shared" si="21"/>
        <v/>
      </c>
      <c r="J221" s="1" t="str">
        <f t="shared" si="22"/>
        <v/>
      </c>
      <c r="K221" s="1" t="str">
        <f t="shared" si="23"/>
        <v/>
      </c>
      <c r="L221" s="1" t="str">
        <f t="shared" si="24"/>
        <v/>
      </c>
      <c r="M221" s="1" t="str">
        <f t="shared" si="25"/>
        <v/>
      </c>
      <c r="N221" s="1" t="str">
        <f>IF(ISNUMBER(行动模拟!F221),行动模拟!F221,"")</f>
        <v/>
      </c>
      <c r="O221" s="1" t="str">
        <f>IF(COUNT(行动模拟!G221:H221)=0,"",SUM(行动模拟!G221:H221))</f>
        <v/>
      </c>
      <c r="P221" s="1" t="str">
        <f>IF(H221="","",IF(G221="是",后台计算!DX215,IF(G221="否",后台计算!DW215,"")))</f>
        <v/>
      </c>
      <c r="Q221" s="1" t="str">
        <f>IF(H221="","",IF(G221="是",后台计算!BV215-后台计算!DX215,IF(G221="否",后台计算!BU215-后台计算!DW215,"")))</f>
        <v/>
      </c>
      <c r="R221" s="1" t="str">
        <f t="shared" si="26"/>
        <v/>
      </c>
      <c r="S221" s="1" t="str">
        <f t="shared" si="27"/>
        <v/>
      </c>
      <c r="T221" s="1" t="str">
        <f>IF(AND(后台计算!DH215="洞穿",O221&gt;0),IF(O221=ROUNDDOWN(N221*0.4,0),"实测附加=floor(主伤害×40%)；稳态来源待确认","实测附加关系需核对"),"")</f>
        <v/>
      </c>
      <c r="U221" s="1">
        <f>IF(D221="","",后台计算!EQ215)</f>
        <v>232</v>
      </c>
      <c r="V221" s="1">
        <f>IF(D221="","",后台计算!ER215)</f>
        <v>0.9</v>
      </c>
      <c r="W221" s="1">
        <f>IF(D221="","",后台计算!ES215)</f>
        <v>0.65</v>
      </c>
      <c r="X221" s="1" t="str">
        <f>IF(D221="","",IF(Boss参数!$B$60=1,"此前实测；缺失用预测","此前预测"))</f>
        <v>此前实测；缺失用预测</v>
      </c>
      <c r="Y221" s="1" t="str">
        <f>IF(H221="","",IF(H221&gt;Boss参数!$B$63*Boss参数!$B$62,"超过暂定合计上限",""))</f>
        <v/>
      </c>
    </row>
    <row r="222" spans="1:25" ht="38.1" customHeight="1">
      <c r="A222" s="1" t="str">
        <f>行动模拟!A222</f>
        <v/>
      </c>
      <c r="B222" s="1">
        <f>行动模拟!B222</f>
        <v>0</v>
      </c>
      <c r="C222" s="1">
        <f>行动模拟!C222</f>
        <v>0</v>
      </c>
      <c r="D222" s="1">
        <f>行动模拟!D222</f>
        <v>0</v>
      </c>
      <c r="E222" s="1" t="str">
        <f>行动模拟!O222</f>
        <v/>
      </c>
      <c r="F222" s="1" t="str">
        <f>行动模拟!P222</f>
        <v/>
      </c>
      <c r="G222" s="1" t="str">
        <f>IF(行动模拟!D222="","",行动模拟!E222)</f>
        <v/>
      </c>
      <c r="H222" s="1" t="str">
        <f>IF(COUNT(行动模拟!F222:H222)=0,"",SUM(行动模拟!F222:H222))</f>
        <v/>
      </c>
      <c r="I222" s="1" t="str">
        <f t="shared" si="21"/>
        <v/>
      </c>
      <c r="J222" s="1" t="str">
        <f t="shared" si="22"/>
        <v/>
      </c>
      <c r="K222" s="1" t="str">
        <f t="shared" si="23"/>
        <v/>
      </c>
      <c r="L222" s="1" t="str">
        <f t="shared" si="24"/>
        <v/>
      </c>
      <c r="M222" s="1" t="str">
        <f t="shared" si="25"/>
        <v/>
      </c>
      <c r="N222" s="1" t="str">
        <f>IF(ISNUMBER(行动模拟!F222),行动模拟!F222,"")</f>
        <v/>
      </c>
      <c r="O222" s="1" t="str">
        <f>IF(COUNT(行动模拟!G222:H222)=0,"",SUM(行动模拟!G222:H222))</f>
        <v/>
      </c>
      <c r="P222" s="1" t="str">
        <f>IF(H222="","",IF(G222="是",后台计算!DX216,IF(G222="否",后台计算!DW216,"")))</f>
        <v/>
      </c>
      <c r="Q222" s="1" t="str">
        <f>IF(H222="","",IF(G222="是",后台计算!BV216-后台计算!DX216,IF(G222="否",后台计算!BU216-后台计算!DW216,"")))</f>
        <v/>
      </c>
      <c r="R222" s="1" t="str">
        <f t="shared" si="26"/>
        <v/>
      </c>
      <c r="S222" s="1" t="str">
        <f t="shared" si="27"/>
        <v/>
      </c>
      <c r="T222" s="1" t="str">
        <f>IF(AND(后台计算!DH216="洞穿",O222&gt;0),IF(O222=ROUNDDOWN(N222*0.4,0),"实测附加=floor(主伤害×40%)；稳态来源待确认","实测附加关系需核对"),"")</f>
        <v/>
      </c>
      <c r="U222" s="1">
        <f>IF(D222="","",后台计算!EQ216)</f>
        <v>232</v>
      </c>
      <c r="V222" s="1">
        <f>IF(D222="","",后台计算!ER216)</f>
        <v>0.9</v>
      </c>
      <c r="W222" s="1">
        <f>IF(D222="","",后台计算!ES216)</f>
        <v>0.65</v>
      </c>
      <c r="X222" s="1" t="str">
        <f>IF(D222="","",IF(Boss参数!$B$60=1,"此前实测；缺失用预测","此前预测"))</f>
        <v>此前实测；缺失用预测</v>
      </c>
      <c r="Y222" s="1" t="str">
        <f>IF(H222="","",IF(H222&gt;Boss参数!$B$63*Boss参数!$B$62,"超过暂定合计上限",""))</f>
        <v/>
      </c>
    </row>
    <row r="223" spans="1:25" ht="38.1" customHeight="1">
      <c r="A223" s="1" t="str">
        <f>行动模拟!A223</f>
        <v/>
      </c>
      <c r="B223" s="1">
        <f>行动模拟!B223</f>
        <v>0</v>
      </c>
      <c r="C223" s="1">
        <f>行动模拟!C223</f>
        <v>0</v>
      </c>
      <c r="D223" s="1">
        <f>行动模拟!D223</f>
        <v>0</v>
      </c>
      <c r="E223" s="1" t="str">
        <f>行动模拟!O223</f>
        <v/>
      </c>
      <c r="F223" s="1" t="str">
        <f>行动模拟!P223</f>
        <v/>
      </c>
      <c r="G223" s="1" t="str">
        <f>IF(行动模拟!D223="","",行动模拟!E223)</f>
        <v/>
      </c>
      <c r="H223" s="1" t="str">
        <f>IF(COUNT(行动模拟!F223:H223)=0,"",SUM(行动模拟!F223:H223))</f>
        <v/>
      </c>
      <c r="I223" s="1" t="str">
        <f t="shared" si="21"/>
        <v/>
      </c>
      <c r="J223" s="1" t="str">
        <f t="shared" si="22"/>
        <v/>
      </c>
      <c r="K223" s="1" t="str">
        <f t="shared" si="23"/>
        <v/>
      </c>
      <c r="L223" s="1" t="str">
        <f t="shared" si="24"/>
        <v/>
      </c>
      <c r="M223" s="1" t="str">
        <f t="shared" si="25"/>
        <v/>
      </c>
      <c r="N223" s="1" t="str">
        <f>IF(ISNUMBER(行动模拟!F223),行动模拟!F223,"")</f>
        <v/>
      </c>
      <c r="O223" s="1" t="str">
        <f>IF(COUNT(行动模拟!G223:H223)=0,"",SUM(行动模拟!G223:H223))</f>
        <v/>
      </c>
      <c r="P223" s="1" t="str">
        <f>IF(H223="","",IF(G223="是",后台计算!DX217,IF(G223="否",后台计算!DW217,"")))</f>
        <v/>
      </c>
      <c r="Q223" s="1" t="str">
        <f>IF(H223="","",IF(G223="是",后台计算!BV217-后台计算!DX217,IF(G223="否",后台计算!BU217-后台计算!DW217,"")))</f>
        <v/>
      </c>
      <c r="R223" s="1" t="str">
        <f t="shared" si="26"/>
        <v/>
      </c>
      <c r="S223" s="1" t="str">
        <f t="shared" si="27"/>
        <v/>
      </c>
      <c r="T223" s="1" t="str">
        <f>IF(AND(后台计算!DH217="洞穿",O223&gt;0),IF(O223=ROUNDDOWN(N223*0.4,0),"实测附加=floor(主伤害×40%)；稳态来源待确认","实测附加关系需核对"),"")</f>
        <v/>
      </c>
      <c r="U223" s="1">
        <f>IF(D223="","",后台计算!EQ217)</f>
        <v>232</v>
      </c>
      <c r="V223" s="1">
        <f>IF(D223="","",后台计算!ER217)</f>
        <v>0.9</v>
      </c>
      <c r="W223" s="1">
        <f>IF(D223="","",后台计算!ES217)</f>
        <v>0.65</v>
      </c>
      <c r="X223" s="1" t="str">
        <f>IF(D223="","",IF(Boss参数!$B$60=1,"此前实测；缺失用预测","此前预测"))</f>
        <v>此前实测；缺失用预测</v>
      </c>
      <c r="Y223" s="1" t="str">
        <f>IF(H223="","",IF(H223&gt;Boss参数!$B$63*Boss参数!$B$62,"超过暂定合计上限",""))</f>
        <v/>
      </c>
    </row>
    <row r="224" spans="1:25" ht="38.1" customHeight="1">
      <c r="A224" s="1" t="str">
        <f>行动模拟!A224</f>
        <v/>
      </c>
      <c r="B224" s="1">
        <f>行动模拟!B224</f>
        <v>0</v>
      </c>
      <c r="C224" s="1">
        <f>行动模拟!C224</f>
        <v>0</v>
      </c>
      <c r="D224" s="1">
        <f>行动模拟!D224</f>
        <v>0</v>
      </c>
      <c r="E224" s="1" t="str">
        <f>行动模拟!O224</f>
        <v/>
      </c>
      <c r="F224" s="1" t="str">
        <f>行动模拟!P224</f>
        <v/>
      </c>
      <c r="G224" s="1" t="str">
        <f>IF(行动模拟!D224="","",行动模拟!E224)</f>
        <v/>
      </c>
      <c r="H224" s="1" t="str">
        <f>IF(COUNT(行动模拟!F224:H224)=0,"",SUM(行动模拟!F224:H224))</f>
        <v/>
      </c>
      <c r="I224" s="1" t="str">
        <f t="shared" si="21"/>
        <v/>
      </c>
      <c r="J224" s="1" t="str">
        <f t="shared" si="22"/>
        <v/>
      </c>
      <c r="K224" s="1" t="str">
        <f t="shared" si="23"/>
        <v/>
      </c>
      <c r="L224" s="1" t="str">
        <f t="shared" si="24"/>
        <v/>
      </c>
      <c r="M224" s="1" t="str">
        <f t="shared" si="25"/>
        <v/>
      </c>
      <c r="N224" s="1" t="str">
        <f>IF(ISNUMBER(行动模拟!F224),行动模拟!F224,"")</f>
        <v/>
      </c>
      <c r="O224" s="1" t="str">
        <f>IF(COUNT(行动模拟!G224:H224)=0,"",SUM(行动模拟!G224:H224))</f>
        <v/>
      </c>
      <c r="P224" s="1" t="str">
        <f>IF(H224="","",IF(G224="是",后台计算!DX218,IF(G224="否",后台计算!DW218,"")))</f>
        <v/>
      </c>
      <c r="Q224" s="1" t="str">
        <f>IF(H224="","",IF(G224="是",后台计算!BV218-后台计算!DX218,IF(G224="否",后台计算!BU218-后台计算!DW218,"")))</f>
        <v/>
      </c>
      <c r="R224" s="1" t="str">
        <f t="shared" si="26"/>
        <v/>
      </c>
      <c r="S224" s="1" t="str">
        <f t="shared" si="27"/>
        <v/>
      </c>
      <c r="T224" s="1" t="str">
        <f>IF(AND(后台计算!DH218="洞穿",O224&gt;0),IF(O224=ROUNDDOWN(N224*0.4,0),"实测附加=floor(主伤害×40%)；稳态来源待确认","实测附加关系需核对"),"")</f>
        <v/>
      </c>
      <c r="U224" s="1">
        <f>IF(D224="","",后台计算!EQ218)</f>
        <v>232</v>
      </c>
      <c r="V224" s="1">
        <f>IF(D224="","",后台计算!ER218)</f>
        <v>0.9</v>
      </c>
      <c r="W224" s="1">
        <f>IF(D224="","",后台计算!ES218)</f>
        <v>0.65</v>
      </c>
      <c r="X224" s="1" t="str">
        <f>IF(D224="","",IF(Boss参数!$B$60=1,"此前实测；缺失用预测","此前预测"))</f>
        <v>此前实测；缺失用预测</v>
      </c>
      <c r="Y224" s="1" t="str">
        <f>IF(H224="","",IF(H224&gt;Boss参数!$B$63*Boss参数!$B$62,"超过暂定合计上限",""))</f>
        <v/>
      </c>
    </row>
    <row r="225" spans="1:25" ht="38.1" customHeight="1">
      <c r="A225" s="1" t="str">
        <f>行动模拟!A225</f>
        <v/>
      </c>
      <c r="B225" s="1">
        <f>行动模拟!B225</f>
        <v>0</v>
      </c>
      <c r="C225" s="1">
        <f>行动模拟!C225</f>
        <v>0</v>
      </c>
      <c r="D225" s="1">
        <f>行动模拟!D225</f>
        <v>0</v>
      </c>
      <c r="E225" s="1" t="str">
        <f>行动模拟!O225</f>
        <v/>
      </c>
      <c r="F225" s="1" t="str">
        <f>行动模拟!P225</f>
        <v/>
      </c>
      <c r="G225" s="1" t="str">
        <f>IF(行动模拟!D225="","",行动模拟!E225)</f>
        <v/>
      </c>
      <c r="H225" s="1" t="str">
        <f>IF(COUNT(行动模拟!F225:H225)=0,"",SUM(行动模拟!F225:H225))</f>
        <v/>
      </c>
      <c r="I225" s="1" t="str">
        <f t="shared" si="21"/>
        <v/>
      </c>
      <c r="J225" s="1" t="str">
        <f t="shared" si="22"/>
        <v/>
      </c>
      <c r="K225" s="1" t="str">
        <f t="shared" si="23"/>
        <v/>
      </c>
      <c r="L225" s="1" t="str">
        <f t="shared" si="24"/>
        <v/>
      </c>
      <c r="M225" s="1" t="str">
        <f t="shared" si="25"/>
        <v/>
      </c>
      <c r="N225" s="1" t="str">
        <f>IF(ISNUMBER(行动模拟!F225),行动模拟!F225,"")</f>
        <v/>
      </c>
      <c r="O225" s="1" t="str">
        <f>IF(COUNT(行动模拟!G225:H225)=0,"",SUM(行动模拟!G225:H225))</f>
        <v/>
      </c>
      <c r="P225" s="1" t="str">
        <f>IF(H225="","",IF(G225="是",后台计算!DX219,IF(G225="否",后台计算!DW219,"")))</f>
        <v/>
      </c>
      <c r="Q225" s="1" t="str">
        <f>IF(H225="","",IF(G225="是",后台计算!BV219-后台计算!DX219,IF(G225="否",后台计算!BU219-后台计算!DW219,"")))</f>
        <v/>
      </c>
      <c r="R225" s="1" t="str">
        <f t="shared" si="26"/>
        <v/>
      </c>
      <c r="S225" s="1" t="str">
        <f t="shared" si="27"/>
        <v/>
      </c>
      <c r="T225" s="1" t="str">
        <f>IF(AND(后台计算!DH219="洞穿",O225&gt;0),IF(O225=ROUNDDOWN(N225*0.4,0),"实测附加=floor(主伤害×40%)；稳态来源待确认","实测附加关系需核对"),"")</f>
        <v/>
      </c>
      <c r="U225" s="1">
        <f>IF(D225="","",后台计算!EQ219)</f>
        <v>232</v>
      </c>
      <c r="V225" s="1">
        <f>IF(D225="","",后台计算!ER219)</f>
        <v>0.9</v>
      </c>
      <c r="W225" s="1">
        <f>IF(D225="","",后台计算!ES219)</f>
        <v>0.65</v>
      </c>
      <c r="X225" s="1" t="str">
        <f>IF(D225="","",IF(Boss参数!$B$60=1,"此前实测；缺失用预测","此前预测"))</f>
        <v>此前实测；缺失用预测</v>
      </c>
      <c r="Y225" s="1" t="str">
        <f>IF(H225="","",IF(H225&gt;Boss参数!$B$63*Boss参数!$B$62,"超过暂定合计上限",""))</f>
        <v/>
      </c>
    </row>
    <row r="226" spans="1:25" ht="38.1" customHeight="1">
      <c r="A226" s="1" t="str">
        <f>行动模拟!A226</f>
        <v/>
      </c>
      <c r="B226" s="1">
        <f>行动模拟!B226</f>
        <v>0</v>
      </c>
      <c r="C226" s="1">
        <f>行动模拟!C226</f>
        <v>0</v>
      </c>
      <c r="D226" s="1">
        <f>行动模拟!D226</f>
        <v>0</v>
      </c>
      <c r="E226" s="1" t="str">
        <f>行动模拟!O226</f>
        <v/>
      </c>
      <c r="F226" s="1" t="str">
        <f>行动模拟!P226</f>
        <v/>
      </c>
      <c r="G226" s="1" t="str">
        <f>IF(行动模拟!D226="","",行动模拟!E226)</f>
        <v/>
      </c>
      <c r="H226" s="1" t="str">
        <f>IF(COUNT(行动模拟!F226:H226)=0,"",SUM(行动模拟!F226:H226))</f>
        <v/>
      </c>
      <c r="I226" s="1" t="str">
        <f t="shared" si="21"/>
        <v/>
      </c>
      <c r="J226" s="1" t="str">
        <f t="shared" si="22"/>
        <v/>
      </c>
      <c r="K226" s="1" t="str">
        <f t="shared" si="23"/>
        <v/>
      </c>
      <c r="L226" s="1" t="str">
        <f t="shared" si="24"/>
        <v/>
      </c>
      <c r="M226" s="1" t="str">
        <f t="shared" si="25"/>
        <v/>
      </c>
      <c r="N226" s="1" t="str">
        <f>IF(ISNUMBER(行动模拟!F226),行动模拟!F226,"")</f>
        <v/>
      </c>
      <c r="O226" s="1" t="str">
        <f>IF(COUNT(行动模拟!G226:H226)=0,"",SUM(行动模拟!G226:H226))</f>
        <v/>
      </c>
      <c r="P226" s="1" t="str">
        <f>IF(H226="","",IF(G226="是",后台计算!DX220,IF(G226="否",后台计算!DW220,"")))</f>
        <v/>
      </c>
      <c r="Q226" s="1" t="str">
        <f>IF(H226="","",IF(G226="是",后台计算!BV220-后台计算!DX220,IF(G226="否",后台计算!BU220-后台计算!DW220,"")))</f>
        <v/>
      </c>
      <c r="R226" s="1" t="str">
        <f t="shared" si="26"/>
        <v/>
      </c>
      <c r="S226" s="1" t="str">
        <f t="shared" si="27"/>
        <v/>
      </c>
      <c r="T226" s="1" t="str">
        <f>IF(AND(后台计算!DH220="洞穿",O226&gt;0),IF(O226=ROUNDDOWN(N226*0.4,0),"实测附加=floor(主伤害×40%)；稳态来源待确认","实测附加关系需核对"),"")</f>
        <v/>
      </c>
      <c r="U226" s="1">
        <f>IF(D226="","",后台计算!EQ220)</f>
        <v>232</v>
      </c>
      <c r="V226" s="1">
        <f>IF(D226="","",后台计算!ER220)</f>
        <v>0.9</v>
      </c>
      <c r="W226" s="1">
        <f>IF(D226="","",后台计算!ES220)</f>
        <v>0.65</v>
      </c>
      <c r="X226" s="1" t="str">
        <f>IF(D226="","",IF(Boss参数!$B$60=1,"此前实测；缺失用预测","此前预测"))</f>
        <v>此前实测；缺失用预测</v>
      </c>
      <c r="Y226" s="1" t="str">
        <f>IF(H226="","",IF(H226&gt;Boss参数!$B$63*Boss参数!$B$62,"超过暂定合计上限",""))</f>
        <v/>
      </c>
    </row>
    <row r="227" spans="1:25" ht="38.1" customHeight="1">
      <c r="A227" s="1" t="str">
        <f>行动模拟!A227</f>
        <v/>
      </c>
      <c r="B227" s="1">
        <f>行动模拟!B227</f>
        <v>0</v>
      </c>
      <c r="C227" s="1">
        <f>行动模拟!C227</f>
        <v>0</v>
      </c>
      <c r="D227" s="1">
        <f>行动模拟!D227</f>
        <v>0</v>
      </c>
      <c r="E227" s="1" t="str">
        <f>行动模拟!O227</f>
        <v/>
      </c>
      <c r="F227" s="1" t="str">
        <f>行动模拟!P227</f>
        <v/>
      </c>
      <c r="G227" s="1" t="str">
        <f>IF(行动模拟!D227="","",行动模拟!E227)</f>
        <v/>
      </c>
      <c r="H227" s="1" t="str">
        <f>IF(COUNT(行动模拟!F227:H227)=0,"",SUM(行动模拟!F227:H227))</f>
        <v/>
      </c>
      <c r="I227" s="1" t="str">
        <f t="shared" si="21"/>
        <v/>
      </c>
      <c r="J227" s="1" t="str">
        <f t="shared" si="22"/>
        <v/>
      </c>
      <c r="K227" s="1" t="str">
        <f t="shared" si="23"/>
        <v/>
      </c>
      <c r="L227" s="1" t="str">
        <f t="shared" si="24"/>
        <v/>
      </c>
      <c r="M227" s="1" t="str">
        <f t="shared" si="25"/>
        <v/>
      </c>
      <c r="N227" s="1" t="str">
        <f>IF(ISNUMBER(行动模拟!F227),行动模拟!F227,"")</f>
        <v/>
      </c>
      <c r="O227" s="1" t="str">
        <f>IF(COUNT(行动模拟!G227:H227)=0,"",SUM(行动模拟!G227:H227))</f>
        <v/>
      </c>
      <c r="P227" s="1" t="str">
        <f>IF(H227="","",IF(G227="是",后台计算!DX221,IF(G227="否",后台计算!DW221,"")))</f>
        <v/>
      </c>
      <c r="Q227" s="1" t="str">
        <f>IF(H227="","",IF(G227="是",后台计算!BV221-后台计算!DX221,IF(G227="否",后台计算!BU221-后台计算!DW221,"")))</f>
        <v/>
      </c>
      <c r="R227" s="1" t="str">
        <f t="shared" si="26"/>
        <v/>
      </c>
      <c r="S227" s="1" t="str">
        <f t="shared" si="27"/>
        <v/>
      </c>
      <c r="T227" s="1" t="str">
        <f>IF(AND(后台计算!DH221="洞穿",O227&gt;0),IF(O227=ROUNDDOWN(N227*0.4,0),"实测附加=floor(主伤害×40%)；稳态来源待确认","实测附加关系需核对"),"")</f>
        <v/>
      </c>
      <c r="U227" s="1">
        <f>IF(D227="","",后台计算!EQ221)</f>
        <v>232</v>
      </c>
      <c r="V227" s="1">
        <f>IF(D227="","",后台计算!ER221)</f>
        <v>0.9</v>
      </c>
      <c r="W227" s="1">
        <f>IF(D227="","",后台计算!ES221)</f>
        <v>0.65</v>
      </c>
      <c r="X227" s="1" t="str">
        <f>IF(D227="","",IF(Boss参数!$B$60=1,"此前实测；缺失用预测","此前预测"))</f>
        <v>此前实测；缺失用预测</v>
      </c>
      <c r="Y227" s="1" t="str">
        <f>IF(H227="","",IF(H227&gt;Boss参数!$B$63*Boss参数!$B$62,"超过暂定合计上限",""))</f>
        <v/>
      </c>
    </row>
    <row r="228" spans="1:25" ht="38.1" customHeight="1">
      <c r="A228" s="1" t="str">
        <f>行动模拟!A228</f>
        <v/>
      </c>
      <c r="B228" s="1">
        <f>行动模拟!B228</f>
        <v>0</v>
      </c>
      <c r="C228" s="1">
        <f>行动模拟!C228</f>
        <v>0</v>
      </c>
      <c r="D228" s="1">
        <f>行动模拟!D228</f>
        <v>0</v>
      </c>
      <c r="E228" s="1" t="str">
        <f>行动模拟!O228</f>
        <v/>
      </c>
      <c r="F228" s="1" t="str">
        <f>行动模拟!P228</f>
        <v/>
      </c>
      <c r="G228" s="1" t="str">
        <f>IF(行动模拟!D228="","",行动模拟!E228)</f>
        <v/>
      </c>
      <c r="H228" s="1" t="str">
        <f>IF(COUNT(行动模拟!F228:H228)=0,"",SUM(行动模拟!F228:H228))</f>
        <v/>
      </c>
      <c r="I228" s="1" t="str">
        <f t="shared" si="21"/>
        <v/>
      </c>
      <c r="J228" s="1" t="str">
        <f t="shared" si="22"/>
        <v/>
      </c>
      <c r="K228" s="1" t="str">
        <f t="shared" si="23"/>
        <v/>
      </c>
      <c r="L228" s="1" t="str">
        <f t="shared" si="24"/>
        <v/>
      </c>
      <c r="M228" s="1" t="str">
        <f t="shared" si="25"/>
        <v/>
      </c>
      <c r="N228" s="1" t="str">
        <f>IF(ISNUMBER(行动模拟!F228),行动模拟!F228,"")</f>
        <v/>
      </c>
      <c r="O228" s="1" t="str">
        <f>IF(COUNT(行动模拟!G228:H228)=0,"",SUM(行动模拟!G228:H228))</f>
        <v/>
      </c>
      <c r="P228" s="1" t="str">
        <f>IF(H228="","",IF(G228="是",后台计算!DX222,IF(G228="否",后台计算!DW222,"")))</f>
        <v/>
      </c>
      <c r="Q228" s="1" t="str">
        <f>IF(H228="","",IF(G228="是",后台计算!BV222-后台计算!DX222,IF(G228="否",后台计算!BU222-后台计算!DW222,"")))</f>
        <v/>
      </c>
      <c r="R228" s="1" t="str">
        <f t="shared" si="26"/>
        <v/>
      </c>
      <c r="S228" s="1" t="str">
        <f t="shared" si="27"/>
        <v/>
      </c>
      <c r="T228" s="1" t="str">
        <f>IF(AND(后台计算!DH222="洞穿",O228&gt;0),IF(O228=ROUNDDOWN(N228*0.4,0),"实测附加=floor(主伤害×40%)；稳态来源待确认","实测附加关系需核对"),"")</f>
        <v/>
      </c>
      <c r="U228" s="1">
        <f>IF(D228="","",后台计算!EQ222)</f>
        <v>232</v>
      </c>
      <c r="V228" s="1">
        <f>IF(D228="","",后台计算!ER222)</f>
        <v>0.9</v>
      </c>
      <c r="W228" s="1">
        <f>IF(D228="","",后台计算!ES222)</f>
        <v>0.65</v>
      </c>
      <c r="X228" s="1" t="str">
        <f>IF(D228="","",IF(Boss参数!$B$60=1,"此前实测；缺失用预测","此前预测"))</f>
        <v>此前实测；缺失用预测</v>
      </c>
      <c r="Y228" s="1" t="str">
        <f>IF(H228="","",IF(H228&gt;Boss参数!$B$63*Boss参数!$B$62,"超过暂定合计上限",""))</f>
        <v/>
      </c>
    </row>
    <row r="229" spans="1:25" ht="38.1" customHeight="1">
      <c r="A229" s="1" t="str">
        <f>行动模拟!A229</f>
        <v/>
      </c>
      <c r="B229" s="1">
        <f>行动模拟!B229</f>
        <v>0</v>
      </c>
      <c r="C229" s="1">
        <f>行动模拟!C229</f>
        <v>0</v>
      </c>
      <c r="D229" s="1">
        <f>行动模拟!D229</f>
        <v>0</v>
      </c>
      <c r="E229" s="1" t="str">
        <f>行动模拟!O229</f>
        <v/>
      </c>
      <c r="F229" s="1" t="str">
        <f>行动模拟!P229</f>
        <v/>
      </c>
      <c r="G229" s="1" t="str">
        <f>IF(行动模拟!D229="","",行动模拟!E229)</f>
        <v/>
      </c>
      <c r="H229" s="1" t="str">
        <f>IF(COUNT(行动模拟!F229:H229)=0,"",SUM(行动模拟!F229:H229))</f>
        <v/>
      </c>
      <c r="I229" s="1" t="str">
        <f t="shared" si="21"/>
        <v/>
      </c>
      <c r="J229" s="1" t="str">
        <f t="shared" si="22"/>
        <v/>
      </c>
      <c r="K229" s="1" t="str">
        <f t="shared" si="23"/>
        <v/>
      </c>
      <c r="L229" s="1" t="str">
        <f t="shared" si="24"/>
        <v/>
      </c>
      <c r="M229" s="1" t="str">
        <f t="shared" si="25"/>
        <v/>
      </c>
      <c r="N229" s="1" t="str">
        <f>IF(ISNUMBER(行动模拟!F229),行动模拟!F229,"")</f>
        <v/>
      </c>
      <c r="O229" s="1" t="str">
        <f>IF(COUNT(行动模拟!G229:H229)=0,"",SUM(行动模拟!G229:H229))</f>
        <v/>
      </c>
      <c r="P229" s="1" t="str">
        <f>IF(H229="","",IF(G229="是",后台计算!DX223,IF(G229="否",后台计算!DW223,"")))</f>
        <v/>
      </c>
      <c r="Q229" s="1" t="str">
        <f>IF(H229="","",IF(G229="是",后台计算!BV223-后台计算!DX223,IF(G229="否",后台计算!BU223-后台计算!DW223,"")))</f>
        <v/>
      </c>
      <c r="R229" s="1" t="str">
        <f t="shared" si="26"/>
        <v/>
      </c>
      <c r="S229" s="1" t="str">
        <f t="shared" si="27"/>
        <v/>
      </c>
      <c r="T229" s="1" t="str">
        <f>IF(AND(后台计算!DH223="洞穿",O229&gt;0),IF(O229=ROUNDDOWN(N229*0.4,0),"实测附加=floor(主伤害×40%)；稳态来源待确认","实测附加关系需核对"),"")</f>
        <v/>
      </c>
      <c r="U229" s="1">
        <f>IF(D229="","",后台计算!EQ223)</f>
        <v>232</v>
      </c>
      <c r="V229" s="1">
        <f>IF(D229="","",后台计算!ER223)</f>
        <v>0.9</v>
      </c>
      <c r="W229" s="1">
        <f>IF(D229="","",后台计算!ES223)</f>
        <v>0.65</v>
      </c>
      <c r="X229" s="1" t="str">
        <f>IF(D229="","",IF(Boss参数!$B$60=1,"此前实测；缺失用预测","此前预测"))</f>
        <v>此前实测；缺失用预测</v>
      </c>
      <c r="Y229" s="1" t="str">
        <f>IF(H229="","",IF(H229&gt;Boss参数!$B$63*Boss参数!$B$62,"超过暂定合计上限",""))</f>
        <v/>
      </c>
    </row>
    <row r="230" spans="1:25" ht="38.1" customHeight="1">
      <c r="A230" s="1" t="str">
        <f>行动模拟!A230</f>
        <v/>
      </c>
      <c r="B230" s="1">
        <f>行动模拟!B230</f>
        <v>0</v>
      </c>
      <c r="C230" s="1">
        <f>行动模拟!C230</f>
        <v>0</v>
      </c>
      <c r="D230" s="1">
        <f>行动模拟!D230</f>
        <v>0</v>
      </c>
      <c r="E230" s="1" t="str">
        <f>行动模拟!O230</f>
        <v/>
      </c>
      <c r="F230" s="1" t="str">
        <f>行动模拟!P230</f>
        <v/>
      </c>
      <c r="G230" s="1" t="str">
        <f>IF(行动模拟!D230="","",行动模拟!E230)</f>
        <v/>
      </c>
      <c r="H230" s="1" t="str">
        <f>IF(COUNT(行动模拟!F230:H230)=0,"",SUM(行动模拟!F230:H230))</f>
        <v/>
      </c>
      <c r="I230" s="1" t="str">
        <f t="shared" si="21"/>
        <v/>
      </c>
      <c r="J230" s="1" t="str">
        <f t="shared" si="22"/>
        <v/>
      </c>
      <c r="K230" s="1" t="str">
        <f t="shared" si="23"/>
        <v/>
      </c>
      <c r="L230" s="1" t="str">
        <f t="shared" si="24"/>
        <v/>
      </c>
      <c r="M230" s="1" t="str">
        <f t="shared" si="25"/>
        <v/>
      </c>
      <c r="N230" s="1" t="str">
        <f>IF(ISNUMBER(行动模拟!F230),行动模拟!F230,"")</f>
        <v/>
      </c>
      <c r="O230" s="1" t="str">
        <f>IF(COUNT(行动模拟!G230:H230)=0,"",SUM(行动模拟!G230:H230))</f>
        <v/>
      </c>
      <c r="P230" s="1" t="str">
        <f>IF(H230="","",IF(G230="是",后台计算!DX224,IF(G230="否",后台计算!DW224,"")))</f>
        <v/>
      </c>
      <c r="Q230" s="1" t="str">
        <f>IF(H230="","",IF(G230="是",后台计算!BV224-后台计算!DX224,IF(G230="否",后台计算!BU224-后台计算!DW224,"")))</f>
        <v/>
      </c>
      <c r="R230" s="1" t="str">
        <f t="shared" si="26"/>
        <v/>
      </c>
      <c r="S230" s="1" t="str">
        <f t="shared" si="27"/>
        <v/>
      </c>
      <c r="T230" s="1" t="str">
        <f>IF(AND(后台计算!DH224="洞穿",O230&gt;0),IF(O230=ROUNDDOWN(N230*0.4,0),"实测附加=floor(主伤害×40%)；稳态来源待确认","实测附加关系需核对"),"")</f>
        <v/>
      </c>
      <c r="U230" s="1">
        <f>IF(D230="","",后台计算!EQ224)</f>
        <v>232</v>
      </c>
      <c r="V230" s="1">
        <f>IF(D230="","",后台计算!ER224)</f>
        <v>0.9</v>
      </c>
      <c r="W230" s="1">
        <f>IF(D230="","",后台计算!ES224)</f>
        <v>0.65</v>
      </c>
      <c r="X230" s="1" t="str">
        <f>IF(D230="","",IF(Boss参数!$B$60=1,"此前实测；缺失用预测","此前预测"))</f>
        <v>此前实测；缺失用预测</v>
      </c>
      <c r="Y230" s="1" t="str">
        <f>IF(H230="","",IF(H230&gt;Boss参数!$B$63*Boss参数!$B$62,"超过暂定合计上限",""))</f>
        <v/>
      </c>
    </row>
    <row r="231" spans="1:25" ht="38.1" customHeight="1">
      <c r="A231" s="1" t="str">
        <f>行动模拟!A231</f>
        <v/>
      </c>
      <c r="B231" s="1">
        <f>行动模拟!B231</f>
        <v>0</v>
      </c>
      <c r="C231" s="1">
        <f>行动模拟!C231</f>
        <v>0</v>
      </c>
      <c r="D231" s="1">
        <f>行动模拟!D231</f>
        <v>0</v>
      </c>
      <c r="E231" s="1" t="str">
        <f>行动模拟!O231</f>
        <v/>
      </c>
      <c r="F231" s="1" t="str">
        <f>行动模拟!P231</f>
        <v/>
      </c>
      <c r="G231" s="1" t="str">
        <f>IF(行动模拟!D231="","",行动模拟!E231)</f>
        <v/>
      </c>
      <c r="H231" s="1" t="str">
        <f>IF(COUNT(行动模拟!F231:H231)=0,"",SUM(行动模拟!F231:H231))</f>
        <v/>
      </c>
      <c r="I231" s="1" t="str">
        <f t="shared" si="21"/>
        <v/>
      </c>
      <c r="J231" s="1" t="str">
        <f t="shared" si="22"/>
        <v/>
      </c>
      <c r="K231" s="1" t="str">
        <f t="shared" si="23"/>
        <v/>
      </c>
      <c r="L231" s="1" t="str">
        <f t="shared" si="24"/>
        <v/>
      </c>
      <c r="M231" s="1" t="str">
        <f t="shared" si="25"/>
        <v/>
      </c>
      <c r="N231" s="1" t="str">
        <f>IF(ISNUMBER(行动模拟!F231),行动模拟!F231,"")</f>
        <v/>
      </c>
      <c r="O231" s="1" t="str">
        <f>IF(COUNT(行动模拟!G231:H231)=0,"",SUM(行动模拟!G231:H231))</f>
        <v/>
      </c>
      <c r="P231" s="1" t="str">
        <f>IF(H231="","",IF(G231="是",后台计算!DX225,IF(G231="否",后台计算!DW225,"")))</f>
        <v/>
      </c>
      <c r="Q231" s="1" t="str">
        <f>IF(H231="","",IF(G231="是",后台计算!BV225-后台计算!DX225,IF(G231="否",后台计算!BU225-后台计算!DW225,"")))</f>
        <v/>
      </c>
      <c r="R231" s="1" t="str">
        <f t="shared" si="26"/>
        <v/>
      </c>
      <c r="S231" s="1" t="str">
        <f t="shared" si="27"/>
        <v/>
      </c>
      <c r="T231" s="1" t="str">
        <f>IF(AND(后台计算!DH225="洞穿",O231&gt;0),IF(O231=ROUNDDOWN(N231*0.4,0),"实测附加=floor(主伤害×40%)；稳态来源待确认","实测附加关系需核对"),"")</f>
        <v/>
      </c>
      <c r="U231" s="1">
        <f>IF(D231="","",后台计算!EQ225)</f>
        <v>232</v>
      </c>
      <c r="V231" s="1">
        <f>IF(D231="","",后台计算!ER225)</f>
        <v>0.9</v>
      </c>
      <c r="W231" s="1">
        <f>IF(D231="","",后台计算!ES225)</f>
        <v>0.65</v>
      </c>
      <c r="X231" s="1" t="str">
        <f>IF(D231="","",IF(Boss参数!$B$60=1,"此前实测；缺失用预测","此前预测"))</f>
        <v>此前实测；缺失用预测</v>
      </c>
      <c r="Y231" s="1" t="str">
        <f>IF(H231="","",IF(H231&gt;Boss参数!$B$63*Boss参数!$B$62,"超过暂定合计上限",""))</f>
        <v/>
      </c>
    </row>
    <row r="232" spans="1:25" ht="38.1" customHeight="1">
      <c r="A232" s="1" t="str">
        <f>行动模拟!A232</f>
        <v/>
      </c>
      <c r="B232" s="1">
        <f>行动模拟!B232</f>
        <v>0</v>
      </c>
      <c r="C232" s="1">
        <f>行动模拟!C232</f>
        <v>0</v>
      </c>
      <c r="D232" s="1">
        <f>行动模拟!D232</f>
        <v>0</v>
      </c>
      <c r="E232" s="1" t="str">
        <f>行动模拟!O232</f>
        <v/>
      </c>
      <c r="F232" s="1" t="str">
        <f>行动模拟!P232</f>
        <v/>
      </c>
      <c r="G232" s="1" t="str">
        <f>IF(行动模拟!D232="","",行动模拟!E232)</f>
        <v/>
      </c>
      <c r="H232" s="1" t="str">
        <f>IF(COUNT(行动模拟!F232:H232)=0,"",SUM(行动模拟!F232:H232))</f>
        <v/>
      </c>
      <c r="I232" s="1" t="str">
        <f t="shared" si="21"/>
        <v/>
      </c>
      <c r="J232" s="1" t="str">
        <f t="shared" si="22"/>
        <v/>
      </c>
      <c r="K232" s="1" t="str">
        <f t="shared" si="23"/>
        <v/>
      </c>
      <c r="L232" s="1" t="str">
        <f t="shared" si="24"/>
        <v/>
      </c>
      <c r="M232" s="1" t="str">
        <f t="shared" si="25"/>
        <v/>
      </c>
      <c r="N232" s="1" t="str">
        <f>IF(ISNUMBER(行动模拟!F232),行动模拟!F232,"")</f>
        <v/>
      </c>
      <c r="O232" s="1" t="str">
        <f>IF(COUNT(行动模拟!G232:H232)=0,"",SUM(行动模拟!G232:H232))</f>
        <v/>
      </c>
      <c r="P232" s="1" t="str">
        <f>IF(H232="","",IF(G232="是",后台计算!DX226,IF(G232="否",后台计算!DW226,"")))</f>
        <v/>
      </c>
      <c r="Q232" s="1" t="str">
        <f>IF(H232="","",IF(G232="是",后台计算!BV226-后台计算!DX226,IF(G232="否",后台计算!BU226-后台计算!DW226,"")))</f>
        <v/>
      </c>
      <c r="R232" s="1" t="str">
        <f t="shared" si="26"/>
        <v/>
      </c>
      <c r="S232" s="1" t="str">
        <f t="shared" si="27"/>
        <v/>
      </c>
      <c r="T232" s="1" t="str">
        <f>IF(AND(后台计算!DH226="洞穿",O232&gt;0),IF(O232=ROUNDDOWN(N232*0.4,0),"实测附加=floor(主伤害×40%)；稳态来源待确认","实测附加关系需核对"),"")</f>
        <v/>
      </c>
      <c r="U232" s="1">
        <f>IF(D232="","",后台计算!EQ226)</f>
        <v>232</v>
      </c>
      <c r="V232" s="1">
        <f>IF(D232="","",后台计算!ER226)</f>
        <v>0.9</v>
      </c>
      <c r="W232" s="1">
        <f>IF(D232="","",后台计算!ES226)</f>
        <v>0.65</v>
      </c>
      <c r="X232" s="1" t="str">
        <f>IF(D232="","",IF(Boss参数!$B$60=1,"此前实测；缺失用预测","此前预测"))</f>
        <v>此前实测；缺失用预测</v>
      </c>
      <c r="Y232" s="1" t="str">
        <f>IF(H232="","",IF(H232&gt;Boss参数!$B$63*Boss参数!$B$62,"超过暂定合计上限",""))</f>
        <v/>
      </c>
    </row>
    <row r="233" spans="1:25" ht="38.1" customHeight="1">
      <c r="A233" s="1" t="str">
        <f>行动模拟!A233</f>
        <v/>
      </c>
      <c r="B233" s="1">
        <f>行动模拟!B233</f>
        <v>0</v>
      </c>
      <c r="C233" s="1">
        <f>行动模拟!C233</f>
        <v>0</v>
      </c>
      <c r="D233" s="1">
        <f>行动模拟!D233</f>
        <v>0</v>
      </c>
      <c r="E233" s="1" t="str">
        <f>行动模拟!O233</f>
        <v/>
      </c>
      <c r="F233" s="1" t="str">
        <f>行动模拟!P233</f>
        <v/>
      </c>
      <c r="G233" s="1" t="str">
        <f>IF(行动模拟!D233="","",行动模拟!E233)</f>
        <v/>
      </c>
      <c r="H233" s="1" t="str">
        <f>IF(COUNT(行动模拟!F233:H233)=0,"",SUM(行动模拟!F233:H233))</f>
        <v/>
      </c>
      <c r="I233" s="1" t="str">
        <f t="shared" si="21"/>
        <v/>
      </c>
      <c r="J233" s="1" t="str">
        <f t="shared" si="22"/>
        <v/>
      </c>
      <c r="K233" s="1" t="str">
        <f t="shared" si="23"/>
        <v/>
      </c>
      <c r="L233" s="1" t="str">
        <f t="shared" si="24"/>
        <v/>
      </c>
      <c r="M233" s="1" t="str">
        <f t="shared" si="25"/>
        <v/>
      </c>
      <c r="N233" s="1" t="str">
        <f>IF(ISNUMBER(行动模拟!F233),行动模拟!F233,"")</f>
        <v/>
      </c>
      <c r="O233" s="1" t="str">
        <f>IF(COUNT(行动模拟!G233:H233)=0,"",SUM(行动模拟!G233:H233))</f>
        <v/>
      </c>
      <c r="P233" s="1" t="str">
        <f>IF(H233="","",IF(G233="是",后台计算!DX227,IF(G233="否",后台计算!DW227,"")))</f>
        <v/>
      </c>
      <c r="Q233" s="1" t="str">
        <f>IF(H233="","",IF(G233="是",后台计算!BV227-后台计算!DX227,IF(G233="否",后台计算!BU227-后台计算!DW227,"")))</f>
        <v/>
      </c>
      <c r="R233" s="1" t="str">
        <f t="shared" si="26"/>
        <v/>
      </c>
      <c r="S233" s="1" t="str">
        <f t="shared" si="27"/>
        <v/>
      </c>
      <c r="T233" s="1" t="str">
        <f>IF(AND(后台计算!DH227="洞穿",O233&gt;0),IF(O233=ROUNDDOWN(N233*0.4,0),"实测附加=floor(主伤害×40%)；稳态来源待确认","实测附加关系需核对"),"")</f>
        <v/>
      </c>
      <c r="U233" s="1">
        <f>IF(D233="","",后台计算!EQ227)</f>
        <v>232</v>
      </c>
      <c r="V233" s="1">
        <f>IF(D233="","",后台计算!ER227)</f>
        <v>0.9</v>
      </c>
      <c r="W233" s="1">
        <f>IF(D233="","",后台计算!ES227)</f>
        <v>0.65</v>
      </c>
      <c r="X233" s="1" t="str">
        <f>IF(D233="","",IF(Boss参数!$B$60=1,"此前实测；缺失用预测","此前预测"))</f>
        <v>此前实测；缺失用预测</v>
      </c>
      <c r="Y233" s="1" t="str">
        <f>IF(H233="","",IF(H233&gt;Boss参数!$B$63*Boss参数!$B$62,"超过暂定合计上限",""))</f>
        <v/>
      </c>
    </row>
    <row r="234" spans="1:25" ht="38.1" customHeight="1">
      <c r="A234" s="1" t="str">
        <f>行动模拟!A234</f>
        <v/>
      </c>
      <c r="B234" s="1">
        <f>行动模拟!B234</f>
        <v>0</v>
      </c>
      <c r="C234" s="1">
        <f>行动模拟!C234</f>
        <v>0</v>
      </c>
      <c r="D234" s="1">
        <f>行动模拟!D234</f>
        <v>0</v>
      </c>
      <c r="E234" s="1" t="str">
        <f>行动模拟!O234</f>
        <v/>
      </c>
      <c r="F234" s="1" t="str">
        <f>行动模拟!P234</f>
        <v/>
      </c>
      <c r="G234" s="1" t="str">
        <f>IF(行动模拟!D234="","",行动模拟!E234)</f>
        <v/>
      </c>
      <c r="H234" s="1" t="str">
        <f>IF(COUNT(行动模拟!F234:H234)=0,"",SUM(行动模拟!F234:H234))</f>
        <v/>
      </c>
      <c r="I234" s="1" t="str">
        <f t="shared" si="21"/>
        <v/>
      </c>
      <c r="J234" s="1" t="str">
        <f t="shared" si="22"/>
        <v/>
      </c>
      <c r="K234" s="1" t="str">
        <f t="shared" si="23"/>
        <v/>
      </c>
      <c r="L234" s="1" t="str">
        <f t="shared" si="24"/>
        <v/>
      </c>
      <c r="M234" s="1" t="str">
        <f t="shared" si="25"/>
        <v/>
      </c>
      <c r="N234" s="1" t="str">
        <f>IF(ISNUMBER(行动模拟!F234),行动模拟!F234,"")</f>
        <v/>
      </c>
      <c r="O234" s="1" t="str">
        <f>IF(COUNT(行动模拟!G234:H234)=0,"",SUM(行动模拟!G234:H234))</f>
        <v/>
      </c>
      <c r="P234" s="1" t="str">
        <f>IF(H234="","",IF(G234="是",后台计算!DX228,IF(G234="否",后台计算!DW228,"")))</f>
        <v/>
      </c>
      <c r="Q234" s="1" t="str">
        <f>IF(H234="","",IF(G234="是",后台计算!BV228-后台计算!DX228,IF(G234="否",后台计算!BU228-后台计算!DW228,"")))</f>
        <v/>
      </c>
      <c r="R234" s="1" t="str">
        <f t="shared" si="26"/>
        <v/>
      </c>
      <c r="S234" s="1" t="str">
        <f t="shared" si="27"/>
        <v/>
      </c>
      <c r="T234" s="1" t="str">
        <f>IF(AND(后台计算!DH228="洞穿",O234&gt;0),IF(O234=ROUNDDOWN(N234*0.4,0),"实测附加=floor(主伤害×40%)；稳态来源待确认","实测附加关系需核对"),"")</f>
        <v/>
      </c>
      <c r="U234" s="1">
        <f>IF(D234="","",后台计算!EQ228)</f>
        <v>232</v>
      </c>
      <c r="V234" s="1">
        <f>IF(D234="","",后台计算!ER228)</f>
        <v>0.9</v>
      </c>
      <c r="W234" s="1">
        <f>IF(D234="","",后台计算!ES228)</f>
        <v>0.65</v>
      </c>
      <c r="X234" s="1" t="str">
        <f>IF(D234="","",IF(Boss参数!$B$60=1,"此前实测；缺失用预测","此前预测"))</f>
        <v>此前实测；缺失用预测</v>
      </c>
      <c r="Y234" s="1" t="str">
        <f>IF(H234="","",IF(H234&gt;Boss参数!$B$63*Boss参数!$B$62,"超过暂定合计上限",""))</f>
        <v/>
      </c>
    </row>
    <row r="235" spans="1:25" ht="38.1" customHeight="1">
      <c r="A235" s="1" t="str">
        <f>行动模拟!A235</f>
        <v/>
      </c>
      <c r="B235" s="1">
        <f>行动模拟!B235</f>
        <v>0</v>
      </c>
      <c r="C235" s="1">
        <f>行动模拟!C235</f>
        <v>0</v>
      </c>
      <c r="D235" s="1">
        <f>行动模拟!D235</f>
        <v>0</v>
      </c>
      <c r="E235" s="1" t="str">
        <f>行动模拟!O235</f>
        <v/>
      </c>
      <c r="F235" s="1" t="str">
        <f>行动模拟!P235</f>
        <v/>
      </c>
      <c r="G235" s="1" t="str">
        <f>IF(行动模拟!D235="","",行动模拟!E235)</f>
        <v/>
      </c>
      <c r="H235" s="1" t="str">
        <f>IF(COUNT(行动模拟!F235:H235)=0,"",SUM(行动模拟!F235:H235))</f>
        <v/>
      </c>
      <c r="I235" s="1" t="str">
        <f t="shared" si="21"/>
        <v/>
      </c>
      <c r="J235" s="1" t="str">
        <f t="shared" si="22"/>
        <v/>
      </c>
      <c r="K235" s="1" t="str">
        <f t="shared" si="23"/>
        <v/>
      </c>
      <c r="L235" s="1" t="str">
        <f t="shared" si="24"/>
        <v/>
      </c>
      <c r="M235" s="1" t="str">
        <f t="shared" si="25"/>
        <v/>
      </c>
      <c r="N235" s="1" t="str">
        <f>IF(ISNUMBER(行动模拟!F235),行动模拟!F235,"")</f>
        <v/>
      </c>
      <c r="O235" s="1" t="str">
        <f>IF(COUNT(行动模拟!G235:H235)=0,"",SUM(行动模拟!G235:H235))</f>
        <v/>
      </c>
      <c r="P235" s="1" t="str">
        <f>IF(H235="","",IF(G235="是",后台计算!DX229,IF(G235="否",后台计算!DW229,"")))</f>
        <v/>
      </c>
      <c r="Q235" s="1" t="str">
        <f>IF(H235="","",IF(G235="是",后台计算!BV229-后台计算!DX229,IF(G235="否",后台计算!BU229-后台计算!DW229,"")))</f>
        <v/>
      </c>
      <c r="R235" s="1" t="str">
        <f t="shared" si="26"/>
        <v/>
      </c>
      <c r="S235" s="1" t="str">
        <f t="shared" si="27"/>
        <v/>
      </c>
      <c r="T235" s="1" t="str">
        <f>IF(AND(后台计算!DH229="洞穿",O235&gt;0),IF(O235=ROUNDDOWN(N235*0.4,0),"实测附加=floor(主伤害×40%)；稳态来源待确认","实测附加关系需核对"),"")</f>
        <v/>
      </c>
      <c r="U235" s="1">
        <f>IF(D235="","",后台计算!EQ229)</f>
        <v>232</v>
      </c>
      <c r="V235" s="1">
        <f>IF(D235="","",后台计算!ER229)</f>
        <v>0.9</v>
      </c>
      <c r="W235" s="1">
        <f>IF(D235="","",后台计算!ES229)</f>
        <v>0.65</v>
      </c>
      <c r="X235" s="1" t="str">
        <f>IF(D235="","",IF(Boss参数!$B$60=1,"此前实测；缺失用预测","此前预测"))</f>
        <v>此前实测；缺失用预测</v>
      </c>
      <c r="Y235" s="1" t="str">
        <f>IF(H235="","",IF(H235&gt;Boss参数!$B$63*Boss参数!$B$62,"超过暂定合计上限",""))</f>
        <v/>
      </c>
    </row>
    <row r="236" spans="1:25" ht="38.1" customHeight="1">
      <c r="A236" s="1" t="str">
        <f>行动模拟!A236</f>
        <v/>
      </c>
      <c r="B236" s="1">
        <f>行动模拟!B236</f>
        <v>0</v>
      </c>
      <c r="C236" s="1">
        <f>行动模拟!C236</f>
        <v>0</v>
      </c>
      <c r="D236" s="1">
        <f>行动模拟!D236</f>
        <v>0</v>
      </c>
      <c r="E236" s="1" t="str">
        <f>行动模拟!O236</f>
        <v/>
      </c>
      <c r="F236" s="1" t="str">
        <f>行动模拟!P236</f>
        <v/>
      </c>
      <c r="G236" s="1" t="str">
        <f>IF(行动模拟!D236="","",行动模拟!E236)</f>
        <v/>
      </c>
      <c r="H236" s="1" t="str">
        <f>IF(COUNT(行动模拟!F236:H236)=0,"",SUM(行动模拟!F236:H236))</f>
        <v/>
      </c>
      <c r="I236" s="1" t="str">
        <f t="shared" si="21"/>
        <v/>
      </c>
      <c r="J236" s="1" t="str">
        <f t="shared" si="22"/>
        <v/>
      </c>
      <c r="K236" s="1" t="str">
        <f t="shared" si="23"/>
        <v/>
      </c>
      <c r="L236" s="1" t="str">
        <f t="shared" si="24"/>
        <v/>
      </c>
      <c r="M236" s="1" t="str">
        <f t="shared" si="25"/>
        <v/>
      </c>
      <c r="N236" s="1" t="str">
        <f>IF(ISNUMBER(行动模拟!F236),行动模拟!F236,"")</f>
        <v/>
      </c>
      <c r="O236" s="1" t="str">
        <f>IF(COUNT(行动模拟!G236:H236)=0,"",SUM(行动模拟!G236:H236))</f>
        <v/>
      </c>
      <c r="P236" s="1" t="str">
        <f>IF(H236="","",IF(G236="是",后台计算!DX230,IF(G236="否",后台计算!DW230,"")))</f>
        <v/>
      </c>
      <c r="Q236" s="1" t="str">
        <f>IF(H236="","",IF(G236="是",后台计算!BV230-后台计算!DX230,IF(G236="否",后台计算!BU230-后台计算!DW230,"")))</f>
        <v/>
      </c>
      <c r="R236" s="1" t="str">
        <f t="shared" si="26"/>
        <v/>
      </c>
      <c r="S236" s="1" t="str">
        <f t="shared" si="27"/>
        <v/>
      </c>
      <c r="T236" s="1" t="str">
        <f>IF(AND(后台计算!DH230="洞穿",O236&gt;0),IF(O236=ROUNDDOWN(N236*0.4,0),"实测附加=floor(主伤害×40%)；稳态来源待确认","实测附加关系需核对"),"")</f>
        <v/>
      </c>
      <c r="U236" s="1">
        <f>IF(D236="","",后台计算!EQ230)</f>
        <v>232</v>
      </c>
      <c r="V236" s="1">
        <f>IF(D236="","",后台计算!ER230)</f>
        <v>0.9</v>
      </c>
      <c r="W236" s="1">
        <f>IF(D236="","",后台计算!ES230)</f>
        <v>0.65</v>
      </c>
      <c r="X236" s="1" t="str">
        <f>IF(D236="","",IF(Boss参数!$B$60=1,"此前实测；缺失用预测","此前预测"))</f>
        <v>此前实测；缺失用预测</v>
      </c>
      <c r="Y236" s="1" t="str">
        <f>IF(H236="","",IF(H236&gt;Boss参数!$B$63*Boss参数!$B$62,"超过暂定合计上限",""))</f>
        <v/>
      </c>
    </row>
    <row r="237" spans="1:25" ht="38.1" customHeight="1">
      <c r="A237" s="1" t="str">
        <f>行动模拟!A237</f>
        <v/>
      </c>
      <c r="B237" s="1">
        <f>行动模拟!B237</f>
        <v>0</v>
      </c>
      <c r="C237" s="1">
        <f>行动模拟!C237</f>
        <v>0</v>
      </c>
      <c r="D237" s="1">
        <f>行动模拟!D237</f>
        <v>0</v>
      </c>
      <c r="E237" s="1" t="str">
        <f>行动模拟!O237</f>
        <v/>
      </c>
      <c r="F237" s="1" t="str">
        <f>行动模拟!P237</f>
        <v/>
      </c>
      <c r="G237" s="1" t="str">
        <f>IF(行动模拟!D237="","",行动模拟!E237)</f>
        <v/>
      </c>
      <c r="H237" s="1" t="str">
        <f>IF(COUNT(行动模拟!F237:H237)=0,"",SUM(行动模拟!F237:H237))</f>
        <v/>
      </c>
      <c r="I237" s="1" t="str">
        <f t="shared" si="21"/>
        <v/>
      </c>
      <c r="J237" s="1" t="str">
        <f t="shared" si="22"/>
        <v/>
      </c>
      <c r="K237" s="1" t="str">
        <f t="shared" si="23"/>
        <v/>
      </c>
      <c r="L237" s="1" t="str">
        <f t="shared" si="24"/>
        <v/>
      </c>
      <c r="M237" s="1" t="str">
        <f t="shared" si="25"/>
        <v/>
      </c>
      <c r="N237" s="1" t="str">
        <f>IF(ISNUMBER(行动模拟!F237),行动模拟!F237,"")</f>
        <v/>
      </c>
      <c r="O237" s="1" t="str">
        <f>IF(COUNT(行动模拟!G237:H237)=0,"",SUM(行动模拟!G237:H237))</f>
        <v/>
      </c>
      <c r="P237" s="1" t="str">
        <f>IF(H237="","",IF(G237="是",后台计算!DX231,IF(G237="否",后台计算!DW231,"")))</f>
        <v/>
      </c>
      <c r="Q237" s="1" t="str">
        <f>IF(H237="","",IF(G237="是",后台计算!BV231-后台计算!DX231,IF(G237="否",后台计算!BU231-后台计算!DW231,"")))</f>
        <v/>
      </c>
      <c r="R237" s="1" t="str">
        <f t="shared" si="26"/>
        <v/>
      </c>
      <c r="S237" s="1" t="str">
        <f t="shared" si="27"/>
        <v/>
      </c>
      <c r="T237" s="1" t="str">
        <f>IF(AND(后台计算!DH231="洞穿",O237&gt;0),IF(O237=ROUNDDOWN(N237*0.4,0),"实测附加=floor(主伤害×40%)；稳态来源待确认","实测附加关系需核对"),"")</f>
        <v/>
      </c>
      <c r="U237" s="1">
        <f>IF(D237="","",后台计算!EQ231)</f>
        <v>232</v>
      </c>
      <c r="V237" s="1">
        <f>IF(D237="","",后台计算!ER231)</f>
        <v>0.9</v>
      </c>
      <c r="W237" s="1">
        <f>IF(D237="","",后台计算!ES231)</f>
        <v>0.65</v>
      </c>
      <c r="X237" s="1" t="str">
        <f>IF(D237="","",IF(Boss参数!$B$60=1,"此前实测；缺失用预测","此前预测"))</f>
        <v>此前实测；缺失用预测</v>
      </c>
      <c r="Y237" s="1" t="str">
        <f>IF(H237="","",IF(H237&gt;Boss参数!$B$63*Boss参数!$B$62,"超过暂定合计上限",""))</f>
        <v/>
      </c>
    </row>
    <row r="238" spans="1:25" ht="38.1" customHeight="1">
      <c r="A238" s="1" t="str">
        <f>行动模拟!A238</f>
        <v/>
      </c>
      <c r="B238" s="1">
        <f>行动模拟!B238</f>
        <v>0</v>
      </c>
      <c r="C238" s="1">
        <f>行动模拟!C238</f>
        <v>0</v>
      </c>
      <c r="D238" s="1">
        <f>行动模拟!D238</f>
        <v>0</v>
      </c>
      <c r="E238" s="1" t="str">
        <f>行动模拟!O238</f>
        <v/>
      </c>
      <c r="F238" s="1" t="str">
        <f>行动模拟!P238</f>
        <v/>
      </c>
      <c r="G238" s="1" t="str">
        <f>IF(行动模拟!D238="","",行动模拟!E238)</f>
        <v/>
      </c>
      <c r="H238" s="1" t="str">
        <f>IF(COUNT(行动模拟!F238:H238)=0,"",SUM(行动模拟!F238:H238))</f>
        <v/>
      </c>
      <c r="I238" s="1" t="str">
        <f t="shared" si="21"/>
        <v/>
      </c>
      <c r="J238" s="1" t="str">
        <f t="shared" si="22"/>
        <v/>
      </c>
      <c r="K238" s="1" t="str">
        <f t="shared" si="23"/>
        <v/>
      </c>
      <c r="L238" s="1" t="str">
        <f t="shared" si="24"/>
        <v/>
      </c>
      <c r="M238" s="1" t="str">
        <f t="shared" si="25"/>
        <v/>
      </c>
      <c r="N238" s="1" t="str">
        <f>IF(ISNUMBER(行动模拟!F238),行动模拟!F238,"")</f>
        <v/>
      </c>
      <c r="O238" s="1" t="str">
        <f>IF(COUNT(行动模拟!G238:H238)=0,"",SUM(行动模拟!G238:H238))</f>
        <v/>
      </c>
      <c r="P238" s="1" t="str">
        <f>IF(H238="","",IF(G238="是",后台计算!DX232,IF(G238="否",后台计算!DW232,"")))</f>
        <v/>
      </c>
      <c r="Q238" s="1" t="str">
        <f>IF(H238="","",IF(G238="是",后台计算!BV232-后台计算!DX232,IF(G238="否",后台计算!BU232-后台计算!DW232,"")))</f>
        <v/>
      </c>
      <c r="R238" s="1" t="str">
        <f t="shared" si="26"/>
        <v/>
      </c>
      <c r="S238" s="1" t="str">
        <f t="shared" si="27"/>
        <v/>
      </c>
      <c r="T238" s="1" t="str">
        <f>IF(AND(后台计算!DH232="洞穿",O238&gt;0),IF(O238=ROUNDDOWN(N238*0.4,0),"实测附加=floor(主伤害×40%)；稳态来源待确认","实测附加关系需核对"),"")</f>
        <v/>
      </c>
      <c r="U238" s="1">
        <f>IF(D238="","",后台计算!EQ232)</f>
        <v>232</v>
      </c>
      <c r="V238" s="1">
        <f>IF(D238="","",后台计算!ER232)</f>
        <v>0.9</v>
      </c>
      <c r="W238" s="1">
        <f>IF(D238="","",后台计算!ES232)</f>
        <v>0.65</v>
      </c>
      <c r="X238" s="1" t="str">
        <f>IF(D238="","",IF(Boss参数!$B$60=1,"此前实测；缺失用预测","此前预测"))</f>
        <v>此前实测；缺失用预测</v>
      </c>
      <c r="Y238" s="1" t="str">
        <f>IF(H238="","",IF(H238&gt;Boss参数!$B$63*Boss参数!$B$62,"超过暂定合计上限",""))</f>
        <v/>
      </c>
    </row>
    <row r="239" spans="1:25" ht="38.1" customHeight="1">
      <c r="A239" s="1" t="str">
        <f>行动模拟!A239</f>
        <v/>
      </c>
      <c r="B239" s="1">
        <f>行动模拟!B239</f>
        <v>0</v>
      </c>
      <c r="C239" s="1">
        <f>行动模拟!C239</f>
        <v>0</v>
      </c>
      <c r="D239" s="1">
        <f>行动模拟!D239</f>
        <v>0</v>
      </c>
      <c r="E239" s="1" t="str">
        <f>行动模拟!O239</f>
        <v/>
      </c>
      <c r="F239" s="1" t="str">
        <f>行动模拟!P239</f>
        <v/>
      </c>
      <c r="G239" s="1" t="str">
        <f>IF(行动模拟!D239="","",行动模拟!E239)</f>
        <v/>
      </c>
      <c r="H239" s="1" t="str">
        <f>IF(COUNT(行动模拟!F239:H239)=0,"",SUM(行动模拟!F239:H239))</f>
        <v/>
      </c>
      <c r="I239" s="1" t="str">
        <f t="shared" si="21"/>
        <v/>
      </c>
      <c r="J239" s="1" t="str">
        <f t="shared" si="22"/>
        <v/>
      </c>
      <c r="K239" s="1" t="str">
        <f t="shared" si="23"/>
        <v/>
      </c>
      <c r="L239" s="1" t="str">
        <f t="shared" si="24"/>
        <v/>
      </c>
      <c r="M239" s="1" t="str">
        <f t="shared" si="25"/>
        <v/>
      </c>
      <c r="N239" s="1" t="str">
        <f>IF(ISNUMBER(行动模拟!F239),行动模拟!F239,"")</f>
        <v/>
      </c>
      <c r="O239" s="1" t="str">
        <f>IF(COUNT(行动模拟!G239:H239)=0,"",SUM(行动模拟!G239:H239))</f>
        <v/>
      </c>
      <c r="P239" s="1" t="str">
        <f>IF(H239="","",IF(G239="是",后台计算!DX233,IF(G239="否",后台计算!DW233,"")))</f>
        <v/>
      </c>
      <c r="Q239" s="1" t="str">
        <f>IF(H239="","",IF(G239="是",后台计算!BV233-后台计算!DX233,IF(G239="否",后台计算!BU233-后台计算!DW233,"")))</f>
        <v/>
      </c>
      <c r="R239" s="1" t="str">
        <f t="shared" si="26"/>
        <v/>
      </c>
      <c r="S239" s="1" t="str">
        <f t="shared" si="27"/>
        <v/>
      </c>
      <c r="T239" s="1" t="str">
        <f>IF(AND(后台计算!DH233="洞穿",O239&gt;0),IF(O239=ROUNDDOWN(N239*0.4,0),"实测附加=floor(主伤害×40%)；稳态来源待确认","实测附加关系需核对"),"")</f>
        <v/>
      </c>
      <c r="U239" s="1">
        <f>IF(D239="","",后台计算!EQ233)</f>
        <v>232</v>
      </c>
      <c r="V239" s="1">
        <f>IF(D239="","",后台计算!ER233)</f>
        <v>0.9</v>
      </c>
      <c r="W239" s="1">
        <f>IF(D239="","",后台计算!ES233)</f>
        <v>0.65</v>
      </c>
      <c r="X239" s="1" t="str">
        <f>IF(D239="","",IF(Boss参数!$B$60=1,"此前实测；缺失用预测","此前预测"))</f>
        <v>此前实测；缺失用预测</v>
      </c>
      <c r="Y239" s="1" t="str">
        <f>IF(H239="","",IF(H239&gt;Boss参数!$B$63*Boss参数!$B$62,"超过暂定合计上限",""))</f>
        <v/>
      </c>
    </row>
    <row r="240" spans="1:25" ht="38.1" customHeight="1">
      <c r="A240" s="1" t="str">
        <f>行动模拟!A240</f>
        <v/>
      </c>
      <c r="B240" s="1">
        <f>行动模拟!B240</f>
        <v>0</v>
      </c>
      <c r="C240" s="1">
        <f>行动模拟!C240</f>
        <v>0</v>
      </c>
      <c r="D240" s="1">
        <f>行动模拟!D240</f>
        <v>0</v>
      </c>
      <c r="E240" s="1" t="str">
        <f>行动模拟!O240</f>
        <v/>
      </c>
      <c r="F240" s="1" t="str">
        <f>行动模拟!P240</f>
        <v/>
      </c>
      <c r="G240" s="1" t="str">
        <f>IF(行动模拟!D240="","",行动模拟!E240)</f>
        <v/>
      </c>
      <c r="H240" s="1" t="str">
        <f>IF(COUNT(行动模拟!F240:H240)=0,"",SUM(行动模拟!F240:H240))</f>
        <v/>
      </c>
      <c r="I240" s="1" t="str">
        <f t="shared" si="21"/>
        <v/>
      </c>
      <c r="J240" s="1" t="str">
        <f t="shared" si="22"/>
        <v/>
      </c>
      <c r="K240" s="1" t="str">
        <f t="shared" si="23"/>
        <v/>
      </c>
      <c r="L240" s="1" t="str">
        <f t="shared" si="24"/>
        <v/>
      </c>
      <c r="M240" s="1" t="str">
        <f t="shared" si="25"/>
        <v/>
      </c>
      <c r="N240" s="1" t="str">
        <f>IF(ISNUMBER(行动模拟!F240),行动模拟!F240,"")</f>
        <v/>
      </c>
      <c r="O240" s="1" t="str">
        <f>IF(COUNT(行动模拟!G240:H240)=0,"",SUM(行动模拟!G240:H240))</f>
        <v/>
      </c>
      <c r="P240" s="1" t="str">
        <f>IF(H240="","",IF(G240="是",后台计算!DX234,IF(G240="否",后台计算!DW234,"")))</f>
        <v/>
      </c>
      <c r="Q240" s="1" t="str">
        <f>IF(H240="","",IF(G240="是",后台计算!BV234-后台计算!DX234,IF(G240="否",后台计算!BU234-后台计算!DW234,"")))</f>
        <v/>
      </c>
      <c r="R240" s="1" t="str">
        <f t="shared" si="26"/>
        <v/>
      </c>
      <c r="S240" s="1" t="str">
        <f t="shared" si="27"/>
        <v/>
      </c>
      <c r="T240" s="1" t="str">
        <f>IF(AND(后台计算!DH234="洞穿",O240&gt;0),IF(O240=ROUNDDOWN(N240*0.4,0),"实测附加=floor(主伤害×40%)；稳态来源待确认","实测附加关系需核对"),"")</f>
        <v/>
      </c>
      <c r="U240" s="1">
        <f>IF(D240="","",后台计算!EQ234)</f>
        <v>232</v>
      </c>
      <c r="V240" s="1">
        <f>IF(D240="","",后台计算!ER234)</f>
        <v>0.9</v>
      </c>
      <c r="W240" s="1">
        <f>IF(D240="","",后台计算!ES234)</f>
        <v>0.65</v>
      </c>
      <c r="X240" s="1" t="str">
        <f>IF(D240="","",IF(Boss参数!$B$60=1,"此前实测；缺失用预测","此前预测"))</f>
        <v>此前实测；缺失用预测</v>
      </c>
      <c r="Y240" s="1" t="str">
        <f>IF(H240="","",IF(H240&gt;Boss参数!$B$63*Boss参数!$B$62,"超过暂定合计上限",""))</f>
        <v/>
      </c>
    </row>
    <row r="241" spans="1:25" ht="38.1" customHeight="1">
      <c r="A241" s="1" t="str">
        <f>行动模拟!A241</f>
        <v/>
      </c>
      <c r="B241" s="1">
        <f>行动模拟!B241</f>
        <v>0</v>
      </c>
      <c r="C241" s="1">
        <f>行动模拟!C241</f>
        <v>0</v>
      </c>
      <c r="D241" s="1">
        <f>行动模拟!D241</f>
        <v>0</v>
      </c>
      <c r="E241" s="1" t="str">
        <f>行动模拟!O241</f>
        <v/>
      </c>
      <c r="F241" s="1" t="str">
        <f>行动模拟!P241</f>
        <v/>
      </c>
      <c r="G241" s="1" t="str">
        <f>IF(行动模拟!D241="","",行动模拟!E241)</f>
        <v/>
      </c>
      <c r="H241" s="1" t="str">
        <f>IF(COUNT(行动模拟!F241:H241)=0,"",SUM(行动模拟!F241:H241))</f>
        <v/>
      </c>
      <c r="I241" s="1" t="str">
        <f t="shared" si="21"/>
        <v/>
      </c>
      <c r="J241" s="1" t="str">
        <f t="shared" si="22"/>
        <v/>
      </c>
      <c r="K241" s="1" t="str">
        <f t="shared" si="23"/>
        <v/>
      </c>
      <c r="L241" s="1" t="str">
        <f t="shared" si="24"/>
        <v/>
      </c>
      <c r="M241" s="1" t="str">
        <f t="shared" si="25"/>
        <v/>
      </c>
      <c r="N241" s="1" t="str">
        <f>IF(ISNUMBER(行动模拟!F241),行动模拟!F241,"")</f>
        <v/>
      </c>
      <c r="O241" s="1" t="str">
        <f>IF(COUNT(行动模拟!G241:H241)=0,"",SUM(行动模拟!G241:H241))</f>
        <v/>
      </c>
      <c r="P241" s="1" t="str">
        <f>IF(H241="","",IF(G241="是",后台计算!DX235,IF(G241="否",后台计算!DW235,"")))</f>
        <v/>
      </c>
      <c r="Q241" s="1" t="str">
        <f>IF(H241="","",IF(G241="是",后台计算!BV235-后台计算!DX235,IF(G241="否",后台计算!BU235-后台计算!DW235,"")))</f>
        <v/>
      </c>
      <c r="R241" s="1" t="str">
        <f t="shared" si="26"/>
        <v/>
      </c>
      <c r="S241" s="1" t="str">
        <f t="shared" si="27"/>
        <v/>
      </c>
      <c r="T241" s="1" t="str">
        <f>IF(AND(后台计算!DH235="洞穿",O241&gt;0),IF(O241=ROUNDDOWN(N241*0.4,0),"实测附加=floor(主伤害×40%)；稳态来源待确认","实测附加关系需核对"),"")</f>
        <v/>
      </c>
      <c r="U241" s="1">
        <f>IF(D241="","",后台计算!EQ235)</f>
        <v>232</v>
      </c>
      <c r="V241" s="1">
        <f>IF(D241="","",后台计算!ER235)</f>
        <v>0.9</v>
      </c>
      <c r="W241" s="1">
        <f>IF(D241="","",后台计算!ES235)</f>
        <v>0.65</v>
      </c>
      <c r="X241" s="1" t="str">
        <f>IF(D241="","",IF(Boss参数!$B$60=1,"此前实测；缺失用预测","此前预测"))</f>
        <v>此前实测；缺失用预测</v>
      </c>
      <c r="Y241" s="1" t="str">
        <f>IF(H241="","",IF(H241&gt;Boss参数!$B$63*Boss参数!$B$62,"超过暂定合计上限",""))</f>
        <v/>
      </c>
    </row>
    <row r="242" spans="1:25" ht="38.1" customHeight="1">
      <c r="A242" s="1" t="str">
        <f>行动模拟!A242</f>
        <v/>
      </c>
      <c r="B242" s="1">
        <f>行动模拟!B242</f>
        <v>0</v>
      </c>
      <c r="C242" s="1">
        <f>行动模拟!C242</f>
        <v>0</v>
      </c>
      <c r="D242" s="1">
        <f>行动模拟!D242</f>
        <v>0</v>
      </c>
      <c r="E242" s="1" t="str">
        <f>行动模拟!O242</f>
        <v/>
      </c>
      <c r="F242" s="1" t="str">
        <f>行动模拟!P242</f>
        <v/>
      </c>
      <c r="G242" s="1" t="str">
        <f>IF(行动模拟!D242="","",行动模拟!E242)</f>
        <v/>
      </c>
      <c r="H242" s="1" t="str">
        <f>IF(COUNT(行动模拟!F242:H242)=0,"",SUM(行动模拟!F242:H242))</f>
        <v/>
      </c>
      <c r="I242" s="1" t="str">
        <f t="shared" si="21"/>
        <v/>
      </c>
      <c r="J242" s="1" t="str">
        <f t="shared" si="22"/>
        <v/>
      </c>
      <c r="K242" s="1" t="str">
        <f t="shared" si="23"/>
        <v/>
      </c>
      <c r="L242" s="1" t="str">
        <f t="shared" si="24"/>
        <v/>
      </c>
      <c r="M242" s="1" t="str">
        <f t="shared" si="25"/>
        <v/>
      </c>
      <c r="N242" s="1" t="str">
        <f>IF(ISNUMBER(行动模拟!F242),行动模拟!F242,"")</f>
        <v/>
      </c>
      <c r="O242" s="1" t="str">
        <f>IF(COUNT(行动模拟!G242:H242)=0,"",SUM(行动模拟!G242:H242))</f>
        <v/>
      </c>
      <c r="P242" s="1" t="str">
        <f>IF(H242="","",IF(G242="是",后台计算!DX236,IF(G242="否",后台计算!DW236,"")))</f>
        <v/>
      </c>
      <c r="Q242" s="1" t="str">
        <f>IF(H242="","",IF(G242="是",后台计算!BV236-后台计算!DX236,IF(G242="否",后台计算!BU236-后台计算!DW236,"")))</f>
        <v/>
      </c>
      <c r="R242" s="1" t="str">
        <f t="shared" si="26"/>
        <v/>
      </c>
      <c r="S242" s="1" t="str">
        <f t="shared" si="27"/>
        <v/>
      </c>
      <c r="T242" s="1" t="str">
        <f>IF(AND(后台计算!DH236="洞穿",O242&gt;0),IF(O242=ROUNDDOWN(N242*0.4,0),"实测附加=floor(主伤害×40%)；稳态来源待确认","实测附加关系需核对"),"")</f>
        <v/>
      </c>
      <c r="U242" s="1">
        <f>IF(D242="","",后台计算!EQ236)</f>
        <v>232</v>
      </c>
      <c r="V242" s="1">
        <f>IF(D242="","",后台计算!ER236)</f>
        <v>0.9</v>
      </c>
      <c r="W242" s="1">
        <f>IF(D242="","",后台计算!ES236)</f>
        <v>0.65</v>
      </c>
      <c r="X242" s="1" t="str">
        <f>IF(D242="","",IF(Boss参数!$B$60=1,"此前实测；缺失用预测","此前预测"))</f>
        <v>此前实测；缺失用预测</v>
      </c>
      <c r="Y242" s="1" t="str">
        <f>IF(H242="","",IF(H242&gt;Boss参数!$B$63*Boss参数!$B$62,"超过暂定合计上限",""))</f>
        <v/>
      </c>
    </row>
    <row r="243" spans="1:25" ht="38.1" customHeight="1">
      <c r="A243" s="1" t="str">
        <f>行动模拟!A243</f>
        <v/>
      </c>
      <c r="B243" s="1">
        <f>行动模拟!B243</f>
        <v>0</v>
      </c>
      <c r="C243" s="1">
        <f>行动模拟!C243</f>
        <v>0</v>
      </c>
      <c r="D243" s="1">
        <f>行动模拟!D243</f>
        <v>0</v>
      </c>
      <c r="E243" s="1" t="str">
        <f>行动模拟!O243</f>
        <v/>
      </c>
      <c r="F243" s="1" t="str">
        <f>行动模拟!P243</f>
        <v/>
      </c>
      <c r="G243" s="1" t="str">
        <f>IF(行动模拟!D243="","",行动模拟!E243)</f>
        <v/>
      </c>
      <c r="H243" s="1" t="str">
        <f>IF(COUNT(行动模拟!F243:H243)=0,"",SUM(行动模拟!F243:H243))</f>
        <v/>
      </c>
      <c r="I243" s="1" t="str">
        <f t="shared" si="21"/>
        <v/>
      </c>
      <c r="J243" s="1" t="str">
        <f t="shared" si="22"/>
        <v/>
      </c>
      <c r="K243" s="1" t="str">
        <f t="shared" si="23"/>
        <v/>
      </c>
      <c r="L243" s="1" t="str">
        <f t="shared" si="24"/>
        <v/>
      </c>
      <c r="M243" s="1" t="str">
        <f t="shared" si="25"/>
        <v/>
      </c>
      <c r="N243" s="1" t="str">
        <f>IF(ISNUMBER(行动模拟!F243),行动模拟!F243,"")</f>
        <v/>
      </c>
      <c r="O243" s="1" t="str">
        <f>IF(COUNT(行动模拟!G243:H243)=0,"",SUM(行动模拟!G243:H243))</f>
        <v/>
      </c>
      <c r="P243" s="1" t="str">
        <f>IF(H243="","",IF(G243="是",后台计算!DX237,IF(G243="否",后台计算!DW237,"")))</f>
        <v/>
      </c>
      <c r="Q243" s="1" t="str">
        <f>IF(H243="","",IF(G243="是",后台计算!BV237-后台计算!DX237,IF(G243="否",后台计算!BU237-后台计算!DW237,"")))</f>
        <v/>
      </c>
      <c r="R243" s="1" t="str">
        <f t="shared" si="26"/>
        <v/>
      </c>
      <c r="S243" s="1" t="str">
        <f t="shared" si="27"/>
        <v/>
      </c>
      <c r="T243" s="1" t="str">
        <f>IF(AND(后台计算!DH237="洞穿",O243&gt;0),IF(O243=ROUNDDOWN(N243*0.4,0),"实测附加=floor(主伤害×40%)；稳态来源待确认","实测附加关系需核对"),"")</f>
        <v/>
      </c>
      <c r="U243" s="1">
        <f>IF(D243="","",后台计算!EQ237)</f>
        <v>232</v>
      </c>
      <c r="V243" s="1">
        <f>IF(D243="","",后台计算!ER237)</f>
        <v>0.9</v>
      </c>
      <c r="W243" s="1">
        <f>IF(D243="","",后台计算!ES237)</f>
        <v>0.65</v>
      </c>
      <c r="X243" s="1" t="str">
        <f>IF(D243="","",IF(Boss参数!$B$60=1,"此前实测；缺失用预测","此前预测"))</f>
        <v>此前实测；缺失用预测</v>
      </c>
      <c r="Y243" s="1" t="str">
        <f>IF(H243="","",IF(H243&gt;Boss参数!$B$63*Boss参数!$B$62,"超过暂定合计上限",""))</f>
        <v/>
      </c>
    </row>
    <row r="244" spans="1:25" ht="38.1" customHeight="1">
      <c r="A244" s="1" t="str">
        <f>行动模拟!A244</f>
        <v/>
      </c>
      <c r="B244" s="1">
        <f>行动模拟!B244</f>
        <v>0</v>
      </c>
      <c r="C244" s="1">
        <f>行动模拟!C244</f>
        <v>0</v>
      </c>
      <c r="D244" s="1">
        <f>行动模拟!D244</f>
        <v>0</v>
      </c>
      <c r="E244" s="1" t="str">
        <f>行动模拟!O244</f>
        <v/>
      </c>
      <c r="F244" s="1" t="str">
        <f>行动模拟!P244</f>
        <v/>
      </c>
      <c r="G244" s="1" t="str">
        <f>IF(行动模拟!D244="","",行动模拟!E244)</f>
        <v/>
      </c>
      <c r="H244" s="1" t="str">
        <f>IF(COUNT(行动模拟!F244:H244)=0,"",SUM(行动模拟!F244:H244))</f>
        <v/>
      </c>
      <c r="I244" s="1" t="str">
        <f t="shared" si="21"/>
        <v/>
      </c>
      <c r="J244" s="1" t="str">
        <f t="shared" si="22"/>
        <v/>
      </c>
      <c r="K244" s="1" t="str">
        <f t="shared" si="23"/>
        <v/>
      </c>
      <c r="L244" s="1" t="str">
        <f t="shared" si="24"/>
        <v/>
      </c>
      <c r="M244" s="1" t="str">
        <f t="shared" si="25"/>
        <v/>
      </c>
      <c r="N244" s="1" t="str">
        <f>IF(ISNUMBER(行动模拟!F244),行动模拟!F244,"")</f>
        <v/>
      </c>
      <c r="O244" s="1" t="str">
        <f>IF(COUNT(行动模拟!G244:H244)=0,"",SUM(行动模拟!G244:H244))</f>
        <v/>
      </c>
      <c r="P244" s="1" t="str">
        <f>IF(H244="","",IF(G244="是",后台计算!DX238,IF(G244="否",后台计算!DW238,"")))</f>
        <v/>
      </c>
      <c r="Q244" s="1" t="str">
        <f>IF(H244="","",IF(G244="是",后台计算!BV238-后台计算!DX238,IF(G244="否",后台计算!BU238-后台计算!DW238,"")))</f>
        <v/>
      </c>
      <c r="R244" s="1" t="str">
        <f t="shared" si="26"/>
        <v/>
      </c>
      <c r="S244" s="1" t="str">
        <f t="shared" si="27"/>
        <v/>
      </c>
      <c r="T244" s="1" t="str">
        <f>IF(AND(后台计算!DH238="洞穿",O244&gt;0),IF(O244=ROUNDDOWN(N244*0.4,0),"实测附加=floor(主伤害×40%)；稳态来源待确认","实测附加关系需核对"),"")</f>
        <v/>
      </c>
      <c r="U244" s="1">
        <f>IF(D244="","",后台计算!EQ238)</f>
        <v>232</v>
      </c>
      <c r="V244" s="1">
        <f>IF(D244="","",后台计算!ER238)</f>
        <v>0.9</v>
      </c>
      <c r="W244" s="1">
        <f>IF(D244="","",后台计算!ES238)</f>
        <v>0.65</v>
      </c>
      <c r="X244" s="1" t="str">
        <f>IF(D244="","",IF(Boss参数!$B$60=1,"此前实测；缺失用预测","此前预测"))</f>
        <v>此前实测；缺失用预测</v>
      </c>
      <c r="Y244" s="1" t="str">
        <f>IF(H244="","",IF(H244&gt;Boss参数!$B$63*Boss参数!$B$62,"超过暂定合计上限",""))</f>
        <v/>
      </c>
    </row>
    <row r="245" spans="1:25" ht="38.1" customHeight="1">
      <c r="A245" s="1" t="str">
        <f>行动模拟!A245</f>
        <v/>
      </c>
      <c r="B245" s="1">
        <f>行动模拟!B245</f>
        <v>0</v>
      </c>
      <c r="C245" s="1">
        <f>行动模拟!C245</f>
        <v>0</v>
      </c>
      <c r="D245" s="1">
        <f>行动模拟!D245</f>
        <v>0</v>
      </c>
      <c r="E245" s="1" t="str">
        <f>行动模拟!O245</f>
        <v/>
      </c>
      <c r="F245" s="1" t="str">
        <f>行动模拟!P245</f>
        <v/>
      </c>
      <c r="G245" s="1" t="str">
        <f>IF(行动模拟!D245="","",行动模拟!E245)</f>
        <v/>
      </c>
      <c r="H245" s="1" t="str">
        <f>IF(COUNT(行动模拟!F245:H245)=0,"",SUM(行动模拟!F245:H245))</f>
        <v/>
      </c>
      <c r="I245" s="1" t="str">
        <f t="shared" si="21"/>
        <v/>
      </c>
      <c r="J245" s="1" t="str">
        <f t="shared" si="22"/>
        <v/>
      </c>
      <c r="K245" s="1" t="str">
        <f t="shared" si="23"/>
        <v/>
      </c>
      <c r="L245" s="1" t="str">
        <f t="shared" si="24"/>
        <v/>
      </c>
      <c r="M245" s="1" t="str">
        <f t="shared" si="25"/>
        <v/>
      </c>
      <c r="N245" s="1" t="str">
        <f>IF(ISNUMBER(行动模拟!F245),行动模拟!F245,"")</f>
        <v/>
      </c>
      <c r="O245" s="1" t="str">
        <f>IF(COUNT(行动模拟!G245:H245)=0,"",SUM(行动模拟!G245:H245))</f>
        <v/>
      </c>
      <c r="P245" s="1" t="str">
        <f>IF(H245="","",IF(G245="是",后台计算!DX239,IF(G245="否",后台计算!DW239,"")))</f>
        <v/>
      </c>
      <c r="Q245" s="1" t="str">
        <f>IF(H245="","",IF(G245="是",后台计算!BV239-后台计算!DX239,IF(G245="否",后台计算!BU239-后台计算!DW239,"")))</f>
        <v/>
      </c>
      <c r="R245" s="1" t="str">
        <f t="shared" si="26"/>
        <v/>
      </c>
      <c r="S245" s="1" t="str">
        <f t="shared" si="27"/>
        <v/>
      </c>
      <c r="T245" s="1" t="str">
        <f>IF(AND(后台计算!DH239="洞穿",O245&gt;0),IF(O245=ROUNDDOWN(N245*0.4,0),"实测附加=floor(主伤害×40%)；稳态来源待确认","实测附加关系需核对"),"")</f>
        <v/>
      </c>
      <c r="U245" s="1">
        <f>IF(D245="","",后台计算!EQ239)</f>
        <v>232</v>
      </c>
      <c r="V245" s="1">
        <f>IF(D245="","",后台计算!ER239)</f>
        <v>0.9</v>
      </c>
      <c r="W245" s="1">
        <f>IF(D245="","",后台计算!ES239)</f>
        <v>0.65</v>
      </c>
      <c r="X245" s="1" t="str">
        <f>IF(D245="","",IF(Boss参数!$B$60=1,"此前实测；缺失用预测","此前预测"))</f>
        <v>此前实测；缺失用预测</v>
      </c>
      <c r="Y245" s="1" t="str">
        <f>IF(H245="","",IF(H245&gt;Boss参数!$B$63*Boss参数!$B$62,"超过暂定合计上限",""))</f>
        <v/>
      </c>
    </row>
    <row r="246" spans="1:25" ht="38.1" customHeight="1">
      <c r="A246" s="1" t="str">
        <f>行动模拟!A246</f>
        <v/>
      </c>
      <c r="B246" s="1">
        <f>行动模拟!B246</f>
        <v>0</v>
      </c>
      <c r="C246" s="1">
        <f>行动模拟!C246</f>
        <v>0</v>
      </c>
      <c r="D246" s="1">
        <f>行动模拟!D246</f>
        <v>0</v>
      </c>
      <c r="E246" s="1" t="str">
        <f>行动模拟!O246</f>
        <v/>
      </c>
      <c r="F246" s="1" t="str">
        <f>行动模拟!P246</f>
        <v/>
      </c>
      <c r="G246" s="1" t="str">
        <f>IF(行动模拟!D246="","",行动模拟!E246)</f>
        <v/>
      </c>
      <c r="H246" s="1" t="str">
        <f>IF(COUNT(行动模拟!F246:H246)=0,"",SUM(行动模拟!F246:H246))</f>
        <v/>
      </c>
      <c r="I246" s="1" t="str">
        <f t="shared" si="21"/>
        <v/>
      </c>
      <c r="J246" s="1" t="str">
        <f t="shared" si="22"/>
        <v/>
      </c>
      <c r="K246" s="1" t="str">
        <f t="shared" si="23"/>
        <v/>
      </c>
      <c r="L246" s="1" t="str">
        <f t="shared" si="24"/>
        <v/>
      </c>
      <c r="M246" s="1" t="str">
        <f t="shared" si="25"/>
        <v/>
      </c>
      <c r="N246" s="1" t="str">
        <f>IF(ISNUMBER(行动模拟!F246),行动模拟!F246,"")</f>
        <v/>
      </c>
      <c r="O246" s="1" t="str">
        <f>IF(COUNT(行动模拟!G246:H246)=0,"",SUM(行动模拟!G246:H246))</f>
        <v/>
      </c>
      <c r="P246" s="1" t="str">
        <f>IF(H246="","",IF(G246="是",后台计算!DX240,IF(G246="否",后台计算!DW240,"")))</f>
        <v/>
      </c>
      <c r="Q246" s="1" t="str">
        <f>IF(H246="","",IF(G246="是",后台计算!BV240-后台计算!DX240,IF(G246="否",后台计算!BU240-后台计算!DW240,"")))</f>
        <v/>
      </c>
      <c r="R246" s="1" t="str">
        <f t="shared" si="26"/>
        <v/>
      </c>
      <c r="S246" s="1" t="str">
        <f t="shared" si="27"/>
        <v/>
      </c>
      <c r="T246" s="1" t="str">
        <f>IF(AND(后台计算!DH240="洞穿",O246&gt;0),IF(O246=ROUNDDOWN(N246*0.4,0),"实测附加=floor(主伤害×40%)；稳态来源待确认","实测附加关系需核对"),"")</f>
        <v/>
      </c>
      <c r="U246" s="1">
        <f>IF(D246="","",后台计算!EQ240)</f>
        <v>232</v>
      </c>
      <c r="V246" s="1">
        <f>IF(D246="","",后台计算!ER240)</f>
        <v>0.9</v>
      </c>
      <c r="W246" s="1">
        <f>IF(D246="","",后台计算!ES240)</f>
        <v>0.65</v>
      </c>
      <c r="X246" s="1" t="str">
        <f>IF(D246="","",IF(Boss参数!$B$60=1,"此前实测；缺失用预测","此前预测"))</f>
        <v>此前实测；缺失用预测</v>
      </c>
      <c r="Y246" s="1" t="str">
        <f>IF(H246="","",IF(H246&gt;Boss参数!$B$63*Boss参数!$B$62,"超过暂定合计上限",""))</f>
        <v/>
      </c>
    </row>
    <row r="247" spans="1:25" ht="38.1" customHeight="1">
      <c r="A247" s="1" t="str">
        <f>行动模拟!A247</f>
        <v/>
      </c>
      <c r="B247" s="1">
        <f>行动模拟!B247</f>
        <v>0</v>
      </c>
      <c r="C247" s="1">
        <f>行动模拟!C247</f>
        <v>0</v>
      </c>
      <c r="D247" s="1">
        <f>行动模拟!D247</f>
        <v>0</v>
      </c>
      <c r="E247" s="1" t="str">
        <f>行动模拟!O247</f>
        <v/>
      </c>
      <c r="F247" s="1" t="str">
        <f>行动模拟!P247</f>
        <v/>
      </c>
      <c r="G247" s="1" t="str">
        <f>IF(行动模拟!D247="","",行动模拟!E247)</f>
        <v/>
      </c>
      <c r="H247" s="1" t="str">
        <f>IF(COUNT(行动模拟!F247:H247)=0,"",SUM(行动模拟!F247:H247))</f>
        <v/>
      </c>
      <c r="I247" s="1" t="str">
        <f t="shared" si="21"/>
        <v/>
      </c>
      <c r="J247" s="1" t="str">
        <f t="shared" si="22"/>
        <v/>
      </c>
      <c r="K247" s="1" t="str">
        <f t="shared" si="23"/>
        <v/>
      </c>
      <c r="L247" s="1" t="str">
        <f t="shared" si="24"/>
        <v/>
      </c>
      <c r="M247" s="1" t="str">
        <f t="shared" si="25"/>
        <v/>
      </c>
      <c r="N247" s="1" t="str">
        <f>IF(ISNUMBER(行动模拟!F247),行动模拟!F247,"")</f>
        <v/>
      </c>
      <c r="O247" s="1" t="str">
        <f>IF(COUNT(行动模拟!G247:H247)=0,"",SUM(行动模拟!G247:H247))</f>
        <v/>
      </c>
      <c r="P247" s="1" t="str">
        <f>IF(H247="","",IF(G247="是",后台计算!DX241,IF(G247="否",后台计算!DW241,"")))</f>
        <v/>
      </c>
      <c r="Q247" s="1" t="str">
        <f>IF(H247="","",IF(G247="是",后台计算!BV241-后台计算!DX241,IF(G247="否",后台计算!BU241-后台计算!DW241,"")))</f>
        <v/>
      </c>
      <c r="R247" s="1" t="str">
        <f t="shared" si="26"/>
        <v/>
      </c>
      <c r="S247" s="1" t="str">
        <f t="shared" si="27"/>
        <v/>
      </c>
      <c r="T247" s="1" t="str">
        <f>IF(AND(后台计算!DH241="洞穿",O247&gt;0),IF(O247=ROUNDDOWN(N247*0.4,0),"实测附加=floor(主伤害×40%)；稳态来源待确认","实测附加关系需核对"),"")</f>
        <v/>
      </c>
      <c r="U247" s="1">
        <f>IF(D247="","",后台计算!EQ241)</f>
        <v>232</v>
      </c>
      <c r="V247" s="1">
        <f>IF(D247="","",后台计算!ER241)</f>
        <v>0.9</v>
      </c>
      <c r="W247" s="1">
        <f>IF(D247="","",后台计算!ES241)</f>
        <v>0.65</v>
      </c>
      <c r="X247" s="1" t="str">
        <f>IF(D247="","",IF(Boss参数!$B$60=1,"此前实测；缺失用预测","此前预测"))</f>
        <v>此前实测；缺失用预测</v>
      </c>
      <c r="Y247" s="1" t="str">
        <f>IF(H247="","",IF(H247&gt;Boss参数!$B$63*Boss参数!$B$62,"超过暂定合计上限",""))</f>
        <v/>
      </c>
    </row>
    <row r="248" spans="1:25" ht="38.1" customHeight="1">
      <c r="A248" s="1" t="str">
        <f>行动模拟!A248</f>
        <v/>
      </c>
      <c r="B248" s="1">
        <f>行动模拟!B248</f>
        <v>0</v>
      </c>
      <c r="C248" s="1">
        <f>行动模拟!C248</f>
        <v>0</v>
      </c>
      <c r="D248" s="1">
        <f>行动模拟!D248</f>
        <v>0</v>
      </c>
      <c r="E248" s="1" t="str">
        <f>行动模拟!O248</f>
        <v/>
      </c>
      <c r="F248" s="1" t="str">
        <f>行动模拟!P248</f>
        <v/>
      </c>
      <c r="G248" s="1" t="str">
        <f>IF(行动模拟!D248="","",行动模拟!E248)</f>
        <v/>
      </c>
      <c r="H248" s="1" t="str">
        <f>IF(COUNT(行动模拟!F248:H248)=0,"",SUM(行动模拟!F248:H248))</f>
        <v/>
      </c>
      <c r="I248" s="1" t="str">
        <f t="shared" si="21"/>
        <v/>
      </c>
      <c r="J248" s="1" t="str">
        <f t="shared" si="22"/>
        <v/>
      </c>
      <c r="K248" s="1" t="str">
        <f t="shared" si="23"/>
        <v/>
      </c>
      <c r="L248" s="1" t="str">
        <f t="shared" si="24"/>
        <v/>
      </c>
      <c r="M248" s="1" t="str">
        <f t="shared" si="25"/>
        <v/>
      </c>
      <c r="N248" s="1" t="str">
        <f>IF(ISNUMBER(行动模拟!F248),行动模拟!F248,"")</f>
        <v/>
      </c>
      <c r="O248" s="1" t="str">
        <f>IF(COUNT(行动模拟!G248:H248)=0,"",SUM(行动模拟!G248:H248))</f>
        <v/>
      </c>
      <c r="P248" s="1" t="str">
        <f>IF(H248="","",IF(G248="是",后台计算!DX242,IF(G248="否",后台计算!DW242,"")))</f>
        <v/>
      </c>
      <c r="Q248" s="1" t="str">
        <f>IF(H248="","",IF(G248="是",后台计算!BV242-后台计算!DX242,IF(G248="否",后台计算!BU242-后台计算!DW242,"")))</f>
        <v/>
      </c>
      <c r="R248" s="1" t="str">
        <f t="shared" si="26"/>
        <v/>
      </c>
      <c r="S248" s="1" t="str">
        <f t="shared" si="27"/>
        <v/>
      </c>
      <c r="T248" s="1" t="str">
        <f>IF(AND(后台计算!DH242="洞穿",O248&gt;0),IF(O248=ROUNDDOWN(N248*0.4,0),"实测附加=floor(主伤害×40%)；稳态来源待确认","实测附加关系需核对"),"")</f>
        <v/>
      </c>
      <c r="U248" s="1">
        <f>IF(D248="","",后台计算!EQ242)</f>
        <v>232</v>
      </c>
      <c r="V248" s="1">
        <f>IF(D248="","",后台计算!ER242)</f>
        <v>0.9</v>
      </c>
      <c r="W248" s="1">
        <f>IF(D248="","",后台计算!ES242)</f>
        <v>0.65</v>
      </c>
      <c r="X248" s="1" t="str">
        <f>IF(D248="","",IF(Boss参数!$B$60=1,"此前实测；缺失用预测","此前预测"))</f>
        <v>此前实测；缺失用预测</v>
      </c>
      <c r="Y248" s="1" t="str">
        <f>IF(H248="","",IF(H248&gt;Boss参数!$B$63*Boss参数!$B$62,"超过暂定合计上限",""))</f>
        <v/>
      </c>
    </row>
  </sheetData>
  <sheetProtection algorithmName="SHA-512" hashValue="vwYdqhySlrOofbqZAwBPD4qVvjijRT4EQzgH0Lg9FE1tSbQ4AQuhf9d9aW3SeaL9ubG0XSrhKZt/In3Fabdvug==" saltValue="mxDYWgrhvfwwlj/Oboa6LQ==" spinCount="100000" sheet="1" objects="1" scenarios="1"/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E242"/>
  <sheetViews>
    <sheetView workbookViewId="0">
      <pane xSplit="4" ySplit="2" topLeftCell="E3" activePane="bottomRight" state="frozen"/>
      <selection activeCell="B11" sqref="B11"/>
      <selection pane="topRight" activeCell="B11" sqref="B11"/>
      <selection pane="bottomLeft" activeCell="B11" sqref="B11"/>
      <selection pane="bottomRight" activeCell="C7" sqref="C7"/>
    </sheetView>
  </sheetViews>
  <sheetFormatPr defaultRowHeight="14.25"/>
  <cols>
    <col min="1" max="1" width="35" customWidth="1"/>
    <col min="2" max="3" width="14" customWidth="1"/>
    <col min="4" max="4" width="25" customWidth="1"/>
    <col min="5" max="5" width="14" customWidth="1"/>
    <col min="6" max="6" width="17" customWidth="1"/>
    <col min="7" max="11" width="14" customWidth="1"/>
    <col min="12" max="12" width="16" customWidth="1"/>
    <col min="13" max="16" width="14" customWidth="1"/>
    <col min="17" max="17" width="15" customWidth="1"/>
    <col min="18" max="19" width="14" customWidth="1"/>
    <col min="20" max="20" width="35" customWidth="1"/>
    <col min="21" max="26" width="14" customWidth="1"/>
    <col min="27" max="27" width="15" customWidth="1"/>
    <col min="28" max="33" width="14" customWidth="1"/>
    <col min="34" max="34" width="17" customWidth="1"/>
    <col min="35" max="35" width="19" customWidth="1"/>
    <col min="36" max="36" width="14" customWidth="1"/>
    <col min="37" max="37" width="15" customWidth="1"/>
    <col min="38" max="39" width="14" customWidth="1"/>
    <col min="40" max="40" width="19" customWidth="1"/>
    <col min="41" max="41" width="14" customWidth="1"/>
    <col min="42" max="42" width="15" customWidth="1"/>
    <col min="43" max="43" width="19" customWidth="1"/>
    <col min="44" max="44" width="15" customWidth="1"/>
    <col min="45" max="45" width="19" customWidth="1"/>
    <col min="46" max="46" width="15" customWidth="1"/>
    <col min="47" max="47" width="19" customWidth="1"/>
    <col min="48" max="49" width="15" customWidth="1"/>
    <col min="50" max="51" width="14" customWidth="1"/>
    <col min="52" max="54" width="21" customWidth="1"/>
    <col min="55" max="56" width="23" customWidth="1"/>
    <col min="57" max="57" width="22" customWidth="1"/>
    <col min="58" max="59" width="14" customWidth="1"/>
    <col min="60" max="60" width="15" customWidth="1"/>
    <col min="61" max="63" width="14" customWidth="1"/>
    <col min="64" max="65" width="22" customWidth="1"/>
    <col min="66" max="66" width="21" customWidth="1"/>
    <col min="67" max="67" width="22" customWidth="1"/>
    <col min="68" max="72" width="21" customWidth="1"/>
    <col min="73" max="82" width="14" customWidth="1"/>
    <col min="83" max="83" width="15" customWidth="1"/>
    <col min="84" max="89" width="14" customWidth="1"/>
    <col min="90" max="90" width="17" customWidth="1"/>
    <col min="91" max="91" width="19" customWidth="1"/>
    <col min="92" max="92" width="14" customWidth="1"/>
    <col min="93" max="93" width="15" customWidth="1"/>
    <col min="94" max="95" width="14" customWidth="1"/>
    <col min="96" max="96" width="19" customWidth="1"/>
    <col min="97" max="97" width="14" customWidth="1"/>
    <col min="98" max="98" width="15" customWidth="1"/>
    <col min="99" max="99" width="19" customWidth="1"/>
    <col min="100" max="100" width="15" customWidth="1"/>
    <col min="101" max="101" width="19" customWidth="1"/>
    <col min="102" max="102" width="15" customWidth="1"/>
    <col min="103" max="103" width="19" customWidth="1"/>
    <col min="104" max="121" width="14" customWidth="1"/>
    <col min="122" max="122" width="15" customWidth="1"/>
    <col min="123" max="124" width="14" customWidth="1"/>
    <col min="125" max="126" width="22" customWidth="1"/>
    <col min="127" max="131" width="15" customWidth="1"/>
    <col min="132" max="132" width="19" customWidth="1"/>
    <col min="133" max="133" width="15" customWidth="1"/>
    <col min="134" max="134" width="14" customWidth="1"/>
    <col min="135" max="135" width="15" customWidth="1"/>
    <col min="136" max="137" width="14" customWidth="1"/>
    <col min="138" max="138" width="19" customWidth="1"/>
    <col min="139" max="139" width="17" customWidth="1"/>
    <col min="140" max="140" width="15" customWidth="1"/>
    <col min="141" max="141" width="21" customWidth="1"/>
    <col min="142" max="142" width="15" customWidth="1"/>
    <col min="143" max="143" width="14" customWidth="1"/>
    <col min="144" max="144" width="15" customWidth="1"/>
    <col min="145" max="145" width="14" customWidth="1"/>
    <col min="146" max="146" width="21" customWidth="1"/>
    <col min="147" max="147" width="19" customWidth="1"/>
    <col min="148" max="148" width="15" customWidth="1"/>
    <col min="149" max="149" width="14" customWidth="1"/>
    <col min="150" max="150" width="21" customWidth="1"/>
    <col min="151" max="152" width="19" customWidth="1"/>
    <col min="153" max="153" width="21" customWidth="1"/>
    <col min="154" max="154" width="15" customWidth="1"/>
    <col min="155" max="156" width="17" customWidth="1"/>
    <col min="157" max="157" width="14" customWidth="1"/>
    <col min="158" max="159" width="24" customWidth="1"/>
    <col min="160" max="161" width="25" customWidth="1"/>
  </cols>
  <sheetData>
    <row r="1" spans="1:161" ht="50.1" customHeight="1">
      <c r="A1" s="1" t="s">
        <v>412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>
        <f>COUNTIFS(A3:A5,1)</f>
        <v>1</v>
      </c>
      <c r="DB1" s="1">
        <f>COUNTIF(A3:A5,1)</f>
        <v>1</v>
      </c>
      <c r="DC1" s="1">
        <f>MOD(4,3)</f>
        <v>1</v>
      </c>
      <c r="DD1" s="1">
        <f>INT(1.9)</f>
        <v>1</v>
      </c>
      <c r="DE1" s="1">
        <f>MAX(1,2)</f>
        <v>2</v>
      </c>
      <c r="DF1" s="1">
        <f>ROUNDDOWN(1.9,0)</f>
        <v>1</v>
      </c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</row>
    <row r="2" spans="1:161" ht="84.95" customHeight="1">
      <c r="A2" s="2" t="s">
        <v>365</v>
      </c>
      <c r="B2" s="2" t="s">
        <v>392</v>
      </c>
      <c r="C2" s="2" t="s">
        <v>393</v>
      </c>
      <c r="D2" s="2" t="s">
        <v>37</v>
      </c>
      <c r="E2" s="2" t="s">
        <v>1</v>
      </c>
      <c r="F2" s="2" t="s">
        <v>38</v>
      </c>
      <c r="G2" s="2" t="s">
        <v>39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413</v>
      </c>
      <c r="N2" s="2" t="s">
        <v>414</v>
      </c>
      <c r="O2" s="2" t="s">
        <v>415</v>
      </c>
      <c r="P2" s="2" t="s">
        <v>416</v>
      </c>
      <c r="Q2" s="2" t="s">
        <v>417</v>
      </c>
      <c r="R2" s="2" t="s">
        <v>418</v>
      </c>
      <c r="S2" s="2" t="s">
        <v>419</v>
      </c>
      <c r="T2" s="2" t="s">
        <v>373</v>
      </c>
      <c r="U2" s="2" t="s">
        <v>420</v>
      </c>
      <c r="V2" s="2" t="s">
        <v>421</v>
      </c>
      <c r="W2" s="2" t="s">
        <v>422</v>
      </c>
      <c r="X2" s="2" t="s">
        <v>423</v>
      </c>
      <c r="Y2" s="2" t="s">
        <v>424</v>
      </c>
      <c r="Z2" s="2" t="s">
        <v>425</v>
      </c>
      <c r="AA2" s="2" t="s">
        <v>426</v>
      </c>
      <c r="AB2" s="2" t="s">
        <v>427</v>
      </c>
      <c r="AC2" s="2" t="s">
        <v>428</v>
      </c>
      <c r="AD2" s="2" t="s">
        <v>429</v>
      </c>
      <c r="AE2" s="2" t="s">
        <v>430</v>
      </c>
      <c r="AF2" s="2" t="s">
        <v>431</v>
      </c>
      <c r="AG2" s="2" t="s">
        <v>432</v>
      </c>
      <c r="AH2" s="2" t="s">
        <v>433</v>
      </c>
      <c r="AI2" s="2" t="s">
        <v>434</v>
      </c>
      <c r="AJ2" s="2" t="s">
        <v>435</v>
      </c>
      <c r="AK2" s="2" t="s">
        <v>436</v>
      </c>
      <c r="AL2" s="2" t="s">
        <v>437</v>
      </c>
      <c r="AM2" s="2" t="s">
        <v>438</v>
      </c>
      <c r="AN2" s="2" t="s">
        <v>439</v>
      </c>
      <c r="AO2" s="2" t="s">
        <v>440</v>
      </c>
      <c r="AP2" s="2" t="s">
        <v>441</v>
      </c>
      <c r="AQ2" s="2" t="s">
        <v>442</v>
      </c>
      <c r="AR2" s="2" t="s">
        <v>443</v>
      </c>
      <c r="AS2" s="2" t="s">
        <v>444</v>
      </c>
      <c r="AT2" s="2" t="s">
        <v>445</v>
      </c>
      <c r="AU2" s="2" t="s">
        <v>446</v>
      </c>
      <c r="AV2" s="2" t="s">
        <v>447</v>
      </c>
      <c r="AW2" s="2" t="s">
        <v>448</v>
      </c>
      <c r="AX2" s="2" t="s">
        <v>449</v>
      </c>
      <c r="AY2" s="2" t="s">
        <v>374</v>
      </c>
      <c r="AZ2" s="2" t="s">
        <v>375</v>
      </c>
      <c r="BA2" s="2" t="s">
        <v>450</v>
      </c>
      <c r="BB2" s="2" t="s">
        <v>451</v>
      </c>
      <c r="BC2" s="2" t="s">
        <v>11</v>
      </c>
      <c r="BD2" s="2" t="s">
        <v>12</v>
      </c>
      <c r="BE2" s="2" t="s">
        <v>452</v>
      </c>
      <c r="BF2" s="2" t="s">
        <v>453</v>
      </c>
      <c r="BG2" s="2" t="s">
        <v>377</v>
      </c>
      <c r="BH2" s="2" t="s">
        <v>454</v>
      </c>
      <c r="BI2" s="2" t="s">
        <v>455</v>
      </c>
      <c r="BJ2" s="2" t="s">
        <v>456</v>
      </c>
      <c r="BK2" s="2" t="s">
        <v>457</v>
      </c>
      <c r="BL2" s="2" t="s">
        <v>458</v>
      </c>
      <c r="BM2" s="2" t="s">
        <v>459</v>
      </c>
      <c r="BN2" s="2" t="s">
        <v>460</v>
      </c>
      <c r="BO2" s="2" t="s">
        <v>461</v>
      </c>
      <c r="BP2" s="2" t="s">
        <v>462</v>
      </c>
      <c r="BQ2" s="2" t="s">
        <v>463</v>
      </c>
      <c r="BR2" s="2" t="s">
        <v>464</v>
      </c>
      <c r="BS2" s="2" t="s">
        <v>465</v>
      </c>
      <c r="BT2" s="2" t="s">
        <v>466</v>
      </c>
      <c r="BU2" s="2" t="s">
        <v>467</v>
      </c>
      <c r="BV2" s="2" t="s">
        <v>468</v>
      </c>
      <c r="BW2" s="2" t="s">
        <v>469</v>
      </c>
      <c r="BX2" s="2" t="s">
        <v>470</v>
      </c>
      <c r="BY2" s="2" t="s">
        <v>471</v>
      </c>
      <c r="BZ2" s="2" t="s">
        <v>472</v>
      </c>
      <c r="CA2" s="2" t="s">
        <v>473</v>
      </c>
      <c r="CB2" s="2" t="s">
        <v>474</v>
      </c>
      <c r="CC2" s="2" t="s">
        <v>475</v>
      </c>
      <c r="CD2" s="2" t="s">
        <v>476</v>
      </c>
      <c r="CE2" s="2" t="s">
        <v>477</v>
      </c>
      <c r="CF2" s="2" t="s">
        <v>478</v>
      </c>
      <c r="CG2" s="2" t="s">
        <v>479</v>
      </c>
      <c r="CH2" s="2" t="s">
        <v>480</v>
      </c>
      <c r="CI2" s="2" t="s">
        <v>481</v>
      </c>
      <c r="CJ2" s="2" t="s">
        <v>482</v>
      </c>
      <c r="CK2" s="2" t="s">
        <v>483</v>
      </c>
      <c r="CL2" s="2" t="s">
        <v>484</v>
      </c>
      <c r="CM2" s="2" t="s">
        <v>485</v>
      </c>
      <c r="CN2" s="2" t="s">
        <v>486</v>
      </c>
      <c r="CO2" s="2" t="s">
        <v>487</v>
      </c>
      <c r="CP2" s="2" t="s">
        <v>488</v>
      </c>
      <c r="CQ2" s="2" t="s">
        <v>489</v>
      </c>
      <c r="CR2" s="2" t="s">
        <v>490</v>
      </c>
      <c r="CS2" s="2" t="s">
        <v>491</v>
      </c>
      <c r="CT2" s="2" t="s">
        <v>492</v>
      </c>
      <c r="CU2" s="2" t="s">
        <v>493</v>
      </c>
      <c r="CV2" s="2" t="s">
        <v>494</v>
      </c>
      <c r="CW2" s="2" t="s">
        <v>495</v>
      </c>
      <c r="CX2" s="2" t="s">
        <v>496</v>
      </c>
      <c r="CY2" s="2" t="s">
        <v>497</v>
      </c>
      <c r="CZ2" s="2"/>
      <c r="DA2" s="2"/>
      <c r="DB2" s="2"/>
      <c r="DC2" s="2"/>
      <c r="DD2" s="2"/>
      <c r="DE2" s="2"/>
      <c r="DF2" s="2"/>
      <c r="DG2" s="2" t="s">
        <v>498</v>
      </c>
      <c r="DH2" s="2" t="s">
        <v>366</v>
      </c>
      <c r="DI2" s="2" t="s">
        <v>499</v>
      </c>
      <c r="DJ2" s="2" t="s">
        <v>500</v>
      </c>
      <c r="DK2" s="2" t="s">
        <v>501</v>
      </c>
      <c r="DL2" s="2" t="s">
        <v>502</v>
      </c>
      <c r="DM2" s="2" t="s">
        <v>503</v>
      </c>
      <c r="DN2" s="2" t="s">
        <v>504</v>
      </c>
      <c r="DO2" s="2" t="s">
        <v>505</v>
      </c>
      <c r="DP2" s="2" t="s">
        <v>506</v>
      </c>
      <c r="DQ2" s="2" t="s">
        <v>507</v>
      </c>
      <c r="DR2" s="2" t="s">
        <v>508</v>
      </c>
      <c r="DS2" s="2" t="s">
        <v>509</v>
      </c>
      <c r="DT2" s="2" t="s">
        <v>510</v>
      </c>
      <c r="DU2" s="2" t="s">
        <v>511</v>
      </c>
      <c r="DV2" s="2" t="s">
        <v>512</v>
      </c>
      <c r="DW2" s="2" t="s">
        <v>513</v>
      </c>
      <c r="DX2" s="2" t="s">
        <v>514</v>
      </c>
      <c r="DY2" s="2" t="s">
        <v>515</v>
      </c>
      <c r="DZ2" s="2" t="s">
        <v>516</v>
      </c>
      <c r="EA2" s="2" t="s">
        <v>517</v>
      </c>
      <c r="EB2" s="2" t="s">
        <v>518</v>
      </c>
      <c r="EC2" s="2" t="s">
        <v>519</v>
      </c>
      <c r="ED2" s="2" t="s">
        <v>520</v>
      </c>
      <c r="EE2" s="2" t="s">
        <v>521</v>
      </c>
      <c r="EF2" s="2" t="s">
        <v>522</v>
      </c>
      <c r="EG2" s="2" t="s">
        <v>523</v>
      </c>
      <c r="EH2" s="2" t="s">
        <v>524</v>
      </c>
      <c r="EI2" s="2" t="s">
        <v>525</v>
      </c>
      <c r="EJ2" s="2" t="s">
        <v>526</v>
      </c>
      <c r="EK2" s="2" t="s">
        <v>527</v>
      </c>
      <c r="EL2" s="2" t="s">
        <v>528</v>
      </c>
      <c r="EM2" s="2" t="s">
        <v>529</v>
      </c>
      <c r="EN2" s="2" t="s">
        <v>530</v>
      </c>
      <c r="EO2" s="2" t="s">
        <v>531</v>
      </c>
      <c r="EP2" s="2" t="s">
        <v>532</v>
      </c>
      <c r="EQ2" s="2" t="s">
        <v>533</v>
      </c>
      <c r="ER2" s="2" t="s">
        <v>534</v>
      </c>
      <c r="ES2" s="2" t="s">
        <v>409</v>
      </c>
      <c r="ET2" s="2" t="s">
        <v>535</v>
      </c>
      <c r="EU2" s="2" t="s">
        <v>536</v>
      </c>
      <c r="EV2" s="2" t="s">
        <v>537</v>
      </c>
      <c r="EW2" s="2" t="s">
        <v>538</v>
      </c>
      <c r="EX2" s="2" t="s">
        <v>539</v>
      </c>
      <c r="EY2" s="2" t="s">
        <v>540</v>
      </c>
      <c r="EZ2" s="2" t="s">
        <v>541</v>
      </c>
      <c r="FA2" s="2" t="s">
        <v>542</v>
      </c>
      <c r="FB2" s="18" t="s">
        <v>620</v>
      </c>
      <c r="FC2" s="18" t="s">
        <v>621</v>
      </c>
      <c r="FD2" s="21" t="s">
        <v>622</v>
      </c>
      <c r="FE2" s="21" t="s">
        <v>623</v>
      </c>
    </row>
    <row r="3" spans="1:161" ht="84.95" customHeight="1">
      <c r="A3" s="1">
        <f>行动模拟!A9</f>
        <v>1</v>
      </c>
      <c r="B3" s="1">
        <f>IF(D3="",0,INDEX(回合状态!$B$7:$B$17,MATCH(DG3,回合状态!$A$7:$A$17,0)))</f>
        <v>1</v>
      </c>
      <c r="C3" s="1">
        <f>行动模拟!C9</f>
        <v>1</v>
      </c>
      <c r="D3" s="1" t="str">
        <f>IF(行动模拟!D9="","",行动模拟!D9)</f>
        <v>小瑞安侬｜悄冥冥术阵</v>
      </c>
      <c r="E3" s="1" t="str">
        <f>IF($D3="","",IFERROR(INDEX(技能数据库!$B$4:$B$38,MATCH($D3,技能数据库!$A$4:$A$38,0)),""))</f>
        <v>小瑞安侬</v>
      </c>
      <c r="F3" s="1" t="str">
        <f>IF($D3="","",IFERROR(INDEX(技能数据库!$C$4:$C$38,MATCH($D3,技能数据库!$A$4:$A$38,0)),""))</f>
        <v>悄冥冥术阵</v>
      </c>
      <c r="G3" s="1">
        <f>IF($D3="","",IFERROR(INDEX(技能数据库!$D$4:$D$38,MATCH($D3,技能数据库!$A$4:$A$38,0)),""))</f>
        <v>0</v>
      </c>
      <c r="H3" s="1" t="str">
        <f>IF($D3="","",IFERROR(INDEX(技能数据库!$E$4:$E$38,MATCH($D3,技能数据库!$A$4:$A$38,0)),""))</f>
        <v>增益</v>
      </c>
      <c r="I3" s="1" t="str">
        <f>IF($D3="","",IFERROR(INDEX(技能数据库!$F$4:$F$38,MATCH($D3,技能数据库!$A$4:$A$38,0)),""))</f>
        <v>无</v>
      </c>
      <c r="J3" s="1">
        <f>IF($D3="","",IFERROR(INDEX(技能数据库!$G$4:$G$38,MATCH($D3,技能数据库!$A$4:$A$38,0)),""))</f>
        <v>0</v>
      </c>
      <c r="K3" s="1">
        <f>IF($D3="","",IFERROR(INDEX(技能数据库!$H$4:$H$38,MATCH($D3,技能数据库!$A$4:$A$38,0)),""))</f>
        <v>0</v>
      </c>
      <c r="L3" s="1" t="str">
        <f>IF($D3="","",IFERROR(INDEX(技能数据库!$I$4:$I$38,MATCH($D3,技能数据库!$A$4:$A$38,0)),""))</f>
        <v>RHI_BUFF</v>
      </c>
      <c r="M3" s="10">
        <v>1</v>
      </c>
      <c r="N3" s="1"/>
      <c r="O3" s="1"/>
      <c r="P3" s="1"/>
      <c r="Q3" s="10">
        <f t="shared" ref="Q3:Q66" si="0">EN3</f>
        <v>0</v>
      </c>
      <c r="R3" s="10">
        <v>0</v>
      </c>
      <c r="S3" s="10">
        <v>0</v>
      </c>
      <c r="T3" s="1">
        <f>行动模拟!I9</f>
        <v>0</v>
      </c>
      <c r="U3" s="1">
        <f>0</f>
        <v>0</v>
      </c>
      <c r="V3" s="1">
        <f>0</f>
        <v>0</v>
      </c>
      <c r="W3" s="1">
        <f>0</f>
        <v>0</v>
      </c>
      <c r="X3" s="1">
        <f>0</f>
        <v>0</v>
      </c>
      <c r="Y3" s="1">
        <f>IF(FALSE,1,0)</f>
        <v>0</v>
      </c>
      <c r="Z3" s="1">
        <f>IF(FALSE,0,0)</f>
        <v>0</v>
      </c>
      <c r="AA3" s="1">
        <f>IF(FALSE,0,0)</f>
        <v>0</v>
      </c>
      <c r="AB3" s="1">
        <f>0</f>
        <v>0</v>
      </c>
      <c r="AC3" s="1">
        <f>0</f>
        <v>0</v>
      </c>
      <c r="AD3" s="1">
        <f>0</f>
        <v>0</v>
      </c>
      <c r="AE3" s="1">
        <f>IF(D3="",0,IF(TRUE,IFERROR(INDEX(回合状态!$F$7:$F$17,MATCH(DG3,回合状态!$A$7:$A$17,0)),0),CI2))</f>
        <v>0</v>
      </c>
      <c r="AF3" s="10">
        <f>0</f>
        <v>0</v>
      </c>
      <c r="AG3" s="1">
        <f>0</f>
        <v>0</v>
      </c>
      <c r="AH3" s="1">
        <f>0</f>
        <v>0</v>
      </c>
      <c r="AI3" s="1">
        <f>0</f>
        <v>0</v>
      </c>
      <c r="AJ3" s="1">
        <f>0</f>
        <v>0</v>
      </c>
      <c r="AK3" s="1">
        <f>0</f>
        <v>0</v>
      </c>
      <c r="AL3" s="1">
        <f>0</f>
        <v>0</v>
      </c>
      <c r="AM3" s="1">
        <f>0</f>
        <v>0</v>
      </c>
      <c r="AN3" s="1">
        <f>0</f>
        <v>0</v>
      </c>
      <c r="AO3" s="1">
        <f>0</f>
        <v>0</v>
      </c>
      <c r="AP3" s="10">
        <f>0</f>
        <v>0</v>
      </c>
      <c r="AQ3" s="1">
        <f>0</f>
        <v>0</v>
      </c>
      <c r="AR3" s="10">
        <f>0</f>
        <v>0</v>
      </c>
      <c r="AS3" s="1">
        <f>0</f>
        <v>0</v>
      </c>
      <c r="AT3" s="10">
        <f>0</f>
        <v>0</v>
      </c>
      <c r="AU3" s="1">
        <f>0</f>
        <v>0</v>
      </c>
      <c r="AV3" s="1">
        <f>MIN(5,SUMIFS($EL$3:EL3,$B$3:B3,"&gt;="&amp;MAX(1,B3-2),$B$3:B3,"&lt;="&amp;B3)+EC3)</f>
        <v>3</v>
      </c>
      <c r="AW3" s="1">
        <f>0</f>
        <v>0</v>
      </c>
      <c r="AX3" s="1">
        <f>0</f>
        <v>0</v>
      </c>
      <c r="AY3" s="9">
        <f>IF($E3="","",IF($E3="系统",0,ROUNDDOWN(INDEX(角色面板!$C$4:$C$7,MATCH($E3,角色面板!$A$4:$A$7,0))*(1+INDEX(角色面板!$C$11:$C$14,MATCH($E3,角色面板!$A$11:$A$14,0))+IF($E3="小瑞安侬",MAX(IF($B3&lt;=$AQ3,$AP3,0),IF(AND($L3="RHI_ATTACK",$EE3&gt;0),0.11+0.01*$G3,0)),0)+IF($E3="J",$AD3*Boss参数!$B$18,0))+IF(FD3&lt;=$AN3,MIN(Boss参数!$B$21,ROUNDDOWN(角色面板!$C$19*Boss参数!$B$20,0)),0)+IF(AND($B3&lt;=$AK3,$E3&lt;&gt;"小瑞安侬"),$DY3,0),0)))</f>
        <v>2986</v>
      </c>
      <c r="AZ3" s="10">
        <f>IF($E3="","",MAX(0,MIN(1,IFERROR(INDEX(角色面板!$G$18:$G$21,MATCH($E3,角色面板!$A$18:$A$21,0)),0)-FC3*Boss参数!$B$89-Boss参数!$E$4)))</f>
        <v>0.55499999999999994</v>
      </c>
      <c r="BA3" s="10">
        <f>IF(E3="","",(IF($E3="","",IF($E3="红弩箭",Boss参数!$B$80,IF($E3="J",Boss参数!$B$81,IFERROR(INDEX(角色面板!$H$18:$H$21,MATCH($E3,角色面板!$A$18:$A$21,0)),0)))+IF($B3&lt;=$AI3,Boss参数!$B$13,0)+MIN(30,$AM3)*Boss参数!$B$17+IF(AND($L3="LILYA_ULT",$X3&gt;=6),1,0)+IF(AND($Y3=1,$L3="LILYA_INSIGHT"),IF(MOD($AA3+1,3)=0,Boss参数!$B$83,Boss参数!$B$82),IF(AND($Y3=1,$L3="LILYA_FINISH"),Boss参数!$B$84,0))))-FC3*Boss参数!$B$90)</f>
        <v>1.55</v>
      </c>
      <c r="BB3" s="10">
        <f>IF($E3="","",IFERROR(INDEX(角色面板!$M$18:$M$21,MATCH($E3,角色面板!$A$18:$A$21,0)),0)+$AW3*Boss参数!$B$12+IF($B3&lt;=$AG3,$AF3,0)+$EI3+IF($L3="LILYA_DIVE",IF($U3=1,IF($G3=1,0.3,IF($G3=2,0.4,0.5)),IF($U3=2,IF($G3=1,0.6,IF($G3=2,0.8,1)),0)),0)+$R3+IF(AND($E3="J",OR($L3="J_COUNTER",$L3="J_HARD")),Boss参数!$B$79,0)+IF(AND(OR(L3="J_COUNTER",L3="J_HARD"),FA3&gt;=Boss参数!$B$59),FA3*Boss参数!$B$40,0))</f>
        <v>0</v>
      </c>
      <c r="BC3" s="10">
        <f>IF($E3="","",IFERROR(INDEX(角色面板!$K$18:$K$21,MATCH($E3,角色面板!$A$18:$A$21,0)),0)+IF($B3&lt;=$AH3,Boss参数!$B$46,0)+IF($E3="红弩箭",IF($U3=1,0.6,IF($U3=2,1.2,0))+$W3*0.06,0))-DI3*Boss参数!$B$23</f>
        <v>-0.4</v>
      </c>
      <c r="BD3" s="10">
        <f>IF($E3="","",IFERROR(INDEX(角色面板!$L$18:$L$21,MATCH($E3,角色面板!$A$18:$A$21,0)),0)+IF($B3&lt;=$AH3,Boss参数!$B$46,0)+IF($E3="J",$AL3*Boss参数!$B$16,0)+IF($E3="红弩箭",$X3*0.025,0)+IF(AND($L3="LILYA_ULT",$X3&gt;=6),1,0))-DI3*Boss参数!$B$23</f>
        <v>0</v>
      </c>
      <c r="BE3" s="10">
        <f>IF($E3="","",IF($H3="洞知",IF($E3="红弩箭",$AO3*Boss参数!$B$15,0)+$AX3*Boss参数!$B$14,0))</f>
        <v>0</v>
      </c>
      <c r="BF3" s="10">
        <f t="shared" ref="BF3:BF66" si="1">IF(AND($L3="LILYA_ULT",$X3&gt;=6),0.2,0)</f>
        <v>0</v>
      </c>
      <c r="BG3" s="10">
        <f>IF($D3="",0,IF(AND($L3&lt;&gt;"LILYA_DIVE",$L3&lt;&gt;"LILYA_ULT",$L3&lt;&gt;"LILYA_INSIGHT",$L3&lt;&gt;"LILYA_FINISH",$L3&lt;&gt;"37_FOLLOW",$L3&lt;&gt;"RHI_ATTACK",$L3&lt;&gt;"RHI_BERRY",$L3&lt;&gt;"J_COUNTER",$L3&lt;&gt;"J_ULT"),$J3,0)+IF($L3="LILYA_DIVE",$J3+IF($U3=1,IF($G3=1,6,IF($G3=2,12,18)),IF($U3=2,IF($G3=1,12,IF($G3=2,24,36)),0)),0)+IF($L3="LILYA_ULT",$J3+IF($X3&gt;=6,18,0),0)+IF($L3="LILYA_INSIGHT",IF($Y3=1,IF(MOD($AA3+1,3)=0,32,15),0),0)+IF($L3="LILYA_FINISH",IF($Y3=1,50+2.5*$Z3,0),0)+IF($L3="37_FOLLOW",$J3,0)+IF($L3="RHI_ATTACK",$J3*IF($B3&lt;=$AJ3,2,1),0)+IF($L3="RHI_BERRY",15+1.5*$AV3,0)+IF($L3="J_COUNTER",$J3+$AD3*Boss参数!$B$39,0)+IF($L3="J_ULT",$J3+Boss参数!$B$45*MAX(0,$AE3+$AD3-Boss参数!$I$4),0)+$S3)</f>
        <v>0</v>
      </c>
      <c r="BH3" s="10">
        <f t="shared" ref="BH3:BH66" si="2">IF(D3="",0,K3)</f>
        <v>0</v>
      </c>
      <c r="BI3" s="10">
        <f>IF(E3="","",IF(DT3=1,1+Boss参数!$B$8+AV3*Boss参数!$B$19,1))</f>
        <v>1</v>
      </c>
      <c r="BJ3" s="9">
        <f>IF($I3="现实",Boss参数!$C$4,IF($I3="精神",Boss参数!$D$4,0))</f>
        <v>0</v>
      </c>
      <c r="BK3" s="9">
        <f>IF($E3="","",MAX($AY3*Boss参数!$B$9,$AY3-$BJ3*(1-$BF3)))</f>
        <v>2986</v>
      </c>
      <c r="BL3" s="10">
        <f>MAX(0,Boss参数!$F$4+IF(DT3=0,Boss参数!$B$27,0)-EJ3)</f>
        <v>1.4</v>
      </c>
      <c r="BM3" s="10">
        <f>Boss参数!$G$4+DU3-IF(Y3=1,Boss参数!$B$11,0)</f>
        <v>0.4</v>
      </c>
      <c r="BN3" s="10">
        <f>IF($E3="","",MAX(Boss参数!$B$10,1+IFERROR(INDEX(角色面板!$I$18:$I$21,MATCH($E3,角色面板!$A$18:$A$21,0)),0)+$BB3+Boss参数!$H$4-$BM3))</f>
        <v>0.6349999999999999</v>
      </c>
      <c r="BO3" s="10">
        <f>IF(E3="","",IF(OR(L3="J_COUNTER",L3="J_HARD"),MAX(0,1+INDEX(角色面板!$K$18:$K$21,MATCH(E3,角色面板!$A$18:$A$21,0))-DI3*Boss参数!$B$23+IF(OR(Boss参数!$B$43=1,L3="J_HARD"),IF(B3&lt;=AH3,Boss参数!$B$46,0),0)),MAX(0,IF(OR(H3="术法",L3="RHI_BERRY",AND(L3="37_FOLLOW",Boss参数!$B$31=1)),1+BC3,IF(H3="仪式",1+BD3,IF(H3="洞知",EK3,1))))))</f>
        <v>1</v>
      </c>
      <c r="BP3" s="10">
        <f t="shared" ref="BP3:BP66" si="3">IF($E3="","",MAX(1.1,$BA3-$BL3))</f>
        <v>1.1000000000000001</v>
      </c>
      <c r="BQ3" s="1">
        <f t="shared" ref="BQ3:BQ66" si="4">IF($BG3=0,0,$BK3*$BG3*$BN3*$BO3*$BI3)</f>
        <v>0</v>
      </c>
      <c r="BR3" s="1">
        <f t="shared" ref="BR3:BR66" si="5">IF($BG3=0,0,$BQ3*$BP3)</f>
        <v>0</v>
      </c>
      <c r="BS3" s="1">
        <f>IF(BH3=0,0,ROUNDDOWN(AY3*BH3,0)*DV3*IF(Boss参数!$B$29=1,BN3,1)*IF(Boss参数!$B$33=1,BO3,1)*IF(Boss参数!$B$76=1,1-ES3,1))</f>
        <v>0</v>
      </c>
      <c r="BT3" s="1">
        <f t="shared" ref="BT3:BT66" si="6">IF($BH3=0,0,$BS3*IF($E3="37",$BP3,1))</f>
        <v>0</v>
      </c>
      <c r="BU3" s="9">
        <f>IF(D3="",0,MIN(IF(Boss参数!$B$77=1,Boss参数!$B$63*Boss参数!$B$62,Boss参数!$B$61*Boss参数!$B$62),DW3+ROUNDDOWN(BS3,0)+ROUNDDOWN(DW3*Q3,0)))</f>
        <v>0</v>
      </c>
      <c r="BV3" s="9">
        <f>IF(D3="",0,MIN(IF(Boss参数!$B$77=1,Boss参数!$B$63*Boss参数!$B$62,Boss参数!$B$61*Boss参数!$B$62),DX3+ROUNDDOWN(BT3,0)+ROUNDDOWN(DX3*Q3,0)))</f>
        <v>0</v>
      </c>
      <c r="BW3" s="9">
        <f t="shared" ref="BW3:BW66" si="7">IF($D3="",0,ROUNDDOWN($BU3*(1-$AZ3)+$BV3*$AZ3,0))</f>
        <v>0</v>
      </c>
      <c r="BX3" s="1" t="str">
        <f t="shared" ref="BX3:BX66" si="8">IF($D3="","",IF(AND($L3="37_FOLLOW",$AB3&lt;5),"检查：37灵光不足5",IF(AND($L3="LILYA_INSIGHT",$Y3=0),"检查：未进入弱点洞穿",IF(AND($L3="LILYA_FINISH",$Y3=0),"检查：未进入弱点洞穿",""))))</f>
        <v/>
      </c>
      <c r="BY3" s="1">
        <f t="shared" ref="BY3:BY66" si="9">IF($L3="LILYA_COBRA",IF($U3=0,1,$U3),$U3)</f>
        <v>0</v>
      </c>
      <c r="BZ3" s="1">
        <f t="shared" ref="BZ3:BZ66" si="10">$V3</f>
        <v>0</v>
      </c>
      <c r="CA3" s="1">
        <f>MIN(10,W3+IF(AND(L3="LILYA_COBRA",COUNTIF($L$3:L3,"LILYA_COBRA")=1),5,0)+IF(AND(L3="LILYA_DIVE",U3=1,COUNTIFS($DG$3:DG3,DG3,$L$3:L3,"LILYA_DIVE")=1),2,0)+IF(AND(FE3=1,U3=1),3,0))</f>
        <v>0</v>
      </c>
      <c r="CB3" s="1">
        <f>MIN(20,MAX(0,X3+IF(L3="LILYA_COBRA",IF(COUNTIF($L$3:L3,"LILYA_COBRA")=1,6,IF(U3=1,MAX(1,G3),IF(U3=2,2*MAX(1,G3),0))),0)+IF(AND(Y3=1,E3="红弩箭",L3&lt;&gt;"ENTER_INSIGHT"),1,0)-IF(AND(L3="LILYA_ULT",X3&gt;=6),6,0)))</f>
        <v>0</v>
      </c>
      <c r="CC3" s="1">
        <f t="shared" ref="CC3:CC66" si="11">IF($L3="ENTER_INSIGHT",1,IF($L3="LILYA_FINISH",0,$Y3))</f>
        <v>0</v>
      </c>
      <c r="CD3" s="1">
        <f t="shared" ref="CD3:CD66" si="12">IF(OR($L3="ENTER_INSIGHT",$L3="LILYA_FINISH"),0,IF(AND($Y3=1,$D3&lt;&gt;"",$E3&lt;&gt;"系统"),$Z3+1,$Z3))</f>
        <v>0</v>
      </c>
      <c r="CE3" s="1">
        <f t="shared" ref="CE3:CE66" si="13">IF(OR($L3="ENTER_INSIGHT",$L3="LILYA_FINISH"),0,IF($L3="LILYA_INSIGHT",$AA3+1,$AA3))</f>
        <v>0</v>
      </c>
      <c r="CF3" s="1">
        <f t="shared" ref="CF3:CF66" si="14">IF(OR($D3="",$E3="系统"),$AB3,IF($L3="37_FOLLOW",MAX(0,$AB3-5),MIN(10,$AB3+1+IF($L3="37_ULT",2,0))))</f>
        <v>1</v>
      </c>
      <c r="CG3" s="1">
        <f t="shared" ref="CG3:CG66" si="15">MAX(0,$AC3-IF(AND($E3="37",$BH3&gt;0,$AC3&gt;0),1,0)+IF($L3="37_ULT",2,0)+IF($L3="37_TRIANGLE",IF($G3=3,2,1),0))</f>
        <v>0</v>
      </c>
      <c r="CH3" s="1">
        <f>MIN(35,AD3+IF(L3="J_HARD",6,0)+IF(L3="J_COUNTER",Boss参数!$B$30,0))</f>
        <v>0</v>
      </c>
      <c r="CI3" s="1">
        <f>MIN(Boss参数!$I$4,AE3+IF(L3="J_HARD",6,0)+IF(L3="J_ULT",AD3,0)+IF(L3="J_COUNTER",Boss参数!$B$30,0))</f>
        <v>0</v>
      </c>
      <c r="CJ3" s="10">
        <f>IF(L3="J_ULT",AD3*Boss参数!$B$41,IF(B3&lt;=AG3,AF3,0))</f>
        <v>0</v>
      </c>
      <c r="CK3" s="1">
        <f t="shared" ref="CK3:CK66" si="16">IF(L3="J_ULT",B3+2,AG3)</f>
        <v>0</v>
      </c>
      <c r="CL3" s="1">
        <f t="shared" ref="CL3:CL66" si="17">IF($L3="RHI_BUFF",$B3+2,$AH3)</f>
        <v>3</v>
      </c>
      <c r="CM3" s="1">
        <f t="shared" ref="CM3:CM66" si="18">IF($L3="RHI_ULT",$B3+2,$AI3)</f>
        <v>0</v>
      </c>
      <c r="CN3" s="1">
        <f t="shared" ref="CN3:CN66" si="19">IF($L3="RHI_ULT",$B3+3,$AJ3)</f>
        <v>0</v>
      </c>
      <c r="CO3" s="1">
        <f t="shared" ref="CO3:CO66" si="20">IF($L3="RHI_ULT",$B3+2,$AK3)</f>
        <v>0</v>
      </c>
      <c r="CP3" s="1">
        <f t="shared" ref="CP3:CP66" si="21">MIN(3,$AL3+IF(OR($L3="J_COUNTER",$L3="J_HARD"),1,0))</f>
        <v>0</v>
      </c>
      <c r="CQ3" s="1">
        <f t="shared" ref="CQ3:CQ66" si="22">MIN(30,$AM3+IF($H3="仪式",5,0))</f>
        <v>0</v>
      </c>
      <c r="CR3" s="1">
        <f t="shared" ref="CR3:CR66" si="23">IF(L3="37_ULT",FD3+1,AN3)</f>
        <v>0</v>
      </c>
      <c r="CS3" s="1">
        <f t="shared" ref="CS3:CS66" si="24">IF(OR(L3="ENTER_INSIGHT",L3="LILYA_FINISH"),0,IF(AND(Y3=1,H3="洞知"),AO3+1,AO3))</f>
        <v>0</v>
      </c>
      <c r="CT3" s="10">
        <f t="shared" ref="CT3:CT66" si="25">IF(AND($L3="RHI_ATTACK",$EE3&gt;0),MAX(IF($B3&lt;=$AQ3,$AP3,0),0.11+0.01*$G3),IF($B3&lt;=$AQ3,$AP3,0))</f>
        <v>0</v>
      </c>
      <c r="CU3" s="1">
        <f t="shared" ref="CU3:CU66" si="26">IF(AND($L3="RHI_ATTACK",$EE3&gt;0,0.11+0.01*$G3&gt;=IF($B3&lt;=$AQ3,$AP3,0)),$B3+2,$AQ3)</f>
        <v>0</v>
      </c>
      <c r="CV3" s="10">
        <f t="shared" ref="CV3:CV66" si="27">IF(AND($L3="RHI_ATTACK",$B3&lt;=$AJ3),0.15+MIN(0.15,$AV3*0.03),IF($B3&lt;=$AS3,$AR3,0))</f>
        <v>0</v>
      </c>
      <c r="CW3" s="1">
        <f t="shared" ref="CW3:CW66" si="28">IF(AND($L3="RHI_ATTACK",$B3&lt;=$AJ3),$B3+2,$AS3)</f>
        <v>0</v>
      </c>
      <c r="CX3" s="10">
        <f t="shared" ref="CX3:CX66" si="29">IF(AND($L3="RHI_BUFF",$B3&lt;=$AJ3),0.15+MIN(0.15,$AV3*0.03),IF($B3&lt;=$AU3,$AT3,0))</f>
        <v>0</v>
      </c>
      <c r="CY3" s="1">
        <f t="shared" ref="CY3:CY66" si="30">IF(AND($L3="RHI_BUFF",$B3&lt;=$AJ3),$B3+2,$AU3)</f>
        <v>0</v>
      </c>
      <c r="CZ3" s="1"/>
      <c r="DA3" s="1"/>
      <c r="DB3" s="1"/>
      <c r="DC3" s="1"/>
      <c r="DD3" s="1"/>
      <c r="DE3" s="1"/>
      <c r="DF3" s="1"/>
      <c r="DG3" s="1">
        <f>IF(D3="","",行动模拟!B9)</f>
        <v>1</v>
      </c>
      <c r="DH3" s="1" t="str">
        <f>IF(L3="END_TURN","回合结束",IF(D3="","",IF(INDEX(回合状态!$C$7:$C$17,MATCH(DG3,回合状态!$A$7:$A$17,0))="洞穿","洞穿",IF(OR(L3="J_COUNTER",L3="BOSS_ACTION",L3="BOSS_CONSERVATIVE"),"敌方",IF(INDEX(回合状态!$C$7:$C$17,MATCH(DG3,回合状态!$A$7:$A$17,0))="普通","出牌",INDEX(回合状态!$C$7:$C$17,MATCH(DG3,回合状态!$A$7:$A$17,0)))))))</f>
        <v>出牌</v>
      </c>
      <c r="DI3" s="1">
        <f t="shared" ref="DI3:DI66" si="31">IF(E3="红弩箭",DJ3,IF(E3="37",DK3,IF(E3="小瑞安侬",DL3,IF(E3="J",DM3,0))))</f>
        <v>0</v>
      </c>
      <c r="DJ3" s="1">
        <f>0</f>
        <v>0</v>
      </c>
      <c r="DK3" s="1">
        <f>0</f>
        <v>0</v>
      </c>
      <c r="DL3" s="1">
        <f>0</f>
        <v>0</v>
      </c>
      <c r="DM3" s="1">
        <f>0</f>
        <v>0</v>
      </c>
      <c r="DN3" s="1">
        <f>MAX(0,MIN(Boss参数!$B$25,DJ3+DR3)-IF(E3="红弩箭",2*DR3,0))</f>
        <v>0</v>
      </c>
      <c r="DO3" s="1">
        <f>MAX(0,MIN(Boss参数!$B$25,DK3+DR3)-IF(E3="37",2*DR3,0))</f>
        <v>0</v>
      </c>
      <c r="DP3" s="1">
        <f>MAX(0,MIN(Boss参数!$B$25,DL3+DR3)-IF(E3="小瑞安侬",2*DR3,0))</f>
        <v>0</v>
      </c>
      <c r="DQ3" s="1">
        <f>MAX(0,MIN(Boss参数!$B$25,DM3+DR3)-IF(E3="J",2*DR3,0))</f>
        <v>0</v>
      </c>
      <c r="DR3" s="1">
        <f t="shared" ref="DR3:DR66" si="32">IF(AND(OR(J3&gt;0,K3&gt;0),DI3&gt;0),1,0)</f>
        <v>0</v>
      </c>
      <c r="DS3" s="1">
        <f t="shared" ref="DS3:DS66" si="33">IF(AND(OR(J3&gt;0,K3&gt;0),OR(H3="术法",H3="仪式",H3="洞知",H3="特殊")),1,0)</f>
        <v>0</v>
      </c>
      <c r="DT3" s="1">
        <f>IF(OR(E3="",E3="系统"),0,IF(OR(AND(DS3=1,Boss参数!$B$32=1),L3="RHI_BERRY",OR(AND(INDEX(角色面板!$B$18:$B$21,MATCH(E3,角色面板!$A$18:$A$21,0))="星",Boss参数!$B$4="岩"),AND(INDEX(角色面板!$B$18:$B$21,MATCH(E3,角色面板!$A$18:$A$21,0))="岩",Boss参数!$B$4="兽"),AND(INDEX(角色面板!$B$18:$B$21,MATCH(E3,角色面板!$A$18:$A$21,0))="兽",Boss参数!$B$4="木"),AND(INDEX(角色面板!$B$18:$B$21,MATCH(E3,角色面板!$A$18:$A$21,0))="木",Boss参数!$B$4="星"),AND(INDEX(角色面板!$B$18:$B$21,MATCH(E3,角色面板!$A$18:$A$21,0))="智",Boss参数!$B$4="灵"),AND(INDEX(角色面板!$B$18:$B$21,MATCH(E3,角色面板!$A$18:$A$21,0))="灵",Boss参数!$B$4="智"))),1,0))</f>
        <v>0</v>
      </c>
      <c r="DU3" s="1">
        <f>IF(D3="",0,INDEX(回合状态!$E$7:$E$17,MATCH(DG3,回合状态!$A$7:$A$17,0))+IF(AND(DH3="敌方",OR(INDEX(回合状态!$C$7:$C$17,MATCH(DG3,回合状态!$A$7:$A$17,0))="普通",INDEX(回合状态!$C$7:$C$17,MATCH(DG3,回合状态!$A$7:$A$17,0))="额外")),0.05,0))</f>
        <v>0</v>
      </c>
      <c r="DV3" s="1">
        <f>MAX(Boss参数!$B$28,1+IF(AND(E3="37",AC3&gt;0,BH3&gt;0),Boss参数!$B$42,0)-DI3*Boss参数!$B$24+EA3-ER3)</f>
        <v>1</v>
      </c>
      <c r="DW3" s="1">
        <f>MIN(IF(Boss参数!$B$77=1,Boss参数!$B$63*Boss参数!$B$62,Boss参数!$B$61*Boss参数!$B$62),ROUNDDOWN(BQ3*(1-ES3),0))</f>
        <v>0</v>
      </c>
      <c r="DX3" s="1">
        <f>MIN(IF(Boss参数!$B$77=1,Boss参数!$B$63*Boss参数!$B$62,Boss参数!$B$61*Boss参数!$B$62),ROUNDDOWN(BR3*(1-ES3),0))</f>
        <v>0</v>
      </c>
      <c r="DY3" s="1">
        <f>0</f>
        <v>0</v>
      </c>
      <c r="DZ3" s="1">
        <f>IF(L3="RHI_ULT",MIN(Boss参数!$B$48,ROUNDDOWN(AY3*Boss参数!$B$47,0)),DY3)</f>
        <v>0</v>
      </c>
      <c r="EA3" s="11">
        <v>0</v>
      </c>
      <c r="EB3" s="1">
        <f t="shared" ref="EB3:EB66" si="34">EE3+EF3</f>
        <v>1</v>
      </c>
      <c r="EC3" s="1">
        <f>SUMIFS($EB$3:EB3,$B$3:B3,"&gt;="&amp;MAX(1,B3-2),$B$3:B3,"&lt;="&amp;B3)*Boss参数!$B$51</f>
        <v>2</v>
      </c>
      <c r="ED3" s="1">
        <f>2</f>
        <v>2</v>
      </c>
      <c r="EE3" s="1">
        <f t="shared" ref="EE3:EE66" si="35">IF(OR(L3="RHI_ATTACK",L3="RHI_BUFF"),MIN(1,ED3),0)</f>
        <v>1</v>
      </c>
      <c r="EF3" s="1">
        <f>0</f>
        <v>0</v>
      </c>
      <c r="EG3" s="1">
        <f t="shared" ref="EG3:EG66" si="36">MAX(0,ED3-EE3-EF3)</f>
        <v>1</v>
      </c>
      <c r="EH3" s="11">
        <f>Boss参数!$B$53-IF(Y3=1,Boss参数!$B$54,0)</f>
        <v>0</v>
      </c>
      <c r="EI3" s="11">
        <f t="shared" ref="EI3:EI66" si="37">IF(B3&lt;=AU3,0.15+MIN(0.15,AV3*0.03),0)</f>
        <v>0</v>
      </c>
      <c r="EJ3" s="11">
        <f t="shared" ref="EJ3:EJ66" si="38">IF(B3&lt;=AS3,0.15+MIN(0.15,AV3*0.03),0)</f>
        <v>0</v>
      </c>
      <c r="EK3" s="11">
        <f t="shared" ref="EK3:EK66" si="39">MAX(0,1+BE3-EH3)</f>
        <v>1</v>
      </c>
      <c r="EL3" s="1">
        <f>1</f>
        <v>1</v>
      </c>
      <c r="EM3" s="1">
        <f>IF(FALSE,0,Boss参数!$B$57)</f>
        <v>0</v>
      </c>
      <c r="EN3" s="11">
        <f>IF(AND(Y3=1,H3="洞知",EM3&gt;0),Boss参数!$B$56,0)</f>
        <v>0</v>
      </c>
      <c r="EO3" s="1">
        <f t="shared" ref="EO3:EO66" si="40">MAX(0,EM3-IF(AND(Y3=1,H3="洞知",Q3&gt;0),1,0))+IF(AND(Y3=1,L3="37_INSIGHT"),1,0)</f>
        <v>0</v>
      </c>
      <c r="EP3" s="12">
        <f>Boss参数!$B$75</f>
        <v>0</v>
      </c>
      <c r="EQ3" s="12">
        <f>ROUNDDOWN(EP3/Boss参数!$B$62,0)</f>
        <v>0</v>
      </c>
      <c r="ER3" s="11">
        <f>IF(EQ3&gt;=Boss参数!$B$66,Boss参数!$B$69,IF(EQ3&gt;=Boss参数!$B$65,Boss参数!$B$68,IF(EQ3&gt;=Boss参数!$B$64,Boss参数!$B$67,0)))</f>
        <v>0</v>
      </c>
      <c r="ES3" s="11">
        <f>MIN(1,IF(EQ3&gt;=Boss参数!$B$66,Boss参数!$B$72+ROUNDDOWN((EQ3-Boss参数!$B$66)/Boss参数!$B$73,0)*Boss参数!$B$74,IF(EQ3&gt;=Boss参数!$B$65,Boss参数!$B$71,IF(EQ3&gt;=Boss参数!$B$64,Boss参数!$B$70,0))))</f>
        <v>0</v>
      </c>
      <c r="ET3" s="12">
        <f>MIN(Boss参数!$B$61*Boss参数!$B$62,EP3+IF(AND(Boss参数!$B$60=1,ISNUMBER(验证表!H9)),验证表!H9,EU3))</f>
        <v>0</v>
      </c>
      <c r="EU3" s="12">
        <f>IF(D3="",0,IF(验证表!G9="是",BV3,IF(验证表!G9="否",BU3,BW3)))</f>
        <v>0</v>
      </c>
      <c r="EV3" s="12">
        <f>IF(EQ3&gt;=Boss参数!$B$66,2,IF(EQ3&gt;=Boss参数!$B$65,1,0))</f>
        <v>0</v>
      </c>
      <c r="EW3" s="12">
        <f t="shared" ref="EW3:EW66" si="41">1+EV3</f>
        <v>1</v>
      </c>
      <c r="EX3" s="1">
        <f>IF(D3="",0,INDEX(回合状态!$D$7:$D$17,MATCH(DG3,回合状态!$A$7:$A$17,0)))</f>
        <v>1</v>
      </c>
      <c r="EY3" s="1">
        <f>IF(OR(L3="RHI_ATTACK",L3="RHI_BUFF"),1,IF(L3="RHI_ULT",Boss参数!$B$52,0))</f>
        <v>1</v>
      </c>
      <c r="EZ3" s="1">
        <f>MIN(6,SUMIFS($EY$3:EY3,$EX$3:EX3,"&gt;="&amp;MAX(1,EX3-Boss参数!$B$87+1),$EX$3:EX3,"&lt;="&amp;EX3))</f>
        <v>1</v>
      </c>
      <c r="FA3" s="1">
        <f>IF(D3="",0,IF(TRUE,AD3,FA2))</f>
        <v>0</v>
      </c>
      <c r="FB3" s="17">
        <f>0</f>
        <v>0</v>
      </c>
      <c r="FC3" s="17">
        <f>0</f>
        <v>0</v>
      </c>
      <c r="FD3" s="17">
        <f>1</f>
        <v>1</v>
      </c>
      <c r="FE3" s="17">
        <f>0</f>
        <v>0</v>
      </c>
    </row>
    <row r="4" spans="1:161" ht="84.95" customHeight="1">
      <c r="A4" s="1">
        <f>行动模拟!A10</f>
        <v>2</v>
      </c>
      <c r="B4" s="1">
        <f>IF(D4="",0,INDEX(回合状态!$B$7:$B$17,MATCH(DG4,回合状态!$A$7:$A$17,0)))</f>
        <v>1</v>
      </c>
      <c r="C4" s="1">
        <f>行动模拟!C10</f>
        <v>2</v>
      </c>
      <c r="D4" s="1" t="str">
        <f>IF(行动模拟!D10="","",行动模拟!D10)</f>
        <v>J｜热处理</v>
      </c>
      <c r="E4" s="1" t="str">
        <f>IF($D4="","",IFERROR(INDEX(技能数据库!$B$4:$B$38,MATCH($D4,技能数据库!$A$4:$A$38,0)),""))</f>
        <v>J</v>
      </c>
      <c r="F4" s="1" t="str">
        <f>IF($D4="","",IFERROR(INDEX(技能数据库!$C$4:$C$38,MATCH($D4,技能数据库!$A$4:$A$38,0)),""))</f>
        <v>热处理</v>
      </c>
      <c r="G4" s="1">
        <f>IF($D4="","",IFERROR(INDEX(技能数据库!$D$4:$D$38,MATCH($D4,技能数据库!$A$4:$A$38,0)),""))</f>
        <v>0</v>
      </c>
      <c r="H4" s="1" t="str">
        <f>IF($D4="","",IFERROR(INDEX(技能数据库!$E$4:$E$38,MATCH($D4,技能数据库!$A$4:$A$38,0)),""))</f>
        <v>反制</v>
      </c>
      <c r="I4" s="1" t="str">
        <f>IF($D4="","",IFERROR(INDEX(技能数据库!$F$4:$F$38,MATCH($D4,技能数据库!$A$4:$A$38,0)),""))</f>
        <v>无</v>
      </c>
      <c r="J4" s="1">
        <f>IF($D4="","",IFERROR(INDEX(技能数据库!$G$4:$G$38,MATCH($D4,技能数据库!$A$4:$A$38,0)),""))</f>
        <v>0</v>
      </c>
      <c r="K4" s="1">
        <f>IF($D4="","",IFERROR(INDEX(技能数据库!$H$4:$H$38,MATCH($D4,技能数据库!$A$4:$A$38,0)),""))</f>
        <v>0</v>
      </c>
      <c r="L4" s="1" t="str">
        <f>IF($D4="","",IFERROR(INDEX(技能数据库!$I$4:$I$38,MATCH($D4,技能数据库!$A$4:$A$38,0)),""))</f>
        <v>J_HEAT</v>
      </c>
      <c r="M4" s="10">
        <v>1</v>
      </c>
      <c r="N4" s="1"/>
      <c r="O4" s="1"/>
      <c r="P4" s="1"/>
      <c r="Q4" s="10">
        <f t="shared" si="0"/>
        <v>0</v>
      </c>
      <c r="R4" s="10">
        <v>0</v>
      </c>
      <c r="S4" s="10">
        <v>0</v>
      </c>
      <c r="T4" s="1">
        <f>行动模拟!I10</f>
        <v>0</v>
      </c>
      <c r="U4" s="1">
        <f>IF(FD4&lt;&gt;FD3,IF(BY3=1,IF(MIN(10,CA3+IF(AND(DG4&lt;&gt;DG3,DH3&lt;&gt;"洞穿",SUMIFS($FE$3:FE3,$DG$3:DG3,DG3)=0,BY3=1),3,0))&gt;=10,2,1),IF(BY3=2,IF(BZ3&lt;=1,0,2),0)),BY3)</f>
        <v>0</v>
      </c>
      <c r="V4" s="1">
        <f>IF(FD4&lt;&gt;FD3,IF(BY3=1,IF(MIN(10,CA3+IF(AND(DG4&lt;&gt;DG3,DH3&lt;&gt;"洞穿",SUMIFS($FE$3:FE3,$DG$3:DG3,DG3)=0,BY3=1),3,0))&gt;=10,2,0),IF(BY3=2,MAX(0,BZ3-1),0)),BZ3)</f>
        <v>0</v>
      </c>
      <c r="W4" s="1">
        <f>IF(AND(FD4&lt;&gt;FD3,BY3=2,BZ3&lt;=1),0,MIN(10,CA3+IF(AND(DG4&lt;&gt;DG3,DH3&lt;&gt;"洞穿",SUMIFS($FE$3:FE3,$DG$3:DG3,DG3)=0,BY3=1),3,0)))</f>
        <v>0</v>
      </c>
      <c r="X4" s="1">
        <f t="shared" ref="X4:X67" si="42">$CB3</f>
        <v>0</v>
      </c>
      <c r="Y4" s="1">
        <f t="shared" ref="Y4:Y67" si="43">IF(AND(DG4&lt;&gt;DG3,DH4="洞穿"),1,$CC3)</f>
        <v>0</v>
      </c>
      <c r="Z4" s="1">
        <f t="shared" ref="Z4:Z67" si="44">IF(AND(DG4&lt;&gt;DG3,DH4="洞穿"),0,$CD3)</f>
        <v>0</v>
      </c>
      <c r="AA4" s="1">
        <f t="shared" ref="AA4:AA67" si="45">IF(AND(DG4&lt;&gt;DG3,DH4="洞穿"),0,$CE3)</f>
        <v>0</v>
      </c>
      <c r="AB4" s="1">
        <f t="shared" ref="AB4:AB67" si="46">$CF3</f>
        <v>1</v>
      </c>
      <c r="AC4" s="1">
        <f t="shared" ref="AC4:AC67" si="47">$CG3</f>
        <v>0</v>
      </c>
      <c r="AD4" s="1">
        <f t="shared" ref="AD4:AD67" si="48">CH3</f>
        <v>0</v>
      </c>
      <c r="AE4" s="1">
        <f>IF(D4="",0,IF(DG4&lt;&gt;DG3,IFERROR(INDEX(回合状态!$F$7:$F$17,MATCH(DG4,回合状态!$A$7:$A$17,0)),0),CI3))</f>
        <v>0</v>
      </c>
      <c r="AF4" s="10">
        <f t="shared" ref="AF4:AF67" si="49">$CJ3</f>
        <v>0</v>
      </c>
      <c r="AG4" s="1">
        <f t="shared" ref="AG4:AG67" si="50">$CK3</f>
        <v>0</v>
      </c>
      <c r="AH4" s="1">
        <f t="shared" ref="AH4:AH67" si="51">$CL3</f>
        <v>3</v>
      </c>
      <c r="AI4" s="1">
        <f t="shared" ref="AI4:AI67" si="52">$CM3</f>
        <v>0</v>
      </c>
      <c r="AJ4" s="1">
        <f t="shared" ref="AJ4:AJ67" si="53">$CN3</f>
        <v>0</v>
      </c>
      <c r="AK4" s="1">
        <f t="shared" ref="AK4:AK67" si="54">$CO3</f>
        <v>0</v>
      </c>
      <c r="AL4" s="1">
        <f t="shared" ref="AL4:AL67" si="55">$CP3</f>
        <v>0</v>
      </c>
      <c r="AM4" s="1">
        <f t="shared" ref="AM4:AM67" si="56">$CQ3</f>
        <v>0</v>
      </c>
      <c r="AN4" s="1">
        <f t="shared" ref="AN4:AN67" si="57">CR3</f>
        <v>0</v>
      </c>
      <c r="AO4" s="1">
        <f t="shared" ref="AO4:AO67" si="58">$CS3</f>
        <v>0</v>
      </c>
      <c r="AP4" s="10">
        <f t="shared" ref="AP4:AP67" si="59">$CT3</f>
        <v>0</v>
      </c>
      <c r="AQ4" s="1">
        <f t="shared" ref="AQ4:AQ67" si="60">$CU3</f>
        <v>0</v>
      </c>
      <c r="AR4" s="10">
        <f t="shared" ref="AR4:AR67" si="61">$CV3</f>
        <v>0</v>
      </c>
      <c r="AS4" s="1">
        <f t="shared" ref="AS4:AS67" si="62">$CW3</f>
        <v>0</v>
      </c>
      <c r="AT4" s="10">
        <f t="shared" ref="AT4:AT67" si="63">$CX3</f>
        <v>0</v>
      </c>
      <c r="AU4" s="1">
        <f t="shared" ref="AU4:AU67" si="64">$CY3</f>
        <v>0</v>
      </c>
      <c r="AV4" s="1">
        <f>MIN(5,SUMIFS($EL$3:EL4,$B$3:B4,"&gt;="&amp;MAX(1,B4-2),$B$3:B4,"&lt;="&amp;B4)+EC4)</f>
        <v>3</v>
      </c>
      <c r="AW4" s="1">
        <f>MIN(6,SUMIFS($EY$3:EY3,$EX$3:EX3,"&gt;="&amp;MAX(1,EX4-Boss参数!$B$87+1),$EX$3:EX3,"&lt;="&amp;EX4))</f>
        <v>1</v>
      </c>
      <c r="AX4" s="1">
        <f>MIN(4,COUNTIFS($B$3:$B$3,"&gt;="&amp;MAX(1,$B4-2),$B$3:$B$3,"&lt;="&amp;$B4,$L$3:$L$3,"37_FOLLOW"))</f>
        <v>0</v>
      </c>
      <c r="AY4" s="9">
        <f>IF($E4="","",IF($E4="系统",0,ROUNDDOWN(INDEX(角色面板!$C$4:$C$7,MATCH($E4,角色面板!$A$4:$A$7,0))*(1+INDEX(角色面板!$C$11:$C$14,MATCH($E4,角色面板!$A$11:$A$14,0))+IF($E4="小瑞安侬",MAX(IF($B4&lt;=$AQ4,$AP4,0),IF(AND($L4="RHI_ATTACK",$EE4&gt;0),0.11+0.01*$G4,0)),0)+IF($E4="J",$AD4*Boss参数!$B$18,0))+IF(FD4&lt;=$AN4,MIN(Boss参数!$B$21,ROUNDDOWN(角色面板!$C$19*Boss参数!$B$20,0)),0)+IF(AND($B4&lt;=$AK4,$E4&lt;&gt;"小瑞安侬"),$DY4,0),0)))</f>
        <v>1906</v>
      </c>
      <c r="AZ4" s="10">
        <f>IF($E4="","",MAX(0,MIN(1,IFERROR(INDEX(角色面板!$G$18:$G$21,MATCH($E4,角色面板!$A$18:$A$21,0)),0)-FC4*Boss参数!$B$89-Boss参数!$E$4)))</f>
        <v>0.66700000000000004</v>
      </c>
      <c r="BA4" s="10">
        <f>IF(E4="","",(IF($E4="","",IF($E4="红弩箭",Boss参数!$B$80,IF($E4="J",Boss参数!$B$81,IFERROR(INDEX(角色面板!$H$18:$H$21,MATCH($E4,角色面板!$A$18:$A$21,0)),0)))+IF($B4&lt;=$AI4,Boss参数!$B$13,0)+MIN(30,$AM4)*Boss参数!$B$17+IF(AND($L4="LILYA_ULT",$X4&gt;=6),1,0)+IF(AND($Y4=1,$L4="LILYA_INSIGHT"),IF(MOD($AA4+1,3)=0,Boss参数!$B$83,Boss参数!$B$82),IF(AND($Y4=1,$L4="LILYA_FINISH"),Boss参数!$B$84,0))))-FC4*Boss参数!$B$90)</f>
        <v>1.7170000000000001</v>
      </c>
      <c r="BB4" s="10">
        <f>IF($E4="","",IFERROR(INDEX(角色面板!$M$18:$M$21,MATCH($E4,角色面板!$A$18:$A$21,0)),0)+$AW4*Boss参数!$B$12+IF($B4&lt;=$AG4,$AF4,0)+$EI4+IF($L4="LILYA_DIVE",IF($U4=1,IF($G4=1,0.3,IF($G4=2,0.4,0.5)),IF($U4=2,IF($G4=1,0.6,IF($G4=2,0.8,1)),0)),0)+$R4+IF(AND($E4="J",OR($L4="J_COUNTER",$L4="J_HARD")),Boss参数!$B$79,0)+IF(AND(OR(L4="J_COUNTER",L4="J_HARD"),FA4&gt;=Boss参数!$B$59),FA4*Boss参数!$B$40,0))</f>
        <v>0.1</v>
      </c>
      <c r="BC4" s="10">
        <f>IF($E4="","",IFERROR(INDEX(角色面板!$K$18:$K$21,MATCH($E4,角色面板!$A$18:$A$21,0)),0)+IF($B4&lt;=$AH4,Boss参数!$B$46,0)+IF($E4="红弩箭",IF($U4=1,0.6,IF($U4=2,1.2,0))+$W4*0.06,0))-DI4*Boss参数!$B$23</f>
        <v>-0.10000000000000003</v>
      </c>
      <c r="BD4" s="10">
        <f>IF($E4="","",IFERROR(INDEX(角色面板!$L$18:$L$21,MATCH($E4,角色面板!$A$18:$A$21,0)),0)+IF($B4&lt;=$AH4,Boss参数!$B$46,0)+IF($E4="J",$AL4*Boss参数!$B$16,0)+IF($E4="红弩箭",$X4*0.025,0)+IF(AND($L4="LILYA_ULT",$X4&gt;=6),1,0))-DI4*Boss参数!$B$23</f>
        <v>0.3</v>
      </c>
      <c r="BE4" s="10">
        <f>IF($E4="","",IF($H4="洞知",IF($E4="红弩箭",$AO4*Boss参数!$B$15,0)+$AX4*Boss参数!$B$14,0))</f>
        <v>0</v>
      </c>
      <c r="BF4" s="10">
        <f t="shared" si="1"/>
        <v>0</v>
      </c>
      <c r="BG4" s="10">
        <f>IF($D4="",0,IF(AND($L4&lt;&gt;"LILYA_DIVE",$L4&lt;&gt;"LILYA_ULT",$L4&lt;&gt;"LILYA_INSIGHT",$L4&lt;&gt;"LILYA_FINISH",$L4&lt;&gt;"37_FOLLOW",$L4&lt;&gt;"RHI_ATTACK",$L4&lt;&gt;"RHI_BERRY",$L4&lt;&gt;"J_COUNTER",$L4&lt;&gt;"J_ULT"),$J4,0)+IF($L4="LILYA_DIVE",$J4+IF($U4=1,IF($G4=1,6,IF($G4=2,12,18)),IF($U4=2,IF($G4=1,12,IF($G4=2,24,36)),0)),0)+IF($L4="LILYA_ULT",$J4+IF($X4&gt;=6,18,0),0)+IF($L4="LILYA_INSIGHT",IF($Y4=1,IF(MOD($AA4+1,3)=0,32,15),0),0)+IF($L4="LILYA_FINISH",IF($Y4=1,50+2.5*$Z4,0),0)+IF($L4="37_FOLLOW",$J4,0)+IF($L4="RHI_ATTACK",$J4*IF($B4&lt;=$AJ4,2,1),0)+IF($L4="RHI_BERRY",15+1.5*$AV4,0)+IF($L4="J_COUNTER",$J4+$AD4*Boss参数!$B$39,0)+IF($L4="J_ULT",$J4+Boss参数!$B$45*MAX(0,$AE4+$AD4-Boss参数!$I$4),0)+$S4)</f>
        <v>0</v>
      </c>
      <c r="BH4" s="10">
        <f t="shared" si="2"/>
        <v>0</v>
      </c>
      <c r="BI4" s="10">
        <f>IF(E4="","",IF(DT4=1,1+Boss参数!$B$8+AV4*Boss参数!$B$19,1))</f>
        <v>1</v>
      </c>
      <c r="BJ4" s="9">
        <f>IF($I4="现实",Boss参数!$C$4,IF($I4="精神",Boss参数!$D$4,0))</f>
        <v>0</v>
      </c>
      <c r="BK4" s="9">
        <f>IF($E4="","",MAX($AY4*Boss参数!$B$9,$AY4-$BJ4*(1-$BF4)))</f>
        <v>1906</v>
      </c>
      <c r="BL4" s="10">
        <f>MAX(0,Boss参数!$F$4+IF(DT4=0,Boss参数!$B$27,0)-EJ4)</f>
        <v>1.4</v>
      </c>
      <c r="BM4" s="10">
        <f>Boss参数!$G$4+DU4-IF(Y4=1,Boss参数!$B$11,0)</f>
        <v>0.4</v>
      </c>
      <c r="BN4" s="10">
        <f>IF($E4="","",MAX(Boss参数!$B$10,1+IFERROR(INDEX(角色面板!$I$18:$I$21,MATCH($E4,角色面板!$A$18:$A$21,0)),0)+$BB4+Boss参数!$H$4-$BM4))</f>
        <v>0.72499999999999998</v>
      </c>
      <c r="BO4" s="10">
        <f>IF(E4="","",IF(OR(L4="J_COUNTER",L4="J_HARD"),MAX(0,1+INDEX(角色面板!$K$18:$K$21,MATCH(E4,角色面板!$A$18:$A$21,0))-DI4*Boss参数!$B$23+IF(OR(Boss参数!$B$43=1,L4="J_HARD"),IF(B4&lt;=AH4,Boss参数!$B$46,0),0)),MAX(0,IF(OR(H4="术法",L4="RHI_BERRY",AND(L4="37_FOLLOW",Boss参数!$B$31=1)),1+BC4,IF(H4="仪式",1+BD4,IF(H4="洞知",EK4,1))))))</f>
        <v>1</v>
      </c>
      <c r="BP4" s="10">
        <f t="shared" si="3"/>
        <v>1.1000000000000001</v>
      </c>
      <c r="BQ4" s="1">
        <f t="shared" si="4"/>
        <v>0</v>
      </c>
      <c r="BR4" s="1">
        <f t="shared" si="5"/>
        <v>0</v>
      </c>
      <c r="BS4" s="1">
        <f>IF(BH4=0,0,ROUNDDOWN(AY4*BH4,0)*DV4*IF(Boss参数!$B$29=1,BN4,1)*IF(Boss参数!$B$33=1,BO4,1)*IF(Boss参数!$B$76=1,1-ES4,1))</f>
        <v>0</v>
      </c>
      <c r="BT4" s="1">
        <f t="shared" si="6"/>
        <v>0</v>
      </c>
      <c r="BU4" s="9">
        <f>IF(D4="",0,MIN(IF(Boss参数!$B$77=1,Boss参数!$B$63*Boss参数!$B$62,Boss参数!$B$61*Boss参数!$B$62),DW4+ROUNDDOWN(BS4,0)+ROUNDDOWN(DW4*Q4,0)))</f>
        <v>0</v>
      </c>
      <c r="BV4" s="9">
        <f>IF(D4="",0,MIN(IF(Boss参数!$B$77=1,Boss参数!$B$63*Boss参数!$B$62,Boss参数!$B$61*Boss参数!$B$62),DX4+ROUNDDOWN(BT4,0)+ROUNDDOWN(DX4*Q4,0)))</f>
        <v>0</v>
      </c>
      <c r="BW4" s="9">
        <f t="shared" si="7"/>
        <v>0</v>
      </c>
      <c r="BX4" s="1" t="str">
        <f t="shared" si="8"/>
        <v/>
      </c>
      <c r="BY4" s="1">
        <f t="shared" si="9"/>
        <v>0</v>
      </c>
      <c r="BZ4" s="1">
        <f t="shared" si="10"/>
        <v>0</v>
      </c>
      <c r="CA4" s="1">
        <f>MIN(10,W4+IF(AND(L4="LILYA_COBRA",COUNTIF($L$3:L4,"LILYA_COBRA")=1),5,0)+IF(AND(L4="LILYA_DIVE",U4=1,COUNTIFS($DG$3:DG4,DG4,$L$3:L4,"LILYA_DIVE")=1),2,0)+IF(AND(FE4=1,U4=1),3,0))</f>
        <v>0</v>
      </c>
      <c r="CB4" s="1">
        <f>MIN(20,MAX(0,X4+IF(L4="LILYA_COBRA",IF(COUNTIF($L$3:L4,"LILYA_COBRA")=1,6,IF(U4=1,MAX(1,G4),IF(U4=2,2*MAX(1,G4),0))),0)+IF(AND(Y4=1,E4="红弩箭",L4&lt;&gt;"ENTER_INSIGHT"),1,0)-IF(AND(L4="LILYA_ULT",X4&gt;=6),6,0)))</f>
        <v>0</v>
      </c>
      <c r="CC4" s="1">
        <f t="shared" si="11"/>
        <v>0</v>
      </c>
      <c r="CD4" s="1">
        <f t="shared" si="12"/>
        <v>0</v>
      </c>
      <c r="CE4" s="1">
        <f t="shared" si="13"/>
        <v>0</v>
      </c>
      <c r="CF4" s="1">
        <f t="shared" si="14"/>
        <v>2</v>
      </c>
      <c r="CG4" s="1">
        <f t="shared" si="15"/>
        <v>0</v>
      </c>
      <c r="CH4" s="1">
        <f>MIN(35,AD4+IF(L4="J_HARD",6,0)+IF(L4="J_COUNTER",Boss参数!$B$30,0))</f>
        <v>0</v>
      </c>
      <c r="CI4" s="1">
        <f>MIN(Boss参数!$I$4,AE4+IF(L4="J_HARD",6,0)+IF(L4="J_ULT",AD4,0)+IF(L4="J_COUNTER",Boss参数!$B$30,0))</f>
        <v>0</v>
      </c>
      <c r="CJ4" s="10">
        <f>IF(L4="J_ULT",AD4*Boss参数!$B$41,IF(B4&lt;=AG4,AF4,0))</f>
        <v>0</v>
      </c>
      <c r="CK4" s="1">
        <f t="shared" si="16"/>
        <v>0</v>
      </c>
      <c r="CL4" s="1">
        <f t="shared" si="17"/>
        <v>3</v>
      </c>
      <c r="CM4" s="1">
        <f t="shared" si="18"/>
        <v>0</v>
      </c>
      <c r="CN4" s="1">
        <f t="shared" si="19"/>
        <v>0</v>
      </c>
      <c r="CO4" s="1">
        <f t="shared" si="20"/>
        <v>0</v>
      </c>
      <c r="CP4" s="1">
        <f t="shared" si="21"/>
        <v>0</v>
      </c>
      <c r="CQ4" s="1">
        <f t="shared" si="22"/>
        <v>0</v>
      </c>
      <c r="CR4" s="1">
        <f t="shared" si="23"/>
        <v>0</v>
      </c>
      <c r="CS4" s="1">
        <f t="shared" si="24"/>
        <v>0</v>
      </c>
      <c r="CT4" s="10">
        <f t="shared" si="25"/>
        <v>0</v>
      </c>
      <c r="CU4" s="1">
        <f t="shared" si="26"/>
        <v>0</v>
      </c>
      <c r="CV4" s="10">
        <f t="shared" si="27"/>
        <v>0</v>
      </c>
      <c r="CW4" s="1">
        <f t="shared" si="28"/>
        <v>0</v>
      </c>
      <c r="CX4" s="10">
        <f t="shared" si="29"/>
        <v>0</v>
      </c>
      <c r="CY4" s="1">
        <f t="shared" si="30"/>
        <v>0</v>
      </c>
      <c r="CZ4" s="1"/>
      <c r="DA4" s="1"/>
      <c r="DB4" s="1"/>
      <c r="DC4" s="1"/>
      <c r="DD4" s="1"/>
      <c r="DE4" s="1"/>
      <c r="DF4" s="1"/>
      <c r="DG4" s="1">
        <f>IF(D4="","",行动模拟!B10)</f>
        <v>1</v>
      </c>
      <c r="DH4" s="1" t="str">
        <f>IF(L4="END_TURN","回合结束",IF(D4="","",IF(INDEX(回合状态!$C$7:$C$17,MATCH(DG4,回合状态!$A$7:$A$17,0))="洞穿","洞穿",IF(OR(L4="J_COUNTER",L4="BOSS_ACTION",L4="BOSS_CONSERVATIVE"),"敌方",IF(AND(L4="37_FOLLOW",DG4=DG3,DH3="敌方"),"敌方",IF(INDEX(回合状态!$C$7:$C$17,MATCH(DG4,回合状态!$A$7:$A$17,0))="普通","出牌",INDEX(回合状态!$C$7:$C$17,MATCH(DG4,回合状态!$A$7:$A$17,0))))))))</f>
        <v>出牌</v>
      </c>
      <c r="DI4" s="1">
        <f t="shared" si="31"/>
        <v>0</v>
      </c>
      <c r="DJ4" s="1">
        <f>IF(D4="",0,MIN(Boss参数!$B$25,IF(OR(AND(DH4="敌方",OR(DH3&lt;&gt;"敌方",DG4&lt;&gt;DG3)),AND(L4="END_TURN",DH4&lt;&gt;"洞穿"),AND(DG4&lt;&gt;DG3,DH3&lt;&gt;"洞穿",L3&lt;&gt;"END_TURN",COUNTIFS($DG$3:DG3,DG3,$DH$3:DH3,"敌方")=0)),EW4,DN3)))</f>
        <v>0</v>
      </c>
      <c r="DK4" s="1">
        <f>IF(D4="",0,MIN(Boss参数!$B$25,IF(OR(AND(DH4="敌方",OR(DH3&lt;&gt;"敌方",DG4&lt;&gt;DG3)),AND(L4="END_TURN",DH4&lt;&gt;"洞穿"),AND(DG4&lt;&gt;DG3,DH3&lt;&gt;"洞穿",L3&lt;&gt;"END_TURN",COUNTIFS($DG$3:DG3,DG3,$DH$3:DH3,"敌方")=0)),EW4,DO3)))</f>
        <v>0</v>
      </c>
      <c r="DL4" s="1">
        <f>IF(D4="",0,MIN(Boss参数!$B$25,IF(OR(AND(DH4="敌方",OR(DH3&lt;&gt;"敌方",DG4&lt;&gt;DG3)),AND(L4="END_TURN",DH4&lt;&gt;"洞穿"),AND(DG4&lt;&gt;DG3,DH3&lt;&gt;"洞穿",L3&lt;&gt;"END_TURN",COUNTIFS($DG$3:DG3,DG3,$DH$3:DH3,"敌方")=0)),EW4,DP3)))</f>
        <v>0</v>
      </c>
      <c r="DM4" s="1">
        <f>IF(D4="",0,MIN(Boss参数!$B$25,IF(OR(AND(DH4="敌方",OR(DH3&lt;&gt;"敌方",DG4&lt;&gt;DG3)),AND(L4="END_TURN",DH4&lt;&gt;"洞穿"),AND(DG4&lt;&gt;DG3,DH3&lt;&gt;"洞穿",L3&lt;&gt;"END_TURN",COUNTIFS($DG$3:DG3,DG3,$DH$3:DH3,"敌方")=0)),EW4,DQ3)))</f>
        <v>0</v>
      </c>
      <c r="DN4" s="1">
        <f>MAX(0,MIN(Boss参数!$B$25,DJ4+DR4)-IF(E4="红弩箭",2*DR4,0))</f>
        <v>0</v>
      </c>
      <c r="DO4" s="1">
        <f>MAX(0,MIN(Boss参数!$B$25,DK4+DR4)-IF(E4="37",2*DR4,0))</f>
        <v>0</v>
      </c>
      <c r="DP4" s="1">
        <f>MAX(0,MIN(Boss参数!$B$25,DL4+DR4)-IF(E4="小瑞安侬",2*DR4,0))</f>
        <v>0</v>
      </c>
      <c r="DQ4" s="1">
        <f>MAX(0,MIN(Boss参数!$B$25,DM4+DR4)-IF(E4="J",2*DR4,0))</f>
        <v>0</v>
      </c>
      <c r="DR4" s="1">
        <f t="shared" si="32"/>
        <v>0</v>
      </c>
      <c r="DS4" s="1">
        <f t="shared" si="33"/>
        <v>0</v>
      </c>
      <c r="DT4" s="1">
        <f>IF(OR(E4="",E4="系统"),0,IF(OR(AND(DS4=1,Boss参数!$B$32=1),L4="RHI_BERRY",OR(AND(INDEX(角色面板!$B$18:$B$21,MATCH(E4,角色面板!$A$18:$A$21,0))="星",Boss参数!$B$4="岩"),AND(INDEX(角色面板!$B$18:$B$21,MATCH(E4,角色面板!$A$18:$A$21,0))="岩",Boss参数!$B$4="兽"),AND(INDEX(角色面板!$B$18:$B$21,MATCH(E4,角色面板!$A$18:$A$21,0))="兽",Boss参数!$B$4="木"),AND(INDEX(角色面板!$B$18:$B$21,MATCH(E4,角色面板!$A$18:$A$21,0))="木",Boss参数!$B$4="星"),AND(INDEX(角色面板!$B$18:$B$21,MATCH(E4,角色面板!$A$18:$A$21,0))="智",Boss参数!$B$4="灵"),AND(INDEX(角色面板!$B$18:$B$21,MATCH(E4,角色面板!$A$18:$A$21,0))="灵",Boss参数!$B$4="智"))),1,0))</f>
        <v>0</v>
      </c>
      <c r="DU4" s="1">
        <f>IF(D4="",0,INDEX(回合状态!$E$7:$E$17,MATCH(DG4,回合状态!$A$7:$A$17,0))+IF(AND(DH4="敌方",OR(INDEX(回合状态!$C$7:$C$17,MATCH(DG4,回合状态!$A$7:$A$17,0))="普通",INDEX(回合状态!$C$7:$C$17,MATCH(DG4,回合状态!$A$7:$A$17,0))="额外")),0.05,0))</f>
        <v>0</v>
      </c>
      <c r="DV4" s="1">
        <f>MAX(Boss参数!$B$28,1+IF(AND(E4="37",AC4&gt;0,BH4&gt;0),Boss参数!$B$42,0)-DI4*Boss参数!$B$24+EA4-ER4)</f>
        <v>1</v>
      </c>
      <c r="DW4" s="1">
        <f>MIN(IF(Boss参数!$B$77=1,Boss参数!$B$63*Boss参数!$B$62,Boss参数!$B$61*Boss参数!$B$62),ROUNDDOWN(BQ4*(1-ES4),0))</f>
        <v>0</v>
      </c>
      <c r="DX4" s="1">
        <f>MIN(IF(Boss参数!$B$77=1,Boss参数!$B$63*Boss参数!$B$62,Boss参数!$B$61*Boss参数!$B$62),ROUNDDOWN(BR4*(1-ES4),0))</f>
        <v>0</v>
      </c>
      <c r="DY4" s="1">
        <f t="shared" ref="DY4:DY67" si="65">DZ3</f>
        <v>0</v>
      </c>
      <c r="DZ4" s="1">
        <f>IF(L4="RHI_ULT",MIN(Boss参数!$B$48,ROUNDDOWN(AY4*Boss参数!$B$47,0)),DY4)</f>
        <v>0</v>
      </c>
      <c r="EA4" s="11">
        <v>0</v>
      </c>
      <c r="EB4" s="1">
        <f t="shared" si="34"/>
        <v>0</v>
      </c>
      <c r="EC4" s="1">
        <f>SUMIFS($EB$3:EB4,$B$3:B4,"&gt;="&amp;MAX(1,B4-2),$B$3:B4,"&lt;="&amp;B4)*Boss参数!$B$51</f>
        <v>2</v>
      </c>
      <c r="ED4" s="1">
        <f>IF(D4="",EG3,IF(AND(DG4&lt;&gt;DG3,DH4&lt;&gt;"洞穿"),MIN(Boss参数!$B$55,EG3+2),EG3))</f>
        <v>1</v>
      </c>
      <c r="EE4" s="1">
        <f t="shared" si="35"/>
        <v>0</v>
      </c>
      <c r="EF4" s="1">
        <f>IF(AND(OR(L4="END_TURN",AND(DH4="敌方",OR(DH3&lt;&gt;"敌方",DG4&lt;&gt;DG3))),SUMIFS($EF$3:EF3,$DG$3:DG3,DG4)=0),MIN(1,MAX(0,ED4-EE4)),0)</f>
        <v>0</v>
      </c>
      <c r="EG4" s="1">
        <f t="shared" si="36"/>
        <v>1</v>
      </c>
      <c r="EH4" s="11">
        <f>Boss参数!$B$53-IF(Y4=1,Boss参数!$B$54,0)</f>
        <v>0</v>
      </c>
      <c r="EI4" s="11">
        <f t="shared" si="37"/>
        <v>0</v>
      </c>
      <c r="EJ4" s="11">
        <f t="shared" si="38"/>
        <v>0</v>
      </c>
      <c r="EK4" s="11">
        <f t="shared" si="39"/>
        <v>1</v>
      </c>
      <c r="EL4" s="1">
        <f t="shared" ref="EL4:EL67" si="66">IF(AND(D4&lt;&gt;"",DG4&lt;&gt;DG3,DH4&lt;&gt;"洞穿"),1,0)</f>
        <v>0</v>
      </c>
      <c r="EM4" s="1">
        <f>IF(AND(DG4&lt;&gt;DG3,DH4="洞穿"),0,IF(L4="ENTER_INSIGHT",Boss参数!$B$57,EO3))</f>
        <v>0</v>
      </c>
      <c r="EN4" s="11">
        <f>IF(AND(Y4=1,H4="洞知",EM4&gt;0),Boss参数!$B$56,0)</f>
        <v>0</v>
      </c>
      <c r="EO4" s="1">
        <f t="shared" si="40"/>
        <v>0</v>
      </c>
      <c r="EP4" s="12">
        <f t="shared" ref="EP4:EP67" si="67">ET3</f>
        <v>0</v>
      </c>
      <c r="EQ4" s="12">
        <f>ROUNDDOWN(EP4/Boss参数!$B$62,0)</f>
        <v>0</v>
      </c>
      <c r="ER4" s="11">
        <f>IF(EQ4&gt;=Boss参数!$B$66,Boss参数!$B$69,IF(EQ4&gt;=Boss参数!$B$65,Boss参数!$B$68,IF(EQ4&gt;=Boss参数!$B$64,Boss参数!$B$67,0)))</f>
        <v>0</v>
      </c>
      <c r="ES4" s="11">
        <f>MIN(1,IF(EQ4&gt;=Boss参数!$B$66,Boss参数!$B$72+ROUNDDOWN((EQ4-Boss参数!$B$66)/Boss参数!$B$73,0)*Boss参数!$B$74,IF(EQ4&gt;=Boss参数!$B$65,Boss参数!$B$71,IF(EQ4&gt;=Boss参数!$B$64,Boss参数!$B$70,0))))</f>
        <v>0</v>
      </c>
      <c r="ET4" s="12">
        <f>MIN(Boss参数!$B$61*Boss参数!$B$62,EP4+IF(AND(Boss参数!$B$60=1,ISNUMBER(验证表!H10)),验证表!H10,EU4))</f>
        <v>0</v>
      </c>
      <c r="EU4" s="12">
        <f>IF(D4="",0,IF(验证表!G10="是",BV4,IF(验证表!G10="否",BU4,BW4)))</f>
        <v>0</v>
      </c>
      <c r="EV4" s="12">
        <f>IF(EQ4&gt;=Boss参数!$B$66,2,IF(EQ4&gt;=Boss参数!$B$65,1,0))</f>
        <v>0</v>
      </c>
      <c r="EW4" s="12">
        <f t="shared" si="41"/>
        <v>1</v>
      </c>
      <c r="EX4" s="1">
        <f>IF(D4="",0,INDEX(回合状态!$D$7:$D$17,MATCH(DG4,回合状态!$A$7:$A$17,0)))</f>
        <v>1</v>
      </c>
      <c r="EY4" s="1">
        <f>IF(OR(L4="RHI_ATTACK",L4="RHI_BUFF"),1,IF(L4="RHI_ULT",Boss参数!$B$52,0))</f>
        <v>0</v>
      </c>
      <c r="EZ4" s="1">
        <f>MIN(6,SUMIFS($EY$3:EY4,$EX$3:EX4,"&gt;="&amp;MAX(1,EX4-Boss参数!$B$87+1),$EX$3:EX4,"&lt;="&amp;EX4))</f>
        <v>1</v>
      </c>
      <c r="FA4" s="1">
        <f t="shared" ref="FA4:FA67" si="68">IF(D4="",0,IF(DG4&lt;&gt;DG3,AD4,FA3))</f>
        <v>0</v>
      </c>
      <c r="FB4" s="17">
        <f>IF(L4="BOSS_CONSERVATIVE",B4+Boss参数!$B$91,FB3)</f>
        <v>0</v>
      </c>
      <c r="FC4" s="17">
        <f t="shared" ref="FC4:FC67" si="69">IF(AND(D4&lt;&gt;"",B4&lt;=FB3,FB3&gt;0,OR(L4="J_COUNTER",L4="37_FOLLOW",L4="RHI_BERRY")),1,0)</f>
        <v>0</v>
      </c>
      <c r="FD4" s="17">
        <f>IF(D4="",FD3,FD3+IF(AND(DG4&lt;&gt;DG3,INDEX(回合状态!$C$7:$C$17,MATCH(DG4,回合状态!$A$7:$A$17,0))&lt;&gt;"洞穿"),1,0))</f>
        <v>1</v>
      </c>
      <c r="FE4" s="17">
        <f>IF(D4="",0,IF(AND(OR(L4="END_TURN",DH4="敌方"),INDEX(回合状态!$C$7:$C$17,MATCH(DG4,回合状态!$A$7:$A$17,0))&lt;&gt;"洞穿",SUMIFS($FE$3:FE3,$DG$3:DG3,DG4)=0),1,0))</f>
        <v>0</v>
      </c>
    </row>
    <row r="5" spans="1:161" ht="84.95" customHeight="1">
      <c r="A5" s="1">
        <f>行动模拟!A11</f>
        <v>3</v>
      </c>
      <c r="B5" s="1">
        <f>IF(D5="",0,INDEX(回合状态!$B$7:$B$17,MATCH(DG5,回合状态!$A$7:$A$17,0)))</f>
        <v>1</v>
      </c>
      <c r="C5" s="1">
        <f>行动模拟!C11</f>
        <v>3</v>
      </c>
      <c r="D5" s="1" t="str">
        <f>IF(行动模拟!D11="","",行动模拟!D11)</f>
        <v>红弩箭｜眼镜蛇机动</v>
      </c>
      <c r="E5" s="1" t="str">
        <f>IF($D5="","",IFERROR(INDEX(技能数据库!$B$4:$B$38,MATCH($D5,技能数据库!$A$4:$A$38,0)),""))</f>
        <v>红弩箭</v>
      </c>
      <c r="F5" s="1" t="str">
        <f>IF($D5="","",IFERROR(INDEX(技能数据库!$C$4:$C$38,MATCH($D5,技能数据库!$A$4:$A$38,0)),""))</f>
        <v>眼镜蛇机动</v>
      </c>
      <c r="G5" s="1">
        <f>IF($D5="","",IFERROR(INDEX(技能数据库!$D$4:$D$38,MATCH($D5,技能数据库!$A$4:$A$38,0)),""))</f>
        <v>0</v>
      </c>
      <c r="H5" s="1" t="str">
        <f>IF($D5="","",IFERROR(INDEX(技能数据库!$E$4:$E$38,MATCH($D5,技能数据库!$A$4:$A$38,0)),""))</f>
        <v>增益</v>
      </c>
      <c r="I5" s="1" t="str">
        <f>IF($D5="","",IFERROR(INDEX(技能数据库!$F$4:$F$38,MATCH($D5,技能数据库!$A$4:$A$38,0)),""))</f>
        <v>无</v>
      </c>
      <c r="J5" s="1">
        <f>IF($D5="","",IFERROR(INDEX(技能数据库!$G$4:$G$38,MATCH($D5,技能数据库!$A$4:$A$38,0)),""))</f>
        <v>0</v>
      </c>
      <c r="K5" s="1">
        <f>IF($D5="","",IFERROR(INDEX(技能数据库!$H$4:$H$38,MATCH($D5,技能数据库!$A$4:$A$38,0)),""))</f>
        <v>0</v>
      </c>
      <c r="L5" s="1" t="str">
        <f>IF($D5="","",IFERROR(INDEX(技能数据库!$I$4:$I$38,MATCH($D5,技能数据库!$A$4:$A$38,0)),""))</f>
        <v>LILYA_COBRA</v>
      </c>
      <c r="M5" s="10">
        <v>1</v>
      </c>
      <c r="N5" s="1"/>
      <c r="O5" s="1"/>
      <c r="P5" s="1"/>
      <c r="Q5" s="10">
        <f t="shared" si="0"/>
        <v>0</v>
      </c>
      <c r="R5" s="10">
        <v>0</v>
      </c>
      <c r="S5" s="10">
        <v>0</v>
      </c>
      <c r="T5" s="1">
        <f>行动模拟!I11</f>
        <v>0</v>
      </c>
      <c r="U5" s="1">
        <f>IF(FD5&lt;&gt;FD4,IF(BY4=1,IF(MIN(10,CA4+IF(AND(DG5&lt;&gt;DG4,DH4&lt;&gt;"洞穿",SUMIFS($FE$3:FE4,$DG$3:DG4,DG4)=0,BY4=1),3,0))&gt;=10,2,1),IF(BY4=2,IF(BZ4&lt;=1,0,2),0)),BY4)</f>
        <v>0</v>
      </c>
      <c r="V5" s="1">
        <f>IF(FD5&lt;&gt;FD4,IF(BY4=1,IF(MIN(10,CA4+IF(AND(DG5&lt;&gt;DG4,DH4&lt;&gt;"洞穿",SUMIFS($FE$3:FE4,$DG$3:DG4,DG4)=0,BY4=1),3,0))&gt;=10,2,0),IF(BY4=2,MAX(0,BZ4-1),0)),BZ4)</f>
        <v>0</v>
      </c>
      <c r="W5" s="1">
        <f>IF(AND(FD5&lt;&gt;FD4,BY4=2,BZ4&lt;=1),0,MIN(10,CA4+IF(AND(DG5&lt;&gt;DG4,DH4&lt;&gt;"洞穿",SUMIFS($FE$3:FE4,$DG$3:DG4,DG4)=0,BY4=1),3,0)))</f>
        <v>0</v>
      </c>
      <c r="X5" s="1">
        <f t="shared" si="42"/>
        <v>0</v>
      </c>
      <c r="Y5" s="1">
        <f t="shared" si="43"/>
        <v>0</v>
      </c>
      <c r="Z5" s="1">
        <f t="shared" si="44"/>
        <v>0</v>
      </c>
      <c r="AA5" s="1">
        <f t="shared" si="45"/>
        <v>0</v>
      </c>
      <c r="AB5" s="1">
        <f t="shared" si="46"/>
        <v>2</v>
      </c>
      <c r="AC5" s="1">
        <f t="shared" si="47"/>
        <v>0</v>
      </c>
      <c r="AD5" s="1">
        <f t="shared" si="48"/>
        <v>0</v>
      </c>
      <c r="AE5" s="1">
        <f>IF(D5="",0,IF(DG5&lt;&gt;DG4,IFERROR(INDEX(回合状态!$F$7:$F$17,MATCH(DG5,回合状态!$A$7:$A$17,0)),0),CI4))</f>
        <v>0</v>
      </c>
      <c r="AF5" s="10">
        <f t="shared" si="49"/>
        <v>0</v>
      </c>
      <c r="AG5" s="1">
        <f t="shared" si="50"/>
        <v>0</v>
      </c>
      <c r="AH5" s="1">
        <f t="shared" si="51"/>
        <v>3</v>
      </c>
      <c r="AI5" s="1">
        <f t="shared" si="52"/>
        <v>0</v>
      </c>
      <c r="AJ5" s="1">
        <f t="shared" si="53"/>
        <v>0</v>
      </c>
      <c r="AK5" s="1">
        <f t="shared" si="54"/>
        <v>0</v>
      </c>
      <c r="AL5" s="1">
        <f t="shared" si="55"/>
        <v>0</v>
      </c>
      <c r="AM5" s="1">
        <f t="shared" si="56"/>
        <v>0</v>
      </c>
      <c r="AN5" s="1">
        <f t="shared" si="57"/>
        <v>0</v>
      </c>
      <c r="AO5" s="1">
        <f t="shared" si="58"/>
        <v>0</v>
      </c>
      <c r="AP5" s="10">
        <f t="shared" si="59"/>
        <v>0</v>
      </c>
      <c r="AQ5" s="1">
        <f t="shared" si="60"/>
        <v>0</v>
      </c>
      <c r="AR5" s="10">
        <f t="shared" si="61"/>
        <v>0</v>
      </c>
      <c r="AS5" s="1">
        <f t="shared" si="62"/>
        <v>0</v>
      </c>
      <c r="AT5" s="10">
        <f t="shared" si="63"/>
        <v>0</v>
      </c>
      <c r="AU5" s="1">
        <f t="shared" si="64"/>
        <v>0</v>
      </c>
      <c r="AV5" s="1">
        <f>MIN(5,SUMIFS($EL$3:EL5,$B$3:B5,"&gt;="&amp;MAX(1,B5-2),$B$3:B5,"&lt;="&amp;B5)+EC5)</f>
        <v>3</v>
      </c>
      <c r="AW5" s="1">
        <f>MIN(6,SUMIFS($EY$3:EY4,$EX$3:EX4,"&gt;="&amp;MAX(1,EX5-Boss参数!$B$87+1),$EX$3:EX4,"&lt;="&amp;EX5))</f>
        <v>1</v>
      </c>
      <c r="AX5" s="1">
        <f>MIN(4,COUNTIFS($B$3:$B$4,"&gt;="&amp;MAX(1,$B5-2),$B$3:$B$4,"&lt;="&amp;$B5,$L$3:$L$4,"37_FOLLOW"))</f>
        <v>0</v>
      </c>
      <c r="AY5" s="9">
        <f>IF($E5="","",IF($E5="系统",0,ROUNDDOWN(INDEX(角色面板!$C$4:$C$7,MATCH($E5,角色面板!$A$4:$A$7,0))*(1+INDEX(角色面板!$C$11:$C$14,MATCH($E5,角色面板!$A$11:$A$14,0))+IF($E5="小瑞安侬",MAX(IF($B5&lt;=$AQ5,$AP5,0),IF(AND($L5="RHI_ATTACK",$EE5&gt;0),0.11+0.01*$G5,0)),0)+IF($E5="J",$AD5*Boss参数!$B$18,0))+IF(FD5&lt;=$AN5,MIN(Boss参数!$B$21,ROUNDDOWN(角色面板!$C$19*Boss参数!$B$20,0)),0)+IF(AND($B5&lt;=$AK5,$E5&lt;&gt;"小瑞安侬"),$DY5,0),0)))</f>
        <v>2755</v>
      </c>
      <c r="AZ5" s="10">
        <f>IF($E5="","",MAX(0,MIN(1,IFERROR(INDEX(角色面板!$G$18:$G$21,MATCH($E5,角色面板!$A$18:$A$21,0)),0)-FC5*Boss参数!$B$89-Boss参数!$E$4)))</f>
        <v>1</v>
      </c>
      <c r="BA5" s="10">
        <f>IF(E5="","",(IF($E5="","",IF($E5="红弩箭",Boss参数!$B$80,IF($E5="J",Boss参数!$B$81,IFERROR(INDEX(角色面板!$H$18:$H$21,MATCH($E5,角色面板!$A$18:$A$21,0)),0)))+IF($B5&lt;=$AI5,Boss参数!$B$13,0)+MIN(30,$AM5)*Boss参数!$B$17+IF(AND($L5="LILYA_ULT",$X5&gt;=6),1,0)+IF(AND($Y5=1,$L5="LILYA_INSIGHT"),IF(MOD($AA5+1,3)=0,Boss参数!$B$83,Boss参数!$B$82),IF(AND($Y5=1,$L5="LILYA_FINISH"),Boss参数!$B$84,0))))-FC5*Boss参数!$B$90)</f>
        <v>2.0249999999999999</v>
      </c>
      <c r="BB5" s="10">
        <f>IF($E5="","",IFERROR(INDEX(角色面板!$M$18:$M$21,MATCH($E5,角色面板!$A$18:$A$21,0)),0)+$AW5*Boss参数!$B$12+IF($B5&lt;=$AG5,$AF5,0)+$EI5+IF($L5="LILYA_DIVE",IF($U5=1,IF($G5=1,0.3,IF($G5=2,0.4,0.5)),IF($U5=2,IF($G5=1,0.6,IF($G5=2,0.8,1)),0)),0)+$R5+IF(AND($E5="J",OR($L5="J_COUNTER",$L5="J_HARD")),Boss参数!$B$79,0)+IF(AND(OR(L5="J_COUNTER",L5="J_HARD"),FA5&gt;=Boss参数!$B$59),FA5*Boss参数!$B$40,0))</f>
        <v>0.26</v>
      </c>
      <c r="BC5" s="10">
        <f>IF($E5="","",IFERROR(INDEX(角色面板!$K$18:$K$21,MATCH($E5,角色面板!$A$18:$A$21,0)),0)+IF($B5&lt;=$AH5,Boss参数!$B$46,0)+IF($E5="红弩箭",IF($U5=1,0.6,IF($U5=2,1.2,0))+$W5*0.06,0))-DI5*Boss参数!$B$23</f>
        <v>-0.10000000000000003</v>
      </c>
      <c r="BD5" s="10">
        <f>IF($E5="","",IFERROR(INDEX(角色面板!$L$18:$L$21,MATCH($E5,角色面板!$A$18:$A$21,0)),0)+IF($B5&lt;=$AH5,Boss参数!$B$46,0)+IF($E5="J",$AL5*Boss参数!$B$16,0)+IF($E5="红弩箭",$X5*0.025,0)+IF(AND($L5="LILYA_ULT",$X5&gt;=6),1,0))-DI5*Boss参数!$B$23</f>
        <v>0.3</v>
      </c>
      <c r="BE5" s="10">
        <f>IF($E5="","",IF($H5="洞知",IF($E5="红弩箭",$AO5*Boss参数!$B$15,0)+$AX5*Boss参数!$B$14,0))</f>
        <v>0</v>
      </c>
      <c r="BF5" s="10">
        <f t="shared" si="1"/>
        <v>0</v>
      </c>
      <c r="BG5" s="10">
        <f>IF($D5="",0,IF(AND($L5&lt;&gt;"LILYA_DIVE",$L5&lt;&gt;"LILYA_ULT",$L5&lt;&gt;"LILYA_INSIGHT",$L5&lt;&gt;"LILYA_FINISH",$L5&lt;&gt;"37_FOLLOW",$L5&lt;&gt;"RHI_ATTACK",$L5&lt;&gt;"RHI_BERRY",$L5&lt;&gt;"J_COUNTER",$L5&lt;&gt;"J_ULT"),$J5,0)+IF($L5="LILYA_DIVE",$J5+IF($U5=1,IF($G5=1,6,IF($G5=2,12,18)),IF($U5=2,IF($G5=1,12,IF($G5=2,24,36)),0)),0)+IF($L5="LILYA_ULT",$J5+IF($X5&gt;=6,18,0),0)+IF($L5="LILYA_INSIGHT",IF($Y5=1,IF(MOD($AA5+1,3)=0,32,15),0),0)+IF($L5="LILYA_FINISH",IF($Y5=1,50+2.5*$Z5,0),0)+IF($L5="37_FOLLOW",$J5,0)+IF($L5="RHI_ATTACK",$J5*IF($B5&lt;=$AJ5,2,1),0)+IF($L5="RHI_BERRY",15+1.5*$AV5,0)+IF($L5="J_COUNTER",$J5+$AD5*Boss参数!$B$39,0)+IF($L5="J_ULT",$J5+Boss参数!$B$45*MAX(0,$AE5+$AD5-Boss参数!$I$4),0)+$S5)</f>
        <v>0</v>
      </c>
      <c r="BH5" s="10">
        <f t="shared" si="2"/>
        <v>0</v>
      </c>
      <c r="BI5" s="10">
        <f>IF(E5="","",IF(DT5=1,1+Boss参数!$B$8+AV5*Boss参数!$B$19,1))</f>
        <v>1.42</v>
      </c>
      <c r="BJ5" s="9">
        <f>IF($I5="现实",Boss参数!$C$4,IF($I5="精神",Boss参数!$D$4,0))</f>
        <v>0</v>
      </c>
      <c r="BK5" s="9">
        <f>IF($E5="","",MAX($AY5*Boss参数!$B$9,$AY5-$BJ5*(1-$BF5)))</f>
        <v>2755</v>
      </c>
      <c r="BL5" s="10">
        <f>MAX(0,Boss参数!$F$4+IF(DT5=0,Boss参数!$B$27,0)-EJ5)</f>
        <v>0.4</v>
      </c>
      <c r="BM5" s="10">
        <f>Boss参数!$G$4+DU5-IF(Y5=1,Boss参数!$B$11,0)</f>
        <v>0.4</v>
      </c>
      <c r="BN5" s="10">
        <f>IF($E5="","",MAX(Boss参数!$B$10,1+IFERROR(INDEX(角色面板!$I$18:$I$21,MATCH($E5,角色面板!$A$18:$A$21,0)),0)+$BB5+Boss参数!$H$4-$BM5))</f>
        <v>0.96000000000000008</v>
      </c>
      <c r="BO5" s="10">
        <f>IF(E5="","",IF(OR(L5="J_COUNTER",L5="J_HARD"),MAX(0,1+INDEX(角色面板!$K$18:$K$21,MATCH(E5,角色面板!$A$18:$A$21,0))-DI5*Boss参数!$B$23+IF(OR(Boss参数!$B$43=1,L5="J_HARD"),IF(B5&lt;=AH5,Boss参数!$B$46,0),0)),MAX(0,IF(OR(H5="术法",L5="RHI_BERRY",AND(L5="37_FOLLOW",Boss参数!$B$31=1)),1+BC5,IF(H5="仪式",1+BD5,IF(H5="洞知",EK5,1))))))</f>
        <v>1</v>
      </c>
      <c r="BP5" s="10">
        <f t="shared" si="3"/>
        <v>1.625</v>
      </c>
      <c r="BQ5" s="1">
        <f t="shared" si="4"/>
        <v>0</v>
      </c>
      <c r="BR5" s="1">
        <f t="shared" si="5"/>
        <v>0</v>
      </c>
      <c r="BS5" s="1">
        <f>IF(BH5=0,0,ROUNDDOWN(AY5*BH5,0)*DV5*IF(Boss参数!$B$29=1,BN5,1)*IF(Boss参数!$B$33=1,BO5,1)*IF(Boss参数!$B$76=1,1-ES5,1))</f>
        <v>0</v>
      </c>
      <c r="BT5" s="1">
        <f t="shared" si="6"/>
        <v>0</v>
      </c>
      <c r="BU5" s="9">
        <f>IF(D5="",0,MIN(IF(Boss参数!$B$77=1,Boss参数!$B$63*Boss参数!$B$62,Boss参数!$B$61*Boss参数!$B$62),DW5+ROUNDDOWN(BS5,0)+ROUNDDOWN(DW5*Q5,0)))</f>
        <v>0</v>
      </c>
      <c r="BV5" s="9">
        <f>IF(D5="",0,MIN(IF(Boss参数!$B$77=1,Boss参数!$B$63*Boss参数!$B$62,Boss参数!$B$61*Boss参数!$B$62),DX5+ROUNDDOWN(BT5,0)+ROUNDDOWN(DX5*Q5,0)))</f>
        <v>0</v>
      </c>
      <c r="BW5" s="9">
        <f t="shared" si="7"/>
        <v>0</v>
      </c>
      <c r="BX5" s="1" t="str">
        <f t="shared" si="8"/>
        <v/>
      </c>
      <c r="BY5" s="1">
        <f t="shared" si="9"/>
        <v>1</v>
      </c>
      <c r="BZ5" s="1">
        <f t="shared" si="10"/>
        <v>0</v>
      </c>
      <c r="CA5" s="1">
        <f>MIN(10,W5+IF(AND(L5="LILYA_COBRA",COUNTIF($L$3:L5,"LILYA_COBRA")=1),5,0)+IF(AND(L5="LILYA_DIVE",U5=1,COUNTIFS($DG$3:DG5,DG5,$L$3:L5,"LILYA_DIVE")=1),2,0)+IF(AND(FE5=1,U5=1),3,0))</f>
        <v>5</v>
      </c>
      <c r="CB5" s="1">
        <f>MIN(20,MAX(0,X5+IF(L5="LILYA_COBRA",IF(COUNTIF($L$3:L5,"LILYA_COBRA")=1,6,IF(U5=1,MAX(1,G5),IF(U5=2,2*MAX(1,G5),0))),0)+IF(AND(Y5=1,E5="红弩箭",L5&lt;&gt;"ENTER_INSIGHT"),1,0)-IF(AND(L5="LILYA_ULT",X5&gt;=6),6,0)))</f>
        <v>6</v>
      </c>
      <c r="CC5" s="1">
        <f t="shared" si="11"/>
        <v>0</v>
      </c>
      <c r="CD5" s="1">
        <f t="shared" si="12"/>
        <v>0</v>
      </c>
      <c r="CE5" s="1">
        <f t="shared" si="13"/>
        <v>0</v>
      </c>
      <c r="CF5" s="1">
        <f t="shared" si="14"/>
        <v>3</v>
      </c>
      <c r="CG5" s="1">
        <f t="shared" si="15"/>
        <v>0</v>
      </c>
      <c r="CH5" s="1">
        <f>MIN(35,AD5+IF(L5="J_HARD",6,0)+IF(L5="J_COUNTER",Boss参数!$B$30,0))</f>
        <v>0</v>
      </c>
      <c r="CI5" s="1">
        <f>MIN(Boss参数!$I$4,AE5+IF(L5="J_HARD",6,0)+IF(L5="J_ULT",AD5,0)+IF(L5="J_COUNTER",Boss参数!$B$30,0))</f>
        <v>0</v>
      </c>
      <c r="CJ5" s="10">
        <f>IF(L5="J_ULT",AD5*Boss参数!$B$41,IF(B5&lt;=AG5,AF5,0))</f>
        <v>0</v>
      </c>
      <c r="CK5" s="1">
        <f t="shared" si="16"/>
        <v>0</v>
      </c>
      <c r="CL5" s="1">
        <f t="shared" si="17"/>
        <v>3</v>
      </c>
      <c r="CM5" s="1">
        <f t="shared" si="18"/>
        <v>0</v>
      </c>
      <c r="CN5" s="1">
        <f t="shared" si="19"/>
        <v>0</v>
      </c>
      <c r="CO5" s="1">
        <f t="shared" si="20"/>
        <v>0</v>
      </c>
      <c r="CP5" s="1">
        <f t="shared" si="21"/>
        <v>0</v>
      </c>
      <c r="CQ5" s="1">
        <f t="shared" si="22"/>
        <v>0</v>
      </c>
      <c r="CR5" s="1">
        <f t="shared" si="23"/>
        <v>0</v>
      </c>
      <c r="CS5" s="1">
        <f t="shared" si="24"/>
        <v>0</v>
      </c>
      <c r="CT5" s="10">
        <f t="shared" si="25"/>
        <v>0</v>
      </c>
      <c r="CU5" s="1">
        <f t="shared" si="26"/>
        <v>0</v>
      </c>
      <c r="CV5" s="10">
        <f t="shared" si="27"/>
        <v>0</v>
      </c>
      <c r="CW5" s="1">
        <f t="shared" si="28"/>
        <v>0</v>
      </c>
      <c r="CX5" s="10">
        <f t="shared" si="29"/>
        <v>0</v>
      </c>
      <c r="CY5" s="1">
        <f t="shared" si="30"/>
        <v>0</v>
      </c>
      <c r="CZ5" s="1"/>
      <c r="DA5" s="1"/>
      <c r="DB5" s="1"/>
      <c r="DC5" s="1"/>
      <c r="DD5" s="1"/>
      <c r="DE5" s="1"/>
      <c r="DF5" s="1"/>
      <c r="DG5" s="1">
        <f>IF(D5="","",行动模拟!B11)</f>
        <v>1</v>
      </c>
      <c r="DH5" s="1" t="str">
        <f>IF(L5="END_TURN","回合结束",IF(D5="","",IF(INDEX(回合状态!$C$7:$C$17,MATCH(DG5,回合状态!$A$7:$A$17,0))="洞穿","洞穿",IF(OR(L5="J_COUNTER",L5="BOSS_ACTION",L5="BOSS_CONSERVATIVE"),"敌方",IF(AND(L5="37_FOLLOW",DG5=DG4,DH4="敌方"),"敌方",IF(INDEX(回合状态!$C$7:$C$17,MATCH(DG5,回合状态!$A$7:$A$17,0))="普通","出牌",INDEX(回合状态!$C$7:$C$17,MATCH(DG5,回合状态!$A$7:$A$17,0))))))))</f>
        <v>出牌</v>
      </c>
      <c r="DI5" s="1">
        <f t="shared" si="31"/>
        <v>0</v>
      </c>
      <c r="DJ5" s="1">
        <f>IF(D5="",0,MIN(Boss参数!$B$25,IF(OR(AND(DH5="敌方",OR(DH4&lt;&gt;"敌方",DG5&lt;&gt;DG4)),AND(L5="END_TURN",DH5&lt;&gt;"洞穿"),AND(DG5&lt;&gt;DG4,DH4&lt;&gt;"洞穿",L4&lt;&gt;"END_TURN",COUNTIFS($DG$3:DG4,DG4,$DH$3:DH4,"敌方")=0)),EW5,DN4)))</f>
        <v>0</v>
      </c>
      <c r="DK5" s="1">
        <f>IF(D5="",0,MIN(Boss参数!$B$25,IF(OR(AND(DH5="敌方",OR(DH4&lt;&gt;"敌方",DG5&lt;&gt;DG4)),AND(L5="END_TURN",DH5&lt;&gt;"洞穿"),AND(DG5&lt;&gt;DG4,DH4&lt;&gt;"洞穿",L4&lt;&gt;"END_TURN",COUNTIFS($DG$3:DG4,DG4,$DH$3:DH4,"敌方")=0)),EW5,DO4)))</f>
        <v>0</v>
      </c>
      <c r="DL5" s="1">
        <f>IF(D5="",0,MIN(Boss参数!$B$25,IF(OR(AND(DH5="敌方",OR(DH4&lt;&gt;"敌方",DG5&lt;&gt;DG4)),AND(L5="END_TURN",DH5&lt;&gt;"洞穿"),AND(DG5&lt;&gt;DG4,DH4&lt;&gt;"洞穿",L4&lt;&gt;"END_TURN",COUNTIFS($DG$3:DG4,DG4,$DH$3:DH4,"敌方")=0)),EW5,DP4)))</f>
        <v>0</v>
      </c>
      <c r="DM5" s="1">
        <f>IF(D5="",0,MIN(Boss参数!$B$25,IF(OR(AND(DH5="敌方",OR(DH4&lt;&gt;"敌方",DG5&lt;&gt;DG4)),AND(L5="END_TURN",DH5&lt;&gt;"洞穿"),AND(DG5&lt;&gt;DG4,DH4&lt;&gt;"洞穿",L4&lt;&gt;"END_TURN",COUNTIFS($DG$3:DG4,DG4,$DH$3:DH4,"敌方")=0)),EW5,DQ4)))</f>
        <v>0</v>
      </c>
      <c r="DN5" s="1">
        <f>MAX(0,MIN(Boss参数!$B$25,DJ5+DR5)-IF(E5="红弩箭",2*DR5,0))</f>
        <v>0</v>
      </c>
      <c r="DO5" s="1">
        <f>MAX(0,MIN(Boss参数!$B$25,DK5+DR5)-IF(E5="37",2*DR5,0))</f>
        <v>0</v>
      </c>
      <c r="DP5" s="1">
        <f>MAX(0,MIN(Boss参数!$B$25,DL5+DR5)-IF(E5="小瑞安侬",2*DR5,0))</f>
        <v>0</v>
      </c>
      <c r="DQ5" s="1">
        <f>MAX(0,MIN(Boss参数!$B$25,DM5+DR5)-IF(E5="J",2*DR5,0))</f>
        <v>0</v>
      </c>
      <c r="DR5" s="1">
        <f t="shared" si="32"/>
        <v>0</v>
      </c>
      <c r="DS5" s="1">
        <f t="shared" si="33"/>
        <v>0</v>
      </c>
      <c r="DT5" s="1">
        <f>IF(OR(E5="",E5="系统"),0,IF(OR(AND(DS5=1,Boss参数!$B$32=1),L5="RHI_BERRY",OR(AND(INDEX(角色面板!$B$18:$B$21,MATCH(E5,角色面板!$A$18:$A$21,0))="星",Boss参数!$B$4="岩"),AND(INDEX(角色面板!$B$18:$B$21,MATCH(E5,角色面板!$A$18:$A$21,0))="岩",Boss参数!$B$4="兽"),AND(INDEX(角色面板!$B$18:$B$21,MATCH(E5,角色面板!$A$18:$A$21,0))="兽",Boss参数!$B$4="木"),AND(INDEX(角色面板!$B$18:$B$21,MATCH(E5,角色面板!$A$18:$A$21,0))="木",Boss参数!$B$4="星"),AND(INDEX(角色面板!$B$18:$B$21,MATCH(E5,角色面板!$A$18:$A$21,0))="智",Boss参数!$B$4="灵"),AND(INDEX(角色面板!$B$18:$B$21,MATCH(E5,角色面板!$A$18:$A$21,0))="灵",Boss参数!$B$4="智"))),1,0))</f>
        <v>1</v>
      </c>
      <c r="DU5" s="1">
        <f>IF(D5="",0,INDEX(回合状态!$E$7:$E$17,MATCH(DG5,回合状态!$A$7:$A$17,0))+IF(AND(DH5="敌方",OR(INDEX(回合状态!$C$7:$C$17,MATCH(DG5,回合状态!$A$7:$A$17,0))="普通",INDEX(回合状态!$C$7:$C$17,MATCH(DG5,回合状态!$A$7:$A$17,0))="额外")),0.05,0))</f>
        <v>0</v>
      </c>
      <c r="DV5" s="1">
        <f>MAX(Boss参数!$B$28,1+IF(AND(E5="37",AC5&gt;0,BH5&gt;0),Boss参数!$B$42,0)-DI5*Boss参数!$B$24+EA5-ER5)</f>
        <v>1</v>
      </c>
      <c r="DW5" s="1">
        <f>MIN(IF(Boss参数!$B$77=1,Boss参数!$B$63*Boss参数!$B$62,Boss参数!$B$61*Boss参数!$B$62),ROUNDDOWN(BQ5*(1-ES5),0))</f>
        <v>0</v>
      </c>
      <c r="DX5" s="1">
        <f>MIN(IF(Boss参数!$B$77=1,Boss参数!$B$63*Boss参数!$B$62,Boss参数!$B$61*Boss参数!$B$62),ROUNDDOWN(BR5*(1-ES5),0))</f>
        <v>0</v>
      </c>
      <c r="DY5" s="1">
        <f t="shared" si="65"/>
        <v>0</v>
      </c>
      <c r="DZ5" s="1">
        <f>IF(L5="RHI_ULT",MIN(Boss参数!$B$48,ROUNDDOWN(AY5*Boss参数!$B$47,0)),DY5)</f>
        <v>0</v>
      </c>
      <c r="EA5" s="11">
        <v>0</v>
      </c>
      <c r="EB5" s="1">
        <f t="shared" si="34"/>
        <v>0</v>
      </c>
      <c r="EC5" s="1">
        <f>SUMIFS($EB$3:EB5,$B$3:B5,"&gt;="&amp;MAX(1,B5-2),$B$3:B5,"&lt;="&amp;B5)*Boss参数!$B$51</f>
        <v>2</v>
      </c>
      <c r="ED5" s="1">
        <f>IF(D5="",EG4,IF(AND(DG5&lt;&gt;DG4,DH5&lt;&gt;"洞穿"),MIN(Boss参数!$B$55,EG4+2),EG4))</f>
        <v>1</v>
      </c>
      <c r="EE5" s="1">
        <f t="shared" si="35"/>
        <v>0</v>
      </c>
      <c r="EF5" s="1">
        <f>IF(AND(OR(L5="END_TURN",AND(DH5="敌方",OR(DH4&lt;&gt;"敌方",DG5&lt;&gt;DG4))),SUMIFS($EF$3:EF4,$DG$3:DG4,DG5)=0),MIN(1,MAX(0,ED5-EE5)),0)</f>
        <v>0</v>
      </c>
      <c r="EG5" s="1">
        <f t="shared" si="36"/>
        <v>1</v>
      </c>
      <c r="EH5" s="11">
        <f>Boss参数!$B$53-IF(Y5=1,Boss参数!$B$54,0)</f>
        <v>0</v>
      </c>
      <c r="EI5" s="11">
        <f t="shared" si="37"/>
        <v>0</v>
      </c>
      <c r="EJ5" s="11">
        <f t="shared" si="38"/>
        <v>0</v>
      </c>
      <c r="EK5" s="11">
        <f t="shared" si="39"/>
        <v>1</v>
      </c>
      <c r="EL5" s="1">
        <f t="shared" si="66"/>
        <v>0</v>
      </c>
      <c r="EM5" s="1">
        <f>IF(AND(DG5&lt;&gt;DG4,DH5="洞穿"),0,IF(L5="ENTER_INSIGHT",Boss参数!$B$57,EO4))</f>
        <v>0</v>
      </c>
      <c r="EN5" s="11">
        <f>IF(AND(Y5=1,H5="洞知",EM5&gt;0),Boss参数!$B$56,0)</f>
        <v>0</v>
      </c>
      <c r="EO5" s="1">
        <f t="shared" si="40"/>
        <v>0</v>
      </c>
      <c r="EP5" s="12">
        <f t="shared" si="67"/>
        <v>0</v>
      </c>
      <c r="EQ5" s="12">
        <f>ROUNDDOWN(EP5/Boss参数!$B$62,0)</f>
        <v>0</v>
      </c>
      <c r="ER5" s="11">
        <f>IF(EQ5&gt;=Boss参数!$B$66,Boss参数!$B$69,IF(EQ5&gt;=Boss参数!$B$65,Boss参数!$B$68,IF(EQ5&gt;=Boss参数!$B$64,Boss参数!$B$67,0)))</f>
        <v>0</v>
      </c>
      <c r="ES5" s="11">
        <f>MIN(1,IF(EQ5&gt;=Boss参数!$B$66,Boss参数!$B$72+ROUNDDOWN((EQ5-Boss参数!$B$66)/Boss参数!$B$73,0)*Boss参数!$B$74,IF(EQ5&gt;=Boss参数!$B$65,Boss参数!$B$71,IF(EQ5&gt;=Boss参数!$B$64,Boss参数!$B$70,0))))</f>
        <v>0</v>
      </c>
      <c r="ET5" s="12">
        <f>MIN(Boss参数!$B$61*Boss参数!$B$62,EP5+IF(AND(Boss参数!$B$60=1,ISNUMBER(验证表!H11)),验证表!H11,EU5))</f>
        <v>0</v>
      </c>
      <c r="EU5" s="12">
        <f>IF(D5="",0,IF(验证表!G11="是",BV5,IF(验证表!G11="否",BU5,BW5)))</f>
        <v>0</v>
      </c>
      <c r="EV5" s="12">
        <f>IF(EQ5&gt;=Boss参数!$B$66,2,IF(EQ5&gt;=Boss参数!$B$65,1,0))</f>
        <v>0</v>
      </c>
      <c r="EW5" s="12">
        <f t="shared" si="41"/>
        <v>1</v>
      </c>
      <c r="EX5" s="1">
        <f>IF(D5="",0,INDEX(回合状态!$D$7:$D$17,MATCH(DG5,回合状态!$A$7:$A$17,0)))</f>
        <v>1</v>
      </c>
      <c r="EY5" s="1">
        <f>IF(OR(L5="RHI_ATTACK",L5="RHI_BUFF"),1,IF(L5="RHI_ULT",Boss参数!$B$52,0))</f>
        <v>0</v>
      </c>
      <c r="EZ5" s="1">
        <f>MIN(6,SUMIFS($EY$3:EY5,$EX$3:EX5,"&gt;="&amp;MAX(1,EX5-Boss参数!$B$87+1),$EX$3:EX5,"&lt;="&amp;EX5))</f>
        <v>1</v>
      </c>
      <c r="FA5" s="1">
        <f t="shared" si="68"/>
        <v>0</v>
      </c>
      <c r="FB5" s="17">
        <f>IF(L5="BOSS_CONSERVATIVE",B5+Boss参数!$B$91,FB4)</f>
        <v>0</v>
      </c>
      <c r="FC5" s="17">
        <f t="shared" si="69"/>
        <v>0</v>
      </c>
      <c r="FD5" s="17">
        <f>IF(D5="",FD4,FD4+IF(AND(DG5&lt;&gt;DG4,INDEX(回合状态!$C$7:$C$17,MATCH(DG5,回合状态!$A$7:$A$17,0))&lt;&gt;"洞穿"),1,0))</f>
        <v>1</v>
      </c>
      <c r="FE5" s="17">
        <f>IF(D5="",0,IF(AND(OR(L5="END_TURN",DH5="敌方"),INDEX(回合状态!$C$7:$C$17,MATCH(DG5,回合状态!$A$7:$A$17,0))&lt;&gt;"洞穿",SUMIFS($FE$3:FE4,$DG$3:DG4,DG5)=0),1,0))</f>
        <v>0</v>
      </c>
    </row>
    <row r="6" spans="1:161" ht="84.95" customHeight="1">
      <c r="A6" s="1">
        <f>行动模拟!A12</f>
        <v>4</v>
      </c>
      <c r="B6" s="1">
        <f>IF(D6="",0,INDEX(回合状态!$B$7:$B$17,MATCH(DG6,回合状态!$A$7:$A$17,0)))</f>
        <v>1</v>
      </c>
      <c r="C6" s="1">
        <f>行动模拟!C12</f>
        <v>4</v>
      </c>
      <c r="D6" s="1" t="str">
        <f>IF(行动模拟!D12="","",行动模拟!D12)</f>
        <v>红弩箭｜极限俯冲Ⅰ</v>
      </c>
      <c r="E6" s="1" t="str">
        <f>IF($D6="","",IFERROR(INDEX(技能数据库!$B$4:$B$38,MATCH($D6,技能数据库!$A$4:$A$38,0)),""))</f>
        <v>红弩箭</v>
      </c>
      <c r="F6" s="1" t="str">
        <f>IF($D6="","",IFERROR(INDEX(技能数据库!$C$4:$C$38,MATCH($D6,技能数据库!$A$4:$A$38,0)),""))</f>
        <v>极限俯冲</v>
      </c>
      <c r="G6" s="1">
        <f>IF($D6="","",IFERROR(INDEX(技能数据库!$D$4:$D$38,MATCH($D6,技能数据库!$A$4:$A$38,0)),""))</f>
        <v>1</v>
      </c>
      <c r="H6" s="1" t="str">
        <f>IF($D6="","",IFERROR(INDEX(技能数据库!$E$4:$E$38,MATCH($D6,技能数据库!$A$4:$A$38,0)),""))</f>
        <v>术法</v>
      </c>
      <c r="I6" s="1" t="str">
        <f>IF($D6="","",IFERROR(INDEX(技能数据库!$F$4:$F$38,MATCH($D6,技能数据库!$A$4:$A$38,0)),""))</f>
        <v>现实</v>
      </c>
      <c r="J6" s="1">
        <f>IF($D6="","",IFERROR(INDEX(技能数据库!$G$4:$G$38,MATCH($D6,技能数据库!$A$4:$A$38,0)),""))</f>
        <v>3</v>
      </c>
      <c r="K6" s="1">
        <f>IF($D6="","",IFERROR(INDEX(技能数据库!$H$4:$H$38,MATCH($D6,技能数据库!$A$4:$A$38,0)),""))</f>
        <v>0</v>
      </c>
      <c r="L6" s="1" t="str">
        <f>IF($D6="","",IFERROR(INDEX(技能数据库!$I$4:$I$38,MATCH($D6,技能数据库!$A$4:$A$38,0)),""))</f>
        <v>LILYA_DIVE</v>
      </c>
      <c r="M6" s="10">
        <v>1</v>
      </c>
      <c r="N6" s="1"/>
      <c r="O6" s="1"/>
      <c r="P6" s="1"/>
      <c r="Q6" s="10">
        <f t="shared" si="0"/>
        <v>0</v>
      </c>
      <c r="R6" s="10">
        <v>0</v>
      </c>
      <c r="S6" s="10">
        <v>0</v>
      </c>
      <c r="T6" s="1">
        <f>行动模拟!I12</f>
        <v>0</v>
      </c>
      <c r="U6" s="1">
        <f>IF(FD6&lt;&gt;FD5,IF(BY5=1,IF(MIN(10,CA5+IF(AND(DG6&lt;&gt;DG5,DH5&lt;&gt;"洞穿",SUMIFS($FE$3:FE5,$DG$3:DG5,DG5)=0,BY5=1),3,0))&gt;=10,2,1),IF(BY5=2,IF(BZ5&lt;=1,0,2),0)),BY5)</f>
        <v>1</v>
      </c>
      <c r="V6" s="1">
        <f>IF(FD6&lt;&gt;FD5,IF(BY5=1,IF(MIN(10,CA5+IF(AND(DG6&lt;&gt;DG5,DH5&lt;&gt;"洞穿",SUMIFS($FE$3:FE5,$DG$3:DG5,DG5)=0,BY5=1),3,0))&gt;=10,2,0),IF(BY5=2,MAX(0,BZ5-1),0)),BZ5)</f>
        <v>0</v>
      </c>
      <c r="W6" s="1">
        <f>IF(AND(FD6&lt;&gt;FD5,BY5=2,BZ5&lt;=1),0,MIN(10,CA5+IF(AND(DG6&lt;&gt;DG5,DH5&lt;&gt;"洞穿",SUMIFS($FE$3:FE5,$DG$3:DG5,DG5)=0,BY5=1),3,0)))</f>
        <v>5</v>
      </c>
      <c r="X6" s="1">
        <f t="shared" si="42"/>
        <v>6</v>
      </c>
      <c r="Y6" s="1">
        <f t="shared" si="43"/>
        <v>0</v>
      </c>
      <c r="Z6" s="1">
        <f t="shared" si="44"/>
        <v>0</v>
      </c>
      <c r="AA6" s="1">
        <f t="shared" si="45"/>
        <v>0</v>
      </c>
      <c r="AB6" s="1">
        <f t="shared" si="46"/>
        <v>3</v>
      </c>
      <c r="AC6" s="1">
        <f t="shared" si="47"/>
        <v>0</v>
      </c>
      <c r="AD6" s="1">
        <f t="shared" si="48"/>
        <v>0</v>
      </c>
      <c r="AE6" s="1">
        <f>IF(D6="",0,IF(DG6&lt;&gt;DG5,IFERROR(INDEX(回合状态!$F$7:$F$17,MATCH(DG6,回合状态!$A$7:$A$17,0)),0),CI5))</f>
        <v>0</v>
      </c>
      <c r="AF6" s="10">
        <f t="shared" si="49"/>
        <v>0</v>
      </c>
      <c r="AG6" s="1">
        <f t="shared" si="50"/>
        <v>0</v>
      </c>
      <c r="AH6" s="1">
        <f t="shared" si="51"/>
        <v>3</v>
      </c>
      <c r="AI6" s="1">
        <f t="shared" si="52"/>
        <v>0</v>
      </c>
      <c r="AJ6" s="1">
        <f t="shared" si="53"/>
        <v>0</v>
      </c>
      <c r="AK6" s="1">
        <f t="shared" si="54"/>
        <v>0</v>
      </c>
      <c r="AL6" s="1">
        <f t="shared" si="55"/>
        <v>0</v>
      </c>
      <c r="AM6" s="1">
        <f t="shared" si="56"/>
        <v>0</v>
      </c>
      <c r="AN6" s="1">
        <f t="shared" si="57"/>
        <v>0</v>
      </c>
      <c r="AO6" s="1">
        <f t="shared" si="58"/>
        <v>0</v>
      </c>
      <c r="AP6" s="10">
        <f t="shared" si="59"/>
        <v>0</v>
      </c>
      <c r="AQ6" s="1">
        <f t="shared" si="60"/>
        <v>0</v>
      </c>
      <c r="AR6" s="10">
        <f t="shared" si="61"/>
        <v>0</v>
      </c>
      <c r="AS6" s="1">
        <f t="shared" si="62"/>
        <v>0</v>
      </c>
      <c r="AT6" s="10">
        <f t="shared" si="63"/>
        <v>0</v>
      </c>
      <c r="AU6" s="1">
        <f t="shared" si="64"/>
        <v>0</v>
      </c>
      <c r="AV6" s="1">
        <f>MIN(5,SUMIFS($EL$3:EL6,$B$3:B6,"&gt;="&amp;MAX(1,B6-2),$B$3:B6,"&lt;="&amp;B6)+EC6)</f>
        <v>3</v>
      </c>
      <c r="AW6" s="1">
        <f>MIN(6,SUMIFS($EY$3:EY5,$EX$3:EX5,"&gt;="&amp;MAX(1,EX6-Boss参数!$B$87+1),$EX$3:EX5,"&lt;="&amp;EX6))</f>
        <v>1</v>
      </c>
      <c r="AX6" s="1">
        <f>MIN(4,COUNTIFS($B$3:$B$5,"&gt;="&amp;MAX(1,$B6-2),$B$3:$B$5,"&lt;="&amp;$B6,$L$3:$L$5,"37_FOLLOW"))</f>
        <v>0</v>
      </c>
      <c r="AY6" s="9">
        <f>IF($E6="","",IF($E6="系统",0,ROUNDDOWN(INDEX(角色面板!$C$4:$C$7,MATCH($E6,角色面板!$A$4:$A$7,0))*(1+INDEX(角色面板!$C$11:$C$14,MATCH($E6,角色面板!$A$11:$A$14,0))+IF($E6="小瑞安侬",MAX(IF($B6&lt;=$AQ6,$AP6,0),IF(AND($L6="RHI_ATTACK",$EE6&gt;0),0.11+0.01*$G6,0)),0)+IF($E6="J",$AD6*Boss参数!$B$18,0))+IF(FD6&lt;=$AN6,MIN(Boss参数!$B$21,ROUNDDOWN(角色面板!$C$19*Boss参数!$B$20,0)),0)+IF(AND($B6&lt;=$AK6,$E6&lt;&gt;"小瑞安侬"),$DY6,0),0)))</f>
        <v>2755</v>
      </c>
      <c r="AZ6" s="10">
        <f>IF($E6="","",MAX(0,MIN(1,IFERROR(INDEX(角色面板!$G$18:$G$21,MATCH($E6,角色面板!$A$18:$A$21,0)),0)-FC6*Boss参数!$B$89-Boss参数!$E$4)))</f>
        <v>1</v>
      </c>
      <c r="BA6" s="10">
        <f>IF(E6="","",(IF($E6="","",IF($E6="红弩箭",Boss参数!$B$80,IF($E6="J",Boss参数!$B$81,IFERROR(INDEX(角色面板!$H$18:$H$21,MATCH($E6,角色面板!$A$18:$A$21,0)),0)))+IF($B6&lt;=$AI6,Boss参数!$B$13,0)+MIN(30,$AM6)*Boss参数!$B$17+IF(AND($L6="LILYA_ULT",$X6&gt;=6),1,0)+IF(AND($Y6=1,$L6="LILYA_INSIGHT"),IF(MOD($AA6+1,3)=0,Boss参数!$B$83,Boss参数!$B$82),IF(AND($Y6=1,$L6="LILYA_FINISH"),Boss参数!$B$84,0))))-FC6*Boss参数!$B$90)</f>
        <v>2.0249999999999999</v>
      </c>
      <c r="BB6" s="10">
        <f>IF($E6="","",IFERROR(INDEX(角色面板!$M$18:$M$21,MATCH($E6,角色面板!$A$18:$A$21,0)),0)+$AW6*Boss参数!$B$12+IF($B6&lt;=$AG6,$AF6,0)+$EI6+IF($L6="LILYA_DIVE",IF($U6=1,IF($G6=1,0.3,IF($G6=2,0.4,0.5)),IF($U6=2,IF($G6=1,0.6,IF($G6=2,0.8,1)),0)),0)+$R6+IF(AND($E6="J",OR($L6="J_COUNTER",$L6="J_HARD")),Boss参数!$B$79,0)+IF(AND(OR(L6="J_COUNTER",L6="J_HARD"),FA6&gt;=Boss参数!$B$59),FA6*Boss参数!$B$40,0))</f>
        <v>0.56000000000000005</v>
      </c>
      <c r="BC6" s="10">
        <f>IF($E6="","",IFERROR(INDEX(角色面板!$K$18:$K$21,MATCH($E6,角色面板!$A$18:$A$21,0)),0)+IF($B6&lt;=$AH6,Boss参数!$B$46,0)+IF($E6="红弩箭",IF($U6=1,0.6,IF($U6=2,1.2,0))+$W6*0.06,0))-DI6*Boss参数!$B$23</f>
        <v>0.79999999999999982</v>
      </c>
      <c r="BD6" s="10">
        <f>IF($E6="","",IFERROR(INDEX(角色面板!$L$18:$L$21,MATCH($E6,角色面板!$A$18:$A$21,0)),0)+IF($B6&lt;=$AH6,Boss参数!$B$46,0)+IF($E6="J",$AL6*Boss参数!$B$16,0)+IF($E6="红弩箭",$X6*0.025,0)+IF(AND($L6="LILYA_ULT",$X6&gt;=6),1,0))-DI6*Boss参数!$B$23</f>
        <v>0.45</v>
      </c>
      <c r="BE6" s="10">
        <f>IF($E6="","",IF($H6="洞知",IF($E6="红弩箭",$AO6*Boss参数!$B$15,0)+$AX6*Boss参数!$B$14,0))</f>
        <v>0</v>
      </c>
      <c r="BF6" s="10">
        <f t="shared" si="1"/>
        <v>0</v>
      </c>
      <c r="BG6" s="10">
        <f>IF($D6="",0,IF(AND($L6&lt;&gt;"LILYA_DIVE",$L6&lt;&gt;"LILYA_ULT",$L6&lt;&gt;"LILYA_INSIGHT",$L6&lt;&gt;"LILYA_FINISH",$L6&lt;&gt;"37_FOLLOW",$L6&lt;&gt;"RHI_ATTACK",$L6&lt;&gt;"RHI_BERRY",$L6&lt;&gt;"J_COUNTER",$L6&lt;&gt;"J_ULT"),$J6,0)+IF($L6="LILYA_DIVE",$J6+IF($U6=1,IF($G6=1,6,IF($G6=2,12,18)),IF($U6=2,IF($G6=1,12,IF($G6=2,24,36)),0)),0)+IF($L6="LILYA_ULT",$J6+IF($X6&gt;=6,18,0),0)+IF($L6="LILYA_INSIGHT",IF($Y6=1,IF(MOD($AA6+1,3)=0,32,15),0),0)+IF($L6="LILYA_FINISH",IF($Y6=1,50+2.5*$Z6,0),0)+IF($L6="37_FOLLOW",$J6,0)+IF($L6="RHI_ATTACK",$J6*IF($B6&lt;=$AJ6,2,1),0)+IF($L6="RHI_BERRY",15+1.5*$AV6,0)+IF($L6="J_COUNTER",$J6+$AD6*Boss参数!$B$39,0)+IF($L6="J_ULT",$J6+Boss参数!$B$45*MAX(0,$AE6+$AD6-Boss参数!$I$4),0)+$S6)</f>
        <v>9</v>
      </c>
      <c r="BH6" s="10">
        <f t="shared" si="2"/>
        <v>0</v>
      </c>
      <c r="BI6" s="10">
        <f>IF(E6="","",IF(DT6=1,1+Boss参数!$B$8+AV6*Boss参数!$B$19,1))</f>
        <v>1.42</v>
      </c>
      <c r="BJ6" s="9">
        <f>IF($I6="现实",Boss参数!$C$4,IF($I6="精神",Boss参数!$D$4,0))</f>
        <v>1200</v>
      </c>
      <c r="BK6" s="9">
        <f>IF($E6="","",MAX($AY6*Boss参数!$B$9,$AY6-$BJ6*(1-$BF6)))</f>
        <v>1555</v>
      </c>
      <c r="BL6" s="10">
        <f>MAX(0,Boss参数!$F$4+IF(DT6=0,Boss参数!$B$27,0)-EJ6)</f>
        <v>0.4</v>
      </c>
      <c r="BM6" s="10">
        <f>Boss参数!$G$4+DU6-IF(Y6=1,Boss参数!$B$11,0)</f>
        <v>0.4</v>
      </c>
      <c r="BN6" s="10">
        <f>IF($E6="","",MAX(Boss参数!$B$10,1+IFERROR(INDEX(角色面板!$I$18:$I$21,MATCH($E6,角色面板!$A$18:$A$21,0)),0)+$BB6+Boss参数!$H$4-$BM6))</f>
        <v>1.2600000000000002</v>
      </c>
      <c r="BO6" s="10">
        <f>IF(E6="","",IF(OR(L6="J_COUNTER",L6="J_HARD"),MAX(0,1+INDEX(角色面板!$K$18:$K$21,MATCH(E6,角色面板!$A$18:$A$21,0))-DI6*Boss参数!$B$23+IF(OR(Boss参数!$B$43=1,L6="J_HARD"),IF(B6&lt;=AH6,Boss参数!$B$46,0),0)),MAX(0,IF(OR(H6="术法",L6="RHI_BERRY",AND(L6="37_FOLLOW",Boss参数!$B$31=1)),1+BC6,IF(H6="仪式",1+BD6,IF(H6="洞知",EK6,1))))))</f>
        <v>1.7999999999999998</v>
      </c>
      <c r="BP6" s="10">
        <f t="shared" si="3"/>
        <v>1.625</v>
      </c>
      <c r="BQ6" s="1">
        <f t="shared" si="4"/>
        <v>45071.737200000003</v>
      </c>
      <c r="BR6" s="1">
        <f t="shared" si="5"/>
        <v>73241.572950000002</v>
      </c>
      <c r="BS6" s="1">
        <f>IF(BH6=0,0,ROUNDDOWN(AY6*BH6,0)*DV6*IF(Boss参数!$B$29=1,BN6,1)*IF(Boss参数!$B$33=1,BO6,1)*IF(Boss参数!$B$76=1,1-ES6,1))</f>
        <v>0</v>
      </c>
      <c r="BT6" s="1">
        <f t="shared" si="6"/>
        <v>0</v>
      </c>
      <c r="BU6" s="9">
        <f>IF(D6="",0,MIN(IF(Boss参数!$B$77=1,Boss参数!$B$63*Boss参数!$B$62,Boss参数!$B$61*Boss参数!$B$62),DW6+ROUNDDOWN(BS6,0)+ROUNDDOWN(DW6*Q6,0)))</f>
        <v>45071</v>
      </c>
      <c r="BV6" s="9">
        <f>IF(D6="",0,MIN(IF(Boss参数!$B$77=1,Boss参数!$B$63*Boss参数!$B$62,Boss参数!$B$61*Boss参数!$B$62),DX6+ROUNDDOWN(BT6,0)+ROUNDDOWN(DX6*Q6,0)))</f>
        <v>73241</v>
      </c>
      <c r="BW6" s="9">
        <f t="shared" si="7"/>
        <v>73241</v>
      </c>
      <c r="BX6" s="1" t="str">
        <f t="shared" si="8"/>
        <v/>
      </c>
      <c r="BY6" s="1">
        <f t="shared" si="9"/>
        <v>1</v>
      </c>
      <c r="BZ6" s="1">
        <f t="shared" si="10"/>
        <v>0</v>
      </c>
      <c r="CA6" s="1">
        <f>MIN(10,W6+IF(AND(L6="LILYA_COBRA",COUNTIF($L$3:L6,"LILYA_COBRA")=1),5,0)+IF(AND(L6="LILYA_DIVE",U6=1,COUNTIFS($DG$3:DG6,DG6,$L$3:L6,"LILYA_DIVE")=1),2,0)+IF(AND(FE6=1,U6=1),3,0))</f>
        <v>7</v>
      </c>
      <c r="CB6" s="1">
        <f>MIN(20,MAX(0,X6+IF(L6="LILYA_COBRA",IF(COUNTIF($L$3:L6,"LILYA_COBRA")=1,6,IF(U6=1,MAX(1,G6),IF(U6=2,2*MAX(1,G6),0))),0)+IF(AND(Y6=1,E6="红弩箭",L6&lt;&gt;"ENTER_INSIGHT"),1,0)-IF(AND(L6="LILYA_ULT",X6&gt;=6),6,0)))</f>
        <v>6</v>
      </c>
      <c r="CC6" s="1">
        <f t="shared" si="11"/>
        <v>0</v>
      </c>
      <c r="CD6" s="1">
        <f t="shared" si="12"/>
        <v>0</v>
      </c>
      <c r="CE6" s="1">
        <f t="shared" si="13"/>
        <v>0</v>
      </c>
      <c r="CF6" s="1">
        <f t="shared" si="14"/>
        <v>4</v>
      </c>
      <c r="CG6" s="1">
        <f t="shared" si="15"/>
        <v>0</v>
      </c>
      <c r="CH6" s="1">
        <f>MIN(35,AD6+IF(L6="J_HARD",6,0)+IF(L6="J_COUNTER",Boss参数!$B$30,0))</f>
        <v>0</v>
      </c>
      <c r="CI6" s="1">
        <f>MIN(Boss参数!$I$4,AE6+IF(L6="J_HARD",6,0)+IF(L6="J_ULT",AD6,0)+IF(L6="J_COUNTER",Boss参数!$B$30,0))</f>
        <v>0</v>
      </c>
      <c r="CJ6" s="10">
        <f>IF(L6="J_ULT",AD6*Boss参数!$B$41,IF(B6&lt;=AG6,AF6,0))</f>
        <v>0</v>
      </c>
      <c r="CK6" s="1">
        <f t="shared" si="16"/>
        <v>0</v>
      </c>
      <c r="CL6" s="1">
        <f t="shared" si="17"/>
        <v>3</v>
      </c>
      <c r="CM6" s="1">
        <f t="shared" si="18"/>
        <v>0</v>
      </c>
      <c r="CN6" s="1">
        <f t="shared" si="19"/>
        <v>0</v>
      </c>
      <c r="CO6" s="1">
        <f t="shared" si="20"/>
        <v>0</v>
      </c>
      <c r="CP6" s="1">
        <f t="shared" si="21"/>
        <v>0</v>
      </c>
      <c r="CQ6" s="1">
        <f t="shared" si="22"/>
        <v>0</v>
      </c>
      <c r="CR6" s="1">
        <f t="shared" si="23"/>
        <v>0</v>
      </c>
      <c r="CS6" s="1">
        <f t="shared" si="24"/>
        <v>0</v>
      </c>
      <c r="CT6" s="10">
        <f t="shared" si="25"/>
        <v>0</v>
      </c>
      <c r="CU6" s="1">
        <f t="shared" si="26"/>
        <v>0</v>
      </c>
      <c r="CV6" s="10">
        <f t="shared" si="27"/>
        <v>0</v>
      </c>
      <c r="CW6" s="1">
        <f t="shared" si="28"/>
        <v>0</v>
      </c>
      <c r="CX6" s="10">
        <f t="shared" si="29"/>
        <v>0</v>
      </c>
      <c r="CY6" s="1">
        <f t="shared" si="30"/>
        <v>0</v>
      </c>
      <c r="CZ6" s="1"/>
      <c r="DA6" s="1"/>
      <c r="DB6" s="1"/>
      <c r="DC6" s="1"/>
      <c r="DD6" s="1"/>
      <c r="DE6" s="1"/>
      <c r="DF6" s="1"/>
      <c r="DG6" s="1">
        <f>IF(D6="","",行动模拟!B12)</f>
        <v>1</v>
      </c>
      <c r="DH6" s="1" t="str">
        <f>IF(L6="END_TURN","回合结束",IF(D6="","",IF(INDEX(回合状态!$C$7:$C$17,MATCH(DG6,回合状态!$A$7:$A$17,0))="洞穿","洞穿",IF(OR(L6="J_COUNTER",L6="BOSS_ACTION",L6="BOSS_CONSERVATIVE"),"敌方",IF(AND(L6="37_FOLLOW",DG6=DG5,DH5="敌方"),"敌方",IF(INDEX(回合状态!$C$7:$C$17,MATCH(DG6,回合状态!$A$7:$A$17,0))="普通","出牌",INDEX(回合状态!$C$7:$C$17,MATCH(DG6,回合状态!$A$7:$A$17,0))))))))</f>
        <v>出牌</v>
      </c>
      <c r="DI6" s="1">
        <f t="shared" si="31"/>
        <v>0</v>
      </c>
      <c r="DJ6" s="1">
        <f>IF(D6="",0,MIN(Boss参数!$B$25,IF(OR(AND(DH6="敌方",OR(DH5&lt;&gt;"敌方",DG6&lt;&gt;DG5)),AND(L6="END_TURN",DH6&lt;&gt;"洞穿"),AND(DG6&lt;&gt;DG5,DH5&lt;&gt;"洞穿",L5&lt;&gt;"END_TURN",COUNTIFS($DG$3:DG5,DG5,$DH$3:DH5,"敌方")=0)),EW6,DN5)))</f>
        <v>0</v>
      </c>
      <c r="DK6" s="1">
        <f>IF(D6="",0,MIN(Boss参数!$B$25,IF(OR(AND(DH6="敌方",OR(DH5&lt;&gt;"敌方",DG6&lt;&gt;DG5)),AND(L6="END_TURN",DH6&lt;&gt;"洞穿"),AND(DG6&lt;&gt;DG5,DH5&lt;&gt;"洞穿",L5&lt;&gt;"END_TURN",COUNTIFS($DG$3:DG5,DG5,$DH$3:DH5,"敌方")=0)),EW6,DO5)))</f>
        <v>0</v>
      </c>
      <c r="DL6" s="1">
        <f>IF(D6="",0,MIN(Boss参数!$B$25,IF(OR(AND(DH6="敌方",OR(DH5&lt;&gt;"敌方",DG6&lt;&gt;DG5)),AND(L6="END_TURN",DH6&lt;&gt;"洞穿"),AND(DG6&lt;&gt;DG5,DH5&lt;&gt;"洞穿",L5&lt;&gt;"END_TURN",COUNTIFS($DG$3:DG5,DG5,$DH$3:DH5,"敌方")=0)),EW6,DP5)))</f>
        <v>0</v>
      </c>
      <c r="DM6" s="1">
        <f>IF(D6="",0,MIN(Boss参数!$B$25,IF(OR(AND(DH6="敌方",OR(DH5&lt;&gt;"敌方",DG6&lt;&gt;DG5)),AND(L6="END_TURN",DH6&lt;&gt;"洞穿"),AND(DG6&lt;&gt;DG5,DH5&lt;&gt;"洞穿",L5&lt;&gt;"END_TURN",COUNTIFS($DG$3:DG5,DG5,$DH$3:DH5,"敌方")=0)),EW6,DQ5)))</f>
        <v>0</v>
      </c>
      <c r="DN6" s="1">
        <f>MAX(0,MIN(Boss参数!$B$25,DJ6+DR6)-IF(E6="红弩箭",2*DR6,0))</f>
        <v>0</v>
      </c>
      <c r="DO6" s="1">
        <f>MAX(0,MIN(Boss参数!$B$25,DK6+DR6)-IF(E6="37",2*DR6,0))</f>
        <v>0</v>
      </c>
      <c r="DP6" s="1">
        <f>MAX(0,MIN(Boss参数!$B$25,DL6+DR6)-IF(E6="小瑞安侬",2*DR6,0))</f>
        <v>0</v>
      </c>
      <c r="DQ6" s="1">
        <f>MAX(0,MIN(Boss参数!$B$25,DM6+DR6)-IF(E6="J",2*DR6,0))</f>
        <v>0</v>
      </c>
      <c r="DR6" s="1">
        <f t="shared" si="32"/>
        <v>0</v>
      </c>
      <c r="DS6" s="1">
        <f t="shared" si="33"/>
        <v>1</v>
      </c>
      <c r="DT6" s="1">
        <f>IF(OR(E6="",E6="系统"),0,IF(OR(AND(DS6=1,Boss参数!$B$32=1),L6="RHI_BERRY",OR(AND(INDEX(角色面板!$B$18:$B$21,MATCH(E6,角色面板!$A$18:$A$21,0))="星",Boss参数!$B$4="岩"),AND(INDEX(角色面板!$B$18:$B$21,MATCH(E6,角色面板!$A$18:$A$21,0))="岩",Boss参数!$B$4="兽"),AND(INDEX(角色面板!$B$18:$B$21,MATCH(E6,角色面板!$A$18:$A$21,0))="兽",Boss参数!$B$4="木"),AND(INDEX(角色面板!$B$18:$B$21,MATCH(E6,角色面板!$A$18:$A$21,0))="木",Boss参数!$B$4="星"),AND(INDEX(角色面板!$B$18:$B$21,MATCH(E6,角色面板!$A$18:$A$21,0))="智",Boss参数!$B$4="灵"),AND(INDEX(角色面板!$B$18:$B$21,MATCH(E6,角色面板!$A$18:$A$21,0))="灵",Boss参数!$B$4="智"))),1,0))</f>
        <v>1</v>
      </c>
      <c r="DU6" s="1">
        <f>IF(D6="",0,INDEX(回合状态!$E$7:$E$17,MATCH(DG6,回合状态!$A$7:$A$17,0))+IF(AND(DH6="敌方",OR(INDEX(回合状态!$C$7:$C$17,MATCH(DG6,回合状态!$A$7:$A$17,0))="普通",INDEX(回合状态!$C$7:$C$17,MATCH(DG6,回合状态!$A$7:$A$17,0))="额外")),0.05,0))</f>
        <v>0</v>
      </c>
      <c r="DV6" s="1">
        <f>MAX(Boss参数!$B$28,1+IF(AND(E6="37",AC6&gt;0,BH6&gt;0),Boss参数!$B$42,0)-DI6*Boss参数!$B$24+EA6-ER6)</f>
        <v>1</v>
      </c>
      <c r="DW6" s="1">
        <f>MIN(IF(Boss参数!$B$77=1,Boss参数!$B$63*Boss参数!$B$62,Boss参数!$B$61*Boss参数!$B$62),ROUNDDOWN(BQ6*(1-ES6),0))</f>
        <v>45071</v>
      </c>
      <c r="DX6" s="1">
        <f>MIN(IF(Boss参数!$B$77=1,Boss参数!$B$63*Boss参数!$B$62,Boss参数!$B$61*Boss参数!$B$62),ROUNDDOWN(BR6*(1-ES6),0))</f>
        <v>73241</v>
      </c>
      <c r="DY6" s="1">
        <f t="shared" si="65"/>
        <v>0</v>
      </c>
      <c r="DZ6" s="1">
        <f>IF(L6="RHI_ULT",MIN(Boss参数!$B$48,ROUNDDOWN(AY6*Boss参数!$B$47,0)),DY6)</f>
        <v>0</v>
      </c>
      <c r="EA6" s="11">
        <v>0</v>
      </c>
      <c r="EB6" s="1">
        <f t="shared" si="34"/>
        <v>0</v>
      </c>
      <c r="EC6" s="1">
        <f>SUMIFS($EB$3:EB6,$B$3:B6,"&gt;="&amp;MAX(1,B6-2),$B$3:B6,"&lt;="&amp;B6)*Boss参数!$B$51</f>
        <v>2</v>
      </c>
      <c r="ED6" s="1">
        <f>IF(D6="",EG5,IF(AND(DG6&lt;&gt;DG5,DH6&lt;&gt;"洞穿"),MIN(Boss参数!$B$55,EG5+2),EG5))</f>
        <v>1</v>
      </c>
      <c r="EE6" s="1">
        <f t="shared" si="35"/>
        <v>0</v>
      </c>
      <c r="EF6" s="1">
        <f>IF(AND(OR(L6="END_TURN",AND(DH6="敌方",OR(DH5&lt;&gt;"敌方",DG6&lt;&gt;DG5))),SUMIFS($EF$3:EF5,$DG$3:DG5,DG6)=0),MIN(1,MAX(0,ED6-EE6)),0)</f>
        <v>0</v>
      </c>
      <c r="EG6" s="1">
        <f t="shared" si="36"/>
        <v>1</v>
      </c>
      <c r="EH6" s="11">
        <f>Boss参数!$B$53-IF(Y6=1,Boss参数!$B$54,0)</f>
        <v>0</v>
      </c>
      <c r="EI6" s="11">
        <f t="shared" si="37"/>
        <v>0</v>
      </c>
      <c r="EJ6" s="11">
        <f t="shared" si="38"/>
        <v>0</v>
      </c>
      <c r="EK6" s="11">
        <f t="shared" si="39"/>
        <v>1</v>
      </c>
      <c r="EL6" s="1">
        <f t="shared" si="66"/>
        <v>0</v>
      </c>
      <c r="EM6" s="1">
        <f>IF(AND(DG6&lt;&gt;DG5,DH6="洞穿"),0,IF(L6="ENTER_INSIGHT",Boss参数!$B$57,EO5))</f>
        <v>0</v>
      </c>
      <c r="EN6" s="11">
        <f>IF(AND(Y6=1,H6="洞知",EM6&gt;0),Boss参数!$B$56,0)</f>
        <v>0</v>
      </c>
      <c r="EO6" s="1">
        <f t="shared" si="40"/>
        <v>0</v>
      </c>
      <c r="EP6" s="12">
        <f t="shared" si="67"/>
        <v>0</v>
      </c>
      <c r="EQ6" s="12">
        <f>ROUNDDOWN(EP6/Boss参数!$B$62,0)</f>
        <v>0</v>
      </c>
      <c r="ER6" s="11">
        <f>IF(EQ6&gt;=Boss参数!$B$66,Boss参数!$B$69,IF(EQ6&gt;=Boss参数!$B$65,Boss参数!$B$68,IF(EQ6&gt;=Boss参数!$B$64,Boss参数!$B$67,0)))</f>
        <v>0</v>
      </c>
      <c r="ES6" s="11">
        <f>MIN(1,IF(EQ6&gt;=Boss参数!$B$66,Boss参数!$B$72+ROUNDDOWN((EQ6-Boss参数!$B$66)/Boss参数!$B$73,0)*Boss参数!$B$74,IF(EQ6&gt;=Boss参数!$B$65,Boss参数!$B$71,IF(EQ6&gt;=Boss参数!$B$64,Boss参数!$B$70,0))))</f>
        <v>0</v>
      </c>
      <c r="ET6" s="12">
        <f>MIN(Boss参数!$B$61*Boss参数!$B$62,EP6+IF(AND(Boss参数!$B$60=1,ISNUMBER(验证表!H12)),验证表!H12,EU6))</f>
        <v>73241</v>
      </c>
      <c r="EU6" s="12">
        <f>IF(D6="",0,IF(验证表!G12="是",BV6,IF(验证表!G12="否",BU6,BW6)))</f>
        <v>73241</v>
      </c>
      <c r="EV6" s="12">
        <f>IF(EQ6&gt;=Boss参数!$B$66,2,IF(EQ6&gt;=Boss参数!$B$65,1,0))</f>
        <v>0</v>
      </c>
      <c r="EW6" s="12">
        <f t="shared" si="41"/>
        <v>1</v>
      </c>
      <c r="EX6" s="1">
        <f>IF(D6="",0,INDEX(回合状态!$D$7:$D$17,MATCH(DG6,回合状态!$A$7:$A$17,0)))</f>
        <v>1</v>
      </c>
      <c r="EY6" s="1">
        <f>IF(OR(L6="RHI_ATTACK",L6="RHI_BUFF"),1,IF(L6="RHI_ULT",Boss参数!$B$52,0))</f>
        <v>0</v>
      </c>
      <c r="EZ6" s="1">
        <f>MIN(6,SUMIFS($EY$3:EY6,$EX$3:EX6,"&gt;="&amp;MAX(1,EX6-Boss参数!$B$87+1),$EX$3:EX6,"&lt;="&amp;EX6))</f>
        <v>1</v>
      </c>
      <c r="FA6" s="1">
        <f t="shared" si="68"/>
        <v>0</v>
      </c>
      <c r="FB6" s="17">
        <f>IF(L6="BOSS_CONSERVATIVE",B6+Boss参数!$B$91,FB5)</f>
        <v>0</v>
      </c>
      <c r="FC6" s="17">
        <f t="shared" si="69"/>
        <v>0</v>
      </c>
      <c r="FD6" s="17">
        <f>IF(D6="",FD5,FD5+IF(AND(DG6&lt;&gt;DG5,INDEX(回合状态!$C$7:$C$17,MATCH(DG6,回合状态!$A$7:$A$17,0))&lt;&gt;"洞穿"),1,0))</f>
        <v>1</v>
      </c>
      <c r="FE6" s="17">
        <f>IF(D6="",0,IF(AND(OR(L6="END_TURN",DH6="敌方"),INDEX(回合状态!$C$7:$C$17,MATCH(DG6,回合状态!$A$7:$A$17,0))&lt;&gt;"洞穿",SUMIFS($FE$3:FE5,$DG$3:DG5,DG6)=0),1,0))</f>
        <v>0</v>
      </c>
    </row>
    <row r="7" spans="1:161" ht="84.95" customHeight="1">
      <c r="A7" s="1">
        <f>行动模拟!A13</f>
        <v>5</v>
      </c>
      <c r="B7" s="1">
        <f>IF(D7="",0,INDEX(回合状态!$B$7:$B$17,MATCH(DG7,回合状态!$A$7:$A$17,0)))</f>
        <v>1</v>
      </c>
      <c r="C7" s="1">
        <f>行动模拟!C13</f>
        <v>5</v>
      </c>
      <c r="D7" s="1" t="str">
        <f>IF(行动模拟!D13="","",行动模拟!D13)</f>
        <v>J｜高温回火</v>
      </c>
      <c r="E7" s="1" t="str">
        <f>IF($D7="","",IFERROR(INDEX(技能数据库!$B$4:$B$38,MATCH($D7,技能数据库!$A$4:$A$38,0)),""))</f>
        <v>J</v>
      </c>
      <c r="F7" s="1" t="str">
        <f>IF($D7="","",IFERROR(INDEX(技能数据库!$C$4:$C$38,MATCH($D7,技能数据库!$A$4:$A$38,0)),""))</f>
        <v>高温回火</v>
      </c>
      <c r="G7" s="1">
        <f>IF($D7="","",IFERROR(INDEX(技能数据库!$D$4:$D$38,MATCH($D7,技能数据库!$A$4:$A$38,0)),""))</f>
        <v>0</v>
      </c>
      <c r="H7" s="1" t="str">
        <f>IF($D7="","",IFERROR(INDEX(技能数据库!$E$4:$E$38,MATCH($D7,技能数据库!$A$4:$A$38,0)),""))</f>
        <v>反击</v>
      </c>
      <c r="I7" s="1" t="str">
        <f>IF($D7="","",IFERROR(INDEX(技能数据库!$F$4:$F$38,MATCH($D7,技能数据库!$A$4:$A$38,0)),""))</f>
        <v>现实</v>
      </c>
      <c r="J7" s="1">
        <f>IF($D7="","",IFERROR(INDEX(技能数据库!$G$4:$G$38,MATCH($D7,技能数据库!$A$4:$A$38,0)),""))</f>
        <v>3</v>
      </c>
      <c r="K7" s="1">
        <f>IF($D7="","",IFERROR(INDEX(技能数据库!$H$4:$H$38,MATCH($D7,技能数据库!$A$4:$A$38,0)),""))</f>
        <v>0</v>
      </c>
      <c r="L7" s="1" t="str">
        <f>IF($D7="","",IFERROR(INDEX(技能数据库!$I$4:$I$38,MATCH($D7,技能数据库!$A$4:$A$38,0)),""))</f>
        <v>J_COUNTER</v>
      </c>
      <c r="M7" s="10">
        <v>1</v>
      </c>
      <c r="N7" s="1"/>
      <c r="O7" s="1"/>
      <c r="P7" s="1"/>
      <c r="Q7" s="10">
        <f t="shared" si="0"/>
        <v>0</v>
      </c>
      <c r="R7" s="10">
        <v>0</v>
      </c>
      <c r="S7" s="10">
        <v>0</v>
      </c>
      <c r="T7" s="1" t="str">
        <f>行动模拟!I13</f>
        <v>回合末默契消耗按库存自动计算；发生于首次Boss反击前的时点由本场验证。</v>
      </c>
      <c r="U7" s="1">
        <f>IF(FD7&lt;&gt;FD6,IF(BY6=1,IF(MIN(10,CA6+IF(AND(DG7&lt;&gt;DG6,DH6&lt;&gt;"洞穿",SUMIFS($FE$3:FE6,$DG$3:DG6,DG6)=0,BY6=1),3,0))&gt;=10,2,1),IF(BY6=2,IF(BZ6&lt;=1,0,2),0)),BY6)</f>
        <v>1</v>
      </c>
      <c r="V7" s="1">
        <f>IF(FD7&lt;&gt;FD6,IF(BY6=1,IF(MIN(10,CA6+IF(AND(DG7&lt;&gt;DG6,DH6&lt;&gt;"洞穿",SUMIFS($FE$3:FE6,$DG$3:DG6,DG6)=0,BY6=1),3,0))&gt;=10,2,0),IF(BY6=2,MAX(0,BZ6-1),0)),BZ6)</f>
        <v>0</v>
      </c>
      <c r="W7" s="1">
        <f>IF(AND(FD7&lt;&gt;FD6,BY6=2,BZ6&lt;=1),0,MIN(10,CA6+IF(AND(DG7&lt;&gt;DG6,DH6&lt;&gt;"洞穿",SUMIFS($FE$3:FE6,$DG$3:DG6,DG6)=0,BY6=1),3,0)))</f>
        <v>7</v>
      </c>
      <c r="X7" s="1">
        <f t="shared" si="42"/>
        <v>6</v>
      </c>
      <c r="Y7" s="1">
        <f t="shared" si="43"/>
        <v>0</v>
      </c>
      <c r="Z7" s="1">
        <f t="shared" si="44"/>
        <v>0</v>
      </c>
      <c r="AA7" s="1">
        <f t="shared" si="45"/>
        <v>0</v>
      </c>
      <c r="AB7" s="1">
        <f t="shared" si="46"/>
        <v>4</v>
      </c>
      <c r="AC7" s="1">
        <f t="shared" si="47"/>
        <v>0</v>
      </c>
      <c r="AD7" s="1">
        <f t="shared" si="48"/>
        <v>0</v>
      </c>
      <c r="AE7" s="1">
        <f>IF(D7="",0,IF(DG7&lt;&gt;DG6,IFERROR(INDEX(回合状态!$F$7:$F$17,MATCH(DG7,回合状态!$A$7:$A$17,0)),0),CI6))</f>
        <v>0</v>
      </c>
      <c r="AF7" s="10">
        <f t="shared" si="49"/>
        <v>0</v>
      </c>
      <c r="AG7" s="1">
        <f t="shared" si="50"/>
        <v>0</v>
      </c>
      <c r="AH7" s="1">
        <f t="shared" si="51"/>
        <v>3</v>
      </c>
      <c r="AI7" s="1">
        <f t="shared" si="52"/>
        <v>0</v>
      </c>
      <c r="AJ7" s="1">
        <f t="shared" si="53"/>
        <v>0</v>
      </c>
      <c r="AK7" s="1">
        <f t="shared" si="54"/>
        <v>0</v>
      </c>
      <c r="AL7" s="1">
        <f t="shared" si="55"/>
        <v>0</v>
      </c>
      <c r="AM7" s="1">
        <f t="shared" si="56"/>
        <v>0</v>
      </c>
      <c r="AN7" s="1">
        <f t="shared" si="57"/>
        <v>0</v>
      </c>
      <c r="AO7" s="1">
        <f t="shared" si="58"/>
        <v>0</v>
      </c>
      <c r="AP7" s="10">
        <f t="shared" si="59"/>
        <v>0</v>
      </c>
      <c r="AQ7" s="1">
        <f t="shared" si="60"/>
        <v>0</v>
      </c>
      <c r="AR7" s="10">
        <f t="shared" si="61"/>
        <v>0</v>
      </c>
      <c r="AS7" s="1">
        <f t="shared" si="62"/>
        <v>0</v>
      </c>
      <c r="AT7" s="10">
        <f t="shared" si="63"/>
        <v>0</v>
      </c>
      <c r="AU7" s="1">
        <f t="shared" si="64"/>
        <v>0</v>
      </c>
      <c r="AV7" s="1">
        <f>MIN(5,SUMIFS($EL$3:EL7,$B$3:B7,"&gt;="&amp;MAX(1,B7-2),$B$3:B7,"&lt;="&amp;B7)+EC7)</f>
        <v>5</v>
      </c>
      <c r="AW7" s="1">
        <f>MIN(6,SUMIFS($EY$3:EY6,$EX$3:EX6,"&gt;="&amp;MAX(1,EX7-Boss参数!$B$87+1),$EX$3:EX6,"&lt;="&amp;EX7))</f>
        <v>1</v>
      </c>
      <c r="AX7" s="1">
        <f>MIN(4,COUNTIFS($B$3:$B$6,"&gt;="&amp;MAX(1,$B7-2),$B$3:$B$6,"&lt;="&amp;$B7,$L$3:$L$6,"37_FOLLOW"))</f>
        <v>0</v>
      </c>
      <c r="AY7" s="9">
        <f>IF($E7="","",IF($E7="系统",0,ROUNDDOWN(INDEX(角色面板!$C$4:$C$7,MATCH($E7,角色面板!$A$4:$A$7,0))*(1+INDEX(角色面板!$C$11:$C$14,MATCH($E7,角色面板!$A$11:$A$14,0))+IF($E7="小瑞安侬",MAX(IF($B7&lt;=$AQ7,$AP7,0),IF(AND($L7="RHI_ATTACK",$EE7&gt;0),0.11+0.01*$G7,0)),0)+IF($E7="J",$AD7*Boss参数!$B$18,0))+IF(FD7&lt;=$AN7,MIN(Boss参数!$B$21,ROUNDDOWN(角色面板!$C$19*Boss参数!$B$20,0)),0)+IF(AND($B7&lt;=$AK7,$E7&lt;&gt;"小瑞安侬"),$DY7,0),0)))</f>
        <v>1906</v>
      </c>
      <c r="AZ7" s="10">
        <f>IF($E7="","",MAX(0,MIN(1,IFERROR(INDEX(角色面板!$G$18:$G$21,MATCH($E7,角色面板!$A$18:$A$21,0)),0)-FC7*Boss参数!$B$89-Boss参数!$E$4)))</f>
        <v>0.66700000000000004</v>
      </c>
      <c r="BA7" s="10">
        <f>IF(E7="","",(IF($E7="","",IF($E7="红弩箭",Boss参数!$B$80,IF($E7="J",Boss参数!$B$81,IFERROR(INDEX(角色面板!$H$18:$H$21,MATCH($E7,角色面板!$A$18:$A$21,0)),0)))+IF($B7&lt;=$AI7,Boss参数!$B$13,0)+MIN(30,$AM7)*Boss参数!$B$17+IF(AND($L7="LILYA_ULT",$X7&gt;=6),1,0)+IF(AND($Y7=1,$L7="LILYA_INSIGHT"),IF(MOD($AA7+1,3)=0,Boss参数!$B$83,Boss参数!$B$82),IF(AND($Y7=1,$L7="LILYA_FINISH"),Boss参数!$B$84,0))))-FC7*Boss参数!$B$90)</f>
        <v>1.7170000000000001</v>
      </c>
      <c r="BB7" s="10">
        <f>IF($E7="","",IFERROR(INDEX(角色面板!$M$18:$M$21,MATCH($E7,角色面板!$A$18:$A$21,0)),0)+$AW7*Boss参数!$B$12+IF($B7&lt;=$AG7,$AF7,0)+$EI7+IF($L7="LILYA_DIVE",IF($U7=1,IF($G7=1,0.3,IF($G7=2,0.4,0.5)),IF($U7=2,IF($G7=1,0.6,IF($G7=2,0.8,1)),0)),0)+$R7+IF(AND($E7="J",OR($L7="J_COUNTER",$L7="J_HARD")),Boss参数!$B$79,0)+IF(AND(OR(L7="J_COUNTER",L7="J_HARD"),FA7&gt;=Boss参数!$B$59),FA7*Boss参数!$B$40,0))</f>
        <v>0.2</v>
      </c>
      <c r="BC7" s="10">
        <f>IF($E7="","",IFERROR(INDEX(角色面板!$K$18:$K$21,MATCH($E7,角色面板!$A$18:$A$21,0)),0)+IF($B7&lt;=$AH7,Boss参数!$B$46,0)+IF($E7="红弩箭",IF($U7=1,0.6,IF($U7=2,1.2,0))+$W7*0.06,0))-DI7*Boss参数!$B$23</f>
        <v>-0.25</v>
      </c>
      <c r="BD7" s="10">
        <f>IF($E7="","",IFERROR(INDEX(角色面板!$L$18:$L$21,MATCH($E7,角色面板!$A$18:$A$21,0)),0)+IF($B7&lt;=$AH7,Boss参数!$B$46,0)+IF($E7="J",$AL7*Boss参数!$B$16,0)+IF($E7="红弩箭",$X7*0.025,0)+IF(AND($L7="LILYA_ULT",$X7&gt;=6),1,0))-DI7*Boss参数!$B$23</f>
        <v>0.15</v>
      </c>
      <c r="BE7" s="10">
        <f>IF($E7="","",IF($H7="洞知",IF($E7="红弩箭",$AO7*Boss参数!$B$15,0)+$AX7*Boss参数!$B$14,0))</f>
        <v>0</v>
      </c>
      <c r="BF7" s="10">
        <f t="shared" si="1"/>
        <v>0</v>
      </c>
      <c r="BG7" s="10">
        <f>IF($D7="",0,IF(AND($L7&lt;&gt;"LILYA_DIVE",$L7&lt;&gt;"LILYA_ULT",$L7&lt;&gt;"LILYA_INSIGHT",$L7&lt;&gt;"LILYA_FINISH",$L7&lt;&gt;"37_FOLLOW",$L7&lt;&gt;"RHI_ATTACK",$L7&lt;&gt;"RHI_BERRY",$L7&lt;&gt;"J_COUNTER",$L7&lt;&gt;"J_ULT"),$J7,0)+IF($L7="LILYA_DIVE",$J7+IF($U7=1,IF($G7=1,6,IF($G7=2,12,18)),IF($U7=2,IF($G7=1,12,IF($G7=2,24,36)),0)),0)+IF($L7="LILYA_ULT",$J7+IF($X7&gt;=6,18,0),0)+IF($L7="LILYA_INSIGHT",IF($Y7=1,IF(MOD($AA7+1,3)=0,32,15),0),0)+IF($L7="LILYA_FINISH",IF($Y7=1,50+2.5*$Z7,0),0)+IF($L7="37_FOLLOW",$J7,0)+IF($L7="RHI_ATTACK",$J7*IF($B7&lt;=$AJ7,2,1),0)+IF($L7="RHI_BERRY",15+1.5*$AV7,0)+IF($L7="J_COUNTER",$J7+$AD7*Boss参数!$B$39,0)+IF($L7="J_ULT",$J7+Boss参数!$B$45*MAX(0,$AE7+$AD7-Boss参数!$I$4),0)+$S7)</f>
        <v>3</v>
      </c>
      <c r="BH7" s="10">
        <f t="shared" si="2"/>
        <v>0</v>
      </c>
      <c r="BI7" s="10">
        <f>IF(E7="","",IF(DT7=1,1+Boss参数!$B$8+AV7*Boss参数!$B$19,1))</f>
        <v>1</v>
      </c>
      <c r="BJ7" s="9">
        <f>IF($I7="现实",Boss参数!$C$4,IF($I7="精神",Boss参数!$D$4,0))</f>
        <v>1200</v>
      </c>
      <c r="BK7" s="9">
        <f>IF($E7="","",MAX($AY7*Boss参数!$B$9,$AY7-$BJ7*(1-$BF7)))</f>
        <v>706</v>
      </c>
      <c r="BL7" s="10">
        <f>MAX(0,Boss参数!$F$4+IF(DT7=0,Boss参数!$B$27,0)-EJ7)</f>
        <v>1.4</v>
      </c>
      <c r="BM7" s="10">
        <f>Boss参数!$G$4+DU7-IF(Y7=1,Boss参数!$B$11,0)</f>
        <v>0.45</v>
      </c>
      <c r="BN7" s="10">
        <f>IF($E7="","",MAX(Boss参数!$B$10,1+IFERROR(INDEX(角色面板!$I$18:$I$21,MATCH($E7,角色面板!$A$18:$A$21,0)),0)+$BB7+Boss参数!$H$4-$BM7))</f>
        <v>0.77499999999999991</v>
      </c>
      <c r="BO7" s="10">
        <f>IF(E7="","",IF(OR(L7="J_COUNTER",L7="J_HARD"),MAX(0,1+INDEX(角色面板!$K$18:$K$21,MATCH(E7,角色面板!$A$18:$A$21,0))-DI7*Boss参数!$B$23+IF(OR(Boss参数!$B$43=1,L7="J_HARD"),IF(B7&lt;=AH7,Boss参数!$B$46,0),0)),MAX(0,IF(OR(H7="术法",L7="RHI_BERRY",AND(L7="37_FOLLOW",Boss参数!$B$31=1)),1+BC7,IF(H7="仪式",1+BD7,IF(H7="洞知",EK7,1))))))</f>
        <v>0.75</v>
      </c>
      <c r="BP7" s="10">
        <f t="shared" si="3"/>
        <v>1.1000000000000001</v>
      </c>
      <c r="BQ7" s="1">
        <f t="shared" si="4"/>
        <v>1231.0874999999999</v>
      </c>
      <c r="BR7" s="1">
        <f t="shared" si="5"/>
        <v>1354.19625</v>
      </c>
      <c r="BS7" s="1">
        <f>IF(BH7=0,0,ROUNDDOWN(AY7*BH7,0)*DV7*IF(Boss参数!$B$29=1,BN7,1)*IF(Boss参数!$B$33=1,BO7,1)*IF(Boss参数!$B$76=1,1-ES7,1))</f>
        <v>0</v>
      </c>
      <c r="BT7" s="1">
        <f t="shared" si="6"/>
        <v>0</v>
      </c>
      <c r="BU7" s="9">
        <f>IF(D7="",0,MIN(IF(Boss参数!$B$77=1,Boss参数!$B$63*Boss参数!$B$62,Boss参数!$B$61*Boss参数!$B$62),DW7+ROUNDDOWN(BS7,0)+ROUNDDOWN(DW7*Q7,0)))</f>
        <v>1231</v>
      </c>
      <c r="BV7" s="9">
        <f>IF(D7="",0,MIN(IF(Boss参数!$B$77=1,Boss参数!$B$63*Boss参数!$B$62,Boss参数!$B$61*Boss参数!$B$62),DX7+ROUNDDOWN(BT7,0)+ROUNDDOWN(DX7*Q7,0)))</f>
        <v>1354</v>
      </c>
      <c r="BW7" s="9">
        <f t="shared" si="7"/>
        <v>1313</v>
      </c>
      <c r="BX7" s="1" t="str">
        <f t="shared" si="8"/>
        <v/>
      </c>
      <c r="BY7" s="1">
        <f t="shared" si="9"/>
        <v>1</v>
      </c>
      <c r="BZ7" s="1">
        <f t="shared" si="10"/>
        <v>0</v>
      </c>
      <c r="CA7" s="1">
        <f>MIN(10,W7+IF(AND(L7="LILYA_COBRA",COUNTIF($L$3:L7,"LILYA_COBRA")=1),5,0)+IF(AND(L7="LILYA_DIVE",U7=1,COUNTIFS($DG$3:DG7,DG7,$L$3:L7,"LILYA_DIVE")=1),2,0)+IF(AND(FE7=1,U7=1),3,0))</f>
        <v>10</v>
      </c>
      <c r="CB7" s="1">
        <f>MIN(20,MAX(0,X7+IF(L7="LILYA_COBRA",IF(COUNTIF($L$3:L7,"LILYA_COBRA")=1,6,IF(U7=1,MAX(1,G7),IF(U7=2,2*MAX(1,G7),0))),0)+IF(AND(Y7=1,E7="红弩箭",L7&lt;&gt;"ENTER_INSIGHT"),1,0)-IF(AND(L7="LILYA_ULT",X7&gt;=6),6,0)))</f>
        <v>6</v>
      </c>
      <c r="CC7" s="1">
        <f t="shared" si="11"/>
        <v>0</v>
      </c>
      <c r="CD7" s="1">
        <f t="shared" si="12"/>
        <v>0</v>
      </c>
      <c r="CE7" s="1">
        <f t="shared" si="13"/>
        <v>0</v>
      </c>
      <c r="CF7" s="1">
        <f t="shared" si="14"/>
        <v>5</v>
      </c>
      <c r="CG7" s="1">
        <f t="shared" si="15"/>
        <v>0</v>
      </c>
      <c r="CH7" s="1">
        <f>MIN(35,AD7+IF(L7="J_HARD",6,0)+IF(L7="J_COUNTER",Boss参数!$B$30,0))</f>
        <v>2</v>
      </c>
      <c r="CI7" s="1">
        <f>MIN(Boss参数!$I$4,AE7+IF(L7="J_HARD",6,0)+IF(L7="J_ULT",AD7,0)+IF(L7="J_COUNTER",Boss参数!$B$30,0))</f>
        <v>2</v>
      </c>
      <c r="CJ7" s="10">
        <f>IF(L7="J_ULT",AD7*Boss参数!$B$41,IF(B7&lt;=AG7,AF7,0))</f>
        <v>0</v>
      </c>
      <c r="CK7" s="1">
        <f t="shared" si="16"/>
        <v>0</v>
      </c>
      <c r="CL7" s="1">
        <f t="shared" si="17"/>
        <v>3</v>
      </c>
      <c r="CM7" s="1">
        <f t="shared" si="18"/>
        <v>0</v>
      </c>
      <c r="CN7" s="1">
        <f t="shared" si="19"/>
        <v>0</v>
      </c>
      <c r="CO7" s="1">
        <f t="shared" si="20"/>
        <v>0</v>
      </c>
      <c r="CP7" s="1">
        <f t="shared" si="21"/>
        <v>1</v>
      </c>
      <c r="CQ7" s="1">
        <f t="shared" si="22"/>
        <v>0</v>
      </c>
      <c r="CR7" s="1">
        <f t="shared" si="23"/>
        <v>0</v>
      </c>
      <c r="CS7" s="1">
        <f t="shared" si="24"/>
        <v>0</v>
      </c>
      <c r="CT7" s="10">
        <f t="shared" si="25"/>
        <v>0</v>
      </c>
      <c r="CU7" s="1">
        <f t="shared" si="26"/>
        <v>0</v>
      </c>
      <c r="CV7" s="10">
        <f t="shared" si="27"/>
        <v>0</v>
      </c>
      <c r="CW7" s="1">
        <f t="shared" si="28"/>
        <v>0</v>
      </c>
      <c r="CX7" s="10">
        <f t="shared" si="29"/>
        <v>0</v>
      </c>
      <c r="CY7" s="1">
        <f t="shared" si="30"/>
        <v>0</v>
      </c>
      <c r="CZ7" s="1"/>
      <c r="DA7" s="1"/>
      <c r="DB7" s="1"/>
      <c r="DC7" s="1"/>
      <c r="DD7" s="1"/>
      <c r="DE7" s="1"/>
      <c r="DF7" s="1"/>
      <c r="DG7" s="1">
        <f>IF(D7="","",行动模拟!B13)</f>
        <v>1</v>
      </c>
      <c r="DH7" s="1" t="str">
        <f>IF(L7="END_TURN","回合结束",IF(D7="","",IF(INDEX(回合状态!$C$7:$C$17,MATCH(DG7,回合状态!$A$7:$A$17,0))="洞穿","洞穿",IF(OR(L7="J_COUNTER",L7="BOSS_ACTION",L7="BOSS_CONSERVATIVE"),"敌方",IF(AND(L7="37_FOLLOW",DG7=DG6,DH6="敌方"),"敌方",IF(INDEX(回合状态!$C$7:$C$17,MATCH(DG7,回合状态!$A$7:$A$17,0))="普通","出牌",INDEX(回合状态!$C$7:$C$17,MATCH(DG7,回合状态!$A$7:$A$17,0))))))))</f>
        <v>敌方</v>
      </c>
      <c r="DI7" s="1">
        <f t="shared" si="31"/>
        <v>1</v>
      </c>
      <c r="DJ7" s="1">
        <f>IF(D7="",0,MIN(Boss参数!$B$25,IF(OR(AND(DH7="敌方",OR(DH6&lt;&gt;"敌方",DG7&lt;&gt;DG6)),AND(L7="END_TURN",DH7&lt;&gt;"洞穿"),AND(DG7&lt;&gt;DG6,DH6&lt;&gt;"洞穿",L6&lt;&gt;"END_TURN",COUNTIFS($DG$3:DG6,DG6,$DH$3:DH6,"敌方")=0)),EW7,DN6)))</f>
        <v>1</v>
      </c>
      <c r="DK7" s="1">
        <f>IF(D7="",0,MIN(Boss参数!$B$25,IF(OR(AND(DH7="敌方",OR(DH6&lt;&gt;"敌方",DG7&lt;&gt;DG6)),AND(L7="END_TURN",DH7&lt;&gt;"洞穿"),AND(DG7&lt;&gt;DG6,DH6&lt;&gt;"洞穿",L6&lt;&gt;"END_TURN",COUNTIFS($DG$3:DG6,DG6,$DH$3:DH6,"敌方")=0)),EW7,DO6)))</f>
        <v>1</v>
      </c>
      <c r="DL7" s="1">
        <f>IF(D7="",0,MIN(Boss参数!$B$25,IF(OR(AND(DH7="敌方",OR(DH6&lt;&gt;"敌方",DG7&lt;&gt;DG6)),AND(L7="END_TURN",DH7&lt;&gt;"洞穿"),AND(DG7&lt;&gt;DG6,DH6&lt;&gt;"洞穿",L6&lt;&gt;"END_TURN",COUNTIFS($DG$3:DG6,DG6,$DH$3:DH6,"敌方")=0)),EW7,DP6)))</f>
        <v>1</v>
      </c>
      <c r="DM7" s="1">
        <f>IF(D7="",0,MIN(Boss参数!$B$25,IF(OR(AND(DH7="敌方",OR(DH6&lt;&gt;"敌方",DG7&lt;&gt;DG6)),AND(L7="END_TURN",DH7&lt;&gt;"洞穿"),AND(DG7&lt;&gt;DG6,DH6&lt;&gt;"洞穿",L6&lt;&gt;"END_TURN",COUNTIFS($DG$3:DG6,DG6,$DH$3:DH6,"敌方")=0)),EW7,DQ6)))</f>
        <v>1</v>
      </c>
      <c r="DN7" s="1">
        <f>MAX(0,MIN(Boss参数!$B$25,DJ7+DR7)-IF(E7="红弩箭",2*DR7,0))</f>
        <v>2</v>
      </c>
      <c r="DO7" s="1">
        <f>MAX(0,MIN(Boss参数!$B$25,DK7+DR7)-IF(E7="37",2*DR7,0))</f>
        <v>2</v>
      </c>
      <c r="DP7" s="1">
        <f>MAX(0,MIN(Boss参数!$B$25,DL7+DR7)-IF(E7="小瑞安侬",2*DR7,0))</f>
        <v>2</v>
      </c>
      <c r="DQ7" s="1">
        <f>MAX(0,MIN(Boss参数!$B$25,DM7+DR7)-IF(E7="J",2*DR7,0))</f>
        <v>0</v>
      </c>
      <c r="DR7" s="1">
        <f t="shared" si="32"/>
        <v>1</v>
      </c>
      <c r="DS7" s="1">
        <f t="shared" si="33"/>
        <v>0</v>
      </c>
      <c r="DT7" s="1">
        <f>IF(OR(E7="",E7="系统"),0,IF(OR(AND(DS7=1,Boss参数!$B$32=1),L7="RHI_BERRY",OR(AND(INDEX(角色面板!$B$18:$B$21,MATCH(E7,角色面板!$A$18:$A$21,0))="星",Boss参数!$B$4="岩"),AND(INDEX(角色面板!$B$18:$B$21,MATCH(E7,角色面板!$A$18:$A$21,0))="岩",Boss参数!$B$4="兽"),AND(INDEX(角色面板!$B$18:$B$21,MATCH(E7,角色面板!$A$18:$A$21,0))="兽",Boss参数!$B$4="木"),AND(INDEX(角色面板!$B$18:$B$21,MATCH(E7,角色面板!$A$18:$A$21,0))="木",Boss参数!$B$4="星"),AND(INDEX(角色面板!$B$18:$B$21,MATCH(E7,角色面板!$A$18:$A$21,0))="智",Boss参数!$B$4="灵"),AND(INDEX(角色面板!$B$18:$B$21,MATCH(E7,角色面板!$A$18:$A$21,0))="灵",Boss参数!$B$4="智"))),1,0))</f>
        <v>0</v>
      </c>
      <c r="DU7" s="1">
        <f>IF(D7="",0,INDEX(回合状态!$E$7:$E$17,MATCH(DG7,回合状态!$A$7:$A$17,0))+IF(AND(DH7="敌方",OR(INDEX(回合状态!$C$7:$C$17,MATCH(DG7,回合状态!$A$7:$A$17,0))="普通",INDEX(回合状态!$C$7:$C$17,MATCH(DG7,回合状态!$A$7:$A$17,0))="额外")),0.05,0))</f>
        <v>0.05</v>
      </c>
      <c r="DV7" s="1">
        <f>MAX(Boss参数!$B$28,1+IF(AND(E7="37",AC7&gt;0,BH7&gt;0),Boss参数!$B$42,0)-DI7*Boss参数!$B$24+EA7-ER7)</f>
        <v>0.85</v>
      </c>
      <c r="DW7" s="1">
        <f>MIN(IF(Boss参数!$B$77=1,Boss参数!$B$63*Boss参数!$B$62,Boss参数!$B$61*Boss参数!$B$62),ROUNDDOWN(BQ7*(1-ES7),0))</f>
        <v>1231</v>
      </c>
      <c r="DX7" s="1">
        <f>MIN(IF(Boss参数!$B$77=1,Boss参数!$B$63*Boss参数!$B$62,Boss参数!$B$61*Boss参数!$B$62),ROUNDDOWN(BR7*(1-ES7),0))</f>
        <v>1354</v>
      </c>
      <c r="DY7" s="1">
        <f t="shared" si="65"/>
        <v>0</v>
      </c>
      <c r="DZ7" s="1">
        <f>IF(L7="RHI_ULT",MIN(Boss参数!$B$48,ROUNDDOWN(AY7*Boss参数!$B$47,0)),DY7)</f>
        <v>0</v>
      </c>
      <c r="EA7" s="11">
        <v>0</v>
      </c>
      <c r="EB7" s="1">
        <f t="shared" si="34"/>
        <v>1</v>
      </c>
      <c r="EC7" s="1">
        <f>SUMIFS($EB$3:EB7,$B$3:B7,"&gt;="&amp;MAX(1,B7-2),$B$3:B7,"&lt;="&amp;B7)*Boss参数!$B$51</f>
        <v>4</v>
      </c>
      <c r="ED7" s="1">
        <f>IF(D7="",EG6,IF(AND(DG7&lt;&gt;DG6,DH7&lt;&gt;"洞穿"),MIN(Boss参数!$B$55,EG6+2),EG6))</f>
        <v>1</v>
      </c>
      <c r="EE7" s="1">
        <f t="shared" si="35"/>
        <v>0</v>
      </c>
      <c r="EF7" s="1">
        <f>IF(AND(OR(L7="END_TURN",AND(DH7="敌方",OR(DH6&lt;&gt;"敌方",DG7&lt;&gt;DG6))),SUMIFS($EF$3:EF6,$DG$3:DG6,DG7)=0),MIN(1,MAX(0,ED7-EE7)),0)</f>
        <v>1</v>
      </c>
      <c r="EG7" s="1">
        <f t="shared" si="36"/>
        <v>0</v>
      </c>
      <c r="EH7" s="11">
        <f>Boss参数!$B$53-IF(Y7=1,Boss参数!$B$54,0)</f>
        <v>0</v>
      </c>
      <c r="EI7" s="11">
        <f t="shared" si="37"/>
        <v>0</v>
      </c>
      <c r="EJ7" s="11">
        <f t="shared" si="38"/>
        <v>0</v>
      </c>
      <c r="EK7" s="11">
        <f t="shared" si="39"/>
        <v>1</v>
      </c>
      <c r="EL7" s="1">
        <f t="shared" si="66"/>
        <v>0</v>
      </c>
      <c r="EM7" s="1">
        <f>IF(AND(DG7&lt;&gt;DG6,DH7="洞穿"),0,IF(L7="ENTER_INSIGHT",Boss参数!$B$57,EO6))</f>
        <v>0</v>
      </c>
      <c r="EN7" s="11">
        <f>IF(AND(Y7=1,H7="洞知",EM7&gt;0),Boss参数!$B$56,0)</f>
        <v>0</v>
      </c>
      <c r="EO7" s="1">
        <f t="shared" si="40"/>
        <v>0</v>
      </c>
      <c r="EP7" s="12">
        <f t="shared" si="67"/>
        <v>73241</v>
      </c>
      <c r="EQ7" s="12">
        <f>ROUNDDOWN(EP7/Boss参数!$B$62,0)</f>
        <v>0</v>
      </c>
      <c r="ER7" s="11">
        <f>IF(EQ7&gt;=Boss参数!$B$66,Boss参数!$B$69,IF(EQ7&gt;=Boss参数!$B$65,Boss参数!$B$68,IF(EQ7&gt;=Boss参数!$B$64,Boss参数!$B$67,0)))</f>
        <v>0</v>
      </c>
      <c r="ES7" s="11">
        <f>MIN(1,IF(EQ7&gt;=Boss参数!$B$66,Boss参数!$B$72+ROUNDDOWN((EQ7-Boss参数!$B$66)/Boss参数!$B$73,0)*Boss参数!$B$74,IF(EQ7&gt;=Boss参数!$B$65,Boss参数!$B$71,IF(EQ7&gt;=Boss参数!$B$64,Boss参数!$B$70,0))))</f>
        <v>0</v>
      </c>
      <c r="ET7" s="12">
        <f>MIN(Boss参数!$B$61*Boss参数!$B$62,EP7+IF(AND(Boss参数!$B$60=1,ISNUMBER(验证表!H13)),验证表!H13,EU7))</f>
        <v>74472</v>
      </c>
      <c r="EU7" s="12">
        <f>IF(D7="",0,IF(验证表!G13="是",BV7,IF(验证表!G13="否",BU7,BW7)))</f>
        <v>1231</v>
      </c>
      <c r="EV7" s="12">
        <f>IF(EQ7&gt;=Boss参数!$B$66,2,IF(EQ7&gt;=Boss参数!$B$65,1,0))</f>
        <v>0</v>
      </c>
      <c r="EW7" s="12">
        <f t="shared" si="41"/>
        <v>1</v>
      </c>
      <c r="EX7" s="1">
        <f>IF(D7="",0,INDEX(回合状态!$D$7:$D$17,MATCH(DG7,回合状态!$A$7:$A$17,0)))</f>
        <v>1</v>
      </c>
      <c r="EY7" s="1">
        <f>IF(OR(L7="RHI_ATTACK",L7="RHI_BUFF"),1,IF(L7="RHI_ULT",Boss参数!$B$52,0))</f>
        <v>0</v>
      </c>
      <c r="EZ7" s="1">
        <f>MIN(6,SUMIFS($EY$3:EY7,$EX$3:EX7,"&gt;="&amp;MAX(1,EX7-Boss参数!$B$87+1),$EX$3:EX7,"&lt;="&amp;EX7))</f>
        <v>1</v>
      </c>
      <c r="FA7" s="1">
        <f t="shared" si="68"/>
        <v>0</v>
      </c>
      <c r="FB7" s="17">
        <f>IF(L7="BOSS_CONSERVATIVE",B7+Boss参数!$B$91,FB6)</f>
        <v>0</v>
      </c>
      <c r="FC7" s="17">
        <f t="shared" si="69"/>
        <v>0</v>
      </c>
      <c r="FD7" s="17">
        <f>IF(D7="",FD6,FD6+IF(AND(DG7&lt;&gt;DG6,INDEX(回合状态!$C$7:$C$17,MATCH(DG7,回合状态!$A$7:$A$17,0))&lt;&gt;"洞穿"),1,0))</f>
        <v>1</v>
      </c>
      <c r="FE7" s="17">
        <f>IF(D7="",0,IF(AND(OR(L7="END_TURN",DH7="敌方"),INDEX(回合状态!$C$7:$C$17,MATCH(DG7,回合状态!$A$7:$A$17,0))&lt;&gt;"洞穿",SUMIFS($FE$3:FE6,$DG$3:DG6,DG7)=0),1,0))</f>
        <v>1</v>
      </c>
    </row>
    <row r="8" spans="1:161" ht="84.95" customHeight="1">
      <c r="A8" s="1">
        <f>行动模拟!A14</f>
        <v>6</v>
      </c>
      <c r="B8" s="1">
        <f>IF(D8="",0,INDEX(回合状态!$B$7:$B$17,MATCH(DG8,回合状态!$A$7:$A$17,0)))</f>
        <v>1</v>
      </c>
      <c r="C8" s="1">
        <f>行动模拟!C14</f>
        <v>6</v>
      </c>
      <c r="D8" s="1" t="str">
        <f>IF(行动模拟!D14="","",行动模拟!D14)</f>
        <v>37｜补充算式</v>
      </c>
      <c r="E8" s="1" t="str">
        <f>IF($D8="","",IFERROR(INDEX(技能数据库!$B$4:$B$38,MATCH($D8,技能数据库!$A$4:$A$38,0)),""))</f>
        <v>37</v>
      </c>
      <c r="F8" s="1" t="str">
        <f>IF($D8="","",IFERROR(INDEX(技能数据库!$C$4:$C$38,MATCH($D8,技能数据库!$A$4:$A$38,0)),""))</f>
        <v>补充算式</v>
      </c>
      <c r="G8" s="1">
        <f>IF($D8="","",IFERROR(INDEX(技能数据库!$D$4:$D$38,MATCH($D8,技能数据库!$A$4:$A$38,0)),""))</f>
        <v>0</v>
      </c>
      <c r="H8" s="1" t="str">
        <f>IF($D8="","",IFERROR(INDEX(技能数据库!$E$4:$E$38,MATCH($D8,技能数据库!$A$4:$A$38,0)),""))</f>
        <v>额外行动</v>
      </c>
      <c r="I8" s="1" t="str">
        <f>IF($D8="","",IFERROR(INDEX(技能数据库!$F$4:$F$38,MATCH($D8,技能数据库!$A$4:$A$38,0)),""))</f>
        <v>精神</v>
      </c>
      <c r="J8" s="1">
        <f>IF($D8="","",IFERROR(INDEX(技能数据库!$G$4:$G$38,MATCH($D8,技能数据库!$A$4:$A$38,0)),""))</f>
        <v>3</v>
      </c>
      <c r="K8" s="1">
        <f>IF($D8="","",IFERROR(INDEX(技能数据库!$H$4:$H$38,MATCH($D8,技能数据库!$A$4:$A$38,0)),""))</f>
        <v>1</v>
      </c>
      <c r="L8" s="1" t="str">
        <f>IF($D8="","",IFERROR(INDEX(技能数据库!$I$4:$I$38,MATCH($D8,技能数据库!$A$4:$A$38,0)),""))</f>
        <v>37_FOLLOW</v>
      </c>
      <c r="M8" s="10">
        <v>1</v>
      </c>
      <c r="N8" s="1"/>
      <c r="O8" s="1"/>
      <c r="P8" s="1"/>
      <c r="Q8" s="10">
        <f t="shared" si="0"/>
        <v>0</v>
      </c>
      <c r="R8" s="10">
        <v>0</v>
      </c>
      <c r="S8" s="10">
        <v>0</v>
      </c>
      <c r="T8" s="1">
        <f>行动模拟!I14</f>
        <v>0</v>
      </c>
      <c r="U8" s="1">
        <f>IF(FD8&lt;&gt;FD7,IF(BY7=1,IF(MIN(10,CA7+IF(AND(DG8&lt;&gt;DG7,DH7&lt;&gt;"洞穿",SUMIFS($FE$3:FE7,$DG$3:DG7,DG7)=0,BY7=1),3,0))&gt;=10,2,1),IF(BY7=2,IF(BZ7&lt;=1,0,2),0)),BY7)</f>
        <v>1</v>
      </c>
      <c r="V8" s="1">
        <f>IF(FD8&lt;&gt;FD7,IF(BY7=1,IF(MIN(10,CA7+IF(AND(DG8&lt;&gt;DG7,DH7&lt;&gt;"洞穿",SUMIFS($FE$3:FE7,$DG$3:DG7,DG7)=0,BY7=1),3,0))&gt;=10,2,0),IF(BY7=2,MAX(0,BZ7-1),0)),BZ7)</f>
        <v>0</v>
      </c>
      <c r="W8" s="1">
        <f>IF(AND(FD8&lt;&gt;FD7,BY7=2,BZ7&lt;=1),0,MIN(10,CA7+IF(AND(DG8&lt;&gt;DG7,DH7&lt;&gt;"洞穿",SUMIFS($FE$3:FE7,$DG$3:DG7,DG7)=0,BY7=1),3,0)))</f>
        <v>10</v>
      </c>
      <c r="X8" s="1">
        <f t="shared" si="42"/>
        <v>6</v>
      </c>
      <c r="Y8" s="1">
        <f t="shared" si="43"/>
        <v>0</v>
      </c>
      <c r="Z8" s="1">
        <f t="shared" si="44"/>
        <v>0</v>
      </c>
      <c r="AA8" s="1">
        <f t="shared" si="45"/>
        <v>0</v>
      </c>
      <c r="AB8" s="1">
        <f t="shared" si="46"/>
        <v>5</v>
      </c>
      <c r="AC8" s="1">
        <f t="shared" si="47"/>
        <v>0</v>
      </c>
      <c r="AD8" s="1">
        <f t="shared" si="48"/>
        <v>2</v>
      </c>
      <c r="AE8" s="1">
        <f>IF(D8="",0,IF(DG8&lt;&gt;DG7,IFERROR(INDEX(回合状态!$F$7:$F$17,MATCH(DG8,回合状态!$A$7:$A$17,0)),0),CI7))</f>
        <v>2</v>
      </c>
      <c r="AF8" s="10">
        <f t="shared" si="49"/>
        <v>0</v>
      </c>
      <c r="AG8" s="1">
        <f t="shared" si="50"/>
        <v>0</v>
      </c>
      <c r="AH8" s="1">
        <f t="shared" si="51"/>
        <v>3</v>
      </c>
      <c r="AI8" s="1">
        <f t="shared" si="52"/>
        <v>0</v>
      </c>
      <c r="AJ8" s="1">
        <f t="shared" si="53"/>
        <v>0</v>
      </c>
      <c r="AK8" s="1">
        <f t="shared" si="54"/>
        <v>0</v>
      </c>
      <c r="AL8" s="1">
        <f t="shared" si="55"/>
        <v>1</v>
      </c>
      <c r="AM8" s="1">
        <f t="shared" si="56"/>
        <v>0</v>
      </c>
      <c r="AN8" s="1">
        <f t="shared" si="57"/>
        <v>0</v>
      </c>
      <c r="AO8" s="1">
        <f t="shared" si="58"/>
        <v>0</v>
      </c>
      <c r="AP8" s="10">
        <f t="shared" si="59"/>
        <v>0</v>
      </c>
      <c r="AQ8" s="1">
        <f t="shared" si="60"/>
        <v>0</v>
      </c>
      <c r="AR8" s="10">
        <f t="shared" si="61"/>
        <v>0</v>
      </c>
      <c r="AS8" s="1">
        <f t="shared" si="62"/>
        <v>0</v>
      </c>
      <c r="AT8" s="10">
        <f t="shared" si="63"/>
        <v>0</v>
      </c>
      <c r="AU8" s="1">
        <f t="shared" si="64"/>
        <v>0</v>
      </c>
      <c r="AV8" s="1">
        <f>MIN(5,SUMIFS($EL$3:EL8,$B$3:B8,"&gt;="&amp;MAX(1,B8-2),$B$3:B8,"&lt;="&amp;B8)+EC8)</f>
        <v>5</v>
      </c>
      <c r="AW8" s="1">
        <f>MIN(6,SUMIFS($EY$3:EY7,$EX$3:EX7,"&gt;="&amp;MAX(1,EX8-Boss参数!$B$87+1),$EX$3:EX7,"&lt;="&amp;EX8))</f>
        <v>1</v>
      </c>
      <c r="AX8" s="1">
        <f>MIN(4,COUNTIFS($B$3:$B$7,"&gt;="&amp;MAX(1,$B8-2),$B$3:$B$7,"&lt;="&amp;$B8,$L$3:$L$7,"37_FOLLOW"))</f>
        <v>0</v>
      </c>
      <c r="AY8" s="9">
        <f>IF($E8="","",IF($E8="系统",0,ROUNDDOWN(INDEX(角色面板!$C$4:$C$7,MATCH($E8,角色面板!$A$4:$A$7,0))*(1+INDEX(角色面板!$C$11:$C$14,MATCH($E8,角色面板!$A$11:$A$14,0))+IF($E8="小瑞安侬",MAX(IF($B8&lt;=$AQ8,$AP8,0),IF(AND($L8="RHI_ATTACK",$EE8&gt;0),0.11+0.01*$G8,0)),0)+IF($E8="J",$AD8*Boss参数!$B$18,0))+IF(FD8&lt;=$AN8,MIN(Boss参数!$B$21,ROUNDDOWN(角色面板!$C$19*Boss参数!$B$20,0)),0)+IF(AND($B8&lt;=$AK8,$E8&lt;&gt;"小瑞安侬"),$DY8,0),0)))</f>
        <v>2767</v>
      </c>
      <c r="AZ8" s="10">
        <f>IF($E8="","",MAX(0,MIN(1,IFERROR(INDEX(角色面板!$G$18:$G$21,MATCH($E8,角色面板!$A$18:$A$21,0)),0)-FC8*Boss参数!$B$89-Boss参数!$E$4)))</f>
        <v>0.76</v>
      </c>
      <c r="BA8" s="10">
        <f>IF(E8="","",(IF($E8="","",IF($E8="红弩箭",Boss参数!$B$80,IF($E8="J",Boss参数!$B$81,IFERROR(INDEX(角色面板!$H$18:$H$21,MATCH($E8,角色面板!$A$18:$A$21,0)),0)))+IF($B8&lt;=$AI8,Boss参数!$B$13,0)+MIN(30,$AM8)*Boss参数!$B$17+IF(AND($L8="LILYA_ULT",$X8&gt;=6),1,0)+IF(AND($Y8=1,$L8="LILYA_INSIGHT"),IF(MOD($AA8+1,3)=0,Boss参数!$B$83,Boss参数!$B$82),IF(AND($Y8=1,$L8="LILYA_FINISH"),Boss参数!$B$84,0))))-FC8*Boss参数!$B$90)</f>
        <v>2.198</v>
      </c>
      <c r="BB8" s="10">
        <f>IF($E8="","",IFERROR(INDEX(角色面板!$M$18:$M$21,MATCH($E8,角色面板!$A$18:$A$21,0)),0)+$AW8*Boss参数!$B$12+IF($B8&lt;=$AG8,$AF8,0)+$EI8+IF($L8="LILYA_DIVE",IF($U8=1,IF($G8=1,0.3,IF($G8=2,0.4,0.5)),IF($U8=2,IF($G8=1,0.6,IF($G8=2,0.8,1)),0)),0)+$R8+IF(AND($E8="J",OR($L8="J_COUNTER",$L8="J_HARD")),Boss参数!$B$79,0)+IF(AND(OR(L8="J_COUNTER",L8="J_HARD"),FA8&gt;=Boss参数!$B$59),FA8*Boss参数!$B$40,0))</f>
        <v>0.02</v>
      </c>
      <c r="BC8" s="10">
        <f>IF($E8="","",IFERROR(INDEX(角色面板!$K$18:$K$21,MATCH($E8,角色面板!$A$18:$A$21,0)),0)+IF($B8&lt;=$AH8,Boss参数!$B$46,0)+IF($E8="红弩箭",IF($U8=1,0.6,IF($U8=2,1.2,0))+$W8*0.06,0))-DI8*Boss参数!$B$23</f>
        <v>-0.4</v>
      </c>
      <c r="BD8" s="10">
        <f>IF($E8="","",IFERROR(INDEX(角色面板!$L$18:$L$21,MATCH($E8,角色面板!$A$18:$A$21,0)),0)+IF($B8&lt;=$AH8,Boss参数!$B$46,0)+IF($E8="J",$AL8*Boss参数!$B$16,0)+IF($E8="红弩箭",$X8*0.025,0)+IF(AND($L8="LILYA_ULT",$X8&gt;=6),1,0))-DI8*Boss参数!$B$23</f>
        <v>0</v>
      </c>
      <c r="BE8" s="10">
        <f>IF($E8="","",IF($H8="洞知",IF($E8="红弩箭",$AO8*Boss参数!$B$15,0)+$AX8*Boss参数!$B$14,0))</f>
        <v>0</v>
      </c>
      <c r="BF8" s="10">
        <f t="shared" si="1"/>
        <v>0</v>
      </c>
      <c r="BG8" s="10">
        <f>IF($D8="",0,IF(AND($L8&lt;&gt;"LILYA_DIVE",$L8&lt;&gt;"LILYA_ULT",$L8&lt;&gt;"LILYA_INSIGHT",$L8&lt;&gt;"LILYA_FINISH",$L8&lt;&gt;"37_FOLLOW",$L8&lt;&gt;"RHI_ATTACK",$L8&lt;&gt;"RHI_BERRY",$L8&lt;&gt;"J_COUNTER",$L8&lt;&gt;"J_ULT"),$J8,0)+IF($L8="LILYA_DIVE",$J8+IF($U8=1,IF($G8=1,6,IF($G8=2,12,18)),IF($U8=2,IF($G8=1,12,IF($G8=2,24,36)),0)),0)+IF($L8="LILYA_ULT",$J8+IF($X8&gt;=6,18,0),0)+IF($L8="LILYA_INSIGHT",IF($Y8=1,IF(MOD($AA8+1,3)=0,32,15),0),0)+IF($L8="LILYA_FINISH",IF($Y8=1,50+2.5*$Z8,0),0)+IF($L8="37_FOLLOW",$J8,0)+IF($L8="RHI_ATTACK",$J8*IF($B8&lt;=$AJ8,2,1),0)+IF($L8="RHI_BERRY",15+1.5*$AV8,0)+IF($L8="J_COUNTER",$J8+$AD8*Boss参数!$B$39,0)+IF($L8="J_ULT",$J8+Boss参数!$B$45*MAX(0,$AE8+$AD8-Boss参数!$I$4),0)+$S8)</f>
        <v>3</v>
      </c>
      <c r="BH8" s="10">
        <f t="shared" si="2"/>
        <v>1</v>
      </c>
      <c r="BI8" s="10">
        <f>IF(E8="","",IF(DT8=1,1+Boss参数!$B$8+AV8*Boss参数!$B$19,1))</f>
        <v>1.5</v>
      </c>
      <c r="BJ8" s="9">
        <f>IF($I8="现实",Boss参数!$C$4,IF($I8="精神",Boss参数!$D$4,0))</f>
        <v>1000</v>
      </c>
      <c r="BK8" s="9">
        <f>IF($E8="","",MAX($AY8*Boss参数!$B$9,$AY8-$BJ8*(1-$BF8)))</f>
        <v>1767</v>
      </c>
      <c r="BL8" s="10">
        <f>MAX(0,Boss参数!$F$4+IF(DT8=0,Boss参数!$B$27,0)-EJ8)</f>
        <v>0.4</v>
      </c>
      <c r="BM8" s="10">
        <f>Boss参数!$G$4+DU8-IF(Y8=1,Boss参数!$B$11,0)</f>
        <v>0.45</v>
      </c>
      <c r="BN8" s="10">
        <f>IF($E8="","",MAX(Boss参数!$B$10,1+IFERROR(INDEX(角色面板!$I$18:$I$21,MATCH($E8,角色面板!$A$18:$A$21,0)),0)+$BB8+Boss参数!$H$4-$BM8))</f>
        <v>0.57499999999999996</v>
      </c>
      <c r="BO8" s="10">
        <f>IF(E8="","",IF(OR(L8="J_COUNTER",L8="J_HARD"),MAX(0,1+INDEX(角色面板!$K$18:$K$21,MATCH(E8,角色面板!$A$18:$A$21,0))-DI8*Boss参数!$B$23+IF(OR(Boss参数!$B$43=1,L8="J_HARD"),IF(B8&lt;=AH8,Boss参数!$B$46,0),0)),MAX(0,IF(OR(H8="术法",L8="RHI_BERRY",AND(L8="37_FOLLOW",Boss参数!$B$31=1)),1+BC8,IF(H8="仪式",1+BD8,IF(H8="洞知",EK8,1))))))</f>
        <v>0.6</v>
      </c>
      <c r="BP8" s="10">
        <f t="shared" si="3"/>
        <v>1.798</v>
      </c>
      <c r="BQ8" s="1">
        <f t="shared" si="4"/>
        <v>2743.2674999999999</v>
      </c>
      <c r="BR8" s="1">
        <f t="shared" si="5"/>
        <v>4932.3949650000004</v>
      </c>
      <c r="BS8" s="1">
        <f>IF(BH8=0,0,ROUNDDOWN(AY8*BH8,0)*DV8*IF(Boss参数!$B$29=1,BN8,1)*IF(Boss参数!$B$33=1,BO8,1)*IF(Boss参数!$B$76=1,1-ES8,1))</f>
        <v>1936.8999999999999</v>
      </c>
      <c r="BT8" s="1">
        <f t="shared" si="6"/>
        <v>3482.5461999999998</v>
      </c>
      <c r="BU8" s="9">
        <f>IF(D8="",0,MIN(IF(Boss参数!$B$77=1,Boss参数!$B$63*Boss参数!$B$62,Boss参数!$B$61*Boss参数!$B$62),DW8+ROUNDDOWN(BS8,0)+ROUNDDOWN(DW8*Q8,0)))</f>
        <v>4679</v>
      </c>
      <c r="BV8" s="9">
        <f>IF(D8="",0,MIN(IF(Boss参数!$B$77=1,Boss参数!$B$63*Boss参数!$B$62,Boss参数!$B$61*Boss参数!$B$62),DX8+ROUNDDOWN(BT8,0)+ROUNDDOWN(DX8*Q8,0)))</f>
        <v>8414</v>
      </c>
      <c r="BW8" s="9">
        <f t="shared" si="7"/>
        <v>7517</v>
      </c>
      <c r="BX8" s="1" t="str">
        <f t="shared" si="8"/>
        <v/>
      </c>
      <c r="BY8" s="1">
        <f t="shared" si="9"/>
        <v>1</v>
      </c>
      <c r="BZ8" s="1">
        <f t="shared" si="10"/>
        <v>0</v>
      </c>
      <c r="CA8" s="1">
        <f>MIN(10,W8+IF(AND(L8="LILYA_COBRA",COUNTIF($L$3:L8,"LILYA_COBRA")=1),5,0)+IF(AND(L8="LILYA_DIVE",U8=1,COUNTIFS($DG$3:DG8,DG8,$L$3:L8,"LILYA_DIVE")=1),2,0)+IF(AND(FE8=1,U8=1),3,0))</f>
        <v>10</v>
      </c>
      <c r="CB8" s="1">
        <f>MIN(20,MAX(0,X8+IF(L8="LILYA_COBRA",IF(COUNTIF($L$3:L8,"LILYA_COBRA")=1,6,IF(U8=1,MAX(1,G8),IF(U8=2,2*MAX(1,G8),0))),0)+IF(AND(Y8=1,E8="红弩箭",L8&lt;&gt;"ENTER_INSIGHT"),1,0)-IF(AND(L8="LILYA_ULT",X8&gt;=6),6,0)))</f>
        <v>6</v>
      </c>
      <c r="CC8" s="1">
        <f t="shared" si="11"/>
        <v>0</v>
      </c>
      <c r="CD8" s="1">
        <f t="shared" si="12"/>
        <v>0</v>
      </c>
      <c r="CE8" s="1">
        <f t="shared" si="13"/>
        <v>0</v>
      </c>
      <c r="CF8" s="1">
        <f t="shared" si="14"/>
        <v>0</v>
      </c>
      <c r="CG8" s="1">
        <f t="shared" si="15"/>
        <v>0</v>
      </c>
      <c r="CH8" s="1">
        <f>MIN(35,AD8+IF(L8="J_HARD",6,0)+IF(L8="J_COUNTER",Boss参数!$B$30,0))</f>
        <v>2</v>
      </c>
      <c r="CI8" s="1">
        <f>MIN(Boss参数!$I$4,AE8+IF(L8="J_HARD",6,0)+IF(L8="J_ULT",AD8,0)+IF(L8="J_COUNTER",Boss参数!$B$30,0))</f>
        <v>2</v>
      </c>
      <c r="CJ8" s="10">
        <f>IF(L8="J_ULT",AD8*Boss参数!$B$41,IF(B8&lt;=AG8,AF8,0))</f>
        <v>0</v>
      </c>
      <c r="CK8" s="1">
        <f t="shared" si="16"/>
        <v>0</v>
      </c>
      <c r="CL8" s="1">
        <f t="shared" si="17"/>
        <v>3</v>
      </c>
      <c r="CM8" s="1">
        <f t="shared" si="18"/>
        <v>0</v>
      </c>
      <c r="CN8" s="1">
        <f t="shared" si="19"/>
        <v>0</v>
      </c>
      <c r="CO8" s="1">
        <f t="shared" si="20"/>
        <v>0</v>
      </c>
      <c r="CP8" s="1">
        <f t="shared" si="21"/>
        <v>1</v>
      </c>
      <c r="CQ8" s="1">
        <f t="shared" si="22"/>
        <v>0</v>
      </c>
      <c r="CR8" s="1">
        <f t="shared" si="23"/>
        <v>0</v>
      </c>
      <c r="CS8" s="1">
        <f t="shared" si="24"/>
        <v>0</v>
      </c>
      <c r="CT8" s="10">
        <f t="shared" si="25"/>
        <v>0</v>
      </c>
      <c r="CU8" s="1">
        <f t="shared" si="26"/>
        <v>0</v>
      </c>
      <c r="CV8" s="10">
        <f t="shared" si="27"/>
        <v>0</v>
      </c>
      <c r="CW8" s="1">
        <f t="shared" si="28"/>
        <v>0</v>
      </c>
      <c r="CX8" s="10">
        <f t="shared" si="29"/>
        <v>0</v>
      </c>
      <c r="CY8" s="1">
        <f t="shared" si="30"/>
        <v>0</v>
      </c>
      <c r="CZ8" s="1"/>
      <c r="DA8" s="1"/>
      <c r="DB8" s="1"/>
      <c r="DC8" s="1"/>
      <c r="DD8" s="1"/>
      <c r="DE8" s="1"/>
      <c r="DF8" s="1"/>
      <c r="DG8" s="1">
        <f>IF(D8="","",行动模拟!B14)</f>
        <v>1</v>
      </c>
      <c r="DH8" s="1" t="str">
        <f>IF(L8="END_TURN","回合结束",IF(D8="","",IF(INDEX(回合状态!$C$7:$C$17,MATCH(DG8,回合状态!$A$7:$A$17,0))="洞穿","洞穿",IF(OR(L8="J_COUNTER",L8="BOSS_ACTION",L8="BOSS_CONSERVATIVE"),"敌方",IF(AND(L8="37_FOLLOW",DG8=DG7,DH7="敌方"),"敌方",IF(INDEX(回合状态!$C$7:$C$17,MATCH(DG8,回合状态!$A$7:$A$17,0))="普通","出牌",INDEX(回合状态!$C$7:$C$17,MATCH(DG8,回合状态!$A$7:$A$17,0))))))))</f>
        <v>敌方</v>
      </c>
      <c r="DI8" s="1">
        <f t="shared" si="31"/>
        <v>2</v>
      </c>
      <c r="DJ8" s="1">
        <f>IF(D8="",0,MIN(Boss参数!$B$25,IF(OR(AND(DH8="敌方",OR(DH7&lt;&gt;"敌方",DG8&lt;&gt;DG7)),AND(L8="END_TURN",DH8&lt;&gt;"洞穿"),AND(DG8&lt;&gt;DG7,DH7&lt;&gt;"洞穿",L7&lt;&gt;"END_TURN",COUNTIFS($DG$3:DG7,DG7,$DH$3:DH7,"敌方")=0)),EW8,DN7)))</f>
        <v>2</v>
      </c>
      <c r="DK8" s="1">
        <f>IF(D8="",0,MIN(Boss参数!$B$25,IF(OR(AND(DH8="敌方",OR(DH7&lt;&gt;"敌方",DG8&lt;&gt;DG7)),AND(L8="END_TURN",DH8&lt;&gt;"洞穿"),AND(DG8&lt;&gt;DG7,DH7&lt;&gt;"洞穿",L7&lt;&gt;"END_TURN",COUNTIFS($DG$3:DG7,DG7,$DH$3:DH7,"敌方")=0)),EW8,DO7)))</f>
        <v>2</v>
      </c>
      <c r="DL8" s="1">
        <f>IF(D8="",0,MIN(Boss参数!$B$25,IF(OR(AND(DH8="敌方",OR(DH7&lt;&gt;"敌方",DG8&lt;&gt;DG7)),AND(L8="END_TURN",DH8&lt;&gt;"洞穿"),AND(DG8&lt;&gt;DG7,DH7&lt;&gt;"洞穿",L7&lt;&gt;"END_TURN",COUNTIFS($DG$3:DG7,DG7,$DH$3:DH7,"敌方")=0)),EW8,DP7)))</f>
        <v>2</v>
      </c>
      <c r="DM8" s="1">
        <f>IF(D8="",0,MIN(Boss参数!$B$25,IF(OR(AND(DH8="敌方",OR(DH7&lt;&gt;"敌方",DG8&lt;&gt;DG7)),AND(L8="END_TURN",DH8&lt;&gt;"洞穿"),AND(DG8&lt;&gt;DG7,DH7&lt;&gt;"洞穿",L7&lt;&gt;"END_TURN",COUNTIFS($DG$3:DG7,DG7,$DH$3:DH7,"敌方")=0)),EW8,DQ7)))</f>
        <v>0</v>
      </c>
      <c r="DN8" s="1">
        <f>MAX(0,MIN(Boss参数!$B$25,DJ8+DR8)-IF(E8="红弩箭",2*DR8,0))</f>
        <v>3</v>
      </c>
      <c r="DO8" s="1">
        <f>MAX(0,MIN(Boss参数!$B$25,DK8+DR8)-IF(E8="37",2*DR8,0))</f>
        <v>1</v>
      </c>
      <c r="DP8" s="1">
        <f>MAX(0,MIN(Boss参数!$B$25,DL8+DR8)-IF(E8="小瑞安侬",2*DR8,0))</f>
        <v>3</v>
      </c>
      <c r="DQ8" s="1">
        <f>MAX(0,MIN(Boss参数!$B$25,DM8+DR8)-IF(E8="J",2*DR8,0))</f>
        <v>1</v>
      </c>
      <c r="DR8" s="1">
        <f t="shared" si="32"/>
        <v>1</v>
      </c>
      <c r="DS8" s="1">
        <f t="shared" si="33"/>
        <v>0</v>
      </c>
      <c r="DT8" s="1">
        <f>IF(OR(E8="",E8="系统"),0,IF(OR(AND(DS8=1,Boss参数!$B$32=1),L8="RHI_BERRY",OR(AND(INDEX(角色面板!$B$18:$B$21,MATCH(E8,角色面板!$A$18:$A$21,0))="星",Boss参数!$B$4="岩"),AND(INDEX(角色面板!$B$18:$B$21,MATCH(E8,角色面板!$A$18:$A$21,0))="岩",Boss参数!$B$4="兽"),AND(INDEX(角色面板!$B$18:$B$21,MATCH(E8,角色面板!$A$18:$A$21,0))="兽",Boss参数!$B$4="木"),AND(INDEX(角色面板!$B$18:$B$21,MATCH(E8,角色面板!$A$18:$A$21,0))="木",Boss参数!$B$4="星"),AND(INDEX(角色面板!$B$18:$B$21,MATCH(E8,角色面板!$A$18:$A$21,0))="智",Boss参数!$B$4="灵"),AND(INDEX(角色面板!$B$18:$B$21,MATCH(E8,角色面板!$A$18:$A$21,0))="灵",Boss参数!$B$4="智"))),1,0))</f>
        <v>1</v>
      </c>
      <c r="DU8" s="1">
        <f>IF(D8="",0,INDEX(回合状态!$E$7:$E$17,MATCH(DG8,回合状态!$A$7:$A$17,0))+IF(AND(DH8="敌方",OR(INDEX(回合状态!$C$7:$C$17,MATCH(DG8,回合状态!$A$7:$A$17,0))="普通",INDEX(回合状态!$C$7:$C$17,MATCH(DG8,回合状态!$A$7:$A$17,0))="额外")),0.05,0))</f>
        <v>0.05</v>
      </c>
      <c r="DV8" s="1">
        <f>MAX(Boss参数!$B$28,1+IF(AND(E8="37",AC8&gt;0,BH8&gt;0),Boss参数!$B$42,0)-DI8*Boss参数!$B$24+EA8-ER8)</f>
        <v>0.7</v>
      </c>
      <c r="DW8" s="1">
        <f>MIN(IF(Boss参数!$B$77=1,Boss参数!$B$63*Boss参数!$B$62,Boss参数!$B$61*Boss参数!$B$62),ROUNDDOWN(BQ8*(1-ES8),0))</f>
        <v>2743</v>
      </c>
      <c r="DX8" s="1">
        <f>MIN(IF(Boss参数!$B$77=1,Boss参数!$B$63*Boss参数!$B$62,Boss参数!$B$61*Boss参数!$B$62),ROUNDDOWN(BR8*(1-ES8),0))</f>
        <v>4932</v>
      </c>
      <c r="DY8" s="1">
        <f t="shared" si="65"/>
        <v>0</v>
      </c>
      <c r="DZ8" s="1">
        <f>IF(L8="RHI_ULT",MIN(Boss参数!$B$48,ROUNDDOWN(AY8*Boss参数!$B$47,0)),DY8)</f>
        <v>0</v>
      </c>
      <c r="EA8" s="11">
        <v>0</v>
      </c>
      <c r="EB8" s="1">
        <f t="shared" si="34"/>
        <v>0</v>
      </c>
      <c r="EC8" s="1">
        <f>SUMIFS($EB$3:EB8,$B$3:B8,"&gt;="&amp;MAX(1,B8-2),$B$3:B8,"&lt;="&amp;B8)*Boss参数!$B$51</f>
        <v>4</v>
      </c>
      <c r="ED8" s="1">
        <f>IF(D8="",EG7,IF(AND(DG8&lt;&gt;DG7,DH8&lt;&gt;"洞穿"),MIN(Boss参数!$B$55,EG7+2),EG7))</f>
        <v>0</v>
      </c>
      <c r="EE8" s="1">
        <f t="shared" si="35"/>
        <v>0</v>
      </c>
      <c r="EF8" s="1">
        <f>IF(AND(OR(L8="END_TURN",AND(DH8="敌方",OR(DH7&lt;&gt;"敌方",DG8&lt;&gt;DG7))),SUMIFS($EF$3:EF7,$DG$3:DG7,DG8)=0),MIN(1,MAX(0,ED8-EE8)),0)</f>
        <v>0</v>
      </c>
      <c r="EG8" s="1">
        <f t="shared" si="36"/>
        <v>0</v>
      </c>
      <c r="EH8" s="11">
        <f>Boss参数!$B$53-IF(Y8=1,Boss参数!$B$54,0)</f>
        <v>0</v>
      </c>
      <c r="EI8" s="11">
        <f t="shared" si="37"/>
        <v>0</v>
      </c>
      <c r="EJ8" s="11">
        <f t="shared" si="38"/>
        <v>0</v>
      </c>
      <c r="EK8" s="11">
        <f t="shared" si="39"/>
        <v>1</v>
      </c>
      <c r="EL8" s="1">
        <f t="shared" si="66"/>
        <v>0</v>
      </c>
      <c r="EM8" s="1">
        <f>IF(AND(DG8&lt;&gt;DG7,DH8="洞穿"),0,IF(L8="ENTER_INSIGHT",Boss参数!$B$57,EO7))</f>
        <v>0</v>
      </c>
      <c r="EN8" s="11">
        <f>IF(AND(Y8=1,H8="洞知",EM8&gt;0),Boss参数!$B$56,0)</f>
        <v>0</v>
      </c>
      <c r="EO8" s="1">
        <f t="shared" si="40"/>
        <v>0</v>
      </c>
      <c r="EP8" s="12">
        <f t="shared" si="67"/>
        <v>74472</v>
      </c>
      <c r="EQ8" s="12">
        <f>ROUNDDOWN(EP8/Boss参数!$B$62,0)</f>
        <v>0</v>
      </c>
      <c r="ER8" s="11">
        <f>IF(EQ8&gt;=Boss参数!$B$66,Boss参数!$B$69,IF(EQ8&gt;=Boss参数!$B$65,Boss参数!$B$68,IF(EQ8&gt;=Boss参数!$B$64,Boss参数!$B$67,0)))</f>
        <v>0</v>
      </c>
      <c r="ES8" s="11">
        <f>MIN(1,IF(EQ8&gt;=Boss参数!$B$66,Boss参数!$B$72+ROUNDDOWN((EQ8-Boss参数!$B$66)/Boss参数!$B$73,0)*Boss参数!$B$74,IF(EQ8&gt;=Boss参数!$B$65,Boss参数!$B$71,IF(EQ8&gt;=Boss参数!$B$64,Boss参数!$B$70,0))))</f>
        <v>0</v>
      </c>
      <c r="ET8" s="12">
        <f>MIN(Boss参数!$B$61*Boss参数!$B$62,EP8+IF(AND(Boss参数!$B$60=1,ISNUMBER(验证表!H14)),验证表!H14,EU8))</f>
        <v>82886</v>
      </c>
      <c r="EU8" s="12">
        <f>IF(D8="",0,IF(验证表!G14="是",BV8,IF(验证表!G14="否",BU8,BW8)))</f>
        <v>8414</v>
      </c>
      <c r="EV8" s="12">
        <f>IF(EQ8&gt;=Boss参数!$B$66,2,IF(EQ8&gt;=Boss参数!$B$65,1,0))</f>
        <v>0</v>
      </c>
      <c r="EW8" s="12">
        <f t="shared" si="41"/>
        <v>1</v>
      </c>
      <c r="EX8" s="1">
        <f>IF(D8="",0,INDEX(回合状态!$D$7:$D$17,MATCH(DG8,回合状态!$A$7:$A$17,0)))</f>
        <v>1</v>
      </c>
      <c r="EY8" s="1">
        <f>IF(OR(L8="RHI_ATTACK",L8="RHI_BUFF"),1,IF(L8="RHI_ULT",Boss参数!$B$52,0))</f>
        <v>0</v>
      </c>
      <c r="EZ8" s="1">
        <f>MIN(6,SUMIFS($EY$3:EY8,$EX$3:EX8,"&gt;="&amp;MAX(1,EX8-Boss参数!$B$87+1),$EX$3:EX8,"&lt;="&amp;EX8))</f>
        <v>1</v>
      </c>
      <c r="FA8" s="1">
        <f t="shared" si="68"/>
        <v>0</v>
      </c>
      <c r="FB8" s="17">
        <f>IF(L8="BOSS_CONSERVATIVE",B8+Boss参数!$B$91,FB7)</f>
        <v>0</v>
      </c>
      <c r="FC8" s="17">
        <f t="shared" si="69"/>
        <v>0</v>
      </c>
      <c r="FD8" s="17">
        <f>IF(D8="",FD7,FD7+IF(AND(DG8&lt;&gt;DG7,INDEX(回合状态!$C$7:$C$17,MATCH(DG8,回合状态!$A$7:$A$17,0))&lt;&gt;"洞穿"),1,0))</f>
        <v>1</v>
      </c>
      <c r="FE8" s="17">
        <f>IF(D8="",0,IF(AND(OR(L8="END_TURN",DH8="敌方"),INDEX(回合状态!$C$7:$C$17,MATCH(DG8,回合状态!$A$7:$A$17,0))&lt;&gt;"洞穿",SUMIFS($FE$3:FE7,$DG$3:DG7,DG8)=0),1,0))</f>
        <v>0</v>
      </c>
    </row>
    <row r="9" spans="1:161" ht="84.95" customHeight="1">
      <c r="A9" s="1">
        <f>行动模拟!A15</f>
        <v>7</v>
      </c>
      <c r="B9" s="1">
        <f>IF(D9="",0,INDEX(回合状态!$B$7:$B$17,MATCH(DG9,回合状态!$A$7:$A$17,0)))</f>
        <v>1</v>
      </c>
      <c r="C9" s="1">
        <f>行动模拟!C15</f>
        <v>7</v>
      </c>
      <c r="D9" s="1" t="str">
        <f>IF(行动模拟!D15="","",行动模拟!D15)</f>
        <v>J｜高温回火</v>
      </c>
      <c r="E9" s="1" t="str">
        <f>IF($D9="","",IFERROR(INDEX(技能数据库!$B$4:$B$38,MATCH($D9,技能数据库!$A$4:$A$38,0)),""))</f>
        <v>J</v>
      </c>
      <c r="F9" s="1" t="str">
        <f>IF($D9="","",IFERROR(INDEX(技能数据库!$C$4:$C$38,MATCH($D9,技能数据库!$A$4:$A$38,0)),""))</f>
        <v>高温回火</v>
      </c>
      <c r="G9" s="1">
        <f>IF($D9="","",IFERROR(INDEX(技能数据库!$D$4:$D$38,MATCH($D9,技能数据库!$A$4:$A$38,0)),""))</f>
        <v>0</v>
      </c>
      <c r="H9" s="1" t="str">
        <f>IF($D9="","",IFERROR(INDEX(技能数据库!$E$4:$E$38,MATCH($D9,技能数据库!$A$4:$A$38,0)),""))</f>
        <v>反击</v>
      </c>
      <c r="I9" s="1" t="str">
        <f>IF($D9="","",IFERROR(INDEX(技能数据库!$F$4:$F$38,MATCH($D9,技能数据库!$A$4:$A$38,0)),""))</f>
        <v>现实</v>
      </c>
      <c r="J9" s="1">
        <f>IF($D9="","",IFERROR(INDEX(技能数据库!$G$4:$G$38,MATCH($D9,技能数据库!$A$4:$A$38,0)),""))</f>
        <v>3</v>
      </c>
      <c r="K9" s="1">
        <f>IF($D9="","",IFERROR(INDEX(技能数据库!$H$4:$H$38,MATCH($D9,技能数据库!$A$4:$A$38,0)),""))</f>
        <v>0</v>
      </c>
      <c r="L9" s="1" t="str">
        <f>IF($D9="","",IFERROR(INDEX(技能数据库!$I$4:$I$38,MATCH($D9,技能数据库!$A$4:$A$38,0)),""))</f>
        <v>J_COUNTER</v>
      </c>
      <c r="M9" s="10">
        <v>1</v>
      </c>
      <c r="N9" s="1"/>
      <c r="O9" s="1"/>
      <c r="P9" s="1"/>
      <c r="Q9" s="10">
        <f t="shared" si="0"/>
        <v>0</v>
      </c>
      <c r="R9" s="10">
        <v>0</v>
      </c>
      <c r="S9" s="10">
        <v>0</v>
      </c>
      <c r="T9" s="1">
        <f>行动模拟!I15</f>
        <v>0</v>
      </c>
      <c r="U9" s="1">
        <f>IF(FD9&lt;&gt;FD8,IF(BY8=1,IF(MIN(10,CA8+IF(AND(DG9&lt;&gt;DG8,DH8&lt;&gt;"洞穿",SUMIFS($FE$3:FE8,$DG$3:DG8,DG8)=0,BY8=1),3,0))&gt;=10,2,1),IF(BY8=2,IF(BZ8&lt;=1,0,2),0)),BY8)</f>
        <v>1</v>
      </c>
      <c r="V9" s="1">
        <f>IF(FD9&lt;&gt;FD8,IF(BY8=1,IF(MIN(10,CA8+IF(AND(DG9&lt;&gt;DG8,DH8&lt;&gt;"洞穿",SUMIFS($FE$3:FE8,$DG$3:DG8,DG8)=0,BY8=1),3,0))&gt;=10,2,0),IF(BY8=2,MAX(0,BZ8-1),0)),BZ8)</f>
        <v>0</v>
      </c>
      <c r="W9" s="1">
        <f>IF(AND(FD9&lt;&gt;FD8,BY8=2,BZ8&lt;=1),0,MIN(10,CA8+IF(AND(DG9&lt;&gt;DG8,DH8&lt;&gt;"洞穿",SUMIFS($FE$3:FE8,$DG$3:DG8,DG8)=0,BY8=1),3,0)))</f>
        <v>10</v>
      </c>
      <c r="X9" s="1">
        <f t="shared" si="42"/>
        <v>6</v>
      </c>
      <c r="Y9" s="1">
        <f t="shared" si="43"/>
        <v>0</v>
      </c>
      <c r="Z9" s="1">
        <f t="shared" si="44"/>
        <v>0</v>
      </c>
      <c r="AA9" s="1">
        <f t="shared" si="45"/>
        <v>0</v>
      </c>
      <c r="AB9" s="1">
        <f t="shared" si="46"/>
        <v>0</v>
      </c>
      <c r="AC9" s="1">
        <f t="shared" si="47"/>
        <v>0</v>
      </c>
      <c r="AD9" s="1">
        <f t="shared" si="48"/>
        <v>2</v>
      </c>
      <c r="AE9" s="1">
        <f>IF(D9="",0,IF(DG9&lt;&gt;DG8,IFERROR(INDEX(回合状态!$F$7:$F$17,MATCH(DG9,回合状态!$A$7:$A$17,0)),0),CI8))</f>
        <v>2</v>
      </c>
      <c r="AF9" s="10">
        <f t="shared" si="49"/>
        <v>0</v>
      </c>
      <c r="AG9" s="1">
        <f t="shared" si="50"/>
        <v>0</v>
      </c>
      <c r="AH9" s="1">
        <f t="shared" si="51"/>
        <v>3</v>
      </c>
      <c r="AI9" s="1">
        <f t="shared" si="52"/>
        <v>0</v>
      </c>
      <c r="AJ9" s="1">
        <f t="shared" si="53"/>
        <v>0</v>
      </c>
      <c r="AK9" s="1">
        <f t="shared" si="54"/>
        <v>0</v>
      </c>
      <c r="AL9" s="1">
        <f t="shared" si="55"/>
        <v>1</v>
      </c>
      <c r="AM9" s="1">
        <f t="shared" si="56"/>
        <v>0</v>
      </c>
      <c r="AN9" s="1">
        <f t="shared" si="57"/>
        <v>0</v>
      </c>
      <c r="AO9" s="1">
        <f t="shared" si="58"/>
        <v>0</v>
      </c>
      <c r="AP9" s="10">
        <f t="shared" si="59"/>
        <v>0</v>
      </c>
      <c r="AQ9" s="1">
        <f t="shared" si="60"/>
        <v>0</v>
      </c>
      <c r="AR9" s="10">
        <f t="shared" si="61"/>
        <v>0</v>
      </c>
      <c r="AS9" s="1">
        <f t="shared" si="62"/>
        <v>0</v>
      </c>
      <c r="AT9" s="10">
        <f t="shared" si="63"/>
        <v>0</v>
      </c>
      <c r="AU9" s="1">
        <f t="shared" si="64"/>
        <v>0</v>
      </c>
      <c r="AV9" s="1">
        <f>MIN(5,SUMIFS($EL$3:EL9,$B$3:B9,"&gt;="&amp;MAX(1,B9-2),$B$3:B9,"&lt;="&amp;B9)+EC9)</f>
        <v>5</v>
      </c>
      <c r="AW9" s="1">
        <f>MIN(6,SUMIFS($EY$3:EY8,$EX$3:EX8,"&gt;="&amp;MAX(1,EX9-Boss参数!$B$87+1),$EX$3:EX8,"&lt;="&amp;EX9))</f>
        <v>1</v>
      </c>
      <c r="AX9" s="1">
        <f>MIN(4,COUNTIFS($B$3:$B$8,"&gt;="&amp;MAX(1,$B9-2),$B$3:$B$8,"&lt;="&amp;$B9,$L$3:$L$8,"37_FOLLOW"))</f>
        <v>1</v>
      </c>
      <c r="AY9" s="9">
        <f>IF($E9="","",IF($E9="系统",0,ROUNDDOWN(INDEX(角色面板!$C$4:$C$7,MATCH($E9,角色面板!$A$4:$A$7,0))*(1+INDEX(角色面板!$C$11:$C$14,MATCH($E9,角色面板!$A$11:$A$14,0))+IF($E9="小瑞安侬",MAX(IF($B9&lt;=$AQ9,$AP9,0),IF(AND($L9="RHI_ATTACK",$EE9&gt;0),0.11+0.01*$G9,0)),0)+IF($E9="J",$AD9*Boss参数!$B$18,0))+IF(FD9&lt;=$AN9,MIN(Boss参数!$B$21,ROUNDDOWN(角色面板!$C$19*Boss参数!$B$20,0)),0)+IF(AND($B9&lt;=$AK9,$E9&lt;&gt;"小瑞安侬"),$DY9,0),0)))</f>
        <v>1944</v>
      </c>
      <c r="AZ9" s="10">
        <f>IF($E9="","",MAX(0,MIN(1,IFERROR(INDEX(角色面板!$G$18:$G$21,MATCH($E9,角色面板!$A$18:$A$21,0)),0)-FC9*Boss参数!$B$89-Boss参数!$E$4)))</f>
        <v>0.66700000000000004</v>
      </c>
      <c r="BA9" s="10">
        <f>IF(E9="","",(IF($E9="","",IF($E9="红弩箭",Boss参数!$B$80,IF($E9="J",Boss参数!$B$81,IFERROR(INDEX(角色面板!$H$18:$H$21,MATCH($E9,角色面板!$A$18:$A$21,0)),0)))+IF($B9&lt;=$AI9,Boss参数!$B$13,0)+MIN(30,$AM9)*Boss参数!$B$17+IF(AND($L9="LILYA_ULT",$X9&gt;=6),1,0)+IF(AND($Y9=1,$L9="LILYA_INSIGHT"),IF(MOD($AA9+1,3)=0,Boss参数!$B$83,Boss参数!$B$82),IF(AND($Y9=1,$L9="LILYA_FINISH"),Boss参数!$B$84,0))))-FC9*Boss参数!$B$90)</f>
        <v>1.7170000000000001</v>
      </c>
      <c r="BB9" s="10">
        <f>IF($E9="","",IFERROR(INDEX(角色面板!$M$18:$M$21,MATCH($E9,角色面板!$A$18:$A$21,0)),0)+$AW9*Boss参数!$B$12+IF($B9&lt;=$AG9,$AF9,0)+$EI9+IF($L9="LILYA_DIVE",IF($U9=1,IF($G9=1,0.3,IF($G9=2,0.4,0.5)),IF($U9=2,IF($G9=1,0.6,IF($G9=2,0.8,1)),0)),0)+$R9+IF(AND($E9="J",OR($L9="J_COUNTER",$L9="J_HARD")),Boss参数!$B$79,0)+IF(AND(OR(L9="J_COUNTER",L9="J_HARD"),FA9&gt;=Boss参数!$B$59),FA9*Boss参数!$B$40,0))</f>
        <v>0.2</v>
      </c>
      <c r="BC9" s="10">
        <f>IF($E9="","",IFERROR(INDEX(角色面板!$K$18:$K$21,MATCH($E9,角色面板!$A$18:$A$21,0)),0)+IF($B9&lt;=$AH9,Boss参数!$B$46,0)+IF($E9="红弩箭",IF($U9=1,0.6,IF($U9=2,1.2,0))+$W9*0.06,0))-DI9*Boss参数!$B$23</f>
        <v>-0.25</v>
      </c>
      <c r="BD9" s="10">
        <f>IF($E9="","",IFERROR(INDEX(角色面板!$L$18:$L$21,MATCH($E9,角色面板!$A$18:$A$21,0)),0)+IF($B9&lt;=$AH9,Boss参数!$B$46,0)+IF($E9="J",$AL9*Boss参数!$B$16,0)+IF($E9="红弩箭",$X9*0.025,0)+IF(AND($L9="LILYA_ULT",$X9&gt;=6),1,0))-DI9*Boss参数!$B$23</f>
        <v>0.18999999999999997</v>
      </c>
      <c r="BE9" s="10">
        <f>IF($E9="","",IF($H9="洞知",IF($E9="红弩箭",$AO9*Boss参数!$B$15,0)+$AX9*Boss参数!$B$14,0))</f>
        <v>0</v>
      </c>
      <c r="BF9" s="10">
        <f t="shared" si="1"/>
        <v>0</v>
      </c>
      <c r="BG9" s="10">
        <f>IF($D9="",0,IF(AND($L9&lt;&gt;"LILYA_DIVE",$L9&lt;&gt;"LILYA_ULT",$L9&lt;&gt;"LILYA_INSIGHT",$L9&lt;&gt;"LILYA_FINISH",$L9&lt;&gt;"37_FOLLOW",$L9&lt;&gt;"RHI_ATTACK",$L9&lt;&gt;"RHI_BERRY",$L9&lt;&gt;"J_COUNTER",$L9&lt;&gt;"J_ULT"),$J9,0)+IF($L9="LILYA_DIVE",$J9+IF($U9=1,IF($G9=1,6,IF($G9=2,12,18)),IF($U9=2,IF($G9=1,12,IF($G9=2,24,36)),0)),0)+IF($L9="LILYA_ULT",$J9+IF($X9&gt;=6,18,0),0)+IF($L9="LILYA_INSIGHT",IF($Y9=1,IF(MOD($AA9+1,3)=0,32,15),0),0)+IF($L9="LILYA_FINISH",IF($Y9=1,50+2.5*$Z9,0),0)+IF($L9="37_FOLLOW",$J9,0)+IF($L9="RHI_ATTACK",$J9*IF($B9&lt;=$AJ9,2,1),0)+IF($L9="RHI_BERRY",15+1.5*$AV9,0)+IF($L9="J_COUNTER",$J9+$AD9*Boss参数!$B$39,0)+IF($L9="J_ULT",$J9+Boss参数!$B$45*MAX(0,$AE9+$AD9-Boss参数!$I$4),0)+$S9)</f>
        <v>3.1</v>
      </c>
      <c r="BH9" s="10">
        <f t="shared" si="2"/>
        <v>0</v>
      </c>
      <c r="BI9" s="10">
        <f>IF(E9="","",IF(DT9=1,1+Boss参数!$B$8+AV9*Boss参数!$B$19,1))</f>
        <v>1</v>
      </c>
      <c r="BJ9" s="9">
        <f>IF($I9="现实",Boss参数!$C$4,IF($I9="精神",Boss参数!$D$4,0))</f>
        <v>1200</v>
      </c>
      <c r="BK9" s="9">
        <f>IF($E9="","",MAX($AY9*Boss参数!$B$9,$AY9-$BJ9*(1-$BF9)))</f>
        <v>744</v>
      </c>
      <c r="BL9" s="10">
        <f>MAX(0,Boss参数!$F$4+IF(DT9=0,Boss参数!$B$27,0)-EJ9)</f>
        <v>1.4</v>
      </c>
      <c r="BM9" s="10">
        <f>Boss参数!$G$4+DU9-IF(Y9=1,Boss参数!$B$11,0)</f>
        <v>0.45</v>
      </c>
      <c r="BN9" s="10">
        <f>IF($E9="","",MAX(Boss参数!$B$10,1+IFERROR(INDEX(角色面板!$I$18:$I$21,MATCH($E9,角色面板!$A$18:$A$21,0)),0)+$BB9+Boss参数!$H$4-$BM9))</f>
        <v>0.77499999999999991</v>
      </c>
      <c r="BO9" s="10">
        <f>IF(E9="","",IF(OR(L9="J_COUNTER",L9="J_HARD"),MAX(0,1+INDEX(角色面板!$K$18:$K$21,MATCH(E9,角色面板!$A$18:$A$21,0))-DI9*Boss参数!$B$23+IF(OR(Boss参数!$B$43=1,L9="J_HARD"),IF(B9&lt;=AH9,Boss参数!$B$46,0),0)),MAX(0,IF(OR(H9="术法",L9="RHI_BERRY",AND(L9="37_FOLLOW",Boss参数!$B$31=1)),1+BC9,IF(H9="仪式",1+BD9,IF(H9="洞知",EK9,1))))))</f>
        <v>0.75</v>
      </c>
      <c r="BP9" s="10">
        <f t="shared" si="3"/>
        <v>1.1000000000000001</v>
      </c>
      <c r="BQ9" s="1">
        <f t="shared" si="4"/>
        <v>1340.5949999999998</v>
      </c>
      <c r="BR9" s="1">
        <f t="shared" si="5"/>
        <v>1474.6544999999999</v>
      </c>
      <c r="BS9" s="1">
        <f>IF(BH9=0,0,ROUNDDOWN(AY9*BH9,0)*DV9*IF(Boss参数!$B$29=1,BN9,1)*IF(Boss参数!$B$33=1,BO9,1)*IF(Boss参数!$B$76=1,1-ES9,1))</f>
        <v>0</v>
      </c>
      <c r="BT9" s="1">
        <f t="shared" si="6"/>
        <v>0</v>
      </c>
      <c r="BU9" s="9">
        <f>IF(D9="",0,MIN(IF(Boss参数!$B$77=1,Boss参数!$B$63*Boss参数!$B$62,Boss参数!$B$61*Boss参数!$B$62),DW9+ROUNDDOWN(BS9,0)+ROUNDDOWN(DW9*Q9,0)))</f>
        <v>1340</v>
      </c>
      <c r="BV9" s="9">
        <f>IF(D9="",0,MIN(IF(Boss参数!$B$77=1,Boss参数!$B$63*Boss参数!$B$62,Boss参数!$B$61*Boss参数!$B$62),DX9+ROUNDDOWN(BT9,0)+ROUNDDOWN(DX9*Q9,0)))</f>
        <v>1474</v>
      </c>
      <c r="BW9" s="9">
        <f t="shared" si="7"/>
        <v>1429</v>
      </c>
      <c r="BX9" s="1" t="str">
        <f t="shared" si="8"/>
        <v/>
      </c>
      <c r="BY9" s="1">
        <f t="shared" si="9"/>
        <v>1</v>
      </c>
      <c r="BZ9" s="1">
        <f t="shared" si="10"/>
        <v>0</v>
      </c>
      <c r="CA9" s="1">
        <f>MIN(10,W9+IF(AND(L9="LILYA_COBRA",COUNTIF($L$3:L9,"LILYA_COBRA")=1),5,0)+IF(AND(L9="LILYA_DIVE",U9=1,COUNTIFS($DG$3:DG9,DG9,$L$3:L9,"LILYA_DIVE")=1),2,0)+IF(AND(FE9=1,U9=1),3,0))</f>
        <v>10</v>
      </c>
      <c r="CB9" s="1">
        <f>MIN(20,MAX(0,X9+IF(L9="LILYA_COBRA",IF(COUNTIF($L$3:L9,"LILYA_COBRA")=1,6,IF(U9=1,MAX(1,G9),IF(U9=2,2*MAX(1,G9),0))),0)+IF(AND(Y9=1,E9="红弩箭",L9&lt;&gt;"ENTER_INSIGHT"),1,0)-IF(AND(L9="LILYA_ULT",X9&gt;=6),6,0)))</f>
        <v>6</v>
      </c>
      <c r="CC9" s="1">
        <f t="shared" si="11"/>
        <v>0</v>
      </c>
      <c r="CD9" s="1">
        <f t="shared" si="12"/>
        <v>0</v>
      </c>
      <c r="CE9" s="1">
        <f t="shared" si="13"/>
        <v>0</v>
      </c>
      <c r="CF9" s="1">
        <f t="shared" si="14"/>
        <v>1</v>
      </c>
      <c r="CG9" s="1">
        <f t="shared" si="15"/>
        <v>0</v>
      </c>
      <c r="CH9" s="1">
        <f>MIN(35,AD9+IF(L9="J_HARD",6,0)+IF(L9="J_COUNTER",Boss参数!$B$30,0))</f>
        <v>4</v>
      </c>
      <c r="CI9" s="1">
        <f>MIN(Boss参数!$I$4,AE9+IF(L9="J_HARD",6,0)+IF(L9="J_ULT",AD9,0)+IF(L9="J_COUNTER",Boss参数!$B$30,0))</f>
        <v>4</v>
      </c>
      <c r="CJ9" s="10">
        <f>IF(L9="J_ULT",AD9*Boss参数!$B$41,IF(B9&lt;=AG9,AF9,0))</f>
        <v>0</v>
      </c>
      <c r="CK9" s="1">
        <f t="shared" si="16"/>
        <v>0</v>
      </c>
      <c r="CL9" s="1">
        <f t="shared" si="17"/>
        <v>3</v>
      </c>
      <c r="CM9" s="1">
        <f t="shared" si="18"/>
        <v>0</v>
      </c>
      <c r="CN9" s="1">
        <f t="shared" si="19"/>
        <v>0</v>
      </c>
      <c r="CO9" s="1">
        <f t="shared" si="20"/>
        <v>0</v>
      </c>
      <c r="CP9" s="1">
        <f t="shared" si="21"/>
        <v>2</v>
      </c>
      <c r="CQ9" s="1">
        <f t="shared" si="22"/>
        <v>0</v>
      </c>
      <c r="CR9" s="1">
        <f t="shared" si="23"/>
        <v>0</v>
      </c>
      <c r="CS9" s="1">
        <f t="shared" si="24"/>
        <v>0</v>
      </c>
      <c r="CT9" s="10">
        <f t="shared" si="25"/>
        <v>0</v>
      </c>
      <c r="CU9" s="1">
        <f t="shared" si="26"/>
        <v>0</v>
      </c>
      <c r="CV9" s="10">
        <f t="shared" si="27"/>
        <v>0</v>
      </c>
      <c r="CW9" s="1">
        <f t="shared" si="28"/>
        <v>0</v>
      </c>
      <c r="CX9" s="10">
        <f t="shared" si="29"/>
        <v>0</v>
      </c>
      <c r="CY9" s="1">
        <f t="shared" si="30"/>
        <v>0</v>
      </c>
      <c r="CZ9" s="1"/>
      <c r="DA9" s="1"/>
      <c r="DB9" s="1"/>
      <c r="DC9" s="1"/>
      <c r="DD9" s="1"/>
      <c r="DE9" s="1"/>
      <c r="DF9" s="1"/>
      <c r="DG9" s="1">
        <f>IF(D9="","",行动模拟!B15)</f>
        <v>1</v>
      </c>
      <c r="DH9" s="1" t="str">
        <f>IF(L9="END_TURN","回合结束",IF(D9="","",IF(INDEX(回合状态!$C$7:$C$17,MATCH(DG9,回合状态!$A$7:$A$17,0))="洞穿","洞穿",IF(OR(L9="J_COUNTER",L9="BOSS_ACTION",L9="BOSS_CONSERVATIVE"),"敌方",IF(AND(L9="37_FOLLOW",DG9=DG8,DH8="敌方"),"敌方",IF(INDEX(回合状态!$C$7:$C$17,MATCH(DG9,回合状态!$A$7:$A$17,0))="普通","出牌",INDEX(回合状态!$C$7:$C$17,MATCH(DG9,回合状态!$A$7:$A$17,0))))))))</f>
        <v>敌方</v>
      </c>
      <c r="DI9" s="1">
        <f t="shared" si="31"/>
        <v>1</v>
      </c>
      <c r="DJ9" s="1">
        <f>IF(D9="",0,MIN(Boss参数!$B$25,IF(OR(AND(DH9="敌方",OR(DH8&lt;&gt;"敌方",DG9&lt;&gt;DG8)),AND(L9="END_TURN",DH9&lt;&gt;"洞穿"),AND(DG9&lt;&gt;DG8,DH8&lt;&gt;"洞穿",L8&lt;&gt;"END_TURN",COUNTIFS($DG$3:DG8,DG8,$DH$3:DH8,"敌方")=0)),EW9,DN8)))</f>
        <v>3</v>
      </c>
      <c r="DK9" s="1">
        <f>IF(D9="",0,MIN(Boss参数!$B$25,IF(OR(AND(DH9="敌方",OR(DH8&lt;&gt;"敌方",DG9&lt;&gt;DG8)),AND(L9="END_TURN",DH9&lt;&gt;"洞穿"),AND(DG9&lt;&gt;DG8,DH8&lt;&gt;"洞穿",L8&lt;&gt;"END_TURN",COUNTIFS($DG$3:DG8,DG8,$DH$3:DH8,"敌方")=0)),EW9,DO8)))</f>
        <v>1</v>
      </c>
      <c r="DL9" s="1">
        <f>IF(D9="",0,MIN(Boss参数!$B$25,IF(OR(AND(DH9="敌方",OR(DH8&lt;&gt;"敌方",DG9&lt;&gt;DG8)),AND(L9="END_TURN",DH9&lt;&gt;"洞穿"),AND(DG9&lt;&gt;DG8,DH8&lt;&gt;"洞穿",L8&lt;&gt;"END_TURN",COUNTIFS($DG$3:DG8,DG8,$DH$3:DH8,"敌方")=0)),EW9,DP8)))</f>
        <v>3</v>
      </c>
      <c r="DM9" s="1">
        <f>IF(D9="",0,MIN(Boss参数!$B$25,IF(OR(AND(DH9="敌方",OR(DH8&lt;&gt;"敌方",DG9&lt;&gt;DG8)),AND(L9="END_TURN",DH9&lt;&gt;"洞穿"),AND(DG9&lt;&gt;DG8,DH8&lt;&gt;"洞穿",L8&lt;&gt;"END_TURN",COUNTIFS($DG$3:DG8,DG8,$DH$3:DH8,"敌方")=0)),EW9,DQ8)))</f>
        <v>1</v>
      </c>
      <c r="DN9" s="1">
        <f>MAX(0,MIN(Boss参数!$B$25,DJ9+DR9)-IF(E9="红弩箭",2*DR9,0))</f>
        <v>4</v>
      </c>
      <c r="DO9" s="1">
        <f>MAX(0,MIN(Boss参数!$B$25,DK9+DR9)-IF(E9="37",2*DR9,0))</f>
        <v>2</v>
      </c>
      <c r="DP9" s="1">
        <f>MAX(0,MIN(Boss参数!$B$25,DL9+DR9)-IF(E9="小瑞安侬",2*DR9,0))</f>
        <v>4</v>
      </c>
      <c r="DQ9" s="1">
        <f>MAX(0,MIN(Boss参数!$B$25,DM9+DR9)-IF(E9="J",2*DR9,0))</f>
        <v>0</v>
      </c>
      <c r="DR9" s="1">
        <f t="shared" si="32"/>
        <v>1</v>
      </c>
      <c r="DS9" s="1">
        <f t="shared" si="33"/>
        <v>0</v>
      </c>
      <c r="DT9" s="1">
        <f>IF(OR(E9="",E9="系统"),0,IF(OR(AND(DS9=1,Boss参数!$B$32=1),L9="RHI_BERRY",OR(AND(INDEX(角色面板!$B$18:$B$21,MATCH(E9,角色面板!$A$18:$A$21,0))="星",Boss参数!$B$4="岩"),AND(INDEX(角色面板!$B$18:$B$21,MATCH(E9,角色面板!$A$18:$A$21,0))="岩",Boss参数!$B$4="兽"),AND(INDEX(角色面板!$B$18:$B$21,MATCH(E9,角色面板!$A$18:$A$21,0))="兽",Boss参数!$B$4="木"),AND(INDEX(角色面板!$B$18:$B$21,MATCH(E9,角色面板!$A$18:$A$21,0))="木",Boss参数!$B$4="星"),AND(INDEX(角色面板!$B$18:$B$21,MATCH(E9,角色面板!$A$18:$A$21,0))="智",Boss参数!$B$4="灵"),AND(INDEX(角色面板!$B$18:$B$21,MATCH(E9,角色面板!$A$18:$A$21,0))="灵",Boss参数!$B$4="智"))),1,0))</f>
        <v>0</v>
      </c>
      <c r="DU9" s="1">
        <f>IF(D9="",0,INDEX(回合状态!$E$7:$E$17,MATCH(DG9,回合状态!$A$7:$A$17,0))+IF(AND(DH9="敌方",OR(INDEX(回合状态!$C$7:$C$17,MATCH(DG9,回合状态!$A$7:$A$17,0))="普通",INDEX(回合状态!$C$7:$C$17,MATCH(DG9,回合状态!$A$7:$A$17,0))="额外")),0.05,0))</f>
        <v>0.05</v>
      </c>
      <c r="DV9" s="1">
        <f>MAX(Boss参数!$B$28,1+IF(AND(E9="37",AC9&gt;0,BH9&gt;0),Boss参数!$B$42,0)-DI9*Boss参数!$B$24+EA9-ER9)</f>
        <v>0.85</v>
      </c>
      <c r="DW9" s="1">
        <f>MIN(IF(Boss参数!$B$77=1,Boss参数!$B$63*Boss参数!$B$62,Boss参数!$B$61*Boss参数!$B$62),ROUNDDOWN(BQ9*(1-ES9),0))</f>
        <v>1340</v>
      </c>
      <c r="DX9" s="1">
        <f>MIN(IF(Boss参数!$B$77=1,Boss参数!$B$63*Boss参数!$B$62,Boss参数!$B$61*Boss参数!$B$62),ROUNDDOWN(BR9*(1-ES9),0))</f>
        <v>1474</v>
      </c>
      <c r="DY9" s="1">
        <f t="shared" si="65"/>
        <v>0</v>
      </c>
      <c r="DZ9" s="1">
        <f>IF(L9="RHI_ULT",MIN(Boss参数!$B$48,ROUNDDOWN(AY9*Boss参数!$B$47,0)),DY9)</f>
        <v>0</v>
      </c>
      <c r="EA9" s="11">
        <v>0</v>
      </c>
      <c r="EB9" s="1">
        <f t="shared" si="34"/>
        <v>0</v>
      </c>
      <c r="EC9" s="1">
        <f>SUMIFS($EB$3:EB9,$B$3:B9,"&gt;="&amp;MAX(1,B9-2),$B$3:B9,"&lt;="&amp;B9)*Boss参数!$B$51</f>
        <v>4</v>
      </c>
      <c r="ED9" s="1">
        <f>IF(D9="",EG8,IF(AND(DG9&lt;&gt;DG8,DH9&lt;&gt;"洞穿"),MIN(Boss参数!$B$55,EG8+2),EG8))</f>
        <v>0</v>
      </c>
      <c r="EE9" s="1">
        <f t="shared" si="35"/>
        <v>0</v>
      </c>
      <c r="EF9" s="1">
        <f>IF(AND(OR(L9="END_TURN",AND(DH9="敌方",OR(DH8&lt;&gt;"敌方",DG9&lt;&gt;DG8))),SUMIFS($EF$3:EF8,$DG$3:DG8,DG9)=0),MIN(1,MAX(0,ED9-EE9)),0)</f>
        <v>0</v>
      </c>
      <c r="EG9" s="1">
        <f t="shared" si="36"/>
        <v>0</v>
      </c>
      <c r="EH9" s="11">
        <f>Boss参数!$B$53-IF(Y9=1,Boss参数!$B$54,0)</f>
        <v>0</v>
      </c>
      <c r="EI9" s="11">
        <f t="shared" si="37"/>
        <v>0</v>
      </c>
      <c r="EJ9" s="11">
        <f t="shared" si="38"/>
        <v>0</v>
      </c>
      <c r="EK9" s="11">
        <f t="shared" si="39"/>
        <v>1</v>
      </c>
      <c r="EL9" s="1">
        <f t="shared" si="66"/>
        <v>0</v>
      </c>
      <c r="EM9" s="1">
        <f>IF(AND(DG9&lt;&gt;DG8,DH9="洞穿"),0,IF(L9="ENTER_INSIGHT",Boss参数!$B$57,EO8))</f>
        <v>0</v>
      </c>
      <c r="EN9" s="11">
        <f>IF(AND(Y9=1,H9="洞知",EM9&gt;0),Boss参数!$B$56,0)</f>
        <v>0</v>
      </c>
      <c r="EO9" s="1">
        <f t="shared" si="40"/>
        <v>0</v>
      </c>
      <c r="EP9" s="12">
        <f t="shared" si="67"/>
        <v>82886</v>
      </c>
      <c r="EQ9" s="12">
        <f>ROUNDDOWN(EP9/Boss参数!$B$62,0)</f>
        <v>0</v>
      </c>
      <c r="ER9" s="11">
        <f>IF(EQ9&gt;=Boss参数!$B$66,Boss参数!$B$69,IF(EQ9&gt;=Boss参数!$B$65,Boss参数!$B$68,IF(EQ9&gt;=Boss参数!$B$64,Boss参数!$B$67,0)))</f>
        <v>0</v>
      </c>
      <c r="ES9" s="11">
        <f>MIN(1,IF(EQ9&gt;=Boss参数!$B$66,Boss参数!$B$72+ROUNDDOWN((EQ9-Boss参数!$B$66)/Boss参数!$B$73,0)*Boss参数!$B$74,IF(EQ9&gt;=Boss参数!$B$65,Boss参数!$B$71,IF(EQ9&gt;=Boss参数!$B$64,Boss参数!$B$70,0))))</f>
        <v>0</v>
      </c>
      <c r="ET9" s="12">
        <f>MIN(Boss参数!$B$61*Boss参数!$B$62,EP9+IF(AND(Boss参数!$B$60=1,ISNUMBER(验证表!H15)),验证表!H15,EU9))</f>
        <v>84360</v>
      </c>
      <c r="EU9" s="12">
        <f>IF(D9="",0,IF(验证表!G15="是",BV9,IF(验证表!G15="否",BU9,BW9)))</f>
        <v>1474</v>
      </c>
      <c r="EV9" s="12">
        <f>IF(EQ9&gt;=Boss参数!$B$66,2,IF(EQ9&gt;=Boss参数!$B$65,1,0))</f>
        <v>0</v>
      </c>
      <c r="EW9" s="12">
        <f t="shared" si="41"/>
        <v>1</v>
      </c>
      <c r="EX9" s="1">
        <f>IF(D9="",0,INDEX(回合状态!$D$7:$D$17,MATCH(DG9,回合状态!$A$7:$A$17,0)))</f>
        <v>1</v>
      </c>
      <c r="EY9" s="1">
        <f>IF(OR(L9="RHI_ATTACK",L9="RHI_BUFF"),1,IF(L9="RHI_ULT",Boss参数!$B$52,0))</f>
        <v>0</v>
      </c>
      <c r="EZ9" s="1">
        <f>MIN(6,SUMIFS($EY$3:EY9,$EX$3:EX9,"&gt;="&amp;MAX(1,EX9-Boss参数!$B$87+1),$EX$3:EX9,"&lt;="&amp;EX9))</f>
        <v>1</v>
      </c>
      <c r="FA9" s="1">
        <f t="shared" si="68"/>
        <v>0</v>
      </c>
      <c r="FB9" s="17">
        <f>IF(L9="BOSS_CONSERVATIVE",B9+Boss参数!$B$91,FB8)</f>
        <v>0</v>
      </c>
      <c r="FC9" s="17">
        <f t="shared" si="69"/>
        <v>0</v>
      </c>
      <c r="FD9" s="17">
        <f>IF(D9="",FD8,FD8+IF(AND(DG9&lt;&gt;DG8,INDEX(回合状态!$C$7:$C$17,MATCH(DG9,回合状态!$A$7:$A$17,0))&lt;&gt;"洞穿"),1,0))</f>
        <v>1</v>
      </c>
      <c r="FE9" s="17">
        <f>IF(D9="",0,IF(AND(OR(L9="END_TURN",DH9="敌方"),INDEX(回合状态!$C$7:$C$17,MATCH(DG9,回合状态!$A$7:$A$17,0))&lt;&gt;"洞穿",SUMIFS($FE$3:FE8,$DG$3:DG8,DG9)=0),1,0))</f>
        <v>0</v>
      </c>
    </row>
    <row r="10" spans="1:161" ht="84.95" customHeight="1">
      <c r="A10" s="1">
        <f>行动模拟!A16</f>
        <v>8</v>
      </c>
      <c r="B10" s="1">
        <f>IF(D10="",0,INDEX(回合状态!$B$7:$B$17,MATCH(DG10,回合状态!$A$7:$A$17,0)))</f>
        <v>1</v>
      </c>
      <c r="C10" s="1">
        <f>行动模拟!C16</f>
        <v>8</v>
      </c>
      <c r="D10" s="1" t="str">
        <f>IF(行动模拟!D16="","",行动模拟!D16)</f>
        <v>J｜高温回火</v>
      </c>
      <c r="E10" s="1" t="str">
        <f>IF($D10="","",IFERROR(INDEX(技能数据库!$B$4:$B$38,MATCH($D10,技能数据库!$A$4:$A$38,0)),""))</f>
        <v>J</v>
      </c>
      <c r="F10" s="1" t="str">
        <f>IF($D10="","",IFERROR(INDEX(技能数据库!$C$4:$C$38,MATCH($D10,技能数据库!$A$4:$A$38,0)),""))</f>
        <v>高温回火</v>
      </c>
      <c r="G10" s="1">
        <f>IF($D10="","",IFERROR(INDEX(技能数据库!$D$4:$D$38,MATCH($D10,技能数据库!$A$4:$A$38,0)),""))</f>
        <v>0</v>
      </c>
      <c r="H10" s="1" t="str">
        <f>IF($D10="","",IFERROR(INDEX(技能数据库!$E$4:$E$38,MATCH($D10,技能数据库!$A$4:$A$38,0)),""))</f>
        <v>反击</v>
      </c>
      <c r="I10" s="1" t="str">
        <f>IF($D10="","",IFERROR(INDEX(技能数据库!$F$4:$F$38,MATCH($D10,技能数据库!$A$4:$A$38,0)),""))</f>
        <v>现实</v>
      </c>
      <c r="J10" s="1">
        <f>IF($D10="","",IFERROR(INDEX(技能数据库!$G$4:$G$38,MATCH($D10,技能数据库!$A$4:$A$38,0)),""))</f>
        <v>3</v>
      </c>
      <c r="K10" s="1">
        <f>IF($D10="","",IFERROR(INDEX(技能数据库!$H$4:$H$38,MATCH($D10,技能数据库!$A$4:$A$38,0)),""))</f>
        <v>0</v>
      </c>
      <c r="L10" s="1" t="str">
        <f>IF($D10="","",IFERROR(INDEX(技能数据库!$I$4:$I$38,MATCH($D10,技能数据库!$A$4:$A$38,0)),""))</f>
        <v>J_COUNTER</v>
      </c>
      <c r="M10" s="10">
        <v>1</v>
      </c>
      <c r="N10" s="1"/>
      <c r="O10" s="1"/>
      <c r="P10" s="1"/>
      <c r="Q10" s="10">
        <f t="shared" si="0"/>
        <v>0</v>
      </c>
      <c r="R10" s="10">
        <v>0</v>
      </c>
      <c r="S10" s="10">
        <v>0</v>
      </c>
      <c r="T10" s="1">
        <f>行动模拟!I16</f>
        <v>0</v>
      </c>
      <c r="U10" s="1">
        <f>IF(FD10&lt;&gt;FD9,IF(BY9=1,IF(MIN(10,CA9+IF(AND(DG10&lt;&gt;DG9,DH9&lt;&gt;"洞穿",SUMIFS($FE$3:FE9,$DG$3:DG9,DG9)=0,BY9=1),3,0))&gt;=10,2,1),IF(BY9=2,IF(BZ9&lt;=1,0,2),0)),BY9)</f>
        <v>1</v>
      </c>
      <c r="V10" s="1">
        <f>IF(FD10&lt;&gt;FD9,IF(BY9=1,IF(MIN(10,CA9+IF(AND(DG10&lt;&gt;DG9,DH9&lt;&gt;"洞穿",SUMIFS($FE$3:FE9,$DG$3:DG9,DG9)=0,BY9=1),3,0))&gt;=10,2,0),IF(BY9=2,MAX(0,BZ9-1),0)),BZ9)</f>
        <v>0</v>
      </c>
      <c r="W10" s="1">
        <f>IF(AND(FD10&lt;&gt;FD9,BY9=2,BZ9&lt;=1),0,MIN(10,CA9+IF(AND(DG10&lt;&gt;DG9,DH9&lt;&gt;"洞穿",SUMIFS($FE$3:FE9,$DG$3:DG9,DG9)=0,BY9=1),3,0)))</f>
        <v>10</v>
      </c>
      <c r="X10" s="1">
        <f t="shared" si="42"/>
        <v>6</v>
      </c>
      <c r="Y10" s="1">
        <f t="shared" si="43"/>
        <v>0</v>
      </c>
      <c r="Z10" s="1">
        <f t="shared" si="44"/>
        <v>0</v>
      </c>
      <c r="AA10" s="1">
        <f t="shared" si="45"/>
        <v>0</v>
      </c>
      <c r="AB10" s="1">
        <f t="shared" si="46"/>
        <v>1</v>
      </c>
      <c r="AC10" s="1">
        <f t="shared" si="47"/>
        <v>0</v>
      </c>
      <c r="AD10" s="1">
        <f t="shared" si="48"/>
        <v>4</v>
      </c>
      <c r="AE10" s="1">
        <f>IF(D10="",0,IF(DG10&lt;&gt;DG9,IFERROR(INDEX(回合状态!$F$7:$F$17,MATCH(DG10,回合状态!$A$7:$A$17,0)),0),CI9))</f>
        <v>4</v>
      </c>
      <c r="AF10" s="10">
        <f t="shared" si="49"/>
        <v>0</v>
      </c>
      <c r="AG10" s="1">
        <f t="shared" si="50"/>
        <v>0</v>
      </c>
      <c r="AH10" s="1">
        <f t="shared" si="51"/>
        <v>3</v>
      </c>
      <c r="AI10" s="1">
        <f t="shared" si="52"/>
        <v>0</v>
      </c>
      <c r="AJ10" s="1">
        <f t="shared" si="53"/>
        <v>0</v>
      </c>
      <c r="AK10" s="1">
        <f t="shared" si="54"/>
        <v>0</v>
      </c>
      <c r="AL10" s="1">
        <f t="shared" si="55"/>
        <v>2</v>
      </c>
      <c r="AM10" s="1">
        <f t="shared" si="56"/>
        <v>0</v>
      </c>
      <c r="AN10" s="1">
        <f t="shared" si="57"/>
        <v>0</v>
      </c>
      <c r="AO10" s="1">
        <f t="shared" si="58"/>
        <v>0</v>
      </c>
      <c r="AP10" s="10">
        <f t="shared" si="59"/>
        <v>0</v>
      </c>
      <c r="AQ10" s="1">
        <f t="shared" si="60"/>
        <v>0</v>
      </c>
      <c r="AR10" s="10">
        <f t="shared" si="61"/>
        <v>0</v>
      </c>
      <c r="AS10" s="1">
        <f t="shared" si="62"/>
        <v>0</v>
      </c>
      <c r="AT10" s="10">
        <f t="shared" si="63"/>
        <v>0</v>
      </c>
      <c r="AU10" s="1">
        <f t="shared" si="64"/>
        <v>0</v>
      </c>
      <c r="AV10" s="1">
        <f>MIN(5,SUMIFS($EL$3:EL10,$B$3:B10,"&gt;="&amp;MAX(1,B10-2),$B$3:B10,"&lt;="&amp;B10)+EC10)</f>
        <v>5</v>
      </c>
      <c r="AW10" s="1">
        <f>MIN(6,SUMIFS($EY$3:EY9,$EX$3:EX9,"&gt;="&amp;MAX(1,EX10-Boss参数!$B$87+1),$EX$3:EX9,"&lt;="&amp;EX10))</f>
        <v>1</v>
      </c>
      <c r="AX10" s="1">
        <f>MIN(4,COUNTIFS($B$3:$B$9,"&gt;="&amp;MAX(1,$B10-2),$B$3:$B$9,"&lt;="&amp;$B10,$L$3:$L$9,"37_FOLLOW"))</f>
        <v>1</v>
      </c>
      <c r="AY10" s="9">
        <f>IF($E10="","",IF($E10="系统",0,ROUNDDOWN(INDEX(角色面板!$C$4:$C$7,MATCH($E10,角色面板!$A$4:$A$7,0))*(1+INDEX(角色面板!$C$11:$C$14,MATCH($E10,角色面板!$A$11:$A$14,0))+IF($E10="小瑞安侬",MAX(IF($B10&lt;=$AQ10,$AP10,0),IF(AND($L10="RHI_ATTACK",$EE10&gt;0),0.11+0.01*$G10,0)),0)+IF($E10="J",$AD10*Boss参数!$B$18,0))+IF(FD10&lt;=$AN10,MIN(Boss参数!$B$21,ROUNDDOWN(角色面板!$C$19*Boss参数!$B$20,0)),0)+IF(AND($B10&lt;=$AK10,$E10&lt;&gt;"小瑞安侬"),$DY10,0),0)))</f>
        <v>1982</v>
      </c>
      <c r="AZ10" s="10">
        <f>IF($E10="","",MAX(0,MIN(1,IFERROR(INDEX(角色面板!$G$18:$G$21,MATCH($E10,角色面板!$A$18:$A$21,0)),0)-FC10*Boss参数!$B$89-Boss参数!$E$4)))</f>
        <v>0.66700000000000004</v>
      </c>
      <c r="BA10" s="10">
        <f>IF(E10="","",(IF($E10="","",IF($E10="红弩箭",Boss参数!$B$80,IF($E10="J",Boss参数!$B$81,IFERROR(INDEX(角色面板!$H$18:$H$21,MATCH($E10,角色面板!$A$18:$A$21,0)),0)))+IF($B10&lt;=$AI10,Boss参数!$B$13,0)+MIN(30,$AM10)*Boss参数!$B$17+IF(AND($L10="LILYA_ULT",$X10&gt;=6),1,0)+IF(AND($Y10=1,$L10="LILYA_INSIGHT"),IF(MOD($AA10+1,3)=0,Boss参数!$B$83,Boss参数!$B$82),IF(AND($Y10=1,$L10="LILYA_FINISH"),Boss参数!$B$84,0))))-FC10*Boss参数!$B$90)</f>
        <v>1.7170000000000001</v>
      </c>
      <c r="BB10" s="10">
        <f>IF($E10="","",IFERROR(INDEX(角色面板!$M$18:$M$21,MATCH($E10,角色面板!$A$18:$A$21,0)),0)+$AW10*Boss参数!$B$12+IF($B10&lt;=$AG10,$AF10,0)+$EI10+IF($L10="LILYA_DIVE",IF($U10=1,IF($G10=1,0.3,IF($G10=2,0.4,0.5)),IF($U10=2,IF($G10=1,0.6,IF($G10=2,0.8,1)),0)),0)+$R10+IF(AND($E10="J",OR($L10="J_COUNTER",$L10="J_HARD")),Boss参数!$B$79,0)+IF(AND(OR(L10="J_COUNTER",L10="J_HARD"),FA10&gt;=Boss参数!$B$59),FA10*Boss参数!$B$40,0))</f>
        <v>0.2</v>
      </c>
      <c r="BC10" s="10">
        <f>IF($E10="","",IFERROR(INDEX(角色面板!$K$18:$K$21,MATCH($E10,角色面板!$A$18:$A$21,0)),0)+IF($B10&lt;=$AH10,Boss参数!$B$46,0)+IF($E10="红弩箭",IF($U10=1,0.6,IF($U10=2,1.2,0))+$W10*0.06,0))-DI10*Boss参数!$B$23</f>
        <v>-0.10000000000000003</v>
      </c>
      <c r="BD10" s="10">
        <f>IF($E10="","",IFERROR(INDEX(角色面板!$L$18:$L$21,MATCH($E10,角色面板!$A$18:$A$21,0)),0)+IF($B10&lt;=$AH10,Boss参数!$B$46,0)+IF($E10="J",$AL10*Boss参数!$B$16,0)+IF($E10="红弩箭",$X10*0.025,0)+IF(AND($L10="LILYA_ULT",$X10&gt;=6),1,0))-DI10*Boss参数!$B$23</f>
        <v>0.38</v>
      </c>
      <c r="BE10" s="10">
        <f>IF($E10="","",IF($H10="洞知",IF($E10="红弩箭",$AO10*Boss参数!$B$15,0)+$AX10*Boss参数!$B$14,0))</f>
        <v>0</v>
      </c>
      <c r="BF10" s="10">
        <f t="shared" si="1"/>
        <v>0</v>
      </c>
      <c r="BG10" s="10">
        <f>IF($D10="",0,IF(AND($L10&lt;&gt;"LILYA_DIVE",$L10&lt;&gt;"LILYA_ULT",$L10&lt;&gt;"LILYA_INSIGHT",$L10&lt;&gt;"LILYA_FINISH",$L10&lt;&gt;"37_FOLLOW",$L10&lt;&gt;"RHI_ATTACK",$L10&lt;&gt;"RHI_BERRY",$L10&lt;&gt;"J_COUNTER",$L10&lt;&gt;"J_ULT"),$J10,0)+IF($L10="LILYA_DIVE",$J10+IF($U10=1,IF($G10=1,6,IF($G10=2,12,18)),IF($U10=2,IF($G10=1,12,IF($G10=2,24,36)),0)),0)+IF($L10="LILYA_ULT",$J10+IF($X10&gt;=6,18,0),0)+IF($L10="LILYA_INSIGHT",IF($Y10=1,IF(MOD($AA10+1,3)=0,32,15),0),0)+IF($L10="LILYA_FINISH",IF($Y10=1,50+2.5*$Z10,0),0)+IF($L10="37_FOLLOW",$J10,0)+IF($L10="RHI_ATTACK",$J10*IF($B10&lt;=$AJ10,2,1),0)+IF($L10="RHI_BERRY",15+1.5*$AV10,0)+IF($L10="J_COUNTER",$J10+$AD10*Boss参数!$B$39,0)+IF($L10="J_ULT",$J10+Boss参数!$B$45*MAX(0,$AE10+$AD10-Boss参数!$I$4),0)+$S10)</f>
        <v>3.2</v>
      </c>
      <c r="BH10" s="10">
        <f t="shared" si="2"/>
        <v>0</v>
      </c>
      <c r="BI10" s="10">
        <f>IF(E10="","",IF(DT10=1,1+Boss参数!$B$8+AV10*Boss参数!$B$19,1))</f>
        <v>1</v>
      </c>
      <c r="BJ10" s="9">
        <f>IF($I10="现实",Boss参数!$C$4,IF($I10="精神",Boss参数!$D$4,0))</f>
        <v>1200</v>
      </c>
      <c r="BK10" s="9">
        <f>IF($E10="","",MAX($AY10*Boss参数!$B$9,$AY10-$BJ10*(1-$BF10)))</f>
        <v>782</v>
      </c>
      <c r="BL10" s="10">
        <f>MAX(0,Boss参数!$F$4+IF(DT10=0,Boss参数!$B$27,0)-EJ10)</f>
        <v>1.4</v>
      </c>
      <c r="BM10" s="10">
        <f>Boss参数!$G$4+DU10-IF(Y10=1,Boss参数!$B$11,0)</f>
        <v>0.45</v>
      </c>
      <c r="BN10" s="10">
        <f>IF($E10="","",MAX(Boss参数!$B$10,1+IFERROR(INDEX(角色面板!$I$18:$I$21,MATCH($E10,角色面板!$A$18:$A$21,0)),0)+$BB10+Boss参数!$H$4-$BM10))</f>
        <v>0.77499999999999991</v>
      </c>
      <c r="BO10" s="10">
        <f>IF(E10="","",IF(OR(L10="J_COUNTER",L10="J_HARD"),MAX(0,1+INDEX(角色面板!$K$18:$K$21,MATCH(E10,角色面板!$A$18:$A$21,0))-DI10*Boss参数!$B$23+IF(OR(Boss参数!$B$43=1,L10="J_HARD"),IF(B10&lt;=AH10,Boss参数!$B$46,0),0)),MAX(0,IF(OR(H10="术法",L10="RHI_BERRY",AND(L10="37_FOLLOW",Boss参数!$B$31=1)),1+BC10,IF(H10="仪式",1+BD10,IF(H10="洞知",EK10,1))))))</f>
        <v>0.89999999999999991</v>
      </c>
      <c r="BP10" s="10">
        <f t="shared" si="3"/>
        <v>1.1000000000000001</v>
      </c>
      <c r="BQ10" s="1">
        <f t="shared" si="4"/>
        <v>1745.4239999999998</v>
      </c>
      <c r="BR10" s="1">
        <f t="shared" si="5"/>
        <v>1919.9663999999998</v>
      </c>
      <c r="BS10" s="1">
        <f>IF(BH10=0,0,ROUNDDOWN(AY10*BH10,0)*DV10*IF(Boss参数!$B$29=1,BN10,1)*IF(Boss参数!$B$33=1,BO10,1)*IF(Boss参数!$B$76=1,1-ES10,1))</f>
        <v>0</v>
      </c>
      <c r="BT10" s="1">
        <f t="shared" si="6"/>
        <v>0</v>
      </c>
      <c r="BU10" s="9">
        <f>IF(D10="",0,MIN(IF(Boss参数!$B$77=1,Boss参数!$B$63*Boss参数!$B$62,Boss参数!$B$61*Boss参数!$B$62),DW10+ROUNDDOWN(BS10,0)+ROUNDDOWN(DW10*Q10,0)))</f>
        <v>1745</v>
      </c>
      <c r="BV10" s="9">
        <f>IF(D10="",0,MIN(IF(Boss参数!$B$77=1,Boss参数!$B$63*Boss参数!$B$62,Boss参数!$B$61*Boss参数!$B$62),DX10+ROUNDDOWN(BT10,0)+ROUNDDOWN(DX10*Q10,0)))</f>
        <v>1919</v>
      </c>
      <c r="BW10" s="9">
        <f t="shared" si="7"/>
        <v>1861</v>
      </c>
      <c r="BX10" s="1" t="str">
        <f t="shared" si="8"/>
        <v/>
      </c>
      <c r="BY10" s="1">
        <f t="shared" si="9"/>
        <v>1</v>
      </c>
      <c r="BZ10" s="1">
        <f t="shared" si="10"/>
        <v>0</v>
      </c>
      <c r="CA10" s="1">
        <f>MIN(10,W10+IF(AND(L10="LILYA_COBRA",COUNTIF($L$3:L10,"LILYA_COBRA")=1),5,0)+IF(AND(L10="LILYA_DIVE",U10=1,COUNTIFS($DG$3:DG10,DG10,$L$3:L10,"LILYA_DIVE")=1),2,0)+IF(AND(FE10=1,U10=1),3,0))</f>
        <v>10</v>
      </c>
      <c r="CB10" s="1">
        <f>MIN(20,MAX(0,X10+IF(L10="LILYA_COBRA",IF(COUNTIF($L$3:L10,"LILYA_COBRA")=1,6,IF(U10=1,MAX(1,G10),IF(U10=2,2*MAX(1,G10),0))),0)+IF(AND(Y10=1,E10="红弩箭",L10&lt;&gt;"ENTER_INSIGHT"),1,0)-IF(AND(L10="LILYA_ULT",X10&gt;=6),6,0)))</f>
        <v>6</v>
      </c>
      <c r="CC10" s="1">
        <f t="shared" si="11"/>
        <v>0</v>
      </c>
      <c r="CD10" s="1">
        <f t="shared" si="12"/>
        <v>0</v>
      </c>
      <c r="CE10" s="1">
        <f t="shared" si="13"/>
        <v>0</v>
      </c>
      <c r="CF10" s="1">
        <f t="shared" si="14"/>
        <v>2</v>
      </c>
      <c r="CG10" s="1">
        <f t="shared" si="15"/>
        <v>0</v>
      </c>
      <c r="CH10" s="1">
        <f>MIN(35,AD10+IF(L10="J_HARD",6,0)+IF(L10="J_COUNTER",Boss参数!$B$30,0))</f>
        <v>6</v>
      </c>
      <c r="CI10" s="1">
        <f>MIN(Boss参数!$I$4,AE10+IF(L10="J_HARD",6,0)+IF(L10="J_ULT",AD10,0)+IF(L10="J_COUNTER",Boss参数!$B$30,0))</f>
        <v>6</v>
      </c>
      <c r="CJ10" s="10">
        <f>IF(L10="J_ULT",AD10*Boss参数!$B$41,IF(B10&lt;=AG10,AF10,0))</f>
        <v>0</v>
      </c>
      <c r="CK10" s="1">
        <f t="shared" si="16"/>
        <v>0</v>
      </c>
      <c r="CL10" s="1">
        <f t="shared" si="17"/>
        <v>3</v>
      </c>
      <c r="CM10" s="1">
        <f t="shared" si="18"/>
        <v>0</v>
      </c>
      <c r="CN10" s="1">
        <f t="shared" si="19"/>
        <v>0</v>
      </c>
      <c r="CO10" s="1">
        <f t="shared" si="20"/>
        <v>0</v>
      </c>
      <c r="CP10" s="1">
        <f t="shared" si="21"/>
        <v>3</v>
      </c>
      <c r="CQ10" s="1">
        <f t="shared" si="22"/>
        <v>0</v>
      </c>
      <c r="CR10" s="1">
        <f t="shared" si="23"/>
        <v>0</v>
      </c>
      <c r="CS10" s="1">
        <f t="shared" si="24"/>
        <v>0</v>
      </c>
      <c r="CT10" s="10">
        <f t="shared" si="25"/>
        <v>0</v>
      </c>
      <c r="CU10" s="1">
        <f t="shared" si="26"/>
        <v>0</v>
      </c>
      <c r="CV10" s="10">
        <f t="shared" si="27"/>
        <v>0</v>
      </c>
      <c r="CW10" s="1">
        <f t="shared" si="28"/>
        <v>0</v>
      </c>
      <c r="CX10" s="10">
        <f t="shared" si="29"/>
        <v>0</v>
      </c>
      <c r="CY10" s="1">
        <f t="shared" si="30"/>
        <v>0</v>
      </c>
      <c r="CZ10" s="1"/>
      <c r="DA10" s="1"/>
      <c r="DB10" s="1"/>
      <c r="DC10" s="1"/>
      <c r="DD10" s="1"/>
      <c r="DE10" s="1"/>
      <c r="DF10" s="1"/>
      <c r="DG10" s="1">
        <f>IF(D10="","",行动模拟!B16)</f>
        <v>1</v>
      </c>
      <c r="DH10" s="1" t="str">
        <f>IF(L10="END_TURN","回合结束",IF(D10="","",IF(INDEX(回合状态!$C$7:$C$17,MATCH(DG10,回合状态!$A$7:$A$17,0))="洞穿","洞穿",IF(OR(L10="J_COUNTER",L10="BOSS_ACTION",L10="BOSS_CONSERVATIVE"),"敌方",IF(AND(L10="37_FOLLOW",DG10=DG9,DH9="敌方"),"敌方",IF(INDEX(回合状态!$C$7:$C$17,MATCH(DG10,回合状态!$A$7:$A$17,0))="普通","出牌",INDEX(回合状态!$C$7:$C$17,MATCH(DG10,回合状态!$A$7:$A$17,0))))))))</f>
        <v>敌方</v>
      </c>
      <c r="DI10" s="1">
        <f t="shared" si="31"/>
        <v>0</v>
      </c>
      <c r="DJ10" s="1">
        <f>IF(D10="",0,MIN(Boss参数!$B$25,IF(OR(AND(DH10="敌方",OR(DH9&lt;&gt;"敌方",DG10&lt;&gt;DG9)),AND(L10="END_TURN",DH10&lt;&gt;"洞穿"),AND(DG10&lt;&gt;DG9,DH9&lt;&gt;"洞穿",L9&lt;&gt;"END_TURN",COUNTIFS($DG$3:DG9,DG9,$DH$3:DH9,"敌方")=0)),EW10,DN9)))</f>
        <v>4</v>
      </c>
      <c r="DK10" s="1">
        <f>IF(D10="",0,MIN(Boss参数!$B$25,IF(OR(AND(DH10="敌方",OR(DH9&lt;&gt;"敌方",DG10&lt;&gt;DG9)),AND(L10="END_TURN",DH10&lt;&gt;"洞穿"),AND(DG10&lt;&gt;DG9,DH9&lt;&gt;"洞穿",L9&lt;&gt;"END_TURN",COUNTIFS($DG$3:DG9,DG9,$DH$3:DH9,"敌方")=0)),EW10,DO9)))</f>
        <v>2</v>
      </c>
      <c r="DL10" s="1">
        <f>IF(D10="",0,MIN(Boss参数!$B$25,IF(OR(AND(DH10="敌方",OR(DH9&lt;&gt;"敌方",DG10&lt;&gt;DG9)),AND(L10="END_TURN",DH10&lt;&gt;"洞穿"),AND(DG10&lt;&gt;DG9,DH9&lt;&gt;"洞穿",L9&lt;&gt;"END_TURN",COUNTIFS($DG$3:DG9,DG9,$DH$3:DH9,"敌方")=0)),EW10,DP9)))</f>
        <v>4</v>
      </c>
      <c r="DM10" s="1">
        <f>IF(D10="",0,MIN(Boss参数!$B$25,IF(OR(AND(DH10="敌方",OR(DH9&lt;&gt;"敌方",DG10&lt;&gt;DG9)),AND(L10="END_TURN",DH10&lt;&gt;"洞穿"),AND(DG10&lt;&gt;DG9,DH9&lt;&gt;"洞穿",L9&lt;&gt;"END_TURN",COUNTIFS($DG$3:DG9,DG9,$DH$3:DH9,"敌方")=0)),EW10,DQ9)))</f>
        <v>0</v>
      </c>
      <c r="DN10" s="1">
        <f>MAX(0,MIN(Boss参数!$B$25,DJ10+DR10)-IF(E10="红弩箭",2*DR10,0))</f>
        <v>4</v>
      </c>
      <c r="DO10" s="1">
        <f>MAX(0,MIN(Boss参数!$B$25,DK10+DR10)-IF(E10="37",2*DR10,0))</f>
        <v>2</v>
      </c>
      <c r="DP10" s="1">
        <f>MAX(0,MIN(Boss参数!$B$25,DL10+DR10)-IF(E10="小瑞安侬",2*DR10,0))</f>
        <v>4</v>
      </c>
      <c r="DQ10" s="1">
        <f>MAX(0,MIN(Boss参数!$B$25,DM10+DR10)-IF(E10="J",2*DR10,0))</f>
        <v>0</v>
      </c>
      <c r="DR10" s="1">
        <f t="shared" si="32"/>
        <v>0</v>
      </c>
      <c r="DS10" s="1">
        <f t="shared" si="33"/>
        <v>0</v>
      </c>
      <c r="DT10" s="1">
        <f>IF(OR(E10="",E10="系统"),0,IF(OR(AND(DS10=1,Boss参数!$B$32=1),L10="RHI_BERRY",OR(AND(INDEX(角色面板!$B$18:$B$21,MATCH(E10,角色面板!$A$18:$A$21,0))="星",Boss参数!$B$4="岩"),AND(INDEX(角色面板!$B$18:$B$21,MATCH(E10,角色面板!$A$18:$A$21,0))="岩",Boss参数!$B$4="兽"),AND(INDEX(角色面板!$B$18:$B$21,MATCH(E10,角色面板!$A$18:$A$21,0))="兽",Boss参数!$B$4="木"),AND(INDEX(角色面板!$B$18:$B$21,MATCH(E10,角色面板!$A$18:$A$21,0))="木",Boss参数!$B$4="星"),AND(INDEX(角色面板!$B$18:$B$21,MATCH(E10,角色面板!$A$18:$A$21,0))="智",Boss参数!$B$4="灵"),AND(INDEX(角色面板!$B$18:$B$21,MATCH(E10,角色面板!$A$18:$A$21,0))="灵",Boss参数!$B$4="智"))),1,0))</f>
        <v>0</v>
      </c>
      <c r="DU10" s="1">
        <f>IF(D10="",0,INDEX(回合状态!$E$7:$E$17,MATCH(DG10,回合状态!$A$7:$A$17,0))+IF(AND(DH10="敌方",OR(INDEX(回合状态!$C$7:$C$17,MATCH(DG10,回合状态!$A$7:$A$17,0))="普通",INDEX(回合状态!$C$7:$C$17,MATCH(DG10,回合状态!$A$7:$A$17,0))="额外")),0.05,0))</f>
        <v>0.05</v>
      </c>
      <c r="DV10" s="1">
        <f>MAX(Boss参数!$B$28,1+IF(AND(E10="37",AC10&gt;0,BH10&gt;0),Boss参数!$B$42,0)-DI10*Boss参数!$B$24+EA10-ER10)</f>
        <v>1</v>
      </c>
      <c r="DW10" s="1">
        <f>MIN(IF(Boss参数!$B$77=1,Boss参数!$B$63*Boss参数!$B$62,Boss参数!$B$61*Boss参数!$B$62),ROUNDDOWN(BQ10*(1-ES10),0))</f>
        <v>1745</v>
      </c>
      <c r="DX10" s="1">
        <f>MIN(IF(Boss参数!$B$77=1,Boss参数!$B$63*Boss参数!$B$62,Boss参数!$B$61*Boss参数!$B$62),ROUNDDOWN(BR10*(1-ES10),0))</f>
        <v>1919</v>
      </c>
      <c r="DY10" s="1">
        <f t="shared" si="65"/>
        <v>0</v>
      </c>
      <c r="DZ10" s="1">
        <f>IF(L10="RHI_ULT",MIN(Boss参数!$B$48,ROUNDDOWN(AY10*Boss参数!$B$47,0)),DY10)</f>
        <v>0</v>
      </c>
      <c r="EA10" s="11">
        <v>0</v>
      </c>
      <c r="EB10" s="1">
        <f t="shared" si="34"/>
        <v>0</v>
      </c>
      <c r="EC10" s="1">
        <f>SUMIFS($EB$3:EB10,$B$3:B10,"&gt;="&amp;MAX(1,B10-2),$B$3:B10,"&lt;="&amp;B10)*Boss参数!$B$51</f>
        <v>4</v>
      </c>
      <c r="ED10" s="1">
        <f>IF(D10="",EG9,IF(AND(DG10&lt;&gt;DG9,DH10&lt;&gt;"洞穿"),MIN(Boss参数!$B$55,EG9+2),EG9))</f>
        <v>0</v>
      </c>
      <c r="EE10" s="1">
        <f t="shared" si="35"/>
        <v>0</v>
      </c>
      <c r="EF10" s="1">
        <f>IF(AND(OR(L10="END_TURN",AND(DH10="敌方",OR(DH9&lt;&gt;"敌方",DG10&lt;&gt;DG9))),SUMIFS($EF$3:EF9,$DG$3:DG9,DG10)=0),MIN(1,MAX(0,ED10-EE10)),0)</f>
        <v>0</v>
      </c>
      <c r="EG10" s="1">
        <f t="shared" si="36"/>
        <v>0</v>
      </c>
      <c r="EH10" s="11">
        <f>Boss参数!$B$53-IF(Y10=1,Boss参数!$B$54,0)</f>
        <v>0</v>
      </c>
      <c r="EI10" s="11">
        <f t="shared" si="37"/>
        <v>0</v>
      </c>
      <c r="EJ10" s="11">
        <f t="shared" si="38"/>
        <v>0</v>
      </c>
      <c r="EK10" s="11">
        <f t="shared" si="39"/>
        <v>1</v>
      </c>
      <c r="EL10" s="1">
        <f t="shared" si="66"/>
        <v>0</v>
      </c>
      <c r="EM10" s="1">
        <f>IF(AND(DG10&lt;&gt;DG9,DH10="洞穿"),0,IF(L10="ENTER_INSIGHT",Boss参数!$B$57,EO9))</f>
        <v>0</v>
      </c>
      <c r="EN10" s="11">
        <f>IF(AND(Y10=1,H10="洞知",EM10&gt;0),Boss参数!$B$56,0)</f>
        <v>0</v>
      </c>
      <c r="EO10" s="1">
        <f t="shared" si="40"/>
        <v>0</v>
      </c>
      <c r="EP10" s="12">
        <f t="shared" si="67"/>
        <v>84360</v>
      </c>
      <c r="EQ10" s="12">
        <f>ROUNDDOWN(EP10/Boss参数!$B$62,0)</f>
        <v>0</v>
      </c>
      <c r="ER10" s="11">
        <f>IF(EQ10&gt;=Boss参数!$B$66,Boss参数!$B$69,IF(EQ10&gt;=Boss参数!$B$65,Boss参数!$B$68,IF(EQ10&gt;=Boss参数!$B$64,Boss参数!$B$67,0)))</f>
        <v>0</v>
      </c>
      <c r="ES10" s="11">
        <f>MIN(1,IF(EQ10&gt;=Boss参数!$B$66,Boss参数!$B$72+ROUNDDOWN((EQ10-Boss参数!$B$66)/Boss参数!$B$73,0)*Boss参数!$B$74,IF(EQ10&gt;=Boss参数!$B$65,Boss参数!$B$71,IF(EQ10&gt;=Boss参数!$B$64,Boss参数!$B$70,0))))</f>
        <v>0</v>
      </c>
      <c r="ET10" s="12">
        <f>MIN(Boss参数!$B$61*Boss参数!$B$62,EP10+IF(AND(Boss参数!$B$60=1,ISNUMBER(验证表!H16)),验证表!H16,EU10))</f>
        <v>86105</v>
      </c>
      <c r="EU10" s="12">
        <f>IF(D10="",0,IF(验证表!G16="是",BV10,IF(验证表!G16="否",BU10,BW10)))</f>
        <v>1745</v>
      </c>
      <c r="EV10" s="12">
        <f>IF(EQ10&gt;=Boss参数!$B$66,2,IF(EQ10&gt;=Boss参数!$B$65,1,0))</f>
        <v>0</v>
      </c>
      <c r="EW10" s="12">
        <f t="shared" si="41"/>
        <v>1</v>
      </c>
      <c r="EX10" s="1">
        <f>IF(D10="",0,INDEX(回合状态!$D$7:$D$17,MATCH(DG10,回合状态!$A$7:$A$17,0)))</f>
        <v>1</v>
      </c>
      <c r="EY10" s="1">
        <f>IF(OR(L10="RHI_ATTACK",L10="RHI_BUFF"),1,IF(L10="RHI_ULT",Boss参数!$B$52,0))</f>
        <v>0</v>
      </c>
      <c r="EZ10" s="1">
        <f>MIN(6,SUMIFS($EY$3:EY10,$EX$3:EX10,"&gt;="&amp;MAX(1,EX10-Boss参数!$B$87+1),$EX$3:EX10,"&lt;="&amp;EX10))</f>
        <v>1</v>
      </c>
      <c r="FA10" s="1">
        <f t="shared" si="68"/>
        <v>0</v>
      </c>
      <c r="FB10" s="17">
        <f>IF(L10="BOSS_CONSERVATIVE",B10+Boss参数!$B$91,FB9)</f>
        <v>0</v>
      </c>
      <c r="FC10" s="17">
        <f t="shared" si="69"/>
        <v>0</v>
      </c>
      <c r="FD10" s="17">
        <f>IF(D10="",FD9,FD9+IF(AND(DG10&lt;&gt;DG9,INDEX(回合状态!$C$7:$C$17,MATCH(DG10,回合状态!$A$7:$A$17,0))&lt;&gt;"洞穿"),1,0))</f>
        <v>1</v>
      </c>
      <c r="FE10" s="17">
        <f>IF(D10="",0,IF(AND(OR(L10="END_TURN",DH10="敌方"),INDEX(回合状态!$C$7:$C$17,MATCH(DG10,回合状态!$A$7:$A$17,0))&lt;&gt;"洞穿",SUMIFS($FE$3:FE9,$DG$3:DG9,DG10)=0),1,0))</f>
        <v>0</v>
      </c>
    </row>
    <row r="11" spans="1:161" ht="84.95" customHeight="1">
      <c r="A11" s="1">
        <f>行动模拟!A17</f>
        <v>9</v>
      </c>
      <c r="B11" s="1">
        <f>IF(D11="",0,INDEX(回合状态!$B$7:$B$17,MATCH(DG11,回合状态!$A$7:$A$17,0)))</f>
        <v>1</v>
      </c>
      <c r="C11" s="1">
        <f>行动模拟!C17</f>
        <v>9</v>
      </c>
      <c r="D11" s="1" t="str">
        <f>IF(行动模拟!D17="","",行动模拟!D17)</f>
        <v>J｜高温回火</v>
      </c>
      <c r="E11" s="1" t="str">
        <f>IF($D11="","",IFERROR(INDEX(技能数据库!$B$4:$B$38,MATCH($D11,技能数据库!$A$4:$A$38,0)),""))</f>
        <v>J</v>
      </c>
      <c r="F11" s="1" t="str">
        <f>IF($D11="","",IFERROR(INDEX(技能数据库!$C$4:$C$38,MATCH($D11,技能数据库!$A$4:$A$38,0)),""))</f>
        <v>高温回火</v>
      </c>
      <c r="G11" s="1">
        <f>IF($D11="","",IFERROR(INDEX(技能数据库!$D$4:$D$38,MATCH($D11,技能数据库!$A$4:$A$38,0)),""))</f>
        <v>0</v>
      </c>
      <c r="H11" s="1" t="str">
        <f>IF($D11="","",IFERROR(INDEX(技能数据库!$E$4:$E$38,MATCH($D11,技能数据库!$A$4:$A$38,0)),""))</f>
        <v>反击</v>
      </c>
      <c r="I11" s="1" t="str">
        <f>IF($D11="","",IFERROR(INDEX(技能数据库!$F$4:$F$38,MATCH($D11,技能数据库!$A$4:$A$38,0)),""))</f>
        <v>现实</v>
      </c>
      <c r="J11" s="1">
        <f>IF($D11="","",IFERROR(INDEX(技能数据库!$G$4:$G$38,MATCH($D11,技能数据库!$A$4:$A$38,0)),""))</f>
        <v>3</v>
      </c>
      <c r="K11" s="1">
        <f>IF($D11="","",IFERROR(INDEX(技能数据库!$H$4:$H$38,MATCH($D11,技能数据库!$A$4:$A$38,0)),""))</f>
        <v>0</v>
      </c>
      <c r="L11" s="1" t="str">
        <f>IF($D11="","",IFERROR(INDEX(技能数据库!$I$4:$I$38,MATCH($D11,技能数据库!$A$4:$A$38,0)),""))</f>
        <v>J_COUNTER</v>
      </c>
      <c r="M11" s="10">
        <v>1</v>
      </c>
      <c r="N11" s="1"/>
      <c r="O11" s="1"/>
      <c r="P11" s="1"/>
      <c r="Q11" s="10">
        <f t="shared" si="0"/>
        <v>0</v>
      </c>
      <c r="R11" s="10">
        <v>0</v>
      </c>
      <c r="S11" s="10">
        <v>0</v>
      </c>
      <c r="T11" s="1">
        <f>行动模拟!I17</f>
        <v>0</v>
      </c>
      <c r="U11" s="1">
        <f>IF(FD11&lt;&gt;FD10,IF(BY10=1,IF(MIN(10,CA10+IF(AND(DG11&lt;&gt;DG10,DH10&lt;&gt;"洞穿",SUMIFS($FE$3:FE10,$DG$3:DG10,DG10)=0,BY10=1),3,0))&gt;=10,2,1),IF(BY10=2,IF(BZ10&lt;=1,0,2),0)),BY10)</f>
        <v>1</v>
      </c>
      <c r="V11" s="1">
        <f>IF(FD11&lt;&gt;FD10,IF(BY10=1,IF(MIN(10,CA10+IF(AND(DG11&lt;&gt;DG10,DH10&lt;&gt;"洞穿",SUMIFS($FE$3:FE10,$DG$3:DG10,DG10)=0,BY10=1),3,0))&gt;=10,2,0),IF(BY10=2,MAX(0,BZ10-1),0)),BZ10)</f>
        <v>0</v>
      </c>
      <c r="W11" s="1">
        <f>IF(AND(FD11&lt;&gt;FD10,BY10=2,BZ10&lt;=1),0,MIN(10,CA10+IF(AND(DG11&lt;&gt;DG10,DH10&lt;&gt;"洞穿",SUMIFS($FE$3:FE10,$DG$3:DG10,DG10)=0,BY10=1),3,0)))</f>
        <v>10</v>
      </c>
      <c r="X11" s="1">
        <f t="shared" si="42"/>
        <v>6</v>
      </c>
      <c r="Y11" s="1">
        <f t="shared" si="43"/>
        <v>0</v>
      </c>
      <c r="Z11" s="1">
        <f t="shared" si="44"/>
        <v>0</v>
      </c>
      <c r="AA11" s="1">
        <f t="shared" si="45"/>
        <v>0</v>
      </c>
      <c r="AB11" s="1">
        <f t="shared" si="46"/>
        <v>2</v>
      </c>
      <c r="AC11" s="1">
        <f t="shared" si="47"/>
        <v>0</v>
      </c>
      <c r="AD11" s="1">
        <f t="shared" si="48"/>
        <v>6</v>
      </c>
      <c r="AE11" s="1">
        <f>IF(D11="",0,IF(DG11&lt;&gt;DG10,IFERROR(INDEX(回合状态!$F$7:$F$17,MATCH(DG11,回合状态!$A$7:$A$17,0)),0),CI10))</f>
        <v>6</v>
      </c>
      <c r="AF11" s="10">
        <f t="shared" si="49"/>
        <v>0</v>
      </c>
      <c r="AG11" s="1">
        <f t="shared" si="50"/>
        <v>0</v>
      </c>
      <c r="AH11" s="1">
        <f t="shared" si="51"/>
        <v>3</v>
      </c>
      <c r="AI11" s="1">
        <f t="shared" si="52"/>
        <v>0</v>
      </c>
      <c r="AJ11" s="1">
        <f t="shared" si="53"/>
        <v>0</v>
      </c>
      <c r="AK11" s="1">
        <f t="shared" si="54"/>
        <v>0</v>
      </c>
      <c r="AL11" s="1">
        <f t="shared" si="55"/>
        <v>3</v>
      </c>
      <c r="AM11" s="1">
        <f t="shared" si="56"/>
        <v>0</v>
      </c>
      <c r="AN11" s="1">
        <f t="shared" si="57"/>
        <v>0</v>
      </c>
      <c r="AO11" s="1">
        <f t="shared" si="58"/>
        <v>0</v>
      </c>
      <c r="AP11" s="10">
        <f t="shared" si="59"/>
        <v>0</v>
      </c>
      <c r="AQ11" s="1">
        <f t="shared" si="60"/>
        <v>0</v>
      </c>
      <c r="AR11" s="10">
        <f t="shared" si="61"/>
        <v>0</v>
      </c>
      <c r="AS11" s="1">
        <f t="shared" si="62"/>
        <v>0</v>
      </c>
      <c r="AT11" s="10">
        <f t="shared" si="63"/>
        <v>0</v>
      </c>
      <c r="AU11" s="1">
        <f t="shared" si="64"/>
        <v>0</v>
      </c>
      <c r="AV11" s="1">
        <f>MIN(5,SUMIFS($EL$3:EL11,$B$3:B11,"&gt;="&amp;MAX(1,B11-2),$B$3:B11,"&lt;="&amp;B11)+EC11)</f>
        <v>5</v>
      </c>
      <c r="AW11" s="1">
        <f>MIN(6,SUMIFS($EY$3:EY10,$EX$3:EX10,"&gt;="&amp;MAX(1,EX11-Boss参数!$B$87+1),$EX$3:EX10,"&lt;="&amp;EX11))</f>
        <v>1</v>
      </c>
      <c r="AX11" s="1">
        <f>MIN(4,COUNTIFS($B$3:$B$10,"&gt;="&amp;MAX(1,$B11-2),$B$3:$B$10,"&lt;="&amp;$B11,$L$3:$L$10,"37_FOLLOW"))</f>
        <v>1</v>
      </c>
      <c r="AY11" s="9">
        <f>IF($E11="","",IF($E11="系统",0,ROUNDDOWN(INDEX(角色面板!$C$4:$C$7,MATCH($E11,角色面板!$A$4:$A$7,0))*(1+INDEX(角色面板!$C$11:$C$14,MATCH($E11,角色面板!$A$11:$A$14,0))+IF($E11="小瑞安侬",MAX(IF($B11&lt;=$AQ11,$AP11,0),IF(AND($L11="RHI_ATTACK",$EE11&gt;0),0.11+0.01*$G11,0)),0)+IF($E11="J",$AD11*Boss参数!$B$18,0))+IF(FD11&lt;=$AN11,MIN(Boss参数!$B$21,ROUNDDOWN(角色面板!$C$19*Boss参数!$B$20,0)),0)+IF(AND($B11&lt;=$AK11,$E11&lt;&gt;"小瑞安侬"),$DY11,0),0)))</f>
        <v>2020</v>
      </c>
      <c r="AZ11" s="10">
        <f>IF($E11="","",MAX(0,MIN(1,IFERROR(INDEX(角色面板!$G$18:$G$21,MATCH($E11,角色面板!$A$18:$A$21,0)),0)-FC11*Boss参数!$B$89-Boss参数!$E$4)))</f>
        <v>0.66700000000000004</v>
      </c>
      <c r="BA11" s="10">
        <f>IF(E11="","",(IF($E11="","",IF($E11="红弩箭",Boss参数!$B$80,IF($E11="J",Boss参数!$B$81,IFERROR(INDEX(角色面板!$H$18:$H$21,MATCH($E11,角色面板!$A$18:$A$21,0)),0)))+IF($B11&lt;=$AI11,Boss参数!$B$13,0)+MIN(30,$AM11)*Boss参数!$B$17+IF(AND($L11="LILYA_ULT",$X11&gt;=6),1,0)+IF(AND($Y11=1,$L11="LILYA_INSIGHT"),IF(MOD($AA11+1,3)=0,Boss参数!$B$83,Boss参数!$B$82),IF(AND($Y11=1,$L11="LILYA_FINISH"),Boss参数!$B$84,0))))-FC11*Boss参数!$B$90)</f>
        <v>1.7170000000000001</v>
      </c>
      <c r="BB11" s="10">
        <f>IF($E11="","",IFERROR(INDEX(角色面板!$M$18:$M$21,MATCH($E11,角色面板!$A$18:$A$21,0)),0)+$AW11*Boss参数!$B$12+IF($B11&lt;=$AG11,$AF11,0)+$EI11+IF($L11="LILYA_DIVE",IF($U11=1,IF($G11=1,0.3,IF($G11=2,0.4,0.5)),IF($U11=2,IF($G11=1,0.6,IF($G11=2,0.8,1)),0)),0)+$R11+IF(AND($E11="J",OR($L11="J_COUNTER",$L11="J_HARD")),Boss参数!$B$79,0)+IF(AND(OR(L11="J_COUNTER",L11="J_HARD"),FA11&gt;=Boss参数!$B$59),FA11*Boss参数!$B$40,0))</f>
        <v>0.2</v>
      </c>
      <c r="BC11" s="10">
        <f>IF($E11="","",IFERROR(INDEX(角色面板!$K$18:$K$21,MATCH($E11,角色面板!$A$18:$A$21,0)),0)+IF($B11&lt;=$AH11,Boss参数!$B$46,0)+IF($E11="红弩箭",IF($U11=1,0.6,IF($U11=2,1.2,0))+$W11*0.06,0))-DI11*Boss参数!$B$23</f>
        <v>-0.10000000000000003</v>
      </c>
      <c r="BD11" s="10">
        <f>IF($E11="","",IFERROR(INDEX(角色面板!$L$18:$L$21,MATCH($E11,角色面板!$A$18:$A$21,0)),0)+IF($B11&lt;=$AH11,Boss参数!$B$46,0)+IF($E11="J",$AL11*Boss参数!$B$16,0)+IF($E11="红弩箭",$X11*0.025,0)+IF(AND($L11="LILYA_ULT",$X11&gt;=6),1,0))-DI11*Boss参数!$B$23</f>
        <v>0.42</v>
      </c>
      <c r="BE11" s="10">
        <f>IF($E11="","",IF($H11="洞知",IF($E11="红弩箭",$AO11*Boss参数!$B$15,0)+$AX11*Boss参数!$B$14,0))</f>
        <v>0</v>
      </c>
      <c r="BF11" s="10">
        <f t="shared" si="1"/>
        <v>0</v>
      </c>
      <c r="BG11" s="10">
        <f>IF($D11="",0,IF(AND($L11&lt;&gt;"LILYA_DIVE",$L11&lt;&gt;"LILYA_ULT",$L11&lt;&gt;"LILYA_INSIGHT",$L11&lt;&gt;"LILYA_FINISH",$L11&lt;&gt;"37_FOLLOW",$L11&lt;&gt;"RHI_ATTACK",$L11&lt;&gt;"RHI_BERRY",$L11&lt;&gt;"J_COUNTER",$L11&lt;&gt;"J_ULT"),$J11,0)+IF($L11="LILYA_DIVE",$J11+IF($U11=1,IF($G11=1,6,IF($G11=2,12,18)),IF($U11=2,IF($G11=1,12,IF($G11=2,24,36)),0)),0)+IF($L11="LILYA_ULT",$J11+IF($X11&gt;=6,18,0),0)+IF($L11="LILYA_INSIGHT",IF($Y11=1,IF(MOD($AA11+1,3)=0,32,15),0),0)+IF($L11="LILYA_FINISH",IF($Y11=1,50+2.5*$Z11,0),0)+IF($L11="37_FOLLOW",$J11,0)+IF($L11="RHI_ATTACK",$J11*IF($B11&lt;=$AJ11,2,1),0)+IF($L11="RHI_BERRY",15+1.5*$AV11,0)+IF($L11="J_COUNTER",$J11+$AD11*Boss参数!$B$39,0)+IF($L11="J_ULT",$J11+Boss参数!$B$45*MAX(0,$AE11+$AD11-Boss参数!$I$4),0)+$S11)</f>
        <v>3.3</v>
      </c>
      <c r="BH11" s="10">
        <f t="shared" si="2"/>
        <v>0</v>
      </c>
      <c r="BI11" s="10">
        <f>IF(E11="","",IF(DT11=1,1+Boss参数!$B$8+AV11*Boss参数!$B$19,1))</f>
        <v>1</v>
      </c>
      <c r="BJ11" s="9">
        <f>IF($I11="现实",Boss参数!$C$4,IF($I11="精神",Boss参数!$D$4,0))</f>
        <v>1200</v>
      </c>
      <c r="BK11" s="9">
        <f>IF($E11="","",MAX($AY11*Boss参数!$B$9,$AY11-$BJ11*(1-$BF11)))</f>
        <v>820</v>
      </c>
      <c r="BL11" s="10">
        <f>MAX(0,Boss参数!$F$4+IF(DT11=0,Boss参数!$B$27,0)-EJ11)</f>
        <v>1.4</v>
      </c>
      <c r="BM11" s="10">
        <f>Boss参数!$G$4+DU11-IF(Y11=1,Boss参数!$B$11,0)</f>
        <v>0.45</v>
      </c>
      <c r="BN11" s="10">
        <f>IF($E11="","",MAX(Boss参数!$B$10,1+IFERROR(INDEX(角色面板!$I$18:$I$21,MATCH($E11,角色面板!$A$18:$A$21,0)),0)+$BB11+Boss参数!$H$4-$BM11))</f>
        <v>0.77499999999999991</v>
      </c>
      <c r="BO11" s="10">
        <f>IF(E11="","",IF(OR(L11="J_COUNTER",L11="J_HARD"),MAX(0,1+INDEX(角色面板!$K$18:$K$21,MATCH(E11,角色面板!$A$18:$A$21,0))-DI11*Boss参数!$B$23+IF(OR(Boss参数!$B$43=1,L11="J_HARD"),IF(B11&lt;=AH11,Boss参数!$B$46,0),0)),MAX(0,IF(OR(H11="术法",L11="RHI_BERRY",AND(L11="37_FOLLOW",Boss参数!$B$31=1)),1+BC11,IF(H11="仪式",1+BD11,IF(H11="洞知",EK11,1))))))</f>
        <v>0.89999999999999991</v>
      </c>
      <c r="BP11" s="10">
        <f t="shared" si="3"/>
        <v>1.1000000000000001</v>
      </c>
      <c r="BQ11" s="1">
        <f t="shared" si="4"/>
        <v>1887.4349999999995</v>
      </c>
      <c r="BR11" s="1">
        <f t="shared" si="5"/>
        <v>2076.1784999999995</v>
      </c>
      <c r="BS11" s="1">
        <f>IF(BH11=0,0,ROUNDDOWN(AY11*BH11,0)*DV11*IF(Boss参数!$B$29=1,BN11,1)*IF(Boss参数!$B$33=1,BO11,1)*IF(Boss参数!$B$76=1,1-ES11,1))</f>
        <v>0</v>
      </c>
      <c r="BT11" s="1">
        <f t="shared" si="6"/>
        <v>0</v>
      </c>
      <c r="BU11" s="9">
        <f>IF(D11="",0,MIN(IF(Boss参数!$B$77=1,Boss参数!$B$63*Boss参数!$B$62,Boss参数!$B$61*Boss参数!$B$62),DW11+ROUNDDOWN(BS11,0)+ROUNDDOWN(DW11*Q11,0)))</f>
        <v>1887</v>
      </c>
      <c r="BV11" s="9">
        <f>IF(D11="",0,MIN(IF(Boss参数!$B$77=1,Boss参数!$B$63*Boss参数!$B$62,Boss参数!$B$61*Boss参数!$B$62),DX11+ROUNDDOWN(BT11,0)+ROUNDDOWN(DX11*Q11,0)))</f>
        <v>2076</v>
      </c>
      <c r="BW11" s="9">
        <f t="shared" si="7"/>
        <v>2013</v>
      </c>
      <c r="BX11" s="1" t="str">
        <f t="shared" si="8"/>
        <v/>
      </c>
      <c r="BY11" s="1">
        <f t="shared" si="9"/>
        <v>1</v>
      </c>
      <c r="BZ11" s="1">
        <f t="shared" si="10"/>
        <v>0</v>
      </c>
      <c r="CA11" s="1">
        <f>MIN(10,W11+IF(AND(L11="LILYA_COBRA",COUNTIF($L$3:L11,"LILYA_COBRA")=1),5,0)+IF(AND(L11="LILYA_DIVE",U11=1,COUNTIFS($DG$3:DG11,DG11,$L$3:L11,"LILYA_DIVE")=1),2,0)+IF(AND(FE11=1,U11=1),3,0))</f>
        <v>10</v>
      </c>
      <c r="CB11" s="1">
        <f>MIN(20,MAX(0,X11+IF(L11="LILYA_COBRA",IF(COUNTIF($L$3:L11,"LILYA_COBRA")=1,6,IF(U11=1,MAX(1,G11),IF(U11=2,2*MAX(1,G11),0))),0)+IF(AND(Y11=1,E11="红弩箭",L11&lt;&gt;"ENTER_INSIGHT"),1,0)-IF(AND(L11="LILYA_ULT",X11&gt;=6),6,0)))</f>
        <v>6</v>
      </c>
      <c r="CC11" s="1">
        <f t="shared" si="11"/>
        <v>0</v>
      </c>
      <c r="CD11" s="1">
        <f t="shared" si="12"/>
        <v>0</v>
      </c>
      <c r="CE11" s="1">
        <f t="shared" si="13"/>
        <v>0</v>
      </c>
      <c r="CF11" s="1">
        <f t="shared" si="14"/>
        <v>3</v>
      </c>
      <c r="CG11" s="1">
        <f t="shared" si="15"/>
        <v>0</v>
      </c>
      <c r="CH11" s="1">
        <f>MIN(35,AD11+IF(L11="J_HARD",6,0)+IF(L11="J_COUNTER",Boss参数!$B$30,0))</f>
        <v>8</v>
      </c>
      <c r="CI11" s="1">
        <f>MIN(Boss参数!$I$4,AE11+IF(L11="J_HARD",6,0)+IF(L11="J_ULT",AD11,0)+IF(L11="J_COUNTER",Boss参数!$B$30,0))</f>
        <v>8</v>
      </c>
      <c r="CJ11" s="10">
        <f>IF(L11="J_ULT",AD11*Boss参数!$B$41,IF(B11&lt;=AG11,AF11,0))</f>
        <v>0</v>
      </c>
      <c r="CK11" s="1">
        <f t="shared" si="16"/>
        <v>0</v>
      </c>
      <c r="CL11" s="1">
        <f t="shared" si="17"/>
        <v>3</v>
      </c>
      <c r="CM11" s="1">
        <f t="shared" si="18"/>
        <v>0</v>
      </c>
      <c r="CN11" s="1">
        <f t="shared" si="19"/>
        <v>0</v>
      </c>
      <c r="CO11" s="1">
        <f t="shared" si="20"/>
        <v>0</v>
      </c>
      <c r="CP11" s="1">
        <f t="shared" si="21"/>
        <v>3</v>
      </c>
      <c r="CQ11" s="1">
        <f t="shared" si="22"/>
        <v>0</v>
      </c>
      <c r="CR11" s="1">
        <f t="shared" si="23"/>
        <v>0</v>
      </c>
      <c r="CS11" s="1">
        <f t="shared" si="24"/>
        <v>0</v>
      </c>
      <c r="CT11" s="10">
        <f t="shared" si="25"/>
        <v>0</v>
      </c>
      <c r="CU11" s="1">
        <f t="shared" si="26"/>
        <v>0</v>
      </c>
      <c r="CV11" s="10">
        <f t="shared" si="27"/>
        <v>0</v>
      </c>
      <c r="CW11" s="1">
        <f t="shared" si="28"/>
        <v>0</v>
      </c>
      <c r="CX11" s="10">
        <f t="shared" si="29"/>
        <v>0</v>
      </c>
      <c r="CY11" s="1">
        <f t="shared" si="30"/>
        <v>0</v>
      </c>
      <c r="CZ11" s="1"/>
      <c r="DA11" s="1"/>
      <c r="DB11" s="1"/>
      <c r="DC11" s="1"/>
      <c r="DD11" s="1"/>
      <c r="DE11" s="1"/>
      <c r="DF11" s="1"/>
      <c r="DG11" s="1">
        <f>IF(D11="","",行动模拟!B17)</f>
        <v>1</v>
      </c>
      <c r="DH11" s="1" t="str">
        <f>IF(L11="END_TURN","回合结束",IF(D11="","",IF(INDEX(回合状态!$C$7:$C$17,MATCH(DG11,回合状态!$A$7:$A$17,0))="洞穿","洞穿",IF(OR(L11="J_COUNTER",L11="BOSS_ACTION",L11="BOSS_CONSERVATIVE"),"敌方",IF(AND(L11="37_FOLLOW",DG11=DG10,DH10="敌方"),"敌方",IF(INDEX(回合状态!$C$7:$C$17,MATCH(DG11,回合状态!$A$7:$A$17,0))="普通","出牌",INDEX(回合状态!$C$7:$C$17,MATCH(DG11,回合状态!$A$7:$A$17,0))))))))</f>
        <v>敌方</v>
      </c>
      <c r="DI11" s="1">
        <f t="shared" si="31"/>
        <v>0</v>
      </c>
      <c r="DJ11" s="1">
        <f>IF(D11="",0,MIN(Boss参数!$B$25,IF(OR(AND(DH11="敌方",OR(DH10&lt;&gt;"敌方",DG11&lt;&gt;DG10)),AND(L11="END_TURN",DH11&lt;&gt;"洞穿"),AND(DG11&lt;&gt;DG10,DH10&lt;&gt;"洞穿",L10&lt;&gt;"END_TURN",COUNTIFS($DG$3:DG10,DG10,$DH$3:DH10,"敌方")=0)),EW11,DN10)))</f>
        <v>4</v>
      </c>
      <c r="DK11" s="1">
        <f>IF(D11="",0,MIN(Boss参数!$B$25,IF(OR(AND(DH11="敌方",OR(DH10&lt;&gt;"敌方",DG11&lt;&gt;DG10)),AND(L11="END_TURN",DH11&lt;&gt;"洞穿"),AND(DG11&lt;&gt;DG10,DH10&lt;&gt;"洞穿",L10&lt;&gt;"END_TURN",COUNTIFS($DG$3:DG10,DG10,$DH$3:DH10,"敌方")=0)),EW11,DO10)))</f>
        <v>2</v>
      </c>
      <c r="DL11" s="1">
        <f>IF(D11="",0,MIN(Boss参数!$B$25,IF(OR(AND(DH11="敌方",OR(DH10&lt;&gt;"敌方",DG11&lt;&gt;DG10)),AND(L11="END_TURN",DH11&lt;&gt;"洞穿"),AND(DG11&lt;&gt;DG10,DH10&lt;&gt;"洞穿",L10&lt;&gt;"END_TURN",COUNTIFS($DG$3:DG10,DG10,$DH$3:DH10,"敌方")=0)),EW11,DP10)))</f>
        <v>4</v>
      </c>
      <c r="DM11" s="1">
        <f>IF(D11="",0,MIN(Boss参数!$B$25,IF(OR(AND(DH11="敌方",OR(DH10&lt;&gt;"敌方",DG11&lt;&gt;DG10)),AND(L11="END_TURN",DH11&lt;&gt;"洞穿"),AND(DG11&lt;&gt;DG10,DH10&lt;&gt;"洞穿",L10&lt;&gt;"END_TURN",COUNTIFS($DG$3:DG10,DG10,$DH$3:DH10,"敌方")=0)),EW11,DQ10)))</f>
        <v>0</v>
      </c>
      <c r="DN11" s="1">
        <f>MAX(0,MIN(Boss参数!$B$25,DJ11+DR11)-IF(E11="红弩箭",2*DR11,0))</f>
        <v>4</v>
      </c>
      <c r="DO11" s="1">
        <f>MAX(0,MIN(Boss参数!$B$25,DK11+DR11)-IF(E11="37",2*DR11,0))</f>
        <v>2</v>
      </c>
      <c r="DP11" s="1">
        <f>MAX(0,MIN(Boss参数!$B$25,DL11+DR11)-IF(E11="小瑞安侬",2*DR11,0))</f>
        <v>4</v>
      </c>
      <c r="DQ11" s="1">
        <f>MAX(0,MIN(Boss参数!$B$25,DM11+DR11)-IF(E11="J",2*DR11,0))</f>
        <v>0</v>
      </c>
      <c r="DR11" s="1">
        <f t="shared" si="32"/>
        <v>0</v>
      </c>
      <c r="DS11" s="1">
        <f t="shared" si="33"/>
        <v>0</v>
      </c>
      <c r="DT11" s="1">
        <f>IF(OR(E11="",E11="系统"),0,IF(OR(AND(DS11=1,Boss参数!$B$32=1),L11="RHI_BERRY",OR(AND(INDEX(角色面板!$B$18:$B$21,MATCH(E11,角色面板!$A$18:$A$21,0))="星",Boss参数!$B$4="岩"),AND(INDEX(角色面板!$B$18:$B$21,MATCH(E11,角色面板!$A$18:$A$21,0))="岩",Boss参数!$B$4="兽"),AND(INDEX(角色面板!$B$18:$B$21,MATCH(E11,角色面板!$A$18:$A$21,0))="兽",Boss参数!$B$4="木"),AND(INDEX(角色面板!$B$18:$B$21,MATCH(E11,角色面板!$A$18:$A$21,0))="木",Boss参数!$B$4="星"),AND(INDEX(角色面板!$B$18:$B$21,MATCH(E11,角色面板!$A$18:$A$21,0))="智",Boss参数!$B$4="灵"),AND(INDEX(角色面板!$B$18:$B$21,MATCH(E11,角色面板!$A$18:$A$21,0))="灵",Boss参数!$B$4="智"))),1,0))</f>
        <v>0</v>
      </c>
      <c r="DU11" s="1">
        <f>IF(D11="",0,INDEX(回合状态!$E$7:$E$17,MATCH(DG11,回合状态!$A$7:$A$17,0))+IF(AND(DH11="敌方",OR(INDEX(回合状态!$C$7:$C$17,MATCH(DG11,回合状态!$A$7:$A$17,0))="普通",INDEX(回合状态!$C$7:$C$17,MATCH(DG11,回合状态!$A$7:$A$17,0))="额外")),0.05,0))</f>
        <v>0.05</v>
      </c>
      <c r="DV11" s="1">
        <f>MAX(Boss参数!$B$28,1+IF(AND(E11="37",AC11&gt;0,BH11&gt;0),Boss参数!$B$42,0)-DI11*Boss参数!$B$24+EA11-ER11)</f>
        <v>1</v>
      </c>
      <c r="DW11" s="1">
        <f>MIN(IF(Boss参数!$B$77=1,Boss参数!$B$63*Boss参数!$B$62,Boss参数!$B$61*Boss参数!$B$62),ROUNDDOWN(BQ11*(1-ES11),0))</f>
        <v>1887</v>
      </c>
      <c r="DX11" s="1">
        <f>MIN(IF(Boss参数!$B$77=1,Boss参数!$B$63*Boss参数!$B$62,Boss参数!$B$61*Boss参数!$B$62),ROUNDDOWN(BR11*(1-ES11),0))</f>
        <v>2076</v>
      </c>
      <c r="DY11" s="1">
        <f t="shared" si="65"/>
        <v>0</v>
      </c>
      <c r="DZ11" s="1">
        <f>IF(L11="RHI_ULT",MIN(Boss参数!$B$48,ROUNDDOWN(AY11*Boss参数!$B$47,0)),DY11)</f>
        <v>0</v>
      </c>
      <c r="EA11" s="11">
        <v>0</v>
      </c>
      <c r="EB11" s="1">
        <f t="shared" si="34"/>
        <v>0</v>
      </c>
      <c r="EC11" s="1">
        <f>SUMIFS($EB$3:EB11,$B$3:B11,"&gt;="&amp;MAX(1,B11-2),$B$3:B11,"&lt;="&amp;B11)*Boss参数!$B$51</f>
        <v>4</v>
      </c>
      <c r="ED11" s="1">
        <f>IF(D11="",EG10,IF(AND(DG11&lt;&gt;DG10,DH11&lt;&gt;"洞穿"),MIN(Boss参数!$B$55,EG10+2),EG10))</f>
        <v>0</v>
      </c>
      <c r="EE11" s="1">
        <f t="shared" si="35"/>
        <v>0</v>
      </c>
      <c r="EF11" s="1">
        <f>IF(AND(OR(L11="END_TURN",AND(DH11="敌方",OR(DH10&lt;&gt;"敌方",DG11&lt;&gt;DG10))),SUMIFS($EF$3:EF10,$DG$3:DG10,DG11)=0),MIN(1,MAX(0,ED11-EE11)),0)</f>
        <v>0</v>
      </c>
      <c r="EG11" s="1">
        <f t="shared" si="36"/>
        <v>0</v>
      </c>
      <c r="EH11" s="11">
        <f>Boss参数!$B$53-IF(Y11=1,Boss参数!$B$54,0)</f>
        <v>0</v>
      </c>
      <c r="EI11" s="11">
        <f t="shared" si="37"/>
        <v>0</v>
      </c>
      <c r="EJ11" s="11">
        <f t="shared" si="38"/>
        <v>0</v>
      </c>
      <c r="EK11" s="11">
        <f t="shared" si="39"/>
        <v>1</v>
      </c>
      <c r="EL11" s="1">
        <f t="shared" si="66"/>
        <v>0</v>
      </c>
      <c r="EM11" s="1">
        <f>IF(AND(DG11&lt;&gt;DG10,DH11="洞穿"),0,IF(L11="ENTER_INSIGHT",Boss参数!$B$57,EO10))</f>
        <v>0</v>
      </c>
      <c r="EN11" s="11">
        <f>IF(AND(Y11=1,H11="洞知",EM11&gt;0),Boss参数!$B$56,0)</f>
        <v>0</v>
      </c>
      <c r="EO11" s="1">
        <f t="shared" si="40"/>
        <v>0</v>
      </c>
      <c r="EP11" s="12">
        <f t="shared" si="67"/>
        <v>86105</v>
      </c>
      <c r="EQ11" s="12">
        <f>ROUNDDOWN(EP11/Boss参数!$B$62,0)</f>
        <v>0</v>
      </c>
      <c r="ER11" s="11">
        <f>IF(EQ11&gt;=Boss参数!$B$66,Boss参数!$B$69,IF(EQ11&gt;=Boss参数!$B$65,Boss参数!$B$68,IF(EQ11&gt;=Boss参数!$B$64,Boss参数!$B$67,0)))</f>
        <v>0</v>
      </c>
      <c r="ES11" s="11">
        <f>MIN(1,IF(EQ11&gt;=Boss参数!$B$66,Boss参数!$B$72+ROUNDDOWN((EQ11-Boss参数!$B$66)/Boss参数!$B$73,0)*Boss参数!$B$74,IF(EQ11&gt;=Boss参数!$B$65,Boss参数!$B$71,IF(EQ11&gt;=Boss参数!$B$64,Boss参数!$B$70,0))))</f>
        <v>0</v>
      </c>
      <c r="ET11" s="12">
        <f>MIN(Boss参数!$B$61*Boss参数!$B$62,EP11+IF(AND(Boss参数!$B$60=1,ISNUMBER(验证表!H17)),验证表!H17,EU11))</f>
        <v>88181</v>
      </c>
      <c r="EU11" s="12">
        <f>IF(D11="",0,IF(验证表!G17="是",BV11,IF(验证表!G17="否",BU11,BW11)))</f>
        <v>2076</v>
      </c>
      <c r="EV11" s="12">
        <f>IF(EQ11&gt;=Boss参数!$B$66,2,IF(EQ11&gt;=Boss参数!$B$65,1,0))</f>
        <v>0</v>
      </c>
      <c r="EW11" s="12">
        <f t="shared" si="41"/>
        <v>1</v>
      </c>
      <c r="EX11" s="1">
        <f>IF(D11="",0,INDEX(回合状态!$D$7:$D$17,MATCH(DG11,回合状态!$A$7:$A$17,0)))</f>
        <v>1</v>
      </c>
      <c r="EY11" s="1">
        <f>IF(OR(L11="RHI_ATTACK",L11="RHI_BUFF"),1,IF(L11="RHI_ULT",Boss参数!$B$52,0))</f>
        <v>0</v>
      </c>
      <c r="EZ11" s="1">
        <f>MIN(6,SUMIFS($EY$3:EY11,$EX$3:EX11,"&gt;="&amp;MAX(1,EX11-Boss参数!$B$87+1),$EX$3:EX11,"&lt;="&amp;EX11))</f>
        <v>1</v>
      </c>
      <c r="FA11" s="1">
        <f t="shared" si="68"/>
        <v>0</v>
      </c>
      <c r="FB11" s="17">
        <f>IF(L11="BOSS_CONSERVATIVE",B11+Boss参数!$B$91,FB10)</f>
        <v>0</v>
      </c>
      <c r="FC11" s="17">
        <f t="shared" si="69"/>
        <v>0</v>
      </c>
      <c r="FD11" s="17">
        <f>IF(D11="",FD10,FD10+IF(AND(DG11&lt;&gt;DG10,INDEX(回合状态!$C$7:$C$17,MATCH(DG11,回合状态!$A$7:$A$17,0))&lt;&gt;"洞穿"),1,0))</f>
        <v>1</v>
      </c>
      <c r="FE11" s="17">
        <f>IF(D11="",0,IF(AND(OR(L11="END_TURN",DH11="敌方"),INDEX(回合状态!$C$7:$C$17,MATCH(DG11,回合状态!$A$7:$A$17,0))&lt;&gt;"洞穿",SUMIFS($FE$3:FE10,$DG$3:DG10,DG11)=0),1,0))</f>
        <v>0</v>
      </c>
    </row>
    <row r="12" spans="1:161" ht="84.95" customHeight="1">
      <c r="A12" s="1">
        <f>行动模拟!A18</f>
        <v>10</v>
      </c>
      <c r="B12" s="1">
        <f>IF(D12="",0,INDEX(回合状态!$B$7:$B$17,MATCH(DG12,回合状态!$A$7:$A$17,0)))</f>
        <v>2</v>
      </c>
      <c r="C12" s="1">
        <f>行动模拟!C18</f>
        <v>1</v>
      </c>
      <c r="D12" s="1" t="str">
        <f>IF(行动模拟!D18="","",行动模拟!D18)</f>
        <v>小瑞安侬｜唱予无忧之诗</v>
      </c>
      <c r="E12" s="1" t="str">
        <f>IF($D12="","",IFERROR(INDEX(技能数据库!$B$4:$B$38,MATCH($D12,技能数据库!$A$4:$A$38,0)),""))</f>
        <v>小瑞安侬</v>
      </c>
      <c r="F12" s="1" t="str">
        <f>IF($D12="","",IFERROR(INDEX(技能数据库!$C$4:$C$38,MATCH($D12,技能数据库!$A$4:$A$38,0)),""))</f>
        <v>唱予无忧之诗</v>
      </c>
      <c r="G12" s="1">
        <f>IF($D12="","",IFERROR(INDEX(技能数据库!$D$4:$D$38,MATCH($D12,技能数据库!$A$4:$A$38,0)),""))</f>
        <v>0</v>
      </c>
      <c r="H12" s="1" t="str">
        <f>IF($D12="","",IFERROR(INDEX(技能数据库!$E$4:$E$38,MATCH($D12,技能数据库!$A$4:$A$38,0)),""))</f>
        <v>仪式</v>
      </c>
      <c r="I12" s="1" t="str">
        <f>IF($D12="","",IFERROR(INDEX(技能数据库!$F$4:$F$38,MATCH($D12,技能数据库!$A$4:$A$38,0)),""))</f>
        <v>无</v>
      </c>
      <c r="J12" s="1">
        <f>IF($D12="","",IFERROR(INDEX(技能数据库!$G$4:$G$38,MATCH($D12,技能数据库!$A$4:$A$38,0)),""))</f>
        <v>0</v>
      </c>
      <c r="K12" s="1">
        <f>IF($D12="","",IFERROR(INDEX(技能数据库!$H$4:$H$38,MATCH($D12,技能数据库!$A$4:$A$38,0)),""))</f>
        <v>0</v>
      </c>
      <c r="L12" s="1" t="str">
        <f>IF($D12="","",IFERROR(INDEX(技能数据库!$I$4:$I$38,MATCH($D12,技能数据库!$A$4:$A$38,0)),""))</f>
        <v>RHI_ULT</v>
      </c>
      <c r="M12" s="10">
        <v>1</v>
      </c>
      <c r="N12" s="1"/>
      <c r="O12" s="1"/>
      <c r="P12" s="1"/>
      <c r="Q12" s="10">
        <f t="shared" si="0"/>
        <v>0</v>
      </c>
      <c r="R12" s="10">
        <v>0</v>
      </c>
      <c r="S12" s="10">
        <v>0</v>
      </c>
      <c r="T12" s="1">
        <f>行动模拟!I18</f>
        <v>0</v>
      </c>
      <c r="U12" s="1">
        <f>IF(FD12&lt;&gt;FD11,IF(BY11=1,IF(MIN(10,CA11+IF(AND(DG12&lt;&gt;DG11,DH11&lt;&gt;"洞穿",SUMIFS($FE$3:FE11,$DG$3:DG11,DG11)=0,BY11=1),3,0))&gt;=10,2,1),IF(BY11=2,IF(BZ11&lt;=1,0,2),0)),BY11)</f>
        <v>2</v>
      </c>
      <c r="V12" s="1">
        <f>IF(FD12&lt;&gt;FD11,IF(BY11=1,IF(MIN(10,CA11+IF(AND(DG12&lt;&gt;DG11,DH11&lt;&gt;"洞穿",SUMIFS($FE$3:FE11,$DG$3:DG11,DG11)=0,BY11=1),3,0))&gt;=10,2,0),IF(BY11=2,MAX(0,BZ11-1),0)),BZ11)</f>
        <v>2</v>
      </c>
      <c r="W12" s="1">
        <f>IF(AND(FD12&lt;&gt;FD11,BY11=2,BZ11&lt;=1),0,MIN(10,CA11+IF(AND(DG12&lt;&gt;DG11,DH11&lt;&gt;"洞穿",SUMIFS($FE$3:FE11,$DG$3:DG11,DG11)=0,BY11=1),3,0)))</f>
        <v>10</v>
      </c>
      <c r="X12" s="1">
        <f t="shared" si="42"/>
        <v>6</v>
      </c>
      <c r="Y12" s="1">
        <f t="shared" si="43"/>
        <v>0</v>
      </c>
      <c r="Z12" s="1">
        <f t="shared" si="44"/>
        <v>0</v>
      </c>
      <c r="AA12" s="1">
        <f t="shared" si="45"/>
        <v>0</v>
      </c>
      <c r="AB12" s="1">
        <f t="shared" si="46"/>
        <v>3</v>
      </c>
      <c r="AC12" s="1">
        <f t="shared" si="47"/>
        <v>0</v>
      </c>
      <c r="AD12" s="1">
        <f t="shared" si="48"/>
        <v>8</v>
      </c>
      <c r="AE12" s="1">
        <f>IF(D12="",0,IF(DG12&lt;&gt;DG11,IFERROR(INDEX(回合状态!$F$7:$F$17,MATCH(DG12,回合状态!$A$7:$A$17,0)),0),CI11))</f>
        <v>4</v>
      </c>
      <c r="AF12" s="10">
        <f t="shared" si="49"/>
        <v>0</v>
      </c>
      <c r="AG12" s="1">
        <f t="shared" si="50"/>
        <v>0</v>
      </c>
      <c r="AH12" s="1">
        <f t="shared" si="51"/>
        <v>3</v>
      </c>
      <c r="AI12" s="1">
        <f t="shared" si="52"/>
        <v>0</v>
      </c>
      <c r="AJ12" s="1">
        <f t="shared" si="53"/>
        <v>0</v>
      </c>
      <c r="AK12" s="1">
        <f t="shared" si="54"/>
        <v>0</v>
      </c>
      <c r="AL12" s="1">
        <f t="shared" si="55"/>
        <v>3</v>
      </c>
      <c r="AM12" s="1">
        <f t="shared" si="56"/>
        <v>0</v>
      </c>
      <c r="AN12" s="1">
        <f t="shared" si="57"/>
        <v>0</v>
      </c>
      <c r="AO12" s="1">
        <f t="shared" si="58"/>
        <v>0</v>
      </c>
      <c r="AP12" s="10">
        <f t="shared" si="59"/>
        <v>0</v>
      </c>
      <c r="AQ12" s="1">
        <f t="shared" si="60"/>
        <v>0</v>
      </c>
      <c r="AR12" s="10">
        <f t="shared" si="61"/>
        <v>0</v>
      </c>
      <c r="AS12" s="1">
        <f t="shared" si="62"/>
        <v>0</v>
      </c>
      <c r="AT12" s="10">
        <f t="shared" si="63"/>
        <v>0</v>
      </c>
      <c r="AU12" s="1">
        <f t="shared" si="64"/>
        <v>0</v>
      </c>
      <c r="AV12" s="1">
        <f>MIN(5,SUMIFS($EL$3:EL12,$B$3:B12,"&gt;="&amp;MAX(1,B12-2),$B$3:B12,"&lt;="&amp;B12)+EC12)</f>
        <v>5</v>
      </c>
      <c r="AW12" s="1">
        <f>MIN(6,SUMIFS($EY$3:EY11,$EX$3:EX11,"&gt;="&amp;MAX(1,EX12-Boss参数!$B$87+1),$EX$3:EX11,"&lt;="&amp;EX12))</f>
        <v>1</v>
      </c>
      <c r="AX12" s="1">
        <f>MIN(4,COUNTIFS($B$3:$B$11,"&gt;="&amp;MAX(1,$B12-2),$B$3:$B$11,"&lt;="&amp;$B12,$L$3:$L$11,"37_FOLLOW"))</f>
        <v>1</v>
      </c>
      <c r="AY12" s="9">
        <f>IF($E12="","",IF($E12="系统",0,ROUNDDOWN(INDEX(角色面板!$C$4:$C$7,MATCH($E12,角色面板!$A$4:$A$7,0))*(1+INDEX(角色面板!$C$11:$C$14,MATCH($E12,角色面板!$A$11:$A$14,0))+IF($E12="小瑞安侬",MAX(IF($B12&lt;=$AQ12,$AP12,0),IF(AND($L12="RHI_ATTACK",$EE12&gt;0),0.11+0.01*$G12,0)),0)+IF($E12="J",$AD12*Boss参数!$B$18,0))+IF(FD12&lt;=$AN12,MIN(Boss参数!$B$21,ROUNDDOWN(角色面板!$C$19*Boss参数!$B$20,0)),0)+IF(AND($B12&lt;=$AK12,$E12&lt;&gt;"小瑞安侬"),$DY12,0),0)))</f>
        <v>2986</v>
      </c>
      <c r="AZ12" s="10">
        <f>IF($E12="","",MAX(0,MIN(1,IFERROR(INDEX(角色面板!$G$18:$G$21,MATCH($E12,角色面板!$A$18:$A$21,0)),0)-FC12*Boss参数!$B$89-Boss参数!$E$4)))</f>
        <v>0.55499999999999994</v>
      </c>
      <c r="BA12" s="10">
        <f>IF(E12="","",(IF($E12="","",IF($E12="红弩箭",Boss参数!$B$80,IF($E12="J",Boss参数!$B$81,IFERROR(INDEX(角色面板!$H$18:$H$21,MATCH($E12,角色面板!$A$18:$A$21,0)),0)))+IF($B12&lt;=$AI12,Boss参数!$B$13,0)+MIN(30,$AM12)*Boss参数!$B$17+IF(AND($L12="LILYA_ULT",$X12&gt;=6),1,0)+IF(AND($Y12=1,$L12="LILYA_INSIGHT"),IF(MOD($AA12+1,3)=0,Boss参数!$B$83,Boss参数!$B$82),IF(AND($Y12=1,$L12="LILYA_FINISH"),Boss参数!$B$84,0))))-FC12*Boss参数!$B$90)</f>
        <v>1.55</v>
      </c>
      <c r="BB12" s="10">
        <f>IF($E12="","",IFERROR(INDEX(角色面板!$M$18:$M$21,MATCH($E12,角色面板!$A$18:$A$21,0)),0)+$AW12*Boss参数!$B$12+IF($B12&lt;=$AG12,$AF12,0)+$EI12+IF($L12="LILYA_DIVE",IF($U12=1,IF($G12=1,0.3,IF($G12=2,0.4,0.5)),IF($U12=2,IF($G12=1,0.6,IF($G12=2,0.8,1)),0)),0)+$R12+IF(AND($E12="J",OR($L12="J_COUNTER",$L12="J_HARD")),Boss参数!$B$79,0)+IF(AND(OR(L12="J_COUNTER",L12="J_HARD"),FA12&gt;=Boss参数!$B$59),FA12*Boss参数!$B$40,0))</f>
        <v>0.02</v>
      </c>
      <c r="BC12" s="10">
        <f>IF($E12="","",IFERROR(INDEX(角色面板!$K$18:$K$21,MATCH($E12,角色面板!$A$18:$A$21,0)),0)+IF($B12&lt;=$AH12,Boss参数!$B$46,0)+IF($E12="红弩箭",IF($U12=1,0.6,IF($U12=2,1.2,0))+$W12*0.06,0))-DI12*Boss参数!$B$23</f>
        <v>-0.7</v>
      </c>
      <c r="BD12" s="10">
        <f>IF($E12="","",IFERROR(INDEX(角色面板!$L$18:$L$21,MATCH($E12,角色面板!$A$18:$A$21,0)),0)+IF($B12&lt;=$AH12,Boss参数!$B$46,0)+IF($E12="J",$AL12*Boss参数!$B$16,0)+IF($E12="红弩箭",$X12*0.025,0)+IF(AND($L12="LILYA_ULT",$X12&gt;=6),1,0))-DI12*Boss参数!$B$23</f>
        <v>-0.3</v>
      </c>
      <c r="BE12" s="10">
        <f>IF($E12="","",IF($H12="洞知",IF($E12="红弩箭",$AO12*Boss参数!$B$15,0)+$AX12*Boss参数!$B$14,0))</f>
        <v>0</v>
      </c>
      <c r="BF12" s="10">
        <f t="shared" si="1"/>
        <v>0</v>
      </c>
      <c r="BG12" s="10">
        <f>IF($D12="",0,IF(AND($L12&lt;&gt;"LILYA_DIVE",$L12&lt;&gt;"LILYA_ULT",$L12&lt;&gt;"LILYA_INSIGHT",$L12&lt;&gt;"LILYA_FINISH",$L12&lt;&gt;"37_FOLLOW",$L12&lt;&gt;"RHI_ATTACK",$L12&lt;&gt;"RHI_BERRY",$L12&lt;&gt;"J_COUNTER",$L12&lt;&gt;"J_ULT"),$J12,0)+IF($L12="LILYA_DIVE",$J12+IF($U12=1,IF($G12=1,6,IF($G12=2,12,18)),IF($U12=2,IF($G12=1,12,IF($G12=2,24,36)),0)),0)+IF($L12="LILYA_ULT",$J12+IF($X12&gt;=6,18,0),0)+IF($L12="LILYA_INSIGHT",IF($Y12=1,IF(MOD($AA12+1,3)=0,32,15),0),0)+IF($L12="LILYA_FINISH",IF($Y12=1,50+2.5*$Z12,0),0)+IF($L12="37_FOLLOW",$J12,0)+IF($L12="RHI_ATTACK",$J12*IF($B12&lt;=$AJ12,2,1),0)+IF($L12="RHI_BERRY",15+1.5*$AV12,0)+IF($L12="J_COUNTER",$J12+$AD12*Boss参数!$B$39,0)+IF($L12="J_ULT",$J12+Boss参数!$B$45*MAX(0,$AE12+$AD12-Boss参数!$I$4),0)+$S12)</f>
        <v>0</v>
      </c>
      <c r="BH12" s="10">
        <f t="shared" si="2"/>
        <v>0</v>
      </c>
      <c r="BI12" s="10">
        <f>IF(E12="","",IF(DT12=1,1+Boss参数!$B$8+AV12*Boss参数!$B$19,1))</f>
        <v>1</v>
      </c>
      <c r="BJ12" s="9">
        <f>IF($I12="现实",Boss参数!$C$4,IF($I12="精神",Boss参数!$D$4,0))</f>
        <v>0</v>
      </c>
      <c r="BK12" s="9">
        <f>IF($E12="","",MAX($AY12*Boss参数!$B$9,$AY12-$BJ12*(1-$BF12)))</f>
        <v>2986</v>
      </c>
      <c r="BL12" s="10">
        <f>MAX(0,Boss参数!$F$4+IF(DT12=0,Boss参数!$B$27,0)-EJ12)</f>
        <v>1.4</v>
      </c>
      <c r="BM12" s="10">
        <f>Boss参数!$G$4+DU12-IF(Y12=1,Boss参数!$B$11,0)</f>
        <v>0.45</v>
      </c>
      <c r="BN12" s="10">
        <f>IF($E12="","",MAX(Boss参数!$B$10,1+IFERROR(INDEX(角色面板!$I$18:$I$21,MATCH($E12,角色面板!$A$18:$A$21,0)),0)+$BB12+Boss参数!$H$4-$BM12))</f>
        <v>0.60499999999999998</v>
      </c>
      <c r="BO12" s="10">
        <f>IF(E12="","",IF(OR(L12="J_COUNTER",L12="J_HARD"),MAX(0,1+INDEX(角色面板!$K$18:$K$21,MATCH(E12,角色面板!$A$18:$A$21,0))-DI12*Boss参数!$B$23+IF(OR(Boss参数!$B$43=1,L12="J_HARD"),IF(B12&lt;=AH12,Boss参数!$B$46,0),0)),MAX(0,IF(OR(H12="术法",L12="RHI_BERRY",AND(L12="37_FOLLOW",Boss参数!$B$31=1)),1+BC12,IF(H12="仪式",1+BD12,IF(H12="洞知",EK12,1))))))</f>
        <v>0.7</v>
      </c>
      <c r="BP12" s="10">
        <f t="shared" si="3"/>
        <v>1.1000000000000001</v>
      </c>
      <c r="BQ12" s="1">
        <f t="shared" si="4"/>
        <v>0</v>
      </c>
      <c r="BR12" s="1">
        <f t="shared" si="5"/>
        <v>0</v>
      </c>
      <c r="BS12" s="1">
        <f>IF(BH12=0,0,ROUNDDOWN(AY12*BH12,0)*DV12*IF(Boss参数!$B$29=1,BN12,1)*IF(Boss参数!$B$33=1,BO12,1)*IF(Boss参数!$B$76=1,1-ES12,1))</f>
        <v>0</v>
      </c>
      <c r="BT12" s="1">
        <f t="shared" si="6"/>
        <v>0</v>
      </c>
      <c r="BU12" s="9">
        <f>IF(D12="",0,MIN(IF(Boss参数!$B$77=1,Boss参数!$B$63*Boss参数!$B$62,Boss参数!$B$61*Boss参数!$B$62),DW12+ROUNDDOWN(BS12,0)+ROUNDDOWN(DW12*Q12,0)))</f>
        <v>0</v>
      </c>
      <c r="BV12" s="9">
        <f>IF(D12="",0,MIN(IF(Boss参数!$B$77=1,Boss参数!$B$63*Boss参数!$B$62,Boss参数!$B$61*Boss参数!$B$62),DX12+ROUNDDOWN(BT12,0)+ROUNDDOWN(DX12*Q12,0)))</f>
        <v>0</v>
      </c>
      <c r="BW12" s="9">
        <f t="shared" si="7"/>
        <v>0</v>
      </c>
      <c r="BX12" s="1" t="str">
        <f t="shared" si="8"/>
        <v/>
      </c>
      <c r="BY12" s="1">
        <f t="shared" si="9"/>
        <v>2</v>
      </c>
      <c r="BZ12" s="1">
        <f t="shared" si="10"/>
        <v>2</v>
      </c>
      <c r="CA12" s="1">
        <f>MIN(10,W12+IF(AND(L12="LILYA_COBRA",COUNTIF($L$3:L12,"LILYA_COBRA")=1),5,0)+IF(AND(L12="LILYA_DIVE",U12=1,COUNTIFS($DG$3:DG12,DG12,$L$3:L12,"LILYA_DIVE")=1),2,0)+IF(AND(FE12=1,U12=1),3,0))</f>
        <v>10</v>
      </c>
      <c r="CB12" s="1">
        <f>MIN(20,MAX(0,X12+IF(L12="LILYA_COBRA",IF(COUNTIF($L$3:L12,"LILYA_COBRA")=1,6,IF(U12=1,MAX(1,G12),IF(U12=2,2*MAX(1,G12),0))),0)+IF(AND(Y12=1,E12="红弩箭",L12&lt;&gt;"ENTER_INSIGHT"),1,0)-IF(AND(L12="LILYA_ULT",X12&gt;=6),6,0)))</f>
        <v>6</v>
      </c>
      <c r="CC12" s="1">
        <f t="shared" si="11"/>
        <v>0</v>
      </c>
      <c r="CD12" s="1">
        <f t="shared" si="12"/>
        <v>0</v>
      </c>
      <c r="CE12" s="1">
        <f t="shared" si="13"/>
        <v>0</v>
      </c>
      <c r="CF12" s="1">
        <f t="shared" si="14"/>
        <v>4</v>
      </c>
      <c r="CG12" s="1">
        <f t="shared" si="15"/>
        <v>0</v>
      </c>
      <c r="CH12" s="1">
        <f>MIN(35,AD12+IF(L12="J_HARD",6,0)+IF(L12="J_COUNTER",Boss参数!$B$30,0))</f>
        <v>8</v>
      </c>
      <c r="CI12" s="1">
        <f>MIN(Boss参数!$I$4,AE12+IF(L12="J_HARD",6,0)+IF(L12="J_ULT",AD12,0)+IF(L12="J_COUNTER",Boss参数!$B$30,0))</f>
        <v>4</v>
      </c>
      <c r="CJ12" s="10">
        <f>IF(L12="J_ULT",AD12*Boss参数!$B$41,IF(B12&lt;=AG12,AF12,0))</f>
        <v>0</v>
      </c>
      <c r="CK12" s="1">
        <f t="shared" si="16"/>
        <v>0</v>
      </c>
      <c r="CL12" s="1">
        <f t="shared" si="17"/>
        <v>3</v>
      </c>
      <c r="CM12" s="1">
        <f t="shared" si="18"/>
        <v>4</v>
      </c>
      <c r="CN12" s="1">
        <f t="shared" si="19"/>
        <v>5</v>
      </c>
      <c r="CO12" s="1">
        <f t="shared" si="20"/>
        <v>4</v>
      </c>
      <c r="CP12" s="1">
        <f t="shared" si="21"/>
        <v>3</v>
      </c>
      <c r="CQ12" s="1">
        <f t="shared" si="22"/>
        <v>5</v>
      </c>
      <c r="CR12" s="1">
        <f t="shared" si="23"/>
        <v>0</v>
      </c>
      <c r="CS12" s="1">
        <f t="shared" si="24"/>
        <v>0</v>
      </c>
      <c r="CT12" s="10">
        <f t="shared" si="25"/>
        <v>0</v>
      </c>
      <c r="CU12" s="1">
        <f t="shared" si="26"/>
        <v>0</v>
      </c>
      <c r="CV12" s="10">
        <f t="shared" si="27"/>
        <v>0</v>
      </c>
      <c r="CW12" s="1">
        <f t="shared" si="28"/>
        <v>0</v>
      </c>
      <c r="CX12" s="10">
        <f t="shared" si="29"/>
        <v>0</v>
      </c>
      <c r="CY12" s="1">
        <f t="shared" si="30"/>
        <v>0</v>
      </c>
      <c r="CZ12" s="1"/>
      <c r="DA12" s="1"/>
      <c r="DB12" s="1"/>
      <c r="DC12" s="1"/>
      <c r="DD12" s="1"/>
      <c r="DE12" s="1"/>
      <c r="DF12" s="1"/>
      <c r="DG12" s="1">
        <f>IF(D12="","",行动模拟!B18)</f>
        <v>2</v>
      </c>
      <c r="DH12" s="1" t="str">
        <f>IF(L12="END_TURN","回合结束",IF(D12="","",IF(INDEX(回合状态!$C$7:$C$17,MATCH(DG12,回合状态!$A$7:$A$17,0))="洞穿","洞穿",IF(OR(L12="J_COUNTER",L12="BOSS_ACTION",L12="BOSS_CONSERVATIVE"),"敌方",IF(AND(L12="37_FOLLOW",DG12=DG11,DH11="敌方"),"敌方",IF(INDEX(回合状态!$C$7:$C$17,MATCH(DG12,回合状态!$A$7:$A$17,0))="普通","出牌",INDEX(回合状态!$C$7:$C$17,MATCH(DG12,回合状态!$A$7:$A$17,0))))))))</f>
        <v>出牌</v>
      </c>
      <c r="DI12" s="1">
        <f t="shared" si="31"/>
        <v>4</v>
      </c>
      <c r="DJ12" s="1">
        <f>IF(D12="",0,MIN(Boss参数!$B$25,IF(OR(AND(DH12="敌方",OR(DH11&lt;&gt;"敌方",DG12&lt;&gt;DG11)),AND(L12="END_TURN",DH12&lt;&gt;"洞穿"),AND(DG12&lt;&gt;DG11,DH11&lt;&gt;"洞穿",L11&lt;&gt;"END_TURN",COUNTIFS($DG$3:DG11,DG11,$DH$3:DH11,"敌方")=0)),EW12,DN11)))</f>
        <v>4</v>
      </c>
      <c r="DK12" s="1">
        <f>IF(D12="",0,MIN(Boss参数!$B$25,IF(OR(AND(DH12="敌方",OR(DH11&lt;&gt;"敌方",DG12&lt;&gt;DG11)),AND(L12="END_TURN",DH12&lt;&gt;"洞穿"),AND(DG12&lt;&gt;DG11,DH11&lt;&gt;"洞穿",L11&lt;&gt;"END_TURN",COUNTIFS($DG$3:DG11,DG11,$DH$3:DH11,"敌方")=0)),EW12,DO11)))</f>
        <v>2</v>
      </c>
      <c r="DL12" s="1">
        <f>IF(D12="",0,MIN(Boss参数!$B$25,IF(OR(AND(DH12="敌方",OR(DH11&lt;&gt;"敌方",DG12&lt;&gt;DG11)),AND(L12="END_TURN",DH12&lt;&gt;"洞穿"),AND(DG12&lt;&gt;DG11,DH11&lt;&gt;"洞穿",L11&lt;&gt;"END_TURN",COUNTIFS($DG$3:DG11,DG11,$DH$3:DH11,"敌方")=0)),EW12,DP11)))</f>
        <v>4</v>
      </c>
      <c r="DM12" s="1">
        <f>IF(D12="",0,MIN(Boss参数!$B$25,IF(OR(AND(DH12="敌方",OR(DH11&lt;&gt;"敌方",DG12&lt;&gt;DG11)),AND(L12="END_TURN",DH12&lt;&gt;"洞穿"),AND(DG12&lt;&gt;DG11,DH11&lt;&gt;"洞穿",L11&lt;&gt;"END_TURN",COUNTIFS($DG$3:DG11,DG11,$DH$3:DH11,"敌方")=0)),EW12,DQ11)))</f>
        <v>0</v>
      </c>
      <c r="DN12" s="1">
        <f>MAX(0,MIN(Boss参数!$B$25,DJ12+DR12)-IF(E12="红弩箭",2*DR12,0))</f>
        <v>4</v>
      </c>
      <c r="DO12" s="1">
        <f>MAX(0,MIN(Boss参数!$B$25,DK12+DR12)-IF(E12="37",2*DR12,0))</f>
        <v>2</v>
      </c>
      <c r="DP12" s="1">
        <f>MAX(0,MIN(Boss参数!$B$25,DL12+DR12)-IF(E12="小瑞安侬",2*DR12,0))</f>
        <v>4</v>
      </c>
      <c r="DQ12" s="1">
        <f>MAX(0,MIN(Boss参数!$B$25,DM12+DR12)-IF(E12="J",2*DR12,0))</f>
        <v>0</v>
      </c>
      <c r="DR12" s="1">
        <f t="shared" si="32"/>
        <v>0</v>
      </c>
      <c r="DS12" s="1">
        <f t="shared" si="33"/>
        <v>0</v>
      </c>
      <c r="DT12" s="1">
        <f>IF(OR(E12="",E12="系统"),0,IF(OR(AND(DS12=1,Boss参数!$B$32=1),L12="RHI_BERRY",OR(AND(INDEX(角色面板!$B$18:$B$21,MATCH(E12,角色面板!$A$18:$A$21,0))="星",Boss参数!$B$4="岩"),AND(INDEX(角色面板!$B$18:$B$21,MATCH(E12,角色面板!$A$18:$A$21,0))="岩",Boss参数!$B$4="兽"),AND(INDEX(角色面板!$B$18:$B$21,MATCH(E12,角色面板!$A$18:$A$21,0))="兽",Boss参数!$B$4="木"),AND(INDEX(角色面板!$B$18:$B$21,MATCH(E12,角色面板!$A$18:$A$21,0))="木",Boss参数!$B$4="星"),AND(INDEX(角色面板!$B$18:$B$21,MATCH(E12,角色面板!$A$18:$A$21,0))="智",Boss参数!$B$4="灵"),AND(INDEX(角色面板!$B$18:$B$21,MATCH(E12,角色面板!$A$18:$A$21,0))="灵",Boss参数!$B$4="智"))),1,0))</f>
        <v>0</v>
      </c>
      <c r="DU12" s="1">
        <f>IF(D12="",0,INDEX(回合状态!$E$7:$E$17,MATCH(DG12,回合状态!$A$7:$A$17,0))+IF(AND(DH12="敌方",OR(INDEX(回合状态!$C$7:$C$17,MATCH(DG12,回合状态!$A$7:$A$17,0))="普通",INDEX(回合状态!$C$7:$C$17,MATCH(DG12,回合状态!$A$7:$A$17,0))="额外")),0.05,0))</f>
        <v>0.05</v>
      </c>
      <c r="DV12" s="1">
        <f>MAX(Boss参数!$B$28,1+IF(AND(E12="37",AC12&gt;0,BH12&gt;0),Boss参数!$B$42,0)-DI12*Boss参数!$B$24+EA12-ER12)</f>
        <v>0.4</v>
      </c>
      <c r="DW12" s="1">
        <f>MIN(IF(Boss参数!$B$77=1,Boss参数!$B$63*Boss参数!$B$62,Boss参数!$B$61*Boss参数!$B$62),ROUNDDOWN(BQ12*(1-ES12),0))</f>
        <v>0</v>
      </c>
      <c r="DX12" s="1">
        <f>MIN(IF(Boss参数!$B$77=1,Boss参数!$B$63*Boss参数!$B$62,Boss参数!$B$61*Boss参数!$B$62),ROUNDDOWN(BR12*(1-ES12),0))</f>
        <v>0</v>
      </c>
      <c r="DY12" s="1">
        <f t="shared" si="65"/>
        <v>0</v>
      </c>
      <c r="DZ12" s="1">
        <f>IF(L12="RHI_ULT",MIN(Boss参数!$B$48,ROUNDDOWN(AY12*Boss参数!$B$47,0)),DY12)</f>
        <v>238</v>
      </c>
      <c r="EA12" s="11">
        <v>0</v>
      </c>
      <c r="EB12" s="1">
        <f t="shared" si="34"/>
        <v>0</v>
      </c>
      <c r="EC12" s="1">
        <f>SUMIFS($EB$3:EB12,$B$3:B12,"&gt;="&amp;MAX(1,B12-2),$B$3:B12,"&lt;="&amp;B12)*Boss参数!$B$51</f>
        <v>4</v>
      </c>
      <c r="ED12" s="1">
        <f>IF(D12="",EG11,IF(AND(DG12&lt;&gt;DG11,DH12&lt;&gt;"洞穿"),MIN(Boss参数!$B$55,EG11+2),EG11))</f>
        <v>2</v>
      </c>
      <c r="EE12" s="1">
        <f t="shared" si="35"/>
        <v>0</v>
      </c>
      <c r="EF12" s="1">
        <f>IF(AND(OR(L12="END_TURN",AND(DH12="敌方",OR(DH11&lt;&gt;"敌方",DG12&lt;&gt;DG11))),SUMIFS($EF$3:EF11,$DG$3:DG11,DG12)=0),MIN(1,MAX(0,ED12-EE12)),0)</f>
        <v>0</v>
      </c>
      <c r="EG12" s="1">
        <f t="shared" si="36"/>
        <v>2</v>
      </c>
      <c r="EH12" s="11">
        <f>Boss参数!$B$53-IF(Y12=1,Boss参数!$B$54,0)</f>
        <v>0</v>
      </c>
      <c r="EI12" s="11">
        <f t="shared" si="37"/>
        <v>0</v>
      </c>
      <c r="EJ12" s="11">
        <f t="shared" si="38"/>
        <v>0</v>
      </c>
      <c r="EK12" s="11">
        <f t="shared" si="39"/>
        <v>1</v>
      </c>
      <c r="EL12" s="1">
        <f t="shared" si="66"/>
        <v>1</v>
      </c>
      <c r="EM12" s="1">
        <f>IF(AND(DG12&lt;&gt;DG11,DH12="洞穿"),0,IF(L12="ENTER_INSIGHT",Boss参数!$B$57,EO11))</f>
        <v>0</v>
      </c>
      <c r="EN12" s="11">
        <f>IF(AND(Y12=1,H12="洞知",EM12&gt;0),Boss参数!$B$56,0)</f>
        <v>0</v>
      </c>
      <c r="EO12" s="1">
        <f t="shared" si="40"/>
        <v>0</v>
      </c>
      <c r="EP12" s="12">
        <f t="shared" si="67"/>
        <v>88181</v>
      </c>
      <c r="EQ12" s="12">
        <f>ROUNDDOWN(EP12/Boss参数!$B$62,0)</f>
        <v>0</v>
      </c>
      <c r="ER12" s="11">
        <f>IF(EQ12&gt;=Boss参数!$B$66,Boss参数!$B$69,IF(EQ12&gt;=Boss参数!$B$65,Boss参数!$B$68,IF(EQ12&gt;=Boss参数!$B$64,Boss参数!$B$67,0)))</f>
        <v>0</v>
      </c>
      <c r="ES12" s="11">
        <f>MIN(1,IF(EQ12&gt;=Boss参数!$B$66,Boss参数!$B$72+ROUNDDOWN((EQ12-Boss参数!$B$66)/Boss参数!$B$73,0)*Boss参数!$B$74,IF(EQ12&gt;=Boss参数!$B$65,Boss参数!$B$71,IF(EQ12&gt;=Boss参数!$B$64,Boss参数!$B$70,0))))</f>
        <v>0</v>
      </c>
      <c r="ET12" s="12">
        <f>MIN(Boss参数!$B$61*Boss参数!$B$62,EP12+IF(AND(Boss参数!$B$60=1,ISNUMBER(验证表!H18)),验证表!H18,EU12))</f>
        <v>88181</v>
      </c>
      <c r="EU12" s="12">
        <f>IF(D12="",0,IF(验证表!G18="是",BV12,IF(验证表!G18="否",BU12,BW12)))</f>
        <v>0</v>
      </c>
      <c r="EV12" s="12">
        <f>IF(EQ12&gt;=Boss参数!$B$66,2,IF(EQ12&gt;=Boss参数!$B$65,1,0))</f>
        <v>0</v>
      </c>
      <c r="EW12" s="12">
        <f t="shared" si="41"/>
        <v>1</v>
      </c>
      <c r="EX12" s="1">
        <f>IF(D12="",0,INDEX(回合状态!$D$7:$D$17,MATCH(DG12,回合状态!$A$7:$A$17,0)))</f>
        <v>2</v>
      </c>
      <c r="EY12" s="1">
        <f>IF(OR(L12="RHI_ATTACK",L12="RHI_BUFF"),1,IF(L12="RHI_ULT",Boss参数!$B$52,0))</f>
        <v>1</v>
      </c>
      <c r="EZ12" s="1">
        <f>MIN(6,SUMIFS($EY$3:EY12,$EX$3:EX12,"&gt;="&amp;MAX(1,EX12-Boss参数!$B$87+1),$EX$3:EX12,"&lt;="&amp;EX12))</f>
        <v>2</v>
      </c>
      <c r="FA12" s="1">
        <f t="shared" si="68"/>
        <v>8</v>
      </c>
      <c r="FB12" s="17">
        <f>IF(L12="BOSS_CONSERVATIVE",B12+Boss参数!$B$91,FB11)</f>
        <v>0</v>
      </c>
      <c r="FC12" s="17">
        <f t="shared" si="69"/>
        <v>0</v>
      </c>
      <c r="FD12" s="17">
        <f>IF(D12="",FD11,FD11+IF(AND(DG12&lt;&gt;DG11,INDEX(回合状态!$C$7:$C$17,MATCH(DG12,回合状态!$A$7:$A$17,0))&lt;&gt;"洞穿"),1,0))</f>
        <v>2</v>
      </c>
      <c r="FE12" s="17">
        <f>IF(D12="",0,IF(AND(OR(L12="END_TURN",DH12="敌方"),INDEX(回合状态!$C$7:$C$17,MATCH(DG12,回合状态!$A$7:$A$17,0))&lt;&gt;"洞穿",SUMIFS($FE$3:FE11,$DG$3:DG11,DG12)=0),1,0))</f>
        <v>0</v>
      </c>
    </row>
    <row r="13" spans="1:161" ht="84.95" customHeight="1">
      <c r="A13" s="1">
        <f>行动模拟!A19</f>
        <v>11</v>
      </c>
      <c r="B13" s="1">
        <f>IF(D13="",0,INDEX(回合状态!$B$7:$B$17,MATCH(DG13,回合状态!$A$7:$A$17,0)))</f>
        <v>2</v>
      </c>
      <c r="C13" s="1">
        <f>行动模拟!C19</f>
        <v>2</v>
      </c>
      <c r="D13" s="1" t="str">
        <f>IF(行动模拟!D19="","",行动模拟!D19)</f>
        <v>J｜热处理</v>
      </c>
      <c r="E13" s="1" t="str">
        <f>IF($D13="","",IFERROR(INDEX(技能数据库!$B$4:$B$38,MATCH($D13,技能数据库!$A$4:$A$38,0)),""))</f>
        <v>J</v>
      </c>
      <c r="F13" s="1" t="str">
        <f>IF($D13="","",IFERROR(INDEX(技能数据库!$C$4:$C$38,MATCH($D13,技能数据库!$A$4:$A$38,0)),""))</f>
        <v>热处理</v>
      </c>
      <c r="G13" s="1">
        <f>IF($D13="","",IFERROR(INDEX(技能数据库!$D$4:$D$38,MATCH($D13,技能数据库!$A$4:$A$38,0)),""))</f>
        <v>0</v>
      </c>
      <c r="H13" s="1" t="str">
        <f>IF($D13="","",IFERROR(INDEX(技能数据库!$E$4:$E$38,MATCH($D13,技能数据库!$A$4:$A$38,0)),""))</f>
        <v>反制</v>
      </c>
      <c r="I13" s="1" t="str">
        <f>IF($D13="","",IFERROR(INDEX(技能数据库!$F$4:$F$38,MATCH($D13,技能数据库!$A$4:$A$38,0)),""))</f>
        <v>无</v>
      </c>
      <c r="J13" s="1">
        <f>IF($D13="","",IFERROR(INDEX(技能数据库!$G$4:$G$38,MATCH($D13,技能数据库!$A$4:$A$38,0)),""))</f>
        <v>0</v>
      </c>
      <c r="K13" s="1">
        <f>IF($D13="","",IFERROR(INDEX(技能数据库!$H$4:$H$38,MATCH($D13,技能数据库!$A$4:$A$38,0)),""))</f>
        <v>0</v>
      </c>
      <c r="L13" s="1" t="str">
        <f>IF($D13="","",IFERROR(INDEX(技能数据库!$I$4:$I$38,MATCH($D13,技能数据库!$A$4:$A$38,0)),""))</f>
        <v>J_HEAT</v>
      </c>
      <c r="M13" s="10">
        <v>1</v>
      </c>
      <c r="N13" s="1"/>
      <c r="O13" s="1"/>
      <c r="P13" s="1"/>
      <c r="Q13" s="10">
        <f t="shared" si="0"/>
        <v>0</v>
      </c>
      <c r="R13" s="10">
        <v>0</v>
      </c>
      <c r="S13" s="10">
        <v>0</v>
      </c>
      <c r="T13" s="1">
        <f>行动模拟!I19</f>
        <v>0</v>
      </c>
      <c r="U13" s="1">
        <f>IF(FD13&lt;&gt;FD12,IF(BY12=1,IF(MIN(10,CA12+IF(AND(DG13&lt;&gt;DG12,DH12&lt;&gt;"洞穿",SUMIFS($FE$3:FE12,$DG$3:DG12,DG12)=0,BY12=1),3,0))&gt;=10,2,1),IF(BY12=2,IF(BZ12&lt;=1,0,2),0)),BY12)</f>
        <v>2</v>
      </c>
      <c r="V13" s="1">
        <f>IF(FD13&lt;&gt;FD12,IF(BY12=1,IF(MIN(10,CA12+IF(AND(DG13&lt;&gt;DG12,DH12&lt;&gt;"洞穿",SUMIFS($FE$3:FE12,$DG$3:DG12,DG12)=0,BY12=1),3,0))&gt;=10,2,0),IF(BY12=2,MAX(0,BZ12-1),0)),BZ12)</f>
        <v>2</v>
      </c>
      <c r="W13" s="1">
        <f>IF(AND(FD13&lt;&gt;FD12,BY12=2,BZ12&lt;=1),0,MIN(10,CA12+IF(AND(DG13&lt;&gt;DG12,DH12&lt;&gt;"洞穿",SUMIFS($FE$3:FE12,$DG$3:DG12,DG12)=0,BY12=1),3,0)))</f>
        <v>10</v>
      </c>
      <c r="X13" s="1">
        <f t="shared" si="42"/>
        <v>6</v>
      </c>
      <c r="Y13" s="1">
        <f t="shared" si="43"/>
        <v>0</v>
      </c>
      <c r="Z13" s="1">
        <f t="shared" si="44"/>
        <v>0</v>
      </c>
      <c r="AA13" s="1">
        <f t="shared" si="45"/>
        <v>0</v>
      </c>
      <c r="AB13" s="1">
        <f t="shared" si="46"/>
        <v>4</v>
      </c>
      <c r="AC13" s="1">
        <f t="shared" si="47"/>
        <v>0</v>
      </c>
      <c r="AD13" s="1">
        <f t="shared" si="48"/>
        <v>8</v>
      </c>
      <c r="AE13" s="1">
        <f>IF(D13="",0,IF(DG13&lt;&gt;DG12,IFERROR(INDEX(回合状态!$F$7:$F$17,MATCH(DG13,回合状态!$A$7:$A$17,0)),0),CI12))</f>
        <v>4</v>
      </c>
      <c r="AF13" s="10">
        <f t="shared" si="49"/>
        <v>0</v>
      </c>
      <c r="AG13" s="1">
        <f t="shared" si="50"/>
        <v>0</v>
      </c>
      <c r="AH13" s="1">
        <f t="shared" si="51"/>
        <v>3</v>
      </c>
      <c r="AI13" s="1">
        <f t="shared" si="52"/>
        <v>4</v>
      </c>
      <c r="AJ13" s="1">
        <f t="shared" si="53"/>
        <v>5</v>
      </c>
      <c r="AK13" s="1">
        <f t="shared" si="54"/>
        <v>4</v>
      </c>
      <c r="AL13" s="1">
        <f t="shared" si="55"/>
        <v>3</v>
      </c>
      <c r="AM13" s="1">
        <f t="shared" si="56"/>
        <v>5</v>
      </c>
      <c r="AN13" s="1">
        <f t="shared" si="57"/>
        <v>0</v>
      </c>
      <c r="AO13" s="1">
        <f t="shared" si="58"/>
        <v>0</v>
      </c>
      <c r="AP13" s="10">
        <f t="shared" si="59"/>
        <v>0</v>
      </c>
      <c r="AQ13" s="1">
        <f t="shared" si="60"/>
        <v>0</v>
      </c>
      <c r="AR13" s="10">
        <f t="shared" si="61"/>
        <v>0</v>
      </c>
      <c r="AS13" s="1">
        <f t="shared" si="62"/>
        <v>0</v>
      </c>
      <c r="AT13" s="10">
        <f t="shared" si="63"/>
        <v>0</v>
      </c>
      <c r="AU13" s="1">
        <f t="shared" si="64"/>
        <v>0</v>
      </c>
      <c r="AV13" s="1">
        <f>MIN(5,SUMIFS($EL$3:EL13,$B$3:B13,"&gt;="&amp;MAX(1,B13-2),$B$3:B13,"&lt;="&amp;B13)+EC13)</f>
        <v>5</v>
      </c>
      <c r="AW13" s="1">
        <f>MIN(6,SUMIFS($EY$3:EY12,$EX$3:EX12,"&gt;="&amp;MAX(1,EX13-Boss参数!$B$87+1),$EX$3:EX12,"&lt;="&amp;EX13))</f>
        <v>2</v>
      </c>
      <c r="AX13" s="1">
        <f>MIN(4,COUNTIFS($B$3:$B$12,"&gt;="&amp;MAX(1,$B13-2),$B$3:$B$12,"&lt;="&amp;$B13,$L$3:$L$12,"37_FOLLOW"))</f>
        <v>1</v>
      </c>
      <c r="AY13" s="9">
        <f>IF($E13="","",IF($E13="系统",0,ROUNDDOWN(INDEX(角色面板!$C$4:$C$7,MATCH($E13,角色面板!$A$4:$A$7,0))*(1+INDEX(角色面板!$C$11:$C$14,MATCH($E13,角色面板!$A$11:$A$14,0))+IF($E13="小瑞安侬",MAX(IF($B13&lt;=$AQ13,$AP13,0),IF(AND($L13="RHI_ATTACK",$EE13&gt;0),0.11+0.01*$G13,0)),0)+IF($E13="J",$AD13*Boss参数!$B$18,0))+IF(FD13&lt;=$AN13,MIN(Boss参数!$B$21,ROUNDDOWN(角色面板!$C$19*Boss参数!$B$20,0)),0)+IF(AND($B13&lt;=$AK13,$E13&lt;&gt;"小瑞安侬"),$DY13,0),0)))</f>
        <v>2296</v>
      </c>
      <c r="AZ13" s="10">
        <f>IF($E13="","",MAX(0,MIN(1,IFERROR(INDEX(角色面板!$G$18:$G$21,MATCH($E13,角色面板!$A$18:$A$21,0)),0)-FC13*Boss参数!$B$89-Boss参数!$E$4)))</f>
        <v>0.66700000000000004</v>
      </c>
      <c r="BA13" s="10">
        <f>IF(E13="","",(IF($E13="","",IF($E13="红弩箭",Boss参数!$B$80,IF($E13="J",Boss参数!$B$81,IFERROR(INDEX(角色面板!$H$18:$H$21,MATCH($E13,角色面板!$A$18:$A$21,0)),0)))+IF($B13&lt;=$AI13,Boss参数!$B$13,0)+MIN(30,$AM13)*Boss参数!$B$17+IF(AND($L13="LILYA_ULT",$X13&gt;=6),1,0)+IF(AND($Y13=1,$L13="LILYA_INSIGHT"),IF(MOD($AA13+1,3)=0,Boss参数!$B$83,Boss参数!$B$82),IF(AND($Y13=1,$L13="LILYA_FINISH"),Boss参数!$B$84,0))))-FC13*Boss参数!$B$90)</f>
        <v>1.897</v>
      </c>
      <c r="BB13" s="10">
        <f>IF($E13="","",IFERROR(INDEX(角色面板!$M$18:$M$21,MATCH($E13,角色面板!$A$18:$A$21,0)),0)+$AW13*Boss参数!$B$12+IF($B13&lt;=$AG13,$AF13,0)+$EI13+IF($L13="LILYA_DIVE",IF($U13=1,IF($G13=1,0.3,IF($G13=2,0.4,0.5)),IF($U13=2,IF($G13=1,0.6,IF($G13=2,0.8,1)),0)),0)+$R13+IF(AND($E13="J",OR($L13="J_COUNTER",$L13="J_HARD")),Boss参数!$B$79,0)+IF(AND(OR(L13="J_COUNTER",L13="J_HARD"),FA13&gt;=Boss参数!$B$59),FA13*Boss参数!$B$40,0))</f>
        <v>0.12</v>
      </c>
      <c r="BC13" s="10">
        <f>IF($E13="","",IFERROR(INDEX(角色面板!$K$18:$K$21,MATCH($E13,角色面板!$A$18:$A$21,0)),0)+IF($B13&lt;=$AH13,Boss参数!$B$46,0)+IF($E13="红弩箭",IF($U13=1,0.6,IF($U13=2,1.2,0))+$W13*0.06,0))-DI13*Boss参数!$B$23</f>
        <v>-0.10000000000000003</v>
      </c>
      <c r="BD13" s="10">
        <f>IF($E13="","",IFERROR(INDEX(角色面板!$L$18:$L$21,MATCH($E13,角色面板!$A$18:$A$21,0)),0)+IF($B13&lt;=$AH13,Boss参数!$B$46,0)+IF($E13="J",$AL13*Boss参数!$B$16,0)+IF($E13="红弩箭",$X13*0.025,0)+IF(AND($L13="LILYA_ULT",$X13&gt;=6),1,0))-DI13*Boss参数!$B$23</f>
        <v>0.42</v>
      </c>
      <c r="BE13" s="10">
        <f>IF($E13="","",IF($H13="洞知",IF($E13="红弩箭",$AO13*Boss参数!$B$15,0)+$AX13*Boss参数!$B$14,0))</f>
        <v>0</v>
      </c>
      <c r="BF13" s="10">
        <f t="shared" si="1"/>
        <v>0</v>
      </c>
      <c r="BG13" s="10">
        <f>IF($D13="",0,IF(AND($L13&lt;&gt;"LILYA_DIVE",$L13&lt;&gt;"LILYA_ULT",$L13&lt;&gt;"LILYA_INSIGHT",$L13&lt;&gt;"LILYA_FINISH",$L13&lt;&gt;"37_FOLLOW",$L13&lt;&gt;"RHI_ATTACK",$L13&lt;&gt;"RHI_BERRY",$L13&lt;&gt;"J_COUNTER",$L13&lt;&gt;"J_ULT"),$J13,0)+IF($L13="LILYA_DIVE",$J13+IF($U13=1,IF($G13=1,6,IF($G13=2,12,18)),IF($U13=2,IF($G13=1,12,IF($G13=2,24,36)),0)),0)+IF($L13="LILYA_ULT",$J13+IF($X13&gt;=6,18,0),0)+IF($L13="LILYA_INSIGHT",IF($Y13=1,IF(MOD($AA13+1,3)=0,32,15),0),0)+IF($L13="LILYA_FINISH",IF($Y13=1,50+2.5*$Z13,0),0)+IF($L13="37_FOLLOW",$J13,0)+IF($L13="RHI_ATTACK",$J13*IF($B13&lt;=$AJ13,2,1),0)+IF($L13="RHI_BERRY",15+1.5*$AV13,0)+IF($L13="J_COUNTER",$J13+$AD13*Boss参数!$B$39,0)+IF($L13="J_ULT",$J13+Boss参数!$B$45*MAX(0,$AE13+$AD13-Boss参数!$I$4),0)+$S13)</f>
        <v>0</v>
      </c>
      <c r="BH13" s="10">
        <f t="shared" si="2"/>
        <v>0</v>
      </c>
      <c r="BI13" s="10">
        <f>IF(E13="","",IF(DT13=1,1+Boss参数!$B$8+AV13*Boss参数!$B$19,1))</f>
        <v>1</v>
      </c>
      <c r="BJ13" s="9">
        <f>IF($I13="现实",Boss参数!$C$4,IF($I13="精神",Boss参数!$D$4,0))</f>
        <v>0</v>
      </c>
      <c r="BK13" s="9">
        <f>IF($E13="","",MAX($AY13*Boss参数!$B$9,$AY13-$BJ13*(1-$BF13)))</f>
        <v>2296</v>
      </c>
      <c r="BL13" s="10">
        <f>MAX(0,Boss参数!$F$4+IF(DT13=0,Boss参数!$B$27,0)-EJ13)</f>
        <v>1.4</v>
      </c>
      <c r="BM13" s="10">
        <f>Boss参数!$G$4+DU13-IF(Y13=1,Boss参数!$B$11,0)</f>
        <v>0.45</v>
      </c>
      <c r="BN13" s="10">
        <f>IF($E13="","",MAX(Boss参数!$B$10,1+IFERROR(INDEX(角色面板!$I$18:$I$21,MATCH($E13,角色面板!$A$18:$A$21,0)),0)+$BB13+Boss参数!$H$4-$BM13))</f>
        <v>0.69500000000000006</v>
      </c>
      <c r="BO13" s="10">
        <f>IF(E13="","",IF(OR(L13="J_COUNTER",L13="J_HARD"),MAX(0,1+INDEX(角色面板!$K$18:$K$21,MATCH(E13,角色面板!$A$18:$A$21,0))-DI13*Boss参数!$B$23+IF(OR(Boss参数!$B$43=1,L13="J_HARD"),IF(B13&lt;=AH13,Boss参数!$B$46,0),0)),MAX(0,IF(OR(H13="术法",L13="RHI_BERRY",AND(L13="37_FOLLOW",Boss参数!$B$31=1)),1+BC13,IF(H13="仪式",1+BD13,IF(H13="洞知",EK13,1))))))</f>
        <v>1</v>
      </c>
      <c r="BP13" s="10">
        <f t="shared" si="3"/>
        <v>1.1000000000000001</v>
      </c>
      <c r="BQ13" s="1">
        <f t="shared" si="4"/>
        <v>0</v>
      </c>
      <c r="BR13" s="1">
        <f t="shared" si="5"/>
        <v>0</v>
      </c>
      <c r="BS13" s="1">
        <f>IF(BH13=0,0,ROUNDDOWN(AY13*BH13,0)*DV13*IF(Boss参数!$B$29=1,BN13,1)*IF(Boss参数!$B$33=1,BO13,1)*IF(Boss参数!$B$76=1,1-ES13,1))</f>
        <v>0</v>
      </c>
      <c r="BT13" s="1">
        <f t="shared" si="6"/>
        <v>0</v>
      </c>
      <c r="BU13" s="9">
        <f>IF(D13="",0,MIN(IF(Boss参数!$B$77=1,Boss参数!$B$63*Boss参数!$B$62,Boss参数!$B$61*Boss参数!$B$62),DW13+ROUNDDOWN(BS13,0)+ROUNDDOWN(DW13*Q13,0)))</f>
        <v>0</v>
      </c>
      <c r="BV13" s="9">
        <f>IF(D13="",0,MIN(IF(Boss参数!$B$77=1,Boss参数!$B$63*Boss参数!$B$62,Boss参数!$B$61*Boss参数!$B$62),DX13+ROUNDDOWN(BT13,0)+ROUNDDOWN(DX13*Q13,0)))</f>
        <v>0</v>
      </c>
      <c r="BW13" s="9">
        <f t="shared" si="7"/>
        <v>0</v>
      </c>
      <c r="BX13" s="1" t="str">
        <f t="shared" si="8"/>
        <v/>
      </c>
      <c r="BY13" s="1">
        <f t="shared" si="9"/>
        <v>2</v>
      </c>
      <c r="BZ13" s="1">
        <f t="shared" si="10"/>
        <v>2</v>
      </c>
      <c r="CA13" s="1">
        <f>MIN(10,W13+IF(AND(L13="LILYA_COBRA",COUNTIF($L$3:L13,"LILYA_COBRA")=1),5,0)+IF(AND(L13="LILYA_DIVE",U13=1,COUNTIFS($DG$3:DG13,DG13,$L$3:L13,"LILYA_DIVE")=1),2,0)+IF(AND(FE13=1,U13=1),3,0))</f>
        <v>10</v>
      </c>
      <c r="CB13" s="1">
        <f>MIN(20,MAX(0,X13+IF(L13="LILYA_COBRA",IF(COUNTIF($L$3:L13,"LILYA_COBRA")=1,6,IF(U13=1,MAX(1,G13),IF(U13=2,2*MAX(1,G13),0))),0)+IF(AND(Y13=1,E13="红弩箭",L13&lt;&gt;"ENTER_INSIGHT"),1,0)-IF(AND(L13="LILYA_ULT",X13&gt;=6),6,0)))</f>
        <v>6</v>
      </c>
      <c r="CC13" s="1">
        <f t="shared" si="11"/>
        <v>0</v>
      </c>
      <c r="CD13" s="1">
        <f t="shared" si="12"/>
        <v>0</v>
      </c>
      <c r="CE13" s="1">
        <f t="shared" si="13"/>
        <v>0</v>
      </c>
      <c r="CF13" s="1">
        <f t="shared" si="14"/>
        <v>5</v>
      </c>
      <c r="CG13" s="1">
        <f t="shared" si="15"/>
        <v>0</v>
      </c>
      <c r="CH13" s="1">
        <f>MIN(35,AD13+IF(L13="J_HARD",6,0)+IF(L13="J_COUNTER",Boss参数!$B$30,0))</f>
        <v>8</v>
      </c>
      <c r="CI13" s="1">
        <f>MIN(Boss参数!$I$4,AE13+IF(L13="J_HARD",6,0)+IF(L13="J_ULT",AD13,0)+IF(L13="J_COUNTER",Boss参数!$B$30,0))</f>
        <v>4</v>
      </c>
      <c r="CJ13" s="10">
        <f>IF(L13="J_ULT",AD13*Boss参数!$B$41,IF(B13&lt;=AG13,AF13,0))</f>
        <v>0</v>
      </c>
      <c r="CK13" s="1">
        <f t="shared" si="16"/>
        <v>0</v>
      </c>
      <c r="CL13" s="1">
        <f t="shared" si="17"/>
        <v>3</v>
      </c>
      <c r="CM13" s="1">
        <f t="shared" si="18"/>
        <v>4</v>
      </c>
      <c r="CN13" s="1">
        <f t="shared" si="19"/>
        <v>5</v>
      </c>
      <c r="CO13" s="1">
        <f t="shared" si="20"/>
        <v>4</v>
      </c>
      <c r="CP13" s="1">
        <f t="shared" si="21"/>
        <v>3</v>
      </c>
      <c r="CQ13" s="1">
        <f t="shared" si="22"/>
        <v>5</v>
      </c>
      <c r="CR13" s="1">
        <f t="shared" si="23"/>
        <v>0</v>
      </c>
      <c r="CS13" s="1">
        <f t="shared" si="24"/>
        <v>0</v>
      </c>
      <c r="CT13" s="10">
        <f t="shared" si="25"/>
        <v>0</v>
      </c>
      <c r="CU13" s="1">
        <f t="shared" si="26"/>
        <v>0</v>
      </c>
      <c r="CV13" s="10">
        <f t="shared" si="27"/>
        <v>0</v>
      </c>
      <c r="CW13" s="1">
        <f t="shared" si="28"/>
        <v>0</v>
      </c>
      <c r="CX13" s="10">
        <f t="shared" si="29"/>
        <v>0</v>
      </c>
      <c r="CY13" s="1">
        <f t="shared" si="30"/>
        <v>0</v>
      </c>
      <c r="CZ13" s="1"/>
      <c r="DA13" s="1"/>
      <c r="DB13" s="1"/>
      <c r="DC13" s="1"/>
      <c r="DD13" s="1"/>
      <c r="DE13" s="1"/>
      <c r="DF13" s="1"/>
      <c r="DG13" s="1">
        <f>IF(D13="","",行动模拟!B19)</f>
        <v>2</v>
      </c>
      <c r="DH13" s="1" t="str">
        <f>IF(L13="END_TURN","回合结束",IF(D13="","",IF(INDEX(回合状态!$C$7:$C$17,MATCH(DG13,回合状态!$A$7:$A$17,0))="洞穿","洞穿",IF(OR(L13="J_COUNTER",L13="BOSS_ACTION",L13="BOSS_CONSERVATIVE"),"敌方",IF(AND(L13="37_FOLLOW",DG13=DG12,DH12="敌方"),"敌方",IF(INDEX(回合状态!$C$7:$C$17,MATCH(DG13,回合状态!$A$7:$A$17,0))="普通","出牌",INDEX(回合状态!$C$7:$C$17,MATCH(DG13,回合状态!$A$7:$A$17,0))))))))</f>
        <v>出牌</v>
      </c>
      <c r="DI13" s="1">
        <f t="shared" si="31"/>
        <v>0</v>
      </c>
      <c r="DJ13" s="1">
        <f>IF(D13="",0,MIN(Boss参数!$B$25,IF(OR(AND(DH13="敌方",OR(DH12&lt;&gt;"敌方",DG13&lt;&gt;DG12)),AND(L13="END_TURN",DH13&lt;&gt;"洞穿"),AND(DG13&lt;&gt;DG12,DH12&lt;&gt;"洞穿",L12&lt;&gt;"END_TURN",COUNTIFS($DG$3:DG12,DG12,$DH$3:DH12,"敌方")=0)),EW13,DN12)))</f>
        <v>4</v>
      </c>
      <c r="DK13" s="1">
        <f>IF(D13="",0,MIN(Boss参数!$B$25,IF(OR(AND(DH13="敌方",OR(DH12&lt;&gt;"敌方",DG13&lt;&gt;DG12)),AND(L13="END_TURN",DH13&lt;&gt;"洞穿"),AND(DG13&lt;&gt;DG12,DH12&lt;&gt;"洞穿",L12&lt;&gt;"END_TURN",COUNTIFS($DG$3:DG12,DG12,$DH$3:DH12,"敌方")=0)),EW13,DO12)))</f>
        <v>2</v>
      </c>
      <c r="DL13" s="1">
        <f>IF(D13="",0,MIN(Boss参数!$B$25,IF(OR(AND(DH13="敌方",OR(DH12&lt;&gt;"敌方",DG13&lt;&gt;DG12)),AND(L13="END_TURN",DH13&lt;&gt;"洞穿"),AND(DG13&lt;&gt;DG12,DH12&lt;&gt;"洞穿",L12&lt;&gt;"END_TURN",COUNTIFS($DG$3:DG12,DG12,$DH$3:DH12,"敌方")=0)),EW13,DP12)))</f>
        <v>4</v>
      </c>
      <c r="DM13" s="1">
        <f>IF(D13="",0,MIN(Boss参数!$B$25,IF(OR(AND(DH13="敌方",OR(DH12&lt;&gt;"敌方",DG13&lt;&gt;DG12)),AND(L13="END_TURN",DH13&lt;&gt;"洞穿"),AND(DG13&lt;&gt;DG12,DH12&lt;&gt;"洞穿",L12&lt;&gt;"END_TURN",COUNTIFS($DG$3:DG12,DG12,$DH$3:DH12,"敌方")=0)),EW13,DQ12)))</f>
        <v>0</v>
      </c>
      <c r="DN13" s="1">
        <f>MAX(0,MIN(Boss参数!$B$25,DJ13+DR13)-IF(E13="红弩箭",2*DR13,0))</f>
        <v>4</v>
      </c>
      <c r="DO13" s="1">
        <f>MAX(0,MIN(Boss参数!$B$25,DK13+DR13)-IF(E13="37",2*DR13,0))</f>
        <v>2</v>
      </c>
      <c r="DP13" s="1">
        <f>MAX(0,MIN(Boss参数!$B$25,DL13+DR13)-IF(E13="小瑞安侬",2*DR13,0))</f>
        <v>4</v>
      </c>
      <c r="DQ13" s="1">
        <f>MAX(0,MIN(Boss参数!$B$25,DM13+DR13)-IF(E13="J",2*DR13,0))</f>
        <v>0</v>
      </c>
      <c r="DR13" s="1">
        <f t="shared" si="32"/>
        <v>0</v>
      </c>
      <c r="DS13" s="1">
        <f t="shared" si="33"/>
        <v>0</v>
      </c>
      <c r="DT13" s="1">
        <f>IF(OR(E13="",E13="系统"),0,IF(OR(AND(DS13=1,Boss参数!$B$32=1),L13="RHI_BERRY",OR(AND(INDEX(角色面板!$B$18:$B$21,MATCH(E13,角色面板!$A$18:$A$21,0))="星",Boss参数!$B$4="岩"),AND(INDEX(角色面板!$B$18:$B$21,MATCH(E13,角色面板!$A$18:$A$21,0))="岩",Boss参数!$B$4="兽"),AND(INDEX(角色面板!$B$18:$B$21,MATCH(E13,角色面板!$A$18:$A$21,0))="兽",Boss参数!$B$4="木"),AND(INDEX(角色面板!$B$18:$B$21,MATCH(E13,角色面板!$A$18:$A$21,0))="木",Boss参数!$B$4="星"),AND(INDEX(角色面板!$B$18:$B$21,MATCH(E13,角色面板!$A$18:$A$21,0))="智",Boss参数!$B$4="灵"),AND(INDEX(角色面板!$B$18:$B$21,MATCH(E13,角色面板!$A$18:$A$21,0))="灵",Boss参数!$B$4="智"))),1,0))</f>
        <v>0</v>
      </c>
      <c r="DU13" s="1">
        <f>IF(D13="",0,INDEX(回合状态!$E$7:$E$17,MATCH(DG13,回合状态!$A$7:$A$17,0))+IF(AND(DH13="敌方",OR(INDEX(回合状态!$C$7:$C$17,MATCH(DG13,回合状态!$A$7:$A$17,0))="普通",INDEX(回合状态!$C$7:$C$17,MATCH(DG13,回合状态!$A$7:$A$17,0))="额外")),0.05,0))</f>
        <v>0.05</v>
      </c>
      <c r="DV13" s="1">
        <f>MAX(Boss参数!$B$28,1+IF(AND(E13="37",AC13&gt;0,BH13&gt;0),Boss参数!$B$42,0)-DI13*Boss参数!$B$24+EA13-ER13)</f>
        <v>1</v>
      </c>
      <c r="DW13" s="1">
        <f>MIN(IF(Boss参数!$B$77=1,Boss参数!$B$63*Boss参数!$B$62,Boss参数!$B$61*Boss参数!$B$62),ROUNDDOWN(BQ13*(1-ES13),0))</f>
        <v>0</v>
      </c>
      <c r="DX13" s="1">
        <f>MIN(IF(Boss参数!$B$77=1,Boss参数!$B$63*Boss参数!$B$62,Boss参数!$B$61*Boss参数!$B$62),ROUNDDOWN(BR13*(1-ES13),0))</f>
        <v>0</v>
      </c>
      <c r="DY13" s="1">
        <f t="shared" si="65"/>
        <v>238</v>
      </c>
      <c r="DZ13" s="1">
        <f>IF(L13="RHI_ULT",MIN(Boss参数!$B$48,ROUNDDOWN(AY13*Boss参数!$B$47,0)),DY13)</f>
        <v>238</v>
      </c>
      <c r="EA13" s="11">
        <v>0</v>
      </c>
      <c r="EB13" s="1">
        <f t="shared" si="34"/>
        <v>0</v>
      </c>
      <c r="EC13" s="1">
        <f>SUMIFS($EB$3:EB13,$B$3:B13,"&gt;="&amp;MAX(1,B13-2),$B$3:B13,"&lt;="&amp;B13)*Boss参数!$B$51</f>
        <v>4</v>
      </c>
      <c r="ED13" s="1">
        <f>IF(D13="",EG12,IF(AND(DG13&lt;&gt;DG12,DH13&lt;&gt;"洞穿"),MIN(Boss参数!$B$55,EG12+2),EG12))</f>
        <v>2</v>
      </c>
      <c r="EE13" s="1">
        <f t="shared" si="35"/>
        <v>0</v>
      </c>
      <c r="EF13" s="1">
        <f>IF(AND(OR(L13="END_TURN",AND(DH13="敌方",OR(DH12&lt;&gt;"敌方",DG13&lt;&gt;DG12))),SUMIFS($EF$3:EF12,$DG$3:DG12,DG13)=0),MIN(1,MAX(0,ED13-EE13)),0)</f>
        <v>0</v>
      </c>
      <c r="EG13" s="1">
        <f t="shared" si="36"/>
        <v>2</v>
      </c>
      <c r="EH13" s="11">
        <f>Boss参数!$B$53-IF(Y13=1,Boss参数!$B$54,0)</f>
        <v>0</v>
      </c>
      <c r="EI13" s="11">
        <f t="shared" si="37"/>
        <v>0</v>
      </c>
      <c r="EJ13" s="11">
        <f t="shared" si="38"/>
        <v>0</v>
      </c>
      <c r="EK13" s="11">
        <f t="shared" si="39"/>
        <v>1</v>
      </c>
      <c r="EL13" s="1">
        <f t="shared" si="66"/>
        <v>0</v>
      </c>
      <c r="EM13" s="1">
        <f>IF(AND(DG13&lt;&gt;DG12,DH13="洞穿"),0,IF(L13="ENTER_INSIGHT",Boss参数!$B$57,EO12))</f>
        <v>0</v>
      </c>
      <c r="EN13" s="11">
        <f>IF(AND(Y13=1,H13="洞知",EM13&gt;0),Boss参数!$B$56,0)</f>
        <v>0</v>
      </c>
      <c r="EO13" s="1">
        <f t="shared" si="40"/>
        <v>0</v>
      </c>
      <c r="EP13" s="12">
        <f t="shared" si="67"/>
        <v>88181</v>
      </c>
      <c r="EQ13" s="12">
        <f>ROUNDDOWN(EP13/Boss参数!$B$62,0)</f>
        <v>0</v>
      </c>
      <c r="ER13" s="11">
        <f>IF(EQ13&gt;=Boss参数!$B$66,Boss参数!$B$69,IF(EQ13&gt;=Boss参数!$B$65,Boss参数!$B$68,IF(EQ13&gt;=Boss参数!$B$64,Boss参数!$B$67,0)))</f>
        <v>0</v>
      </c>
      <c r="ES13" s="11">
        <f>MIN(1,IF(EQ13&gt;=Boss参数!$B$66,Boss参数!$B$72+ROUNDDOWN((EQ13-Boss参数!$B$66)/Boss参数!$B$73,0)*Boss参数!$B$74,IF(EQ13&gt;=Boss参数!$B$65,Boss参数!$B$71,IF(EQ13&gt;=Boss参数!$B$64,Boss参数!$B$70,0))))</f>
        <v>0</v>
      </c>
      <c r="ET13" s="12">
        <f>MIN(Boss参数!$B$61*Boss参数!$B$62,EP13+IF(AND(Boss参数!$B$60=1,ISNUMBER(验证表!H19)),验证表!H19,EU13))</f>
        <v>88181</v>
      </c>
      <c r="EU13" s="12">
        <f>IF(D13="",0,IF(验证表!G19="是",BV13,IF(验证表!G19="否",BU13,BW13)))</f>
        <v>0</v>
      </c>
      <c r="EV13" s="12">
        <f>IF(EQ13&gt;=Boss参数!$B$66,2,IF(EQ13&gt;=Boss参数!$B$65,1,0))</f>
        <v>0</v>
      </c>
      <c r="EW13" s="12">
        <f t="shared" si="41"/>
        <v>1</v>
      </c>
      <c r="EX13" s="1">
        <f>IF(D13="",0,INDEX(回合状态!$D$7:$D$17,MATCH(DG13,回合状态!$A$7:$A$17,0)))</f>
        <v>2</v>
      </c>
      <c r="EY13" s="1">
        <f>IF(OR(L13="RHI_ATTACK",L13="RHI_BUFF"),1,IF(L13="RHI_ULT",Boss参数!$B$52,0))</f>
        <v>0</v>
      </c>
      <c r="EZ13" s="1">
        <f>MIN(6,SUMIFS($EY$3:EY13,$EX$3:EX13,"&gt;="&amp;MAX(1,EX13-Boss参数!$B$87+1),$EX$3:EX13,"&lt;="&amp;EX13))</f>
        <v>2</v>
      </c>
      <c r="FA13" s="1">
        <f t="shared" si="68"/>
        <v>8</v>
      </c>
      <c r="FB13" s="17">
        <f>IF(L13="BOSS_CONSERVATIVE",B13+Boss参数!$B$91,FB12)</f>
        <v>0</v>
      </c>
      <c r="FC13" s="17">
        <f t="shared" si="69"/>
        <v>0</v>
      </c>
      <c r="FD13" s="17">
        <f>IF(D13="",FD12,FD12+IF(AND(DG13&lt;&gt;DG12,INDEX(回合状态!$C$7:$C$17,MATCH(DG13,回合状态!$A$7:$A$17,0))&lt;&gt;"洞穿"),1,0))</f>
        <v>2</v>
      </c>
      <c r="FE13" s="17">
        <f>IF(D13="",0,IF(AND(OR(L13="END_TURN",DH13="敌方"),INDEX(回合状态!$C$7:$C$17,MATCH(DG13,回合状态!$A$7:$A$17,0))&lt;&gt;"洞穿",SUMIFS($FE$3:FE12,$DG$3:DG12,DG13)=0),1,0))</f>
        <v>0</v>
      </c>
    </row>
    <row r="14" spans="1:161" ht="84.95" customHeight="1">
      <c r="A14" s="1">
        <f>行动模拟!A20</f>
        <v>12</v>
      </c>
      <c r="B14" s="1">
        <f>IF(D14="",0,INDEX(回合状态!$B$7:$B$17,MATCH(DG14,回合状态!$A$7:$A$17,0)))</f>
        <v>2</v>
      </c>
      <c r="C14" s="1">
        <f>行动模拟!C20</f>
        <v>3</v>
      </c>
      <c r="D14" s="1" t="str">
        <f>IF(行动模拟!D20="","",行动模拟!D20)</f>
        <v>37｜补充算式</v>
      </c>
      <c r="E14" s="1" t="str">
        <f>IF($D14="","",IFERROR(INDEX(技能数据库!$B$4:$B$38,MATCH($D14,技能数据库!$A$4:$A$38,0)),""))</f>
        <v>37</v>
      </c>
      <c r="F14" s="1" t="str">
        <f>IF($D14="","",IFERROR(INDEX(技能数据库!$C$4:$C$38,MATCH($D14,技能数据库!$A$4:$A$38,0)),""))</f>
        <v>补充算式</v>
      </c>
      <c r="G14" s="1">
        <f>IF($D14="","",IFERROR(INDEX(技能数据库!$D$4:$D$38,MATCH($D14,技能数据库!$A$4:$A$38,0)),""))</f>
        <v>0</v>
      </c>
      <c r="H14" s="1" t="str">
        <f>IF($D14="","",IFERROR(INDEX(技能数据库!$E$4:$E$38,MATCH($D14,技能数据库!$A$4:$A$38,0)),""))</f>
        <v>额外行动</v>
      </c>
      <c r="I14" s="1" t="str">
        <f>IF($D14="","",IFERROR(INDEX(技能数据库!$F$4:$F$38,MATCH($D14,技能数据库!$A$4:$A$38,0)),""))</f>
        <v>精神</v>
      </c>
      <c r="J14" s="1">
        <f>IF($D14="","",IFERROR(INDEX(技能数据库!$G$4:$G$38,MATCH($D14,技能数据库!$A$4:$A$38,0)),""))</f>
        <v>3</v>
      </c>
      <c r="K14" s="1">
        <f>IF($D14="","",IFERROR(INDEX(技能数据库!$H$4:$H$38,MATCH($D14,技能数据库!$A$4:$A$38,0)),""))</f>
        <v>1</v>
      </c>
      <c r="L14" s="1" t="str">
        <f>IF($D14="","",IFERROR(INDEX(技能数据库!$I$4:$I$38,MATCH($D14,技能数据库!$A$4:$A$38,0)),""))</f>
        <v>37_FOLLOW</v>
      </c>
      <c r="M14" s="10">
        <v>1</v>
      </c>
      <c r="N14" s="1"/>
      <c r="O14" s="1"/>
      <c r="P14" s="1"/>
      <c r="Q14" s="10">
        <f t="shared" si="0"/>
        <v>0</v>
      </c>
      <c r="R14" s="10">
        <v>0</v>
      </c>
      <c r="S14" s="10">
        <v>0</v>
      </c>
      <c r="T14" s="1">
        <f>行动模拟!I20</f>
        <v>0</v>
      </c>
      <c r="U14" s="1">
        <f>IF(FD14&lt;&gt;FD13,IF(BY13=1,IF(MIN(10,CA13+IF(AND(DG14&lt;&gt;DG13,DH13&lt;&gt;"洞穿",SUMIFS($FE$3:FE13,$DG$3:DG13,DG13)=0,BY13=1),3,0))&gt;=10,2,1),IF(BY13=2,IF(BZ13&lt;=1,0,2),0)),BY13)</f>
        <v>2</v>
      </c>
      <c r="V14" s="1">
        <f>IF(FD14&lt;&gt;FD13,IF(BY13=1,IF(MIN(10,CA13+IF(AND(DG14&lt;&gt;DG13,DH13&lt;&gt;"洞穿",SUMIFS($FE$3:FE13,$DG$3:DG13,DG13)=0,BY13=1),3,0))&gt;=10,2,0),IF(BY13=2,MAX(0,BZ13-1),0)),BZ13)</f>
        <v>2</v>
      </c>
      <c r="W14" s="1">
        <f>IF(AND(FD14&lt;&gt;FD13,BY13=2,BZ13&lt;=1),0,MIN(10,CA13+IF(AND(DG14&lt;&gt;DG13,DH13&lt;&gt;"洞穿",SUMIFS($FE$3:FE13,$DG$3:DG13,DG13)=0,BY13=1),3,0)))</f>
        <v>10</v>
      </c>
      <c r="X14" s="1">
        <f t="shared" si="42"/>
        <v>6</v>
      </c>
      <c r="Y14" s="1">
        <f t="shared" si="43"/>
        <v>0</v>
      </c>
      <c r="Z14" s="1">
        <f t="shared" si="44"/>
        <v>0</v>
      </c>
      <c r="AA14" s="1">
        <f t="shared" si="45"/>
        <v>0</v>
      </c>
      <c r="AB14" s="1">
        <f t="shared" si="46"/>
        <v>5</v>
      </c>
      <c r="AC14" s="1">
        <f t="shared" si="47"/>
        <v>0</v>
      </c>
      <c r="AD14" s="1">
        <f t="shared" si="48"/>
        <v>8</v>
      </c>
      <c r="AE14" s="1">
        <f>IF(D14="",0,IF(DG14&lt;&gt;DG13,IFERROR(INDEX(回合状态!$F$7:$F$17,MATCH(DG14,回合状态!$A$7:$A$17,0)),0),CI13))</f>
        <v>4</v>
      </c>
      <c r="AF14" s="10">
        <f t="shared" si="49"/>
        <v>0</v>
      </c>
      <c r="AG14" s="1">
        <f t="shared" si="50"/>
        <v>0</v>
      </c>
      <c r="AH14" s="1">
        <f t="shared" si="51"/>
        <v>3</v>
      </c>
      <c r="AI14" s="1">
        <f t="shared" si="52"/>
        <v>4</v>
      </c>
      <c r="AJ14" s="1">
        <f t="shared" si="53"/>
        <v>5</v>
      </c>
      <c r="AK14" s="1">
        <f t="shared" si="54"/>
        <v>4</v>
      </c>
      <c r="AL14" s="1">
        <f t="shared" si="55"/>
        <v>3</v>
      </c>
      <c r="AM14" s="1">
        <f t="shared" si="56"/>
        <v>5</v>
      </c>
      <c r="AN14" s="1">
        <f t="shared" si="57"/>
        <v>0</v>
      </c>
      <c r="AO14" s="1">
        <f t="shared" si="58"/>
        <v>0</v>
      </c>
      <c r="AP14" s="10">
        <f t="shared" si="59"/>
        <v>0</v>
      </c>
      <c r="AQ14" s="1">
        <f t="shared" si="60"/>
        <v>0</v>
      </c>
      <c r="AR14" s="10">
        <f t="shared" si="61"/>
        <v>0</v>
      </c>
      <c r="AS14" s="1">
        <f t="shared" si="62"/>
        <v>0</v>
      </c>
      <c r="AT14" s="10">
        <f t="shared" si="63"/>
        <v>0</v>
      </c>
      <c r="AU14" s="1">
        <f t="shared" si="64"/>
        <v>0</v>
      </c>
      <c r="AV14" s="1">
        <f>MIN(5,SUMIFS($EL$3:EL14,$B$3:B14,"&gt;="&amp;MAX(1,B14-2),$B$3:B14,"&lt;="&amp;B14)+EC14)</f>
        <v>5</v>
      </c>
      <c r="AW14" s="1">
        <f>MIN(6,SUMIFS($EY$3:EY13,$EX$3:EX13,"&gt;="&amp;MAX(1,EX14-Boss参数!$B$87+1),$EX$3:EX13,"&lt;="&amp;EX14))</f>
        <v>2</v>
      </c>
      <c r="AX14" s="1">
        <f>MIN(4,COUNTIFS($B$3:$B$13,"&gt;="&amp;MAX(1,$B14-2),$B$3:$B$13,"&lt;="&amp;$B14,$L$3:$L$13,"37_FOLLOW"))</f>
        <v>1</v>
      </c>
      <c r="AY14" s="9">
        <f>IF($E14="","",IF($E14="系统",0,ROUNDDOWN(INDEX(角色面板!$C$4:$C$7,MATCH($E14,角色面板!$A$4:$A$7,0))*(1+INDEX(角色面板!$C$11:$C$14,MATCH($E14,角色面板!$A$11:$A$14,0))+IF($E14="小瑞安侬",MAX(IF($B14&lt;=$AQ14,$AP14,0),IF(AND($L14="RHI_ATTACK",$EE14&gt;0),0.11+0.01*$G14,0)),0)+IF($E14="J",$AD14*Boss参数!$B$18,0))+IF(FD14&lt;=$AN14,MIN(Boss参数!$B$21,ROUNDDOWN(角色面板!$C$19*Boss参数!$B$20,0)),0)+IF(AND($B14&lt;=$AK14,$E14&lt;&gt;"小瑞安侬"),$DY14,0),0)))</f>
        <v>3005</v>
      </c>
      <c r="AZ14" s="10">
        <f>IF($E14="","",MAX(0,MIN(1,IFERROR(INDEX(角色面板!$G$18:$G$21,MATCH($E14,角色面板!$A$18:$A$21,0)),0)-FC14*Boss参数!$B$89-Boss参数!$E$4)))</f>
        <v>0.76</v>
      </c>
      <c r="BA14" s="10">
        <f>IF(E14="","",(IF($E14="","",IF($E14="红弩箭",Boss参数!$B$80,IF($E14="J",Boss参数!$B$81,IFERROR(INDEX(角色面板!$H$18:$H$21,MATCH($E14,角色面板!$A$18:$A$21,0)),0)))+IF($B14&lt;=$AI14,Boss参数!$B$13,0)+MIN(30,$AM14)*Boss参数!$B$17+IF(AND($L14="LILYA_ULT",$X14&gt;=6),1,0)+IF(AND($Y14=1,$L14="LILYA_INSIGHT"),IF(MOD($AA14+1,3)=0,Boss参数!$B$83,Boss参数!$B$82),IF(AND($Y14=1,$L14="LILYA_FINISH"),Boss参数!$B$84,0))))-FC14*Boss参数!$B$90)</f>
        <v>2.3780000000000001</v>
      </c>
      <c r="BB14" s="10">
        <f>IF($E14="","",IFERROR(INDEX(角色面板!$M$18:$M$21,MATCH($E14,角色面板!$A$18:$A$21,0)),0)+$AW14*Boss参数!$B$12+IF($B14&lt;=$AG14,$AF14,0)+$EI14+IF($L14="LILYA_DIVE",IF($U14=1,IF($G14=1,0.3,IF($G14=2,0.4,0.5)),IF($U14=2,IF($G14=1,0.6,IF($G14=2,0.8,1)),0)),0)+$R14+IF(AND($E14="J",OR($L14="J_COUNTER",$L14="J_HARD")),Boss参数!$B$79,0)+IF(AND(OR(L14="J_COUNTER",L14="J_HARD"),FA14&gt;=Boss参数!$B$59),FA14*Boss参数!$B$40,0))</f>
        <v>0.04</v>
      </c>
      <c r="BC14" s="10">
        <f>IF($E14="","",IFERROR(INDEX(角色面板!$K$18:$K$21,MATCH($E14,角色面板!$A$18:$A$21,0)),0)+IF($B14&lt;=$AH14,Boss参数!$B$46,0)+IF($E14="红弩箭",IF($U14=1,0.6,IF($U14=2,1.2,0))+$W14*0.06,0))-DI14*Boss参数!$B$23</f>
        <v>-0.4</v>
      </c>
      <c r="BD14" s="10">
        <f>IF($E14="","",IFERROR(INDEX(角色面板!$L$18:$L$21,MATCH($E14,角色面板!$A$18:$A$21,0)),0)+IF($B14&lt;=$AH14,Boss参数!$B$46,0)+IF($E14="J",$AL14*Boss参数!$B$16,0)+IF($E14="红弩箭",$X14*0.025,0)+IF(AND($L14="LILYA_ULT",$X14&gt;=6),1,0))-DI14*Boss参数!$B$23</f>
        <v>0</v>
      </c>
      <c r="BE14" s="10">
        <f>IF($E14="","",IF($H14="洞知",IF($E14="红弩箭",$AO14*Boss参数!$B$15,0)+$AX14*Boss参数!$B$14,0))</f>
        <v>0</v>
      </c>
      <c r="BF14" s="10">
        <f t="shared" si="1"/>
        <v>0</v>
      </c>
      <c r="BG14" s="10">
        <f>IF($D14="",0,IF(AND($L14&lt;&gt;"LILYA_DIVE",$L14&lt;&gt;"LILYA_ULT",$L14&lt;&gt;"LILYA_INSIGHT",$L14&lt;&gt;"LILYA_FINISH",$L14&lt;&gt;"37_FOLLOW",$L14&lt;&gt;"RHI_ATTACK",$L14&lt;&gt;"RHI_BERRY",$L14&lt;&gt;"J_COUNTER",$L14&lt;&gt;"J_ULT"),$J14,0)+IF($L14="LILYA_DIVE",$J14+IF($U14=1,IF($G14=1,6,IF($G14=2,12,18)),IF($U14=2,IF($G14=1,12,IF($G14=2,24,36)),0)),0)+IF($L14="LILYA_ULT",$J14+IF($X14&gt;=6,18,0),0)+IF($L14="LILYA_INSIGHT",IF($Y14=1,IF(MOD($AA14+1,3)=0,32,15),0),0)+IF($L14="LILYA_FINISH",IF($Y14=1,50+2.5*$Z14,0),0)+IF($L14="37_FOLLOW",$J14,0)+IF($L14="RHI_ATTACK",$J14*IF($B14&lt;=$AJ14,2,1),0)+IF($L14="RHI_BERRY",15+1.5*$AV14,0)+IF($L14="J_COUNTER",$J14+$AD14*Boss参数!$B$39,0)+IF($L14="J_ULT",$J14+Boss参数!$B$45*MAX(0,$AE14+$AD14-Boss参数!$I$4),0)+$S14)</f>
        <v>3</v>
      </c>
      <c r="BH14" s="10">
        <f t="shared" si="2"/>
        <v>1</v>
      </c>
      <c r="BI14" s="10">
        <f>IF(E14="","",IF(DT14=1,1+Boss参数!$B$8+AV14*Boss参数!$B$19,1))</f>
        <v>1.5</v>
      </c>
      <c r="BJ14" s="9">
        <f>IF($I14="现实",Boss参数!$C$4,IF($I14="精神",Boss参数!$D$4,0))</f>
        <v>1000</v>
      </c>
      <c r="BK14" s="9">
        <f>IF($E14="","",MAX($AY14*Boss参数!$B$9,$AY14-$BJ14*(1-$BF14)))</f>
        <v>2005</v>
      </c>
      <c r="BL14" s="10">
        <f>MAX(0,Boss参数!$F$4+IF(DT14=0,Boss参数!$B$27,0)-EJ14)</f>
        <v>0.4</v>
      </c>
      <c r="BM14" s="10">
        <f>Boss参数!$G$4+DU14-IF(Y14=1,Boss参数!$B$11,0)</f>
        <v>0.45</v>
      </c>
      <c r="BN14" s="10">
        <f>IF($E14="","",MAX(Boss参数!$B$10,1+IFERROR(INDEX(角色面板!$I$18:$I$21,MATCH($E14,角色面板!$A$18:$A$21,0)),0)+$BB14+Boss参数!$H$4-$BM14))</f>
        <v>0.59499999999999997</v>
      </c>
      <c r="BO14" s="10">
        <f>IF(E14="","",IF(OR(L14="J_COUNTER",L14="J_HARD"),MAX(0,1+INDEX(角色面板!$K$18:$K$21,MATCH(E14,角色面板!$A$18:$A$21,0))-DI14*Boss参数!$B$23+IF(OR(Boss参数!$B$43=1,L14="J_HARD"),IF(B14&lt;=AH14,Boss参数!$B$46,0),0)),MAX(0,IF(OR(H14="术法",L14="RHI_BERRY",AND(L14="37_FOLLOW",Boss参数!$B$31=1)),1+BC14,IF(H14="仪式",1+BD14,IF(H14="洞知",EK14,1))))))</f>
        <v>0.6</v>
      </c>
      <c r="BP14" s="10">
        <f t="shared" si="3"/>
        <v>1.9780000000000002</v>
      </c>
      <c r="BQ14" s="1">
        <f t="shared" si="4"/>
        <v>3221.0324999999993</v>
      </c>
      <c r="BR14" s="1">
        <f t="shared" si="5"/>
        <v>6371.2022849999994</v>
      </c>
      <c r="BS14" s="1">
        <f>IF(BH14=0,0,ROUNDDOWN(AY14*BH14,0)*DV14*IF(Boss参数!$B$29=1,BN14,1)*IF(Boss参数!$B$33=1,BO14,1)*IF(Boss参数!$B$76=1,1-ES14,1))</f>
        <v>2103.5</v>
      </c>
      <c r="BT14" s="1">
        <f t="shared" si="6"/>
        <v>4160.7230000000009</v>
      </c>
      <c r="BU14" s="9">
        <f>IF(D14="",0,MIN(IF(Boss参数!$B$77=1,Boss参数!$B$63*Boss参数!$B$62,Boss参数!$B$61*Boss参数!$B$62),DW14+ROUNDDOWN(BS14,0)+ROUNDDOWN(DW14*Q14,0)))</f>
        <v>5324</v>
      </c>
      <c r="BV14" s="9">
        <f>IF(D14="",0,MIN(IF(Boss参数!$B$77=1,Boss参数!$B$63*Boss参数!$B$62,Boss参数!$B$61*Boss参数!$B$62),DX14+ROUNDDOWN(BT14,0)+ROUNDDOWN(DX14*Q14,0)))</f>
        <v>10531</v>
      </c>
      <c r="BW14" s="9">
        <f t="shared" si="7"/>
        <v>9281</v>
      </c>
      <c r="BX14" s="1" t="str">
        <f t="shared" si="8"/>
        <v/>
      </c>
      <c r="BY14" s="1">
        <f t="shared" si="9"/>
        <v>2</v>
      </c>
      <c r="BZ14" s="1">
        <f t="shared" si="10"/>
        <v>2</v>
      </c>
      <c r="CA14" s="1">
        <f>MIN(10,W14+IF(AND(L14="LILYA_COBRA",COUNTIF($L$3:L14,"LILYA_COBRA")=1),5,0)+IF(AND(L14="LILYA_DIVE",U14=1,COUNTIFS($DG$3:DG14,DG14,$L$3:L14,"LILYA_DIVE")=1),2,0)+IF(AND(FE14=1,U14=1),3,0))</f>
        <v>10</v>
      </c>
      <c r="CB14" s="1">
        <f>MIN(20,MAX(0,X14+IF(L14="LILYA_COBRA",IF(COUNTIF($L$3:L14,"LILYA_COBRA")=1,6,IF(U14=1,MAX(1,G14),IF(U14=2,2*MAX(1,G14),0))),0)+IF(AND(Y14=1,E14="红弩箭",L14&lt;&gt;"ENTER_INSIGHT"),1,0)-IF(AND(L14="LILYA_ULT",X14&gt;=6),6,0)))</f>
        <v>6</v>
      </c>
      <c r="CC14" s="1">
        <f t="shared" si="11"/>
        <v>0</v>
      </c>
      <c r="CD14" s="1">
        <f t="shared" si="12"/>
        <v>0</v>
      </c>
      <c r="CE14" s="1">
        <f t="shared" si="13"/>
        <v>0</v>
      </c>
      <c r="CF14" s="1">
        <f t="shared" si="14"/>
        <v>0</v>
      </c>
      <c r="CG14" s="1">
        <f t="shared" si="15"/>
        <v>0</v>
      </c>
      <c r="CH14" s="1">
        <f>MIN(35,AD14+IF(L14="J_HARD",6,0)+IF(L14="J_COUNTER",Boss参数!$B$30,0))</f>
        <v>8</v>
      </c>
      <c r="CI14" s="1">
        <f>MIN(Boss参数!$I$4,AE14+IF(L14="J_HARD",6,0)+IF(L14="J_ULT",AD14,0)+IF(L14="J_COUNTER",Boss参数!$B$30,0))</f>
        <v>4</v>
      </c>
      <c r="CJ14" s="10">
        <f>IF(L14="J_ULT",AD14*Boss参数!$B$41,IF(B14&lt;=AG14,AF14,0))</f>
        <v>0</v>
      </c>
      <c r="CK14" s="1">
        <f t="shared" si="16"/>
        <v>0</v>
      </c>
      <c r="CL14" s="1">
        <f t="shared" si="17"/>
        <v>3</v>
      </c>
      <c r="CM14" s="1">
        <f t="shared" si="18"/>
        <v>4</v>
      </c>
      <c r="CN14" s="1">
        <f t="shared" si="19"/>
        <v>5</v>
      </c>
      <c r="CO14" s="1">
        <f t="shared" si="20"/>
        <v>4</v>
      </c>
      <c r="CP14" s="1">
        <f t="shared" si="21"/>
        <v>3</v>
      </c>
      <c r="CQ14" s="1">
        <f t="shared" si="22"/>
        <v>5</v>
      </c>
      <c r="CR14" s="1">
        <f t="shared" si="23"/>
        <v>0</v>
      </c>
      <c r="CS14" s="1">
        <f t="shared" si="24"/>
        <v>0</v>
      </c>
      <c r="CT14" s="10">
        <f t="shared" si="25"/>
        <v>0</v>
      </c>
      <c r="CU14" s="1">
        <f t="shared" si="26"/>
        <v>0</v>
      </c>
      <c r="CV14" s="10">
        <f t="shared" si="27"/>
        <v>0</v>
      </c>
      <c r="CW14" s="1">
        <f t="shared" si="28"/>
        <v>0</v>
      </c>
      <c r="CX14" s="10">
        <f t="shared" si="29"/>
        <v>0</v>
      </c>
      <c r="CY14" s="1">
        <f t="shared" si="30"/>
        <v>0</v>
      </c>
      <c r="CZ14" s="1"/>
      <c r="DA14" s="1"/>
      <c r="DB14" s="1"/>
      <c r="DC14" s="1"/>
      <c r="DD14" s="1"/>
      <c r="DE14" s="1"/>
      <c r="DF14" s="1"/>
      <c r="DG14" s="1">
        <f>IF(D14="","",行动模拟!B20)</f>
        <v>2</v>
      </c>
      <c r="DH14" s="1" t="str">
        <f>IF(L14="END_TURN","回合结束",IF(D14="","",IF(INDEX(回合状态!$C$7:$C$17,MATCH(DG14,回合状态!$A$7:$A$17,0))="洞穿","洞穿",IF(OR(L14="J_COUNTER",L14="BOSS_ACTION",L14="BOSS_CONSERVATIVE"),"敌方",IF(AND(L14="37_FOLLOW",DG14=DG13,DH13="敌方"),"敌方",IF(INDEX(回合状态!$C$7:$C$17,MATCH(DG14,回合状态!$A$7:$A$17,0))="普通","出牌",INDEX(回合状态!$C$7:$C$17,MATCH(DG14,回合状态!$A$7:$A$17,0))))))))</f>
        <v>出牌</v>
      </c>
      <c r="DI14" s="1">
        <f t="shared" si="31"/>
        <v>2</v>
      </c>
      <c r="DJ14" s="1">
        <f>IF(D14="",0,MIN(Boss参数!$B$25,IF(OR(AND(DH14="敌方",OR(DH13&lt;&gt;"敌方",DG14&lt;&gt;DG13)),AND(L14="END_TURN",DH14&lt;&gt;"洞穿"),AND(DG14&lt;&gt;DG13,DH13&lt;&gt;"洞穿",L13&lt;&gt;"END_TURN",COUNTIFS($DG$3:DG13,DG13,$DH$3:DH13,"敌方")=0)),EW14,DN13)))</f>
        <v>4</v>
      </c>
      <c r="DK14" s="1">
        <f>IF(D14="",0,MIN(Boss参数!$B$25,IF(OR(AND(DH14="敌方",OR(DH13&lt;&gt;"敌方",DG14&lt;&gt;DG13)),AND(L14="END_TURN",DH14&lt;&gt;"洞穿"),AND(DG14&lt;&gt;DG13,DH13&lt;&gt;"洞穿",L13&lt;&gt;"END_TURN",COUNTIFS($DG$3:DG13,DG13,$DH$3:DH13,"敌方")=0)),EW14,DO13)))</f>
        <v>2</v>
      </c>
      <c r="DL14" s="1">
        <f>IF(D14="",0,MIN(Boss参数!$B$25,IF(OR(AND(DH14="敌方",OR(DH13&lt;&gt;"敌方",DG14&lt;&gt;DG13)),AND(L14="END_TURN",DH14&lt;&gt;"洞穿"),AND(DG14&lt;&gt;DG13,DH13&lt;&gt;"洞穿",L13&lt;&gt;"END_TURN",COUNTIFS($DG$3:DG13,DG13,$DH$3:DH13,"敌方")=0)),EW14,DP13)))</f>
        <v>4</v>
      </c>
      <c r="DM14" s="1">
        <f>IF(D14="",0,MIN(Boss参数!$B$25,IF(OR(AND(DH14="敌方",OR(DH13&lt;&gt;"敌方",DG14&lt;&gt;DG13)),AND(L14="END_TURN",DH14&lt;&gt;"洞穿"),AND(DG14&lt;&gt;DG13,DH13&lt;&gt;"洞穿",L13&lt;&gt;"END_TURN",COUNTIFS($DG$3:DG13,DG13,$DH$3:DH13,"敌方")=0)),EW14,DQ13)))</f>
        <v>0</v>
      </c>
      <c r="DN14" s="1">
        <f>MAX(0,MIN(Boss参数!$B$25,DJ14+DR14)-IF(E14="红弩箭",2*DR14,0))</f>
        <v>5</v>
      </c>
      <c r="DO14" s="1">
        <f>MAX(0,MIN(Boss参数!$B$25,DK14+DR14)-IF(E14="37",2*DR14,0))</f>
        <v>1</v>
      </c>
      <c r="DP14" s="1">
        <f>MAX(0,MIN(Boss参数!$B$25,DL14+DR14)-IF(E14="小瑞安侬",2*DR14,0))</f>
        <v>5</v>
      </c>
      <c r="DQ14" s="1">
        <f>MAX(0,MIN(Boss参数!$B$25,DM14+DR14)-IF(E14="J",2*DR14,0))</f>
        <v>1</v>
      </c>
      <c r="DR14" s="1">
        <f t="shared" si="32"/>
        <v>1</v>
      </c>
      <c r="DS14" s="1">
        <f t="shared" si="33"/>
        <v>0</v>
      </c>
      <c r="DT14" s="1">
        <f>IF(OR(E14="",E14="系统"),0,IF(OR(AND(DS14=1,Boss参数!$B$32=1),L14="RHI_BERRY",OR(AND(INDEX(角色面板!$B$18:$B$21,MATCH(E14,角色面板!$A$18:$A$21,0))="星",Boss参数!$B$4="岩"),AND(INDEX(角色面板!$B$18:$B$21,MATCH(E14,角色面板!$A$18:$A$21,0))="岩",Boss参数!$B$4="兽"),AND(INDEX(角色面板!$B$18:$B$21,MATCH(E14,角色面板!$A$18:$A$21,0))="兽",Boss参数!$B$4="木"),AND(INDEX(角色面板!$B$18:$B$21,MATCH(E14,角色面板!$A$18:$A$21,0))="木",Boss参数!$B$4="星"),AND(INDEX(角色面板!$B$18:$B$21,MATCH(E14,角色面板!$A$18:$A$21,0))="智",Boss参数!$B$4="灵"),AND(INDEX(角色面板!$B$18:$B$21,MATCH(E14,角色面板!$A$18:$A$21,0))="灵",Boss参数!$B$4="智"))),1,0))</f>
        <v>1</v>
      </c>
      <c r="DU14" s="1">
        <f>IF(D14="",0,INDEX(回合状态!$E$7:$E$17,MATCH(DG14,回合状态!$A$7:$A$17,0))+IF(AND(DH14="敌方",OR(INDEX(回合状态!$C$7:$C$17,MATCH(DG14,回合状态!$A$7:$A$17,0))="普通",INDEX(回合状态!$C$7:$C$17,MATCH(DG14,回合状态!$A$7:$A$17,0))="额外")),0.05,0))</f>
        <v>0.05</v>
      </c>
      <c r="DV14" s="1">
        <f>MAX(Boss参数!$B$28,1+IF(AND(E14="37",AC14&gt;0,BH14&gt;0),Boss参数!$B$42,0)-DI14*Boss参数!$B$24+EA14-ER14)</f>
        <v>0.7</v>
      </c>
      <c r="DW14" s="1">
        <f>MIN(IF(Boss参数!$B$77=1,Boss参数!$B$63*Boss参数!$B$62,Boss参数!$B$61*Boss参数!$B$62),ROUNDDOWN(BQ14*(1-ES14),0))</f>
        <v>3221</v>
      </c>
      <c r="DX14" s="1">
        <f>MIN(IF(Boss参数!$B$77=1,Boss参数!$B$63*Boss参数!$B$62,Boss参数!$B$61*Boss参数!$B$62),ROUNDDOWN(BR14*(1-ES14),0))</f>
        <v>6371</v>
      </c>
      <c r="DY14" s="1">
        <f t="shared" si="65"/>
        <v>238</v>
      </c>
      <c r="DZ14" s="1">
        <f>IF(L14="RHI_ULT",MIN(Boss参数!$B$48,ROUNDDOWN(AY14*Boss参数!$B$47,0)),DY14)</f>
        <v>238</v>
      </c>
      <c r="EA14" s="11">
        <v>0</v>
      </c>
      <c r="EB14" s="1">
        <f t="shared" si="34"/>
        <v>0</v>
      </c>
      <c r="EC14" s="1">
        <f>SUMIFS($EB$3:EB14,$B$3:B14,"&gt;="&amp;MAX(1,B14-2),$B$3:B14,"&lt;="&amp;B14)*Boss参数!$B$51</f>
        <v>4</v>
      </c>
      <c r="ED14" s="1">
        <f>IF(D14="",EG13,IF(AND(DG14&lt;&gt;DG13,DH14&lt;&gt;"洞穿"),MIN(Boss参数!$B$55,EG13+2),EG13))</f>
        <v>2</v>
      </c>
      <c r="EE14" s="1">
        <f t="shared" si="35"/>
        <v>0</v>
      </c>
      <c r="EF14" s="1">
        <f>IF(AND(OR(L14="END_TURN",AND(DH14="敌方",OR(DH13&lt;&gt;"敌方",DG14&lt;&gt;DG13))),SUMIFS($EF$3:EF13,$DG$3:DG13,DG14)=0),MIN(1,MAX(0,ED14-EE14)),0)</f>
        <v>0</v>
      </c>
      <c r="EG14" s="1">
        <f t="shared" si="36"/>
        <v>2</v>
      </c>
      <c r="EH14" s="11">
        <f>Boss参数!$B$53-IF(Y14=1,Boss参数!$B$54,0)</f>
        <v>0</v>
      </c>
      <c r="EI14" s="11">
        <f t="shared" si="37"/>
        <v>0</v>
      </c>
      <c r="EJ14" s="11">
        <f t="shared" si="38"/>
        <v>0</v>
      </c>
      <c r="EK14" s="11">
        <f t="shared" si="39"/>
        <v>1</v>
      </c>
      <c r="EL14" s="1">
        <f t="shared" si="66"/>
        <v>0</v>
      </c>
      <c r="EM14" s="1">
        <f>IF(AND(DG14&lt;&gt;DG13,DH14="洞穿"),0,IF(L14="ENTER_INSIGHT",Boss参数!$B$57,EO13))</f>
        <v>0</v>
      </c>
      <c r="EN14" s="11">
        <f>IF(AND(Y14=1,H14="洞知",EM14&gt;0),Boss参数!$B$56,0)</f>
        <v>0</v>
      </c>
      <c r="EO14" s="1">
        <f t="shared" si="40"/>
        <v>0</v>
      </c>
      <c r="EP14" s="12">
        <f t="shared" si="67"/>
        <v>88181</v>
      </c>
      <c r="EQ14" s="12">
        <f>ROUNDDOWN(EP14/Boss参数!$B$62,0)</f>
        <v>0</v>
      </c>
      <c r="ER14" s="11">
        <f>IF(EQ14&gt;=Boss参数!$B$66,Boss参数!$B$69,IF(EQ14&gt;=Boss参数!$B$65,Boss参数!$B$68,IF(EQ14&gt;=Boss参数!$B$64,Boss参数!$B$67,0)))</f>
        <v>0</v>
      </c>
      <c r="ES14" s="11">
        <f>MIN(1,IF(EQ14&gt;=Boss参数!$B$66,Boss参数!$B$72+ROUNDDOWN((EQ14-Boss参数!$B$66)/Boss参数!$B$73,0)*Boss参数!$B$74,IF(EQ14&gt;=Boss参数!$B$65,Boss参数!$B$71,IF(EQ14&gt;=Boss参数!$B$64,Boss参数!$B$70,0))))</f>
        <v>0</v>
      </c>
      <c r="ET14" s="12">
        <f>MIN(Boss参数!$B$61*Boss参数!$B$62,EP14+IF(AND(Boss参数!$B$60=1,ISNUMBER(验证表!H20)),验证表!H20,EU14))</f>
        <v>98712</v>
      </c>
      <c r="EU14" s="12">
        <f>IF(D14="",0,IF(验证表!G20="是",BV14,IF(验证表!G20="否",BU14,BW14)))</f>
        <v>10531</v>
      </c>
      <c r="EV14" s="12">
        <f>IF(EQ14&gt;=Boss参数!$B$66,2,IF(EQ14&gt;=Boss参数!$B$65,1,0))</f>
        <v>0</v>
      </c>
      <c r="EW14" s="12">
        <f t="shared" si="41"/>
        <v>1</v>
      </c>
      <c r="EX14" s="1">
        <f>IF(D14="",0,INDEX(回合状态!$D$7:$D$17,MATCH(DG14,回合状态!$A$7:$A$17,0)))</f>
        <v>2</v>
      </c>
      <c r="EY14" s="1">
        <f>IF(OR(L14="RHI_ATTACK",L14="RHI_BUFF"),1,IF(L14="RHI_ULT",Boss参数!$B$52,0))</f>
        <v>0</v>
      </c>
      <c r="EZ14" s="1">
        <f>MIN(6,SUMIFS($EY$3:EY14,$EX$3:EX14,"&gt;="&amp;MAX(1,EX14-Boss参数!$B$87+1),$EX$3:EX14,"&lt;="&amp;EX14))</f>
        <v>2</v>
      </c>
      <c r="FA14" s="1">
        <f t="shared" si="68"/>
        <v>8</v>
      </c>
      <c r="FB14" s="17">
        <f>IF(L14="BOSS_CONSERVATIVE",B14+Boss参数!$B$91,FB13)</f>
        <v>0</v>
      </c>
      <c r="FC14" s="17">
        <f t="shared" si="69"/>
        <v>0</v>
      </c>
      <c r="FD14" s="17">
        <f>IF(D14="",FD13,FD13+IF(AND(DG14&lt;&gt;DG13,INDEX(回合状态!$C$7:$C$17,MATCH(DG14,回合状态!$A$7:$A$17,0))&lt;&gt;"洞穿"),1,0))</f>
        <v>2</v>
      </c>
      <c r="FE14" s="17">
        <f>IF(D14="",0,IF(AND(OR(L14="END_TURN",DH14="敌方"),INDEX(回合状态!$C$7:$C$17,MATCH(DG14,回合状态!$A$7:$A$17,0))&lt;&gt;"洞穿",SUMIFS($FE$3:FE13,$DG$3:DG13,DG14)=0),1,0))</f>
        <v>0</v>
      </c>
    </row>
    <row r="15" spans="1:161" ht="84.95" customHeight="1">
      <c r="A15" s="1">
        <f>行动模拟!A21</f>
        <v>13</v>
      </c>
      <c r="B15" s="1">
        <f>IF(D15="",0,INDEX(回合状态!$B$7:$B$17,MATCH(DG15,回合状态!$A$7:$A$17,0)))</f>
        <v>2</v>
      </c>
      <c r="C15" s="1">
        <f>行动模拟!C21</f>
        <v>4</v>
      </c>
      <c r="D15" s="1" t="str">
        <f>IF(行动模拟!D21="","",行动模拟!D21)</f>
        <v>37｜曲线映射Ⅰ</v>
      </c>
      <c r="E15" s="1" t="str">
        <f>IF($D15="","",IFERROR(INDEX(技能数据库!$B$4:$B$38,MATCH($D15,技能数据库!$A$4:$A$38,0)),""))</f>
        <v>37</v>
      </c>
      <c r="F15" s="1" t="str">
        <f>IF($D15="","",IFERROR(INDEX(技能数据库!$C$4:$C$38,MATCH($D15,技能数据库!$A$4:$A$38,0)),""))</f>
        <v>曲线映射</v>
      </c>
      <c r="G15" s="1">
        <f>IF($D15="","",IFERROR(INDEX(技能数据库!$D$4:$D$38,MATCH($D15,技能数据库!$A$4:$A$38,0)),""))</f>
        <v>1</v>
      </c>
      <c r="H15" s="1" t="str">
        <f>IF($D15="","",IFERROR(INDEX(技能数据库!$E$4:$E$38,MATCH($D15,技能数据库!$A$4:$A$38,0)),""))</f>
        <v>术法</v>
      </c>
      <c r="I15" s="1" t="str">
        <f>IF($D15="","",IFERROR(INDEX(技能数据库!$F$4:$F$38,MATCH($D15,技能数据库!$A$4:$A$38,0)),""))</f>
        <v>精神</v>
      </c>
      <c r="J15" s="1">
        <f>IF($D15="","",IFERROR(INDEX(技能数据库!$G$4:$G$38,MATCH($D15,技能数据库!$A$4:$A$38,0)),""))</f>
        <v>1.4</v>
      </c>
      <c r="K15" s="1">
        <f>IF($D15="","",IFERROR(INDEX(技能数据库!$H$4:$H$38,MATCH($D15,技能数据库!$A$4:$A$38,0)),""))</f>
        <v>0.8</v>
      </c>
      <c r="L15" s="1" t="str">
        <f>IF($D15="","",IFERROR(INDEX(技能数据库!$I$4:$I$38,MATCH($D15,技能数据库!$A$4:$A$38,0)),""))</f>
        <v>37_CURVE</v>
      </c>
      <c r="M15" s="10">
        <v>1</v>
      </c>
      <c r="N15" s="1"/>
      <c r="O15" s="1"/>
      <c r="P15" s="1"/>
      <c r="Q15" s="10">
        <f t="shared" si="0"/>
        <v>0</v>
      </c>
      <c r="R15" s="10">
        <v>0</v>
      </c>
      <c r="S15" s="10">
        <v>0</v>
      </c>
      <c r="T15" s="1">
        <f>行动模拟!I21</f>
        <v>0</v>
      </c>
      <c r="U15" s="1">
        <f>IF(FD15&lt;&gt;FD14,IF(BY14=1,IF(MIN(10,CA14+IF(AND(DG15&lt;&gt;DG14,DH14&lt;&gt;"洞穿",SUMIFS($FE$3:FE14,$DG$3:DG14,DG14)=0,BY14=1),3,0))&gt;=10,2,1),IF(BY14=2,IF(BZ14&lt;=1,0,2),0)),BY14)</f>
        <v>2</v>
      </c>
      <c r="V15" s="1">
        <f>IF(FD15&lt;&gt;FD14,IF(BY14=1,IF(MIN(10,CA14+IF(AND(DG15&lt;&gt;DG14,DH14&lt;&gt;"洞穿",SUMIFS($FE$3:FE14,$DG$3:DG14,DG14)=0,BY14=1),3,0))&gt;=10,2,0),IF(BY14=2,MAX(0,BZ14-1),0)),BZ14)</f>
        <v>2</v>
      </c>
      <c r="W15" s="1">
        <f>IF(AND(FD15&lt;&gt;FD14,BY14=2,BZ14&lt;=1),0,MIN(10,CA14+IF(AND(DG15&lt;&gt;DG14,DH14&lt;&gt;"洞穿",SUMIFS($FE$3:FE14,$DG$3:DG14,DG14)=0,BY14=1),3,0)))</f>
        <v>10</v>
      </c>
      <c r="X15" s="1">
        <f t="shared" si="42"/>
        <v>6</v>
      </c>
      <c r="Y15" s="1">
        <f t="shared" si="43"/>
        <v>0</v>
      </c>
      <c r="Z15" s="1">
        <f t="shared" si="44"/>
        <v>0</v>
      </c>
      <c r="AA15" s="1">
        <f t="shared" si="45"/>
        <v>0</v>
      </c>
      <c r="AB15" s="1">
        <f t="shared" si="46"/>
        <v>0</v>
      </c>
      <c r="AC15" s="1">
        <f t="shared" si="47"/>
        <v>0</v>
      </c>
      <c r="AD15" s="1">
        <f t="shared" si="48"/>
        <v>8</v>
      </c>
      <c r="AE15" s="1">
        <f>IF(D15="",0,IF(DG15&lt;&gt;DG14,IFERROR(INDEX(回合状态!$F$7:$F$17,MATCH(DG15,回合状态!$A$7:$A$17,0)),0),CI14))</f>
        <v>4</v>
      </c>
      <c r="AF15" s="10">
        <f t="shared" si="49"/>
        <v>0</v>
      </c>
      <c r="AG15" s="1">
        <f t="shared" si="50"/>
        <v>0</v>
      </c>
      <c r="AH15" s="1">
        <f t="shared" si="51"/>
        <v>3</v>
      </c>
      <c r="AI15" s="1">
        <f t="shared" si="52"/>
        <v>4</v>
      </c>
      <c r="AJ15" s="1">
        <f t="shared" si="53"/>
        <v>5</v>
      </c>
      <c r="AK15" s="1">
        <f t="shared" si="54"/>
        <v>4</v>
      </c>
      <c r="AL15" s="1">
        <f t="shared" si="55"/>
        <v>3</v>
      </c>
      <c r="AM15" s="1">
        <f t="shared" si="56"/>
        <v>5</v>
      </c>
      <c r="AN15" s="1">
        <f t="shared" si="57"/>
        <v>0</v>
      </c>
      <c r="AO15" s="1">
        <f t="shared" si="58"/>
        <v>0</v>
      </c>
      <c r="AP15" s="10">
        <f t="shared" si="59"/>
        <v>0</v>
      </c>
      <c r="AQ15" s="1">
        <f t="shared" si="60"/>
        <v>0</v>
      </c>
      <c r="AR15" s="10">
        <f t="shared" si="61"/>
        <v>0</v>
      </c>
      <c r="AS15" s="1">
        <f t="shared" si="62"/>
        <v>0</v>
      </c>
      <c r="AT15" s="10">
        <f t="shared" si="63"/>
        <v>0</v>
      </c>
      <c r="AU15" s="1">
        <f t="shared" si="64"/>
        <v>0</v>
      </c>
      <c r="AV15" s="1">
        <f>MIN(5,SUMIFS($EL$3:EL15,$B$3:B15,"&gt;="&amp;MAX(1,B15-2),$B$3:B15,"&lt;="&amp;B15)+EC15)</f>
        <v>5</v>
      </c>
      <c r="AW15" s="1">
        <f>MIN(6,SUMIFS($EY$3:EY14,$EX$3:EX14,"&gt;="&amp;MAX(1,EX15-Boss参数!$B$87+1),$EX$3:EX14,"&lt;="&amp;EX15))</f>
        <v>2</v>
      </c>
      <c r="AX15" s="1">
        <f>MIN(4,COUNTIFS($B$3:$B$14,"&gt;="&amp;MAX(1,$B15-2),$B$3:$B$14,"&lt;="&amp;$B15,$L$3:$L$14,"37_FOLLOW"))</f>
        <v>2</v>
      </c>
      <c r="AY15" s="9">
        <f>IF($E15="","",IF($E15="系统",0,ROUNDDOWN(INDEX(角色面板!$C$4:$C$7,MATCH($E15,角色面板!$A$4:$A$7,0))*(1+INDEX(角色面板!$C$11:$C$14,MATCH($E15,角色面板!$A$11:$A$14,0))+IF($E15="小瑞安侬",MAX(IF($B15&lt;=$AQ15,$AP15,0),IF(AND($L15="RHI_ATTACK",$EE15&gt;0),0.11+0.01*$G15,0)),0)+IF($E15="J",$AD15*Boss参数!$B$18,0))+IF(FD15&lt;=$AN15,MIN(Boss参数!$B$21,ROUNDDOWN(角色面板!$C$19*Boss参数!$B$20,0)),0)+IF(AND($B15&lt;=$AK15,$E15&lt;&gt;"小瑞安侬"),$DY15,0),0)))</f>
        <v>3005</v>
      </c>
      <c r="AZ15" s="10">
        <f>IF($E15="","",MAX(0,MIN(1,IFERROR(INDEX(角色面板!$G$18:$G$21,MATCH($E15,角色面板!$A$18:$A$21,0)),0)-FC15*Boss参数!$B$89-Boss参数!$E$4)))</f>
        <v>0.76</v>
      </c>
      <c r="BA15" s="10">
        <f>IF(E15="","",(IF($E15="","",IF($E15="红弩箭",Boss参数!$B$80,IF($E15="J",Boss参数!$B$81,IFERROR(INDEX(角色面板!$H$18:$H$21,MATCH($E15,角色面板!$A$18:$A$21,0)),0)))+IF($B15&lt;=$AI15,Boss参数!$B$13,0)+MIN(30,$AM15)*Boss参数!$B$17+IF(AND($L15="LILYA_ULT",$X15&gt;=6),1,0)+IF(AND($Y15=1,$L15="LILYA_INSIGHT"),IF(MOD($AA15+1,3)=0,Boss参数!$B$83,Boss参数!$B$82),IF(AND($Y15=1,$L15="LILYA_FINISH"),Boss参数!$B$84,0))))-FC15*Boss参数!$B$90)</f>
        <v>2.3780000000000001</v>
      </c>
      <c r="BB15" s="10">
        <f>IF($E15="","",IFERROR(INDEX(角色面板!$M$18:$M$21,MATCH($E15,角色面板!$A$18:$A$21,0)),0)+$AW15*Boss参数!$B$12+IF($B15&lt;=$AG15,$AF15,0)+$EI15+IF($L15="LILYA_DIVE",IF($U15=1,IF($G15=1,0.3,IF($G15=2,0.4,0.5)),IF($U15=2,IF($G15=1,0.6,IF($G15=2,0.8,1)),0)),0)+$R15+IF(AND($E15="J",OR($L15="J_COUNTER",$L15="J_HARD")),Boss参数!$B$79,0)+IF(AND(OR(L15="J_COUNTER",L15="J_HARD"),FA15&gt;=Boss参数!$B$59),FA15*Boss参数!$B$40,0))</f>
        <v>0.04</v>
      </c>
      <c r="BC15" s="10">
        <f>IF($E15="","",IFERROR(INDEX(角色面板!$K$18:$K$21,MATCH($E15,角色面板!$A$18:$A$21,0)),0)+IF($B15&lt;=$AH15,Boss参数!$B$46,0)+IF($E15="红弩箭",IF($U15=1,0.6,IF($U15=2,1.2,0))+$W15*0.06,0))-DI15*Boss参数!$B$23</f>
        <v>-0.25</v>
      </c>
      <c r="BD15" s="10">
        <f>IF($E15="","",IFERROR(INDEX(角色面板!$L$18:$L$21,MATCH($E15,角色面板!$A$18:$A$21,0)),0)+IF($B15&lt;=$AH15,Boss参数!$B$46,0)+IF($E15="J",$AL15*Boss参数!$B$16,0)+IF($E15="红弩箭",$X15*0.025,0)+IF(AND($L15="LILYA_ULT",$X15&gt;=6),1,0))-DI15*Boss参数!$B$23</f>
        <v>0.15</v>
      </c>
      <c r="BE15" s="10">
        <f>IF($E15="","",IF($H15="洞知",IF($E15="红弩箭",$AO15*Boss参数!$B$15,0)+$AX15*Boss参数!$B$14,0))</f>
        <v>0</v>
      </c>
      <c r="BF15" s="10">
        <f t="shared" si="1"/>
        <v>0</v>
      </c>
      <c r="BG15" s="10">
        <f>IF($D15="",0,IF(AND($L15&lt;&gt;"LILYA_DIVE",$L15&lt;&gt;"LILYA_ULT",$L15&lt;&gt;"LILYA_INSIGHT",$L15&lt;&gt;"LILYA_FINISH",$L15&lt;&gt;"37_FOLLOW",$L15&lt;&gt;"RHI_ATTACK",$L15&lt;&gt;"RHI_BERRY",$L15&lt;&gt;"J_COUNTER",$L15&lt;&gt;"J_ULT"),$J15,0)+IF($L15="LILYA_DIVE",$J15+IF($U15=1,IF($G15=1,6,IF($G15=2,12,18)),IF($U15=2,IF($G15=1,12,IF($G15=2,24,36)),0)),0)+IF($L15="LILYA_ULT",$J15+IF($X15&gt;=6,18,0),0)+IF($L15="LILYA_INSIGHT",IF($Y15=1,IF(MOD($AA15+1,3)=0,32,15),0),0)+IF($L15="LILYA_FINISH",IF($Y15=1,50+2.5*$Z15,0),0)+IF($L15="37_FOLLOW",$J15,0)+IF($L15="RHI_ATTACK",$J15*IF($B15&lt;=$AJ15,2,1),0)+IF($L15="RHI_BERRY",15+1.5*$AV15,0)+IF($L15="J_COUNTER",$J15+$AD15*Boss参数!$B$39,0)+IF($L15="J_ULT",$J15+Boss参数!$B$45*MAX(0,$AE15+$AD15-Boss参数!$I$4),0)+$S15)</f>
        <v>1.4</v>
      </c>
      <c r="BH15" s="10">
        <f t="shared" si="2"/>
        <v>0.8</v>
      </c>
      <c r="BI15" s="10">
        <f>IF(E15="","",IF(DT15=1,1+Boss参数!$B$8+AV15*Boss参数!$B$19,1))</f>
        <v>1.5</v>
      </c>
      <c r="BJ15" s="9">
        <f>IF($I15="现实",Boss参数!$C$4,IF($I15="精神",Boss参数!$D$4,0))</f>
        <v>1000</v>
      </c>
      <c r="BK15" s="9">
        <f>IF($E15="","",MAX($AY15*Boss参数!$B$9,$AY15-$BJ15*(1-$BF15)))</f>
        <v>2005</v>
      </c>
      <c r="BL15" s="10">
        <f>MAX(0,Boss参数!$F$4+IF(DT15=0,Boss参数!$B$27,0)-EJ15)</f>
        <v>0.4</v>
      </c>
      <c r="BM15" s="10">
        <f>Boss参数!$G$4+DU15-IF(Y15=1,Boss参数!$B$11,0)</f>
        <v>0.45</v>
      </c>
      <c r="BN15" s="10">
        <f>IF($E15="","",MAX(Boss参数!$B$10,1+IFERROR(INDEX(角色面板!$I$18:$I$21,MATCH($E15,角色面板!$A$18:$A$21,0)),0)+$BB15+Boss参数!$H$4-$BM15))</f>
        <v>0.59499999999999997</v>
      </c>
      <c r="BO15" s="10">
        <f>IF(E15="","",IF(OR(L15="J_COUNTER",L15="J_HARD"),MAX(0,1+INDEX(角色面板!$K$18:$K$21,MATCH(E15,角色面板!$A$18:$A$21,0))-DI15*Boss参数!$B$23+IF(OR(Boss参数!$B$43=1,L15="J_HARD"),IF(B15&lt;=AH15,Boss参数!$B$46,0),0)),MAX(0,IF(OR(H15="术法",L15="RHI_BERRY",AND(L15="37_FOLLOW",Boss参数!$B$31=1)),1+BC15,IF(H15="仪式",1+BD15,IF(H15="洞知",EK15,1))))))</f>
        <v>0.75</v>
      </c>
      <c r="BP15" s="10">
        <f t="shared" si="3"/>
        <v>1.9780000000000002</v>
      </c>
      <c r="BQ15" s="1">
        <f t="shared" si="4"/>
        <v>1878.9356250000001</v>
      </c>
      <c r="BR15" s="1">
        <f t="shared" si="5"/>
        <v>3716.5346662500006</v>
      </c>
      <c r="BS15" s="1">
        <f>IF(BH15=0,0,ROUNDDOWN(AY15*BH15,0)*DV15*IF(Boss参数!$B$29=1,BN15,1)*IF(Boss参数!$B$33=1,BO15,1)*IF(Boss参数!$B$76=1,1-ES15,1))</f>
        <v>2043.3999999999999</v>
      </c>
      <c r="BT15" s="1">
        <f t="shared" si="6"/>
        <v>4041.8452000000002</v>
      </c>
      <c r="BU15" s="9">
        <f>IF(D15="",0,MIN(IF(Boss参数!$B$77=1,Boss参数!$B$63*Boss参数!$B$62,Boss参数!$B$61*Boss参数!$B$62),DW15+ROUNDDOWN(BS15,0)+ROUNDDOWN(DW15*Q15,0)))</f>
        <v>3921</v>
      </c>
      <c r="BV15" s="9">
        <f>IF(D15="",0,MIN(IF(Boss参数!$B$77=1,Boss参数!$B$63*Boss参数!$B$62,Boss参数!$B$61*Boss参数!$B$62),DX15+ROUNDDOWN(BT15,0)+ROUNDDOWN(DX15*Q15,0)))</f>
        <v>7757</v>
      </c>
      <c r="BW15" s="9">
        <f t="shared" si="7"/>
        <v>6836</v>
      </c>
      <c r="BX15" s="1" t="str">
        <f t="shared" si="8"/>
        <v/>
      </c>
      <c r="BY15" s="1">
        <f t="shared" si="9"/>
        <v>2</v>
      </c>
      <c r="BZ15" s="1">
        <f t="shared" si="10"/>
        <v>2</v>
      </c>
      <c r="CA15" s="1">
        <f>MIN(10,W15+IF(AND(L15="LILYA_COBRA",COUNTIF($L$3:L15,"LILYA_COBRA")=1),5,0)+IF(AND(L15="LILYA_DIVE",U15=1,COUNTIFS($DG$3:DG15,DG15,$L$3:L15,"LILYA_DIVE")=1),2,0)+IF(AND(FE15=1,U15=1),3,0))</f>
        <v>10</v>
      </c>
      <c r="CB15" s="1">
        <f>MIN(20,MAX(0,X15+IF(L15="LILYA_COBRA",IF(COUNTIF($L$3:L15,"LILYA_COBRA")=1,6,IF(U15=1,MAX(1,G15),IF(U15=2,2*MAX(1,G15),0))),0)+IF(AND(Y15=1,E15="红弩箭",L15&lt;&gt;"ENTER_INSIGHT"),1,0)-IF(AND(L15="LILYA_ULT",X15&gt;=6),6,0)))</f>
        <v>6</v>
      </c>
      <c r="CC15" s="1">
        <f t="shared" si="11"/>
        <v>0</v>
      </c>
      <c r="CD15" s="1">
        <f t="shared" si="12"/>
        <v>0</v>
      </c>
      <c r="CE15" s="1">
        <f t="shared" si="13"/>
        <v>0</v>
      </c>
      <c r="CF15" s="1">
        <f t="shared" si="14"/>
        <v>1</v>
      </c>
      <c r="CG15" s="1">
        <f t="shared" si="15"/>
        <v>0</v>
      </c>
      <c r="CH15" s="1">
        <f>MIN(35,AD15+IF(L15="J_HARD",6,0)+IF(L15="J_COUNTER",Boss参数!$B$30,0))</f>
        <v>8</v>
      </c>
      <c r="CI15" s="1">
        <f>MIN(Boss参数!$I$4,AE15+IF(L15="J_HARD",6,0)+IF(L15="J_ULT",AD15,0)+IF(L15="J_COUNTER",Boss参数!$B$30,0))</f>
        <v>4</v>
      </c>
      <c r="CJ15" s="10">
        <f>IF(L15="J_ULT",AD15*Boss参数!$B$41,IF(B15&lt;=AG15,AF15,0))</f>
        <v>0</v>
      </c>
      <c r="CK15" s="1">
        <f t="shared" si="16"/>
        <v>0</v>
      </c>
      <c r="CL15" s="1">
        <f t="shared" si="17"/>
        <v>3</v>
      </c>
      <c r="CM15" s="1">
        <f t="shared" si="18"/>
        <v>4</v>
      </c>
      <c r="CN15" s="1">
        <f t="shared" si="19"/>
        <v>5</v>
      </c>
      <c r="CO15" s="1">
        <f t="shared" si="20"/>
        <v>4</v>
      </c>
      <c r="CP15" s="1">
        <f t="shared" si="21"/>
        <v>3</v>
      </c>
      <c r="CQ15" s="1">
        <f t="shared" si="22"/>
        <v>5</v>
      </c>
      <c r="CR15" s="1">
        <f t="shared" si="23"/>
        <v>0</v>
      </c>
      <c r="CS15" s="1">
        <f t="shared" si="24"/>
        <v>0</v>
      </c>
      <c r="CT15" s="10">
        <f t="shared" si="25"/>
        <v>0</v>
      </c>
      <c r="CU15" s="1">
        <f t="shared" si="26"/>
        <v>0</v>
      </c>
      <c r="CV15" s="10">
        <f t="shared" si="27"/>
        <v>0</v>
      </c>
      <c r="CW15" s="1">
        <f t="shared" si="28"/>
        <v>0</v>
      </c>
      <c r="CX15" s="10">
        <f t="shared" si="29"/>
        <v>0</v>
      </c>
      <c r="CY15" s="1">
        <f t="shared" si="30"/>
        <v>0</v>
      </c>
      <c r="CZ15" s="1"/>
      <c r="DA15" s="1"/>
      <c r="DB15" s="1"/>
      <c r="DC15" s="1"/>
      <c r="DD15" s="1"/>
      <c r="DE15" s="1"/>
      <c r="DF15" s="1"/>
      <c r="DG15" s="1">
        <f>IF(D15="","",行动模拟!B21)</f>
        <v>2</v>
      </c>
      <c r="DH15" s="1" t="str">
        <f>IF(L15="END_TURN","回合结束",IF(D15="","",IF(INDEX(回合状态!$C$7:$C$17,MATCH(DG15,回合状态!$A$7:$A$17,0))="洞穿","洞穿",IF(OR(L15="J_COUNTER",L15="BOSS_ACTION",L15="BOSS_CONSERVATIVE"),"敌方",IF(AND(L15="37_FOLLOW",DG15=DG14,DH14="敌方"),"敌方",IF(INDEX(回合状态!$C$7:$C$17,MATCH(DG15,回合状态!$A$7:$A$17,0))="普通","出牌",INDEX(回合状态!$C$7:$C$17,MATCH(DG15,回合状态!$A$7:$A$17,0))))))))</f>
        <v>出牌</v>
      </c>
      <c r="DI15" s="1">
        <f t="shared" si="31"/>
        <v>1</v>
      </c>
      <c r="DJ15" s="1">
        <f>IF(D15="",0,MIN(Boss参数!$B$25,IF(OR(AND(DH15="敌方",OR(DH14&lt;&gt;"敌方",DG15&lt;&gt;DG14)),AND(L15="END_TURN",DH15&lt;&gt;"洞穿"),AND(DG15&lt;&gt;DG14,DH14&lt;&gt;"洞穿",L14&lt;&gt;"END_TURN",COUNTIFS($DG$3:DG14,DG14,$DH$3:DH14,"敌方")=0)),EW15,DN14)))</f>
        <v>5</v>
      </c>
      <c r="DK15" s="1">
        <f>IF(D15="",0,MIN(Boss参数!$B$25,IF(OR(AND(DH15="敌方",OR(DH14&lt;&gt;"敌方",DG15&lt;&gt;DG14)),AND(L15="END_TURN",DH15&lt;&gt;"洞穿"),AND(DG15&lt;&gt;DG14,DH14&lt;&gt;"洞穿",L14&lt;&gt;"END_TURN",COUNTIFS($DG$3:DG14,DG14,$DH$3:DH14,"敌方")=0)),EW15,DO14)))</f>
        <v>1</v>
      </c>
      <c r="DL15" s="1">
        <f>IF(D15="",0,MIN(Boss参数!$B$25,IF(OR(AND(DH15="敌方",OR(DH14&lt;&gt;"敌方",DG15&lt;&gt;DG14)),AND(L15="END_TURN",DH15&lt;&gt;"洞穿"),AND(DG15&lt;&gt;DG14,DH14&lt;&gt;"洞穿",L14&lt;&gt;"END_TURN",COUNTIFS($DG$3:DG14,DG14,$DH$3:DH14,"敌方")=0)),EW15,DP14)))</f>
        <v>5</v>
      </c>
      <c r="DM15" s="1">
        <f>IF(D15="",0,MIN(Boss参数!$B$25,IF(OR(AND(DH15="敌方",OR(DH14&lt;&gt;"敌方",DG15&lt;&gt;DG14)),AND(L15="END_TURN",DH15&lt;&gt;"洞穿"),AND(DG15&lt;&gt;DG14,DH14&lt;&gt;"洞穿",L14&lt;&gt;"END_TURN",COUNTIFS($DG$3:DG14,DG14,$DH$3:DH14,"敌方")=0)),EW15,DQ14)))</f>
        <v>1</v>
      </c>
      <c r="DN15" s="1">
        <f>MAX(0,MIN(Boss参数!$B$25,DJ15+DR15)-IF(E15="红弩箭",2*DR15,0))</f>
        <v>5</v>
      </c>
      <c r="DO15" s="1">
        <f>MAX(0,MIN(Boss参数!$B$25,DK15+DR15)-IF(E15="37",2*DR15,0))</f>
        <v>0</v>
      </c>
      <c r="DP15" s="1">
        <f>MAX(0,MIN(Boss参数!$B$25,DL15+DR15)-IF(E15="小瑞安侬",2*DR15,0))</f>
        <v>5</v>
      </c>
      <c r="DQ15" s="1">
        <f>MAX(0,MIN(Boss参数!$B$25,DM15+DR15)-IF(E15="J",2*DR15,0))</f>
        <v>2</v>
      </c>
      <c r="DR15" s="1">
        <f t="shared" si="32"/>
        <v>1</v>
      </c>
      <c r="DS15" s="1">
        <f t="shared" si="33"/>
        <v>1</v>
      </c>
      <c r="DT15" s="1">
        <f>IF(OR(E15="",E15="系统"),0,IF(OR(AND(DS15=1,Boss参数!$B$32=1),L15="RHI_BERRY",OR(AND(INDEX(角色面板!$B$18:$B$21,MATCH(E15,角色面板!$A$18:$A$21,0))="星",Boss参数!$B$4="岩"),AND(INDEX(角色面板!$B$18:$B$21,MATCH(E15,角色面板!$A$18:$A$21,0))="岩",Boss参数!$B$4="兽"),AND(INDEX(角色面板!$B$18:$B$21,MATCH(E15,角色面板!$A$18:$A$21,0))="兽",Boss参数!$B$4="木"),AND(INDEX(角色面板!$B$18:$B$21,MATCH(E15,角色面板!$A$18:$A$21,0))="木",Boss参数!$B$4="星"),AND(INDEX(角色面板!$B$18:$B$21,MATCH(E15,角色面板!$A$18:$A$21,0))="智",Boss参数!$B$4="灵"),AND(INDEX(角色面板!$B$18:$B$21,MATCH(E15,角色面板!$A$18:$A$21,0))="灵",Boss参数!$B$4="智"))),1,0))</f>
        <v>1</v>
      </c>
      <c r="DU15" s="1">
        <f>IF(D15="",0,INDEX(回合状态!$E$7:$E$17,MATCH(DG15,回合状态!$A$7:$A$17,0))+IF(AND(DH15="敌方",OR(INDEX(回合状态!$C$7:$C$17,MATCH(DG15,回合状态!$A$7:$A$17,0))="普通",INDEX(回合状态!$C$7:$C$17,MATCH(DG15,回合状态!$A$7:$A$17,0))="额外")),0.05,0))</f>
        <v>0.05</v>
      </c>
      <c r="DV15" s="1">
        <f>MAX(Boss参数!$B$28,1+IF(AND(E15="37",AC15&gt;0,BH15&gt;0),Boss参数!$B$42,0)-DI15*Boss参数!$B$24+EA15-ER15)</f>
        <v>0.85</v>
      </c>
      <c r="DW15" s="1">
        <f>MIN(IF(Boss参数!$B$77=1,Boss参数!$B$63*Boss参数!$B$62,Boss参数!$B$61*Boss参数!$B$62),ROUNDDOWN(BQ15*(1-ES15),0))</f>
        <v>1878</v>
      </c>
      <c r="DX15" s="1">
        <f>MIN(IF(Boss参数!$B$77=1,Boss参数!$B$63*Boss参数!$B$62,Boss参数!$B$61*Boss参数!$B$62),ROUNDDOWN(BR15*(1-ES15),0))</f>
        <v>3716</v>
      </c>
      <c r="DY15" s="1">
        <f t="shared" si="65"/>
        <v>238</v>
      </c>
      <c r="DZ15" s="1">
        <f>IF(L15="RHI_ULT",MIN(Boss参数!$B$48,ROUNDDOWN(AY15*Boss参数!$B$47,0)),DY15)</f>
        <v>238</v>
      </c>
      <c r="EA15" s="11">
        <v>0</v>
      </c>
      <c r="EB15" s="1">
        <f t="shared" si="34"/>
        <v>0</v>
      </c>
      <c r="EC15" s="1">
        <f>SUMIFS($EB$3:EB15,$B$3:B15,"&gt;="&amp;MAX(1,B15-2),$B$3:B15,"&lt;="&amp;B15)*Boss参数!$B$51</f>
        <v>4</v>
      </c>
      <c r="ED15" s="1">
        <f>IF(D15="",EG14,IF(AND(DG15&lt;&gt;DG14,DH15&lt;&gt;"洞穿"),MIN(Boss参数!$B$55,EG14+2),EG14))</f>
        <v>2</v>
      </c>
      <c r="EE15" s="1">
        <f t="shared" si="35"/>
        <v>0</v>
      </c>
      <c r="EF15" s="1">
        <f>IF(AND(OR(L15="END_TURN",AND(DH15="敌方",OR(DH14&lt;&gt;"敌方",DG15&lt;&gt;DG14))),SUMIFS($EF$3:EF14,$DG$3:DG14,DG15)=0),MIN(1,MAX(0,ED15-EE15)),0)</f>
        <v>0</v>
      </c>
      <c r="EG15" s="1">
        <f t="shared" si="36"/>
        <v>2</v>
      </c>
      <c r="EH15" s="11">
        <f>Boss参数!$B$53-IF(Y15=1,Boss参数!$B$54,0)</f>
        <v>0</v>
      </c>
      <c r="EI15" s="11">
        <f t="shared" si="37"/>
        <v>0</v>
      </c>
      <c r="EJ15" s="11">
        <f t="shared" si="38"/>
        <v>0</v>
      </c>
      <c r="EK15" s="11">
        <f t="shared" si="39"/>
        <v>1</v>
      </c>
      <c r="EL15" s="1">
        <f t="shared" si="66"/>
        <v>0</v>
      </c>
      <c r="EM15" s="1">
        <f>IF(AND(DG15&lt;&gt;DG14,DH15="洞穿"),0,IF(L15="ENTER_INSIGHT",Boss参数!$B$57,EO14))</f>
        <v>0</v>
      </c>
      <c r="EN15" s="11">
        <f>IF(AND(Y15=1,H15="洞知",EM15&gt;0),Boss参数!$B$56,0)</f>
        <v>0</v>
      </c>
      <c r="EO15" s="1">
        <f t="shared" si="40"/>
        <v>0</v>
      </c>
      <c r="EP15" s="12">
        <f t="shared" si="67"/>
        <v>98712</v>
      </c>
      <c r="EQ15" s="12">
        <f>ROUNDDOWN(EP15/Boss参数!$B$62,0)</f>
        <v>0</v>
      </c>
      <c r="ER15" s="11">
        <f>IF(EQ15&gt;=Boss参数!$B$66,Boss参数!$B$69,IF(EQ15&gt;=Boss参数!$B$65,Boss参数!$B$68,IF(EQ15&gt;=Boss参数!$B$64,Boss参数!$B$67,0)))</f>
        <v>0</v>
      </c>
      <c r="ES15" s="11">
        <f>MIN(1,IF(EQ15&gt;=Boss参数!$B$66,Boss参数!$B$72+ROUNDDOWN((EQ15-Boss参数!$B$66)/Boss参数!$B$73,0)*Boss参数!$B$74,IF(EQ15&gt;=Boss参数!$B$65,Boss参数!$B$71,IF(EQ15&gt;=Boss参数!$B$64,Boss参数!$B$70,0))))</f>
        <v>0</v>
      </c>
      <c r="ET15" s="12">
        <f>MIN(Boss参数!$B$61*Boss参数!$B$62,EP15+IF(AND(Boss参数!$B$60=1,ISNUMBER(验证表!H21)),验证表!H21,EU15))</f>
        <v>102633</v>
      </c>
      <c r="EU15" s="12">
        <f>IF(D15="",0,IF(验证表!G21="是",BV15,IF(验证表!G21="否",BU15,BW15)))</f>
        <v>3921</v>
      </c>
      <c r="EV15" s="12">
        <f>IF(EQ15&gt;=Boss参数!$B$66,2,IF(EQ15&gt;=Boss参数!$B$65,1,0))</f>
        <v>0</v>
      </c>
      <c r="EW15" s="12">
        <f t="shared" si="41"/>
        <v>1</v>
      </c>
      <c r="EX15" s="1">
        <f>IF(D15="",0,INDEX(回合状态!$D$7:$D$17,MATCH(DG15,回合状态!$A$7:$A$17,0)))</f>
        <v>2</v>
      </c>
      <c r="EY15" s="1">
        <f>IF(OR(L15="RHI_ATTACK",L15="RHI_BUFF"),1,IF(L15="RHI_ULT",Boss参数!$B$52,0))</f>
        <v>0</v>
      </c>
      <c r="EZ15" s="1">
        <f>MIN(6,SUMIFS($EY$3:EY15,$EX$3:EX15,"&gt;="&amp;MAX(1,EX15-Boss参数!$B$87+1),$EX$3:EX15,"&lt;="&amp;EX15))</f>
        <v>2</v>
      </c>
      <c r="FA15" s="1">
        <f t="shared" si="68"/>
        <v>8</v>
      </c>
      <c r="FB15" s="17">
        <f>IF(L15="BOSS_CONSERVATIVE",B15+Boss参数!$B$91,FB14)</f>
        <v>0</v>
      </c>
      <c r="FC15" s="17">
        <f t="shared" si="69"/>
        <v>0</v>
      </c>
      <c r="FD15" s="17">
        <f>IF(D15="",FD14,FD14+IF(AND(DG15&lt;&gt;DG14,INDEX(回合状态!$C$7:$C$17,MATCH(DG15,回合状态!$A$7:$A$17,0))&lt;&gt;"洞穿"),1,0))</f>
        <v>2</v>
      </c>
      <c r="FE15" s="17">
        <f>IF(D15="",0,IF(AND(OR(L15="END_TURN",DH15="敌方"),INDEX(回合状态!$C$7:$C$17,MATCH(DG15,回合状态!$A$7:$A$17,0))&lt;&gt;"洞穿",SUMIFS($FE$3:FE14,$DG$3:DG14,DG15)=0),1,0))</f>
        <v>0</v>
      </c>
    </row>
    <row r="16" spans="1:161" ht="84.95" customHeight="1">
      <c r="A16" s="1">
        <f>行动模拟!A22</f>
        <v>14</v>
      </c>
      <c r="B16" s="1">
        <f>IF(D16="",0,INDEX(回合状态!$B$7:$B$17,MATCH(DG16,回合状态!$A$7:$A$17,0)))</f>
        <v>2</v>
      </c>
      <c r="C16" s="1">
        <f>行动模拟!C22</f>
        <v>5</v>
      </c>
      <c r="D16" s="1" t="str">
        <f>IF(行动模拟!D22="","",行动模拟!D22)</f>
        <v>37｜三角正论Ⅰ</v>
      </c>
      <c r="E16" s="1" t="str">
        <f>IF($D16="","",IFERROR(INDEX(技能数据库!$B$4:$B$38,MATCH($D16,技能数据库!$A$4:$A$38,0)),""))</f>
        <v>37</v>
      </c>
      <c r="F16" s="1" t="str">
        <f>IF($D16="","",IFERROR(INDEX(技能数据库!$C$4:$C$38,MATCH($D16,技能数据库!$A$4:$A$38,0)),""))</f>
        <v>三角正论</v>
      </c>
      <c r="G16" s="1">
        <f>IF($D16="","",IFERROR(INDEX(技能数据库!$D$4:$D$38,MATCH($D16,技能数据库!$A$4:$A$38,0)),""))</f>
        <v>1</v>
      </c>
      <c r="H16" s="1" t="str">
        <f>IF($D16="","",IFERROR(INDEX(技能数据库!$E$4:$E$38,MATCH($D16,技能数据库!$A$4:$A$38,0)),""))</f>
        <v>术法</v>
      </c>
      <c r="I16" s="1" t="str">
        <f>IF($D16="","",IFERROR(INDEX(技能数据库!$F$4:$F$38,MATCH($D16,技能数据库!$A$4:$A$38,0)),""))</f>
        <v>精神</v>
      </c>
      <c r="J16" s="1">
        <f>IF($D16="","",IFERROR(INDEX(技能数据库!$G$4:$G$38,MATCH($D16,技能数据库!$A$4:$A$38,0)),""))</f>
        <v>2.8</v>
      </c>
      <c r="K16" s="1">
        <f>IF($D16="","",IFERROR(INDEX(技能数据库!$H$4:$H$38,MATCH($D16,技能数据库!$A$4:$A$38,0)),""))</f>
        <v>0.8</v>
      </c>
      <c r="L16" s="1" t="str">
        <f>IF($D16="","",IFERROR(INDEX(技能数据库!$I$4:$I$38,MATCH($D16,技能数据库!$A$4:$A$38,0)),""))</f>
        <v>37_TRIANGLE</v>
      </c>
      <c r="M16" s="10">
        <v>1</v>
      </c>
      <c r="N16" s="1"/>
      <c r="O16" s="1"/>
      <c r="P16" s="1"/>
      <c r="Q16" s="10">
        <f t="shared" si="0"/>
        <v>0</v>
      </c>
      <c r="R16" s="10">
        <v>0</v>
      </c>
      <c r="S16" s="10">
        <v>0</v>
      </c>
      <c r="T16" s="1">
        <f>行动模拟!I22</f>
        <v>0</v>
      </c>
      <c r="U16" s="1">
        <f>IF(FD16&lt;&gt;FD15,IF(BY15=1,IF(MIN(10,CA15+IF(AND(DG16&lt;&gt;DG15,DH15&lt;&gt;"洞穿",SUMIFS($FE$3:FE15,$DG$3:DG15,DG15)=0,BY15=1),3,0))&gt;=10,2,1),IF(BY15=2,IF(BZ15&lt;=1,0,2),0)),BY15)</f>
        <v>2</v>
      </c>
      <c r="V16" s="1">
        <f>IF(FD16&lt;&gt;FD15,IF(BY15=1,IF(MIN(10,CA15+IF(AND(DG16&lt;&gt;DG15,DH15&lt;&gt;"洞穿",SUMIFS($FE$3:FE15,$DG$3:DG15,DG15)=0,BY15=1),3,0))&gt;=10,2,0),IF(BY15=2,MAX(0,BZ15-1),0)),BZ15)</f>
        <v>2</v>
      </c>
      <c r="W16" s="1">
        <f>IF(AND(FD16&lt;&gt;FD15,BY15=2,BZ15&lt;=1),0,MIN(10,CA15+IF(AND(DG16&lt;&gt;DG15,DH15&lt;&gt;"洞穿",SUMIFS($FE$3:FE15,$DG$3:DG15,DG15)=0,BY15=1),3,0)))</f>
        <v>10</v>
      </c>
      <c r="X16" s="1">
        <f t="shared" si="42"/>
        <v>6</v>
      </c>
      <c r="Y16" s="1">
        <f t="shared" si="43"/>
        <v>0</v>
      </c>
      <c r="Z16" s="1">
        <f t="shared" si="44"/>
        <v>0</v>
      </c>
      <c r="AA16" s="1">
        <f t="shared" si="45"/>
        <v>0</v>
      </c>
      <c r="AB16" s="1">
        <f t="shared" si="46"/>
        <v>1</v>
      </c>
      <c r="AC16" s="1">
        <f t="shared" si="47"/>
        <v>0</v>
      </c>
      <c r="AD16" s="1">
        <f t="shared" si="48"/>
        <v>8</v>
      </c>
      <c r="AE16" s="1">
        <f>IF(D16="",0,IF(DG16&lt;&gt;DG15,IFERROR(INDEX(回合状态!$F$7:$F$17,MATCH(DG16,回合状态!$A$7:$A$17,0)),0),CI15))</f>
        <v>4</v>
      </c>
      <c r="AF16" s="10">
        <f t="shared" si="49"/>
        <v>0</v>
      </c>
      <c r="AG16" s="1">
        <f t="shared" si="50"/>
        <v>0</v>
      </c>
      <c r="AH16" s="1">
        <f t="shared" si="51"/>
        <v>3</v>
      </c>
      <c r="AI16" s="1">
        <f t="shared" si="52"/>
        <v>4</v>
      </c>
      <c r="AJ16" s="1">
        <f t="shared" si="53"/>
        <v>5</v>
      </c>
      <c r="AK16" s="1">
        <f t="shared" si="54"/>
        <v>4</v>
      </c>
      <c r="AL16" s="1">
        <f t="shared" si="55"/>
        <v>3</v>
      </c>
      <c r="AM16" s="1">
        <f t="shared" si="56"/>
        <v>5</v>
      </c>
      <c r="AN16" s="1">
        <f t="shared" si="57"/>
        <v>0</v>
      </c>
      <c r="AO16" s="1">
        <f t="shared" si="58"/>
        <v>0</v>
      </c>
      <c r="AP16" s="10">
        <f t="shared" si="59"/>
        <v>0</v>
      </c>
      <c r="AQ16" s="1">
        <f t="shared" si="60"/>
        <v>0</v>
      </c>
      <c r="AR16" s="10">
        <f t="shared" si="61"/>
        <v>0</v>
      </c>
      <c r="AS16" s="1">
        <f t="shared" si="62"/>
        <v>0</v>
      </c>
      <c r="AT16" s="10">
        <f t="shared" si="63"/>
        <v>0</v>
      </c>
      <c r="AU16" s="1">
        <f t="shared" si="64"/>
        <v>0</v>
      </c>
      <c r="AV16" s="1">
        <f>MIN(5,SUMIFS($EL$3:EL16,$B$3:B16,"&gt;="&amp;MAX(1,B16-2),$B$3:B16,"&lt;="&amp;B16)+EC16)</f>
        <v>5</v>
      </c>
      <c r="AW16" s="1">
        <f>MIN(6,SUMIFS($EY$3:EY15,$EX$3:EX15,"&gt;="&amp;MAX(1,EX16-Boss参数!$B$87+1),$EX$3:EX15,"&lt;="&amp;EX16))</f>
        <v>2</v>
      </c>
      <c r="AX16" s="1">
        <f>MIN(4,COUNTIFS($B$3:$B$15,"&gt;="&amp;MAX(1,$B16-2),$B$3:$B$15,"&lt;="&amp;$B16,$L$3:$L$15,"37_FOLLOW"))</f>
        <v>2</v>
      </c>
      <c r="AY16" s="9">
        <f>IF($E16="","",IF($E16="系统",0,ROUNDDOWN(INDEX(角色面板!$C$4:$C$7,MATCH($E16,角色面板!$A$4:$A$7,0))*(1+INDEX(角色面板!$C$11:$C$14,MATCH($E16,角色面板!$A$11:$A$14,0))+IF($E16="小瑞安侬",MAX(IF($B16&lt;=$AQ16,$AP16,0),IF(AND($L16="RHI_ATTACK",$EE16&gt;0),0.11+0.01*$G16,0)),0)+IF($E16="J",$AD16*Boss参数!$B$18,0))+IF(FD16&lt;=$AN16,MIN(Boss参数!$B$21,ROUNDDOWN(角色面板!$C$19*Boss参数!$B$20,0)),0)+IF(AND($B16&lt;=$AK16,$E16&lt;&gt;"小瑞安侬"),$DY16,0),0)))</f>
        <v>3005</v>
      </c>
      <c r="AZ16" s="10">
        <f>IF($E16="","",MAX(0,MIN(1,IFERROR(INDEX(角色面板!$G$18:$G$21,MATCH($E16,角色面板!$A$18:$A$21,0)),0)-FC16*Boss参数!$B$89-Boss参数!$E$4)))</f>
        <v>0.76</v>
      </c>
      <c r="BA16" s="10">
        <f>IF(E16="","",(IF($E16="","",IF($E16="红弩箭",Boss参数!$B$80,IF($E16="J",Boss参数!$B$81,IFERROR(INDEX(角色面板!$H$18:$H$21,MATCH($E16,角色面板!$A$18:$A$21,0)),0)))+IF($B16&lt;=$AI16,Boss参数!$B$13,0)+MIN(30,$AM16)*Boss参数!$B$17+IF(AND($L16="LILYA_ULT",$X16&gt;=6),1,0)+IF(AND($Y16=1,$L16="LILYA_INSIGHT"),IF(MOD($AA16+1,3)=0,Boss参数!$B$83,Boss参数!$B$82),IF(AND($Y16=1,$L16="LILYA_FINISH"),Boss参数!$B$84,0))))-FC16*Boss参数!$B$90)</f>
        <v>2.3780000000000001</v>
      </c>
      <c r="BB16" s="10">
        <f>IF($E16="","",IFERROR(INDEX(角色面板!$M$18:$M$21,MATCH($E16,角色面板!$A$18:$A$21,0)),0)+$AW16*Boss参数!$B$12+IF($B16&lt;=$AG16,$AF16,0)+$EI16+IF($L16="LILYA_DIVE",IF($U16=1,IF($G16=1,0.3,IF($G16=2,0.4,0.5)),IF($U16=2,IF($G16=1,0.6,IF($G16=2,0.8,1)),0)),0)+$R16+IF(AND($E16="J",OR($L16="J_COUNTER",$L16="J_HARD")),Boss参数!$B$79,0)+IF(AND(OR(L16="J_COUNTER",L16="J_HARD"),FA16&gt;=Boss参数!$B$59),FA16*Boss参数!$B$40,0))</f>
        <v>0.04</v>
      </c>
      <c r="BC16" s="10">
        <f>IF($E16="","",IFERROR(INDEX(角色面板!$K$18:$K$21,MATCH($E16,角色面板!$A$18:$A$21,0)),0)+IF($B16&lt;=$AH16,Boss参数!$B$46,0)+IF($E16="红弩箭",IF($U16=1,0.6,IF($U16=2,1.2,0))+$W16*0.06,0))-DI16*Boss参数!$B$23</f>
        <v>-0.10000000000000003</v>
      </c>
      <c r="BD16" s="10">
        <f>IF($E16="","",IFERROR(INDEX(角色面板!$L$18:$L$21,MATCH($E16,角色面板!$A$18:$A$21,0)),0)+IF($B16&lt;=$AH16,Boss参数!$B$46,0)+IF($E16="J",$AL16*Boss参数!$B$16,0)+IF($E16="红弩箭",$X16*0.025,0)+IF(AND($L16="LILYA_ULT",$X16&gt;=6),1,0))-DI16*Boss参数!$B$23</f>
        <v>0.3</v>
      </c>
      <c r="BE16" s="10">
        <f>IF($E16="","",IF($H16="洞知",IF($E16="红弩箭",$AO16*Boss参数!$B$15,0)+$AX16*Boss参数!$B$14,0))</f>
        <v>0</v>
      </c>
      <c r="BF16" s="10">
        <f t="shared" si="1"/>
        <v>0</v>
      </c>
      <c r="BG16" s="10">
        <f>IF($D16="",0,IF(AND($L16&lt;&gt;"LILYA_DIVE",$L16&lt;&gt;"LILYA_ULT",$L16&lt;&gt;"LILYA_INSIGHT",$L16&lt;&gt;"LILYA_FINISH",$L16&lt;&gt;"37_FOLLOW",$L16&lt;&gt;"RHI_ATTACK",$L16&lt;&gt;"RHI_BERRY",$L16&lt;&gt;"J_COUNTER",$L16&lt;&gt;"J_ULT"),$J16,0)+IF($L16="LILYA_DIVE",$J16+IF($U16=1,IF($G16=1,6,IF($G16=2,12,18)),IF($U16=2,IF($G16=1,12,IF($G16=2,24,36)),0)),0)+IF($L16="LILYA_ULT",$J16+IF($X16&gt;=6,18,0),0)+IF($L16="LILYA_INSIGHT",IF($Y16=1,IF(MOD($AA16+1,3)=0,32,15),0),0)+IF($L16="LILYA_FINISH",IF($Y16=1,50+2.5*$Z16,0),0)+IF($L16="37_FOLLOW",$J16,0)+IF($L16="RHI_ATTACK",$J16*IF($B16&lt;=$AJ16,2,1),0)+IF($L16="RHI_BERRY",15+1.5*$AV16,0)+IF($L16="J_COUNTER",$J16+$AD16*Boss参数!$B$39,0)+IF($L16="J_ULT",$J16+Boss参数!$B$45*MAX(0,$AE16+$AD16-Boss参数!$I$4),0)+$S16)</f>
        <v>2.8</v>
      </c>
      <c r="BH16" s="10">
        <f t="shared" si="2"/>
        <v>0.8</v>
      </c>
      <c r="BI16" s="10">
        <f>IF(E16="","",IF(DT16=1,1+Boss参数!$B$8+AV16*Boss参数!$B$19,1))</f>
        <v>1.5</v>
      </c>
      <c r="BJ16" s="9">
        <f>IF($I16="现实",Boss参数!$C$4,IF($I16="精神",Boss参数!$D$4,0))</f>
        <v>1000</v>
      </c>
      <c r="BK16" s="9">
        <f>IF($E16="","",MAX($AY16*Boss参数!$B$9,$AY16-$BJ16*(1-$BF16)))</f>
        <v>2005</v>
      </c>
      <c r="BL16" s="10">
        <f>MAX(0,Boss参数!$F$4+IF(DT16=0,Boss参数!$B$27,0)-EJ16)</f>
        <v>0.4</v>
      </c>
      <c r="BM16" s="10">
        <f>Boss参数!$G$4+DU16-IF(Y16=1,Boss参数!$B$11,0)</f>
        <v>0.45</v>
      </c>
      <c r="BN16" s="10">
        <f>IF($E16="","",MAX(Boss参数!$B$10,1+IFERROR(INDEX(角色面板!$I$18:$I$21,MATCH($E16,角色面板!$A$18:$A$21,0)),0)+$BB16+Boss参数!$H$4-$BM16))</f>
        <v>0.59499999999999997</v>
      </c>
      <c r="BO16" s="10">
        <f>IF(E16="","",IF(OR(L16="J_COUNTER",L16="J_HARD"),MAX(0,1+INDEX(角色面板!$K$18:$K$21,MATCH(E16,角色面板!$A$18:$A$21,0))-DI16*Boss参数!$B$23+IF(OR(Boss参数!$B$43=1,L16="J_HARD"),IF(B16&lt;=AH16,Boss参数!$B$46,0),0)),MAX(0,IF(OR(H16="术法",L16="RHI_BERRY",AND(L16="37_FOLLOW",Boss参数!$B$31=1)),1+BC16,IF(H16="仪式",1+BD16,IF(H16="洞知",EK16,1))))))</f>
        <v>0.89999999999999991</v>
      </c>
      <c r="BP16" s="10">
        <f t="shared" si="3"/>
        <v>1.9780000000000002</v>
      </c>
      <c r="BQ16" s="1">
        <f t="shared" si="4"/>
        <v>4509.4454999999998</v>
      </c>
      <c r="BR16" s="1">
        <f t="shared" si="5"/>
        <v>8919.683199000001</v>
      </c>
      <c r="BS16" s="1">
        <f>IF(BH16=0,0,ROUNDDOWN(AY16*BH16,0)*DV16*IF(Boss参数!$B$29=1,BN16,1)*IF(Boss参数!$B$33=1,BO16,1)*IF(Boss参数!$B$76=1,1-ES16,1))</f>
        <v>2404</v>
      </c>
      <c r="BT16" s="1">
        <f t="shared" si="6"/>
        <v>4755.1120000000001</v>
      </c>
      <c r="BU16" s="9">
        <f>IF(D16="",0,MIN(IF(Boss参数!$B$77=1,Boss参数!$B$63*Boss参数!$B$62,Boss参数!$B$61*Boss参数!$B$62),DW16+ROUNDDOWN(BS16,0)+ROUNDDOWN(DW16*Q16,0)))</f>
        <v>6913</v>
      </c>
      <c r="BV16" s="9">
        <f>IF(D16="",0,MIN(IF(Boss参数!$B$77=1,Boss参数!$B$63*Boss参数!$B$62,Boss参数!$B$61*Boss参数!$B$62),DX16+ROUNDDOWN(BT16,0)+ROUNDDOWN(DX16*Q16,0)))</f>
        <v>13674</v>
      </c>
      <c r="BW16" s="9">
        <f t="shared" si="7"/>
        <v>12051</v>
      </c>
      <c r="BX16" s="1" t="str">
        <f t="shared" si="8"/>
        <v/>
      </c>
      <c r="BY16" s="1">
        <f t="shared" si="9"/>
        <v>2</v>
      </c>
      <c r="BZ16" s="1">
        <f t="shared" si="10"/>
        <v>2</v>
      </c>
      <c r="CA16" s="1">
        <f>MIN(10,W16+IF(AND(L16="LILYA_COBRA",COUNTIF($L$3:L16,"LILYA_COBRA")=1),5,0)+IF(AND(L16="LILYA_DIVE",U16=1,COUNTIFS($DG$3:DG16,DG16,$L$3:L16,"LILYA_DIVE")=1),2,0)+IF(AND(FE16=1,U16=1),3,0))</f>
        <v>10</v>
      </c>
      <c r="CB16" s="1">
        <f>MIN(20,MAX(0,X16+IF(L16="LILYA_COBRA",IF(COUNTIF($L$3:L16,"LILYA_COBRA")=1,6,IF(U16=1,MAX(1,G16),IF(U16=2,2*MAX(1,G16),0))),0)+IF(AND(Y16=1,E16="红弩箭",L16&lt;&gt;"ENTER_INSIGHT"),1,0)-IF(AND(L16="LILYA_ULT",X16&gt;=6),6,0)))</f>
        <v>6</v>
      </c>
      <c r="CC16" s="1">
        <f t="shared" si="11"/>
        <v>0</v>
      </c>
      <c r="CD16" s="1">
        <f t="shared" si="12"/>
        <v>0</v>
      </c>
      <c r="CE16" s="1">
        <f t="shared" si="13"/>
        <v>0</v>
      </c>
      <c r="CF16" s="1">
        <f t="shared" si="14"/>
        <v>2</v>
      </c>
      <c r="CG16" s="1">
        <f t="shared" si="15"/>
        <v>1</v>
      </c>
      <c r="CH16" s="1">
        <f>MIN(35,AD16+IF(L16="J_HARD",6,0)+IF(L16="J_COUNTER",Boss参数!$B$30,0))</f>
        <v>8</v>
      </c>
      <c r="CI16" s="1">
        <f>MIN(Boss参数!$I$4,AE16+IF(L16="J_HARD",6,0)+IF(L16="J_ULT",AD16,0)+IF(L16="J_COUNTER",Boss参数!$B$30,0))</f>
        <v>4</v>
      </c>
      <c r="CJ16" s="10">
        <f>IF(L16="J_ULT",AD16*Boss参数!$B$41,IF(B16&lt;=AG16,AF16,0))</f>
        <v>0</v>
      </c>
      <c r="CK16" s="1">
        <f t="shared" si="16"/>
        <v>0</v>
      </c>
      <c r="CL16" s="1">
        <f t="shared" si="17"/>
        <v>3</v>
      </c>
      <c r="CM16" s="1">
        <f t="shared" si="18"/>
        <v>4</v>
      </c>
      <c r="CN16" s="1">
        <f t="shared" si="19"/>
        <v>5</v>
      </c>
      <c r="CO16" s="1">
        <f t="shared" si="20"/>
        <v>4</v>
      </c>
      <c r="CP16" s="1">
        <f t="shared" si="21"/>
        <v>3</v>
      </c>
      <c r="CQ16" s="1">
        <f t="shared" si="22"/>
        <v>5</v>
      </c>
      <c r="CR16" s="1">
        <f t="shared" si="23"/>
        <v>0</v>
      </c>
      <c r="CS16" s="1">
        <f t="shared" si="24"/>
        <v>0</v>
      </c>
      <c r="CT16" s="10">
        <f t="shared" si="25"/>
        <v>0</v>
      </c>
      <c r="CU16" s="1">
        <f t="shared" si="26"/>
        <v>0</v>
      </c>
      <c r="CV16" s="10">
        <f t="shared" si="27"/>
        <v>0</v>
      </c>
      <c r="CW16" s="1">
        <f t="shared" si="28"/>
        <v>0</v>
      </c>
      <c r="CX16" s="10">
        <f t="shared" si="29"/>
        <v>0</v>
      </c>
      <c r="CY16" s="1">
        <f t="shared" si="30"/>
        <v>0</v>
      </c>
      <c r="CZ16" s="1"/>
      <c r="DA16" s="1"/>
      <c r="DB16" s="1"/>
      <c r="DC16" s="1"/>
      <c r="DD16" s="1"/>
      <c r="DE16" s="1"/>
      <c r="DF16" s="1"/>
      <c r="DG16" s="1">
        <f>IF(D16="","",行动模拟!B22)</f>
        <v>2</v>
      </c>
      <c r="DH16" s="1" t="str">
        <f>IF(L16="END_TURN","回合结束",IF(D16="","",IF(INDEX(回合状态!$C$7:$C$17,MATCH(DG16,回合状态!$A$7:$A$17,0))="洞穿","洞穿",IF(OR(L16="J_COUNTER",L16="BOSS_ACTION",L16="BOSS_CONSERVATIVE"),"敌方",IF(AND(L16="37_FOLLOW",DG16=DG15,DH15="敌方"),"敌方",IF(INDEX(回合状态!$C$7:$C$17,MATCH(DG16,回合状态!$A$7:$A$17,0))="普通","出牌",INDEX(回合状态!$C$7:$C$17,MATCH(DG16,回合状态!$A$7:$A$17,0))))))))</f>
        <v>出牌</v>
      </c>
      <c r="DI16" s="1">
        <f t="shared" si="31"/>
        <v>0</v>
      </c>
      <c r="DJ16" s="1">
        <f>IF(D16="",0,MIN(Boss参数!$B$25,IF(OR(AND(DH16="敌方",OR(DH15&lt;&gt;"敌方",DG16&lt;&gt;DG15)),AND(L16="END_TURN",DH16&lt;&gt;"洞穿"),AND(DG16&lt;&gt;DG15,DH15&lt;&gt;"洞穿",L15&lt;&gt;"END_TURN",COUNTIFS($DG$3:DG15,DG15,$DH$3:DH15,"敌方")=0)),EW16,DN15)))</f>
        <v>5</v>
      </c>
      <c r="DK16" s="1">
        <f>IF(D16="",0,MIN(Boss参数!$B$25,IF(OR(AND(DH16="敌方",OR(DH15&lt;&gt;"敌方",DG16&lt;&gt;DG15)),AND(L16="END_TURN",DH16&lt;&gt;"洞穿"),AND(DG16&lt;&gt;DG15,DH15&lt;&gt;"洞穿",L15&lt;&gt;"END_TURN",COUNTIFS($DG$3:DG15,DG15,$DH$3:DH15,"敌方")=0)),EW16,DO15)))</f>
        <v>0</v>
      </c>
      <c r="DL16" s="1">
        <f>IF(D16="",0,MIN(Boss参数!$B$25,IF(OR(AND(DH16="敌方",OR(DH15&lt;&gt;"敌方",DG16&lt;&gt;DG15)),AND(L16="END_TURN",DH16&lt;&gt;"洞穿"),AND(DG16&lt;&gt;DG15,DH15&lt;&gt;"洞穿",L15&lt;&gt;"END_TURN",COUNTIFS($DG$3:DG15,DG15,$DH$3:DH15,"敌方")=0)),EW16,DP15)))</f>
        <v>5</v>
      </c>
      <c r="DM16" s="1">
        <f>IF(D16="",0,MIN(Boss参数!$B$25,IF(OR(AND(DH16="敌方",OR(DH15&lt;&gt;"敌方",DG16&lt;&gt;DG15)),AND(L16="END_TURN",DH16&lt;&gt;"洞穿"),AND(DG16&lt;&gt;DG15,DH15&lt;&gt;"洞穿",L15&lt;&gt;"END_TURN",COUNTIFS($DG$3:DG15,DG15,$DH$3:DH15,"敌方")=0)),EW16,DQ15)))</f>
        <v>2</v>
      </c>
      <c r="DN16" s="1">
        <f>MAX(0,MIN(Boss参数!$B$25,DJ16+DR16)-IF(E16="红弩箭",2*DR16,0))</f>
        <v>5</v>
      </c>
      <c r="DO16" s="1">
        <f>MAX(0,MIN(Boss参数!$B$25,DK16+DR16)-IF(E16="37",2*DR16,0))</f>
        <v>0</v>
      </c>
      <c r="DP16" s="1">
        <f>MAX(0,MIN(Boss参数!$B$25,DL16+DR16)-IF(E16="小瑞安侬",2*DR16,0))</f>
        <v>5</v>
      </c>
      <c r="DQ16" s="1">
        <f>MAX(0,MIN(Boss参数!$B$25,DM16+DR16)-IF(E16="J",2*DR16,0))</f>
        <v>2</v>
      </c>
      <c r="DR16" s="1">
        <f t="shared" si="32"/>
        <v>0</v>
      </c>
      <c r="DS16" s="1">
        <f t="shared" si="33"/>
        <v>1</v>
      </c>
      <c r="DT16" s="1">
        <f>IF(OR(E16="",E16="系统"),0,IF(OR(AND(DS16=1,Boss参数!$B$32=1),L16="RHI_BERRY",OR(AND(INDEX(角色面板!$B$18:$B$21,MATCH(E16,角色面板!$A$18:$A$21,0))="星",Boss参数!$B$4="岩"),AND(INDEX(角色面板!$B$18:$B$21,MATCH(E16,角色面板!$A$18:$A$21,0))="岩",Boss参数!$B$4="兽"),AND(INDEX(角色面板!$B$18:$B$21,MATCH(E16,角色面板!$A$18:$A$21,0))="兽",Boss参数!$B$4="木"),AND(INDEX(角色面板!$B$18:$B$21,MATCH(E16,角色面板!$A$18:$A$21,0))="木",Boss参数!$B$4="星"),AND(INDEX(角色面板!$B$18:$B$21,MATCH(E16,角色面板!$A$18:$A$21,0))="智",Boss参数!$B$4="灵"),AND(INDEX(角色面板!$B$18:$B$21,MATCH(E16,角色面板!$A$18:$A$21,0))="灵",Boss参数!$B$4="智"))),1,0))</f>
        <v>1</v>
      </c>
      <c r="DU16" s="1">
        <f>IF(D16="",0,INDEX(回合状态!$E$7:$E$17,MATCH(DG16,回合状态!$A$7:$A$17,0))+IF(AND(DH16="敌方",OR(INDEX(回合状态!$C$7:$C$17,MATCH(DG16,回合状态!$A$7:$A$17,0))="普通",INDEX(回合状态!$C$7:$C$17,MATCH(DG16,回合状态!$A$7:$A$17,0))="额外")),0.05,0))</f>
        <v>0.05</v>
      </c>
      <c r="DV16" s="1">
        <f>MAX(Boss参数!$B$28,1+IF(AND(E16="37",AC16&gt;0,BH16&gt;0),Boss参数!$B$42,0)-DI16*Boss参数!$B$24+EA16-ER16)</f>
        <v>1</v>
      </c>
      <c r="DW16" s="1">
        <f>MIN(IF(Boss参数!$B$77=1,Boss参数!$B$63*Boss参数!$B$62,Boss参数!$B$61*Boss参数!$B$62),ROUNDDOWN(BQ16*(1-ES16),0))</f>
        <v>4509</v>
      </c>
      <c r="DX16" s="1">
        <f>MIN(IF(Boss参数!$B$77=1,Boss参数!$B$63*Boss参数!$B$62,Boss参数!$B$61*Boss参数!$B$62),ROUNDDOWN(BR16*(1-ES16),0))</f>
        <v>8919</v>
      </c>
      <c r="DY16" s="1">
        <f t="shared" si="65"/>
        <v>238</v>
      </c>
      <c r="DZ16" s="1">
        <f>IF(L16="RHI_ULT",MIN(Boss参数!$B$48,ROUNDDOWN(AY16*Boss参数!$B$47,0)),DY16)</f>
        <v>238</v>
      </c>
      <c r="EA16" s="11">
        <v>0</v>
      </c>
      <c r="EB16" s="1">
        <f t="shared" si="34"/>
        <v>0</v>
      </c>
      <c r="EC16" s="1">
        <f>SUMIFS($EB$3:EB16,$B$3:B16,"&gt;="&amp;MAX(1,B16-2),$B$3:B16,"&lt;="&amp;B16)*Boss参数!$B$51</f>
        <v>4</v>
      </c>
      <c r="ED16" s="1">
        <f>IF(D16="",EG15,IF(AND(DG16&lt;&gt;DG15,DH16&lt;&gt;"洞穿"),MIN(Boss参数!$B$55,EG15+2),EG15))</f>
        <v>2</v>
      </c>
      <c r="EE16" s="1">
        <f t="shared" si="35"/>
        <v>0</v>
      </c>
      <c r="EF16" s="1">
        <f>IF(AND(OR(L16="END_TURN",AND(DH16="敌方",OR(DH15&lt;&gt;"敌方",DG16&lt;&gt;DG15))),SUMIFS($EF$3:EF15,$DG$3:DG15,DG16)=0),MIN(1,MAX(0,ED16-EE16)),0)</f>
        <v>0</v>
      </c>
      <c r="EG16" s="1">
        <f t="shared" si="36"/>
        <v>2</v>
      </c>
      <c r="EH16" s="11">
        <f>Boss参数!$B$53-IF(Y16=1,Boss参数!$B$54,0)</f>
        <v>0</v>
      </c>
      <c r="EI16" s="11">
        <f t="shared" si="37"/>
        <v>0</v>
      </c>
      <c r="EJ16" s="11">
        <f t="shared" si="38"/>
        <v>0</v>
      </c>
      <c r="EK16" s="11">
        <f t="shared" si="39"/>
        <v>1</v>
      </c>
      <c r="EL16" s="1">
        <f t="shared" si="66"/>
        <v>0</v>
      </c>
      <c r="EM16" s="1">
        <f>IF(AND(DG16&lt;&gt;DG15,DH16="洞穿"),0,IF(L16="ENTER_INSIGHT",Boss参数!$B$57,EO15))</f>
        <v>0</v>
      </c>
      <c r="EN16" s="11">
        <f>IF(AND(Y16=1,H16="洞知",EM16&gt;0),Boss参数!$B$56,0)</f>
        <v>0</v>
      </c>
      <c r="EO16" s="1">
        <f t="shared" si="40"/>
        <v>0</v>
      </c>
      <c r="EP16" s="12">
        <f t="shared" si="67"/>
        <v>102633</v>
      </c>
      <c r="EQ16" s="12">
        <f>ROUNDDOWN(EP16/Boss参数!$B$62,0)</f>
        <v>1</v>
      </c>
      <c r="ER16" s="11">
        <f>IF(EQ16&gt;=Boss参数!$B$66,Boss参数!$B$69,IF(EQ16&gt;=Boss参数!$B$65,Boss参数!$B$68,IF(EQ16&gt;=Boss参数!$B$64,Boss参数!$B$67,0)))</f>
        <v>0</v>
      </c>
      <c r="ES16" s="11">
        <f>MIN(1,IF(EQ16&gt;=Boss参数!$B$66,Boss参数!$B$72+ROUNDDOWN((EQ16-Boss参数!$B$66)/Boss参数!$B$73,0)*Boss参数!$B$74,IF(EQ16&gt;=Boss参数!$B$65,Boss参数!$B$71,IF(EQ16&gt;=Boss参数!$B$64,Boss参数!$B$70,0))))</f>
        <v>0</v>
      </c>
      <c r="ET16" s="12">
        <f>MIN(Boss参数!$B$61*Boss参数!$B$62,EP16+IF(AND(Boss参数!$B$60=1,ISNUMBER(验证表!H22)),验证表!H22,EU16))</f>
        <v>116307</v>
      </c>
      <c r="EU16" s="12">
        <f>IF(D16="",0,IF(验证表!G22="是",BV16,IF(验证表!G22="否",BU16,BW16)))</f>
        <v>13674</v>
      </c>
      <c r="EV16" s="12">
        <f>IF(EQ16&gt;=Boss参数!$B$66,2,IF(EQ16&gt;=Boss参数!$B$65,1,0))</f>
        <v>0</v>
      </c>
      <c r="EW16" s="12">
        <f t="shared" si="41"/>
        <v>1</v>
      </c>
      <c r="EX16" s="1">
        <f>IF(D16="",0,INDEX(回合状态!$D$7:$D$17,MATCH(DG16,回合状态!$A$7:$A$17,0)))</f>
        <v>2</v>
      </c>
      <c r="EY16" s="1">
        <f>IF(OR(L16="RHI_ATTACK",L16="RHI_BUFF"),1,IF(L16="RHI_ULT",Boss参数!$B$52,0))</f>
        <v>0</v>
      </c>
      <c r="EZ16" s="1">
        <f>MIN(6,SUMIFS($EY$3:EY16,$EX$3:EX16,"&gt;="&amp;MAX(1,EX16-Boss参数!$B$87+1),$EX$3:EX16,"&lt;="&amp;EX16))</f>
        <v>2</v>
      </c>
      <c r="FA16" s="1">
        <f t="shared" si="68"/>
        <v>8</v>
      </c>
      <c r="FB16" s="17">
        <f>IF(L16="BOSS_CONSERVATIVE",B16+Boss参数!$B$91,FB15)</f>
        <v>0</v>
      </c>
      <c r="FC16" s="17">
        <f t="shared" si="69"/>
        <v>0</v>
      </c>
      <c r="FD16" s="17">
        <f>IF(D16="",FD15,FD15+IF(AND(DG16&lt;&gt;DG15,INDEX(回合状态!$C$7:$C$17,MATCH(DG16,回合状态!$A$7:$A$17,0))&lt;&gt;"洞穿"),1,0))</f>
        <v>2</v>
      </c>
      <c r="FE16" s="17">
        <f>IF(D16="",0,IF(AND(OR(L16="END_TURN",DH16="敌方"),INDEX(回合状态!$C$7:$C$17,MATCH(DG16,回合状态!$A$7:$A$17,0))&lt;&gt;"洞穿",SUMIFS($FE$3:FE15,$DG$3:DG15,DG16)=0),1,0))</f>
        <v>0</v>
      </c>
    </row>
    <row r="17" spans="1:161" ht="84.95" customHeight="1">
      <c r="A17" s="1">
        <f>行动模拟!A23</f>
        <v>15</v>
      </c>
      <c r="B17" s="1">
        <f>IF(D17="",0,INDEX(回合状态!$B$7:$B$17,MATCH(DG17,回合状态!$A$7:$A$17,0)))</f>
        <v>2</v>
      </c>
      <c r="C17" s="1">
        <f>行动模拟!C23</f>
        <v>6</v>
      </c>
      <c r="D17" s="1" t="str">
        <f>IF(行动模拟!D23="","",行动模拟!D23)</f>
        <v>J｜高温回火</v>
      </c>
      <c r="E17" s="1" t="str">
        <f>IF($D17="","",IFERROR(INDEX(技能数据库!$B$4:$B$38,MATCH($D17,技能数据库!$A$4:$A$38,0)),""))</f>
        <v>J</v>
      </c>
      <c r="F17" s="1" t="str">
        <f>IF($D17="","",IFERROR(INDEX(技能数据库!$C$4:$C$38,MATCH($D17,技能数据库!$A$4:$A$38,0)),""))</f>
        <v>高温回火</v>
      </c>
      <c r="G17" s="1">
        <f>IF($D17="","",IFERROR(INDEX(技能数据库!$D$4:$D$38,MATCH($D17,技能数据库!$A$4:$A$38,0)),""))</f>
        <v>0</v>
      </c>
      <c r="H17" s="1" t="str">
        <f>IF($D17="","",IFERROR(INDEX(技能数据库!$E$4:$E$38,MATCH($D17,技能数据库!$A$4:$A$38,0)),""))</f>
        <v>反击</v>
      </c>
      <c r="I17" s="1" t="str">
        <f>IF($D17="","",IFERROR(INDEX(技能数据库!$F$4:$F$38,MATCH($D17,技能数据库!$A$4:$A$38,0)),""))</f>
        <v>现实</v>
      </c>
      <c r="J17" s="1">
        <f>IF($D17="","",IFERROR(INDEX(技能数据库!$G$4:$G$38,MATCH($D17,技能数据库!$A$4:$A$38,0)),""))</f>
        <v>3</v>
      </c>
      <c r="K17" s="1">
        <f>IF($D17="","",IFERROR(INDEX(技能数据库!$H$4:$H$38,MATCH($D17,技能数据库!$A$4:$A$38,0)),""))</f>
        <v>0</v>
      </c>
      <c r="L17" s="1" t="str">
        <f>IF($D17="","",IFERROR(INDEX(技能数据库!$I$4:$I$38,MATCH($D17,技能数据库!$A$4:$A$38,0)),""))</f>
        <v>J_COUNTER</v>
      </c>
      <c r="M17" s="10">
        <v>1</v>
      </c>
      <c r="N17" s="1"/>
      <c r="O17" s="1"/>
      <c r="P17" s="1"/>
      <c r="Q17" s="10">
        <f t="shared" si="0"/>
        <v>0</v>
      </c>
      <c r="R17" s="10">
        <v>0</v>
      </c>
      <c r="S17" s="10">
        <v>0</v>
      </c>
      <c r="T17" s="1" t="str">
        <f>行动模拟!I23</f>
        <v>回合末默契消耗按库存自动计算；发生于首次Boss反击前的时点由本场验证。</v>
      </c>
      <c r="U17" s="1">
        <f>IF(FD17&lt;&gt;FD16,IF(BY16=1,IF(MIN(10,CA16+IF(AND(DG17&lt;&gt;DG16,DH16&lt;&gt;"洞穿",SUMIFS($FE$3:FE16,$DG$3:DG16,DG16)=0,BY16=1),3,0))&gt;=10,2,1),IF(BY16=2,IF(BZ16&lt;=1,0,2),0)),BY16)</f>
        <v>2</v>
      </c>
      <c r="V17" s="1">
        <f>IF(FD17&lt;&gt;FD16,IF(BY16=1,IF(MIN(10,CA16+IF(AND(DG17&lt;&gt;DG16,DH16&lt;&gt;"洞穿",SUMIFS($FE$3:FE16,$DG$3:DG16,DG16)=0,BY16=1),3,0))&gt;=10,2,0),IF(BY16=2,MAX(0,BZ16-1),0)),BZ16)</f>
        <v>2</v>
      </c>
      <c r="W17" s="1">
        <f>IF(AND(FD17&lt;&gt;FD16,BY16=2,BZ16&lt;=1),0,MIN(10,CA16+IF(AND(DG17&lt;&gt;DG16,DH16&lt;&gt;"洞穿",SUMIFS($FE$3:FE16,$DG$3:DG16,DG16)=0,BY16=1),3,0)))</f>
        <v>10</v>
      </c>
      <c r="X17" s="1">
        <f t="shared" si="42"/>
        <v>6</v>
      </c>
      <c r="Y17" s="1">
        <f t="shared" si="43"/>
        <v>0</v>
      </c>
      <c r="Z17" s="1">
        <f t="shared" si="44"/>
        <v>0</v>
      </c>
      <c r="AA17" s="1">
        <f t="shared" si="45"/>
        <v>0</v>
      </c>
      <c r="AB17" s="1">
        <f t="shared" si="46"/>
        <v>2</v>
      </c>
      <c r="AC17" s="1">
        <f t="shared" si="47"/>
        <v>1</v>
      </c>
      <c r="AD17" s="1">
        <f t="shared" si="48"/>
        <v>8</v>
      </c>
      <c r="AE17" s="1">
        <f>IF(D17="",0,IF(DG17&lt;&gt;DG16,IFERROR(INDEX(回合状态!$F$7:$F$17,MATCH(DG17,回合状态!$A$7:$A$17,0)),0),CI16))</f>
        <v>4</v>
      </c>
      <c r="AF17" s="10">
        <f t="shared" si="49"/>
        <v>0</v>
      </c>
      <c r="AG17" s="1">
        <f t="shared" si="50"/>
        <v>0</v>
      </c>
      <c r="AH17" s="1">
        <f t="shared" si="51"/>
        <v>3</v>
      </c>
      <c r="AI17" s="1">
        <f t="shared" si="52"/>
        <v>4</v>
      </c>
      <c r="AJ17" s="1">
        <f t="shared" si="53"/>
        <v>5</v>
      </c>
      <c r="AK17" s="1">
        <f t="shared" si="54"/>
        <v>4</v>
      </c>
      <c r="AL17" s="1">
        <f t="shared" si="55"/>
        <v>3</v>
      </c>
      <c r="AM17" s="1">
        <f t="shared" si="56"/>
        <v>5</v>
      </c>
      <c r="AN17" s="1">
        <f t="shared" si="57"/>
        <v>0</v>
      </c>
      <c r="AO17" s="1">
        <f t="shared" si="58"/>
        <v>0</v>
      </c>
      <c r="AP17" s="10">
        <f t="shared" si="59"/>
        <v>0</v>
      </c>
      <c r="AQ17" s="1">
        <f t="shared" si="60"/>
        <v>0</v>
      </c>
      <c r="AR17" s="10">
        <f t="shared" si="61"/>
        <v>0</v>
      </c>
      <c r="AS17" s="1">
        <f t="shared" si="62"/>
        <v>0</v>
      </c>
      <c r="AT17" s="10">
        <f t="shared" si="63"/>
        <v>0</v>
      </c>
      <c r="AU17" s="1">
        <f t="shared" si="64"/>
        <v>0</v>
      </c>
      <c r="AV17" s="1">
        <f>MIN(5,SUMIFS($EL$3:EL17,$B$3:B17,"&gt;="&amp;MAX(1,B17-2),$B$3:B17,"&lt;="&amp;B17)+EC17)</f>
        <v>5</v>
      </c>
      <c r="AW17" s="1">
        <f>MIN(6,SUMIFS($EY$3:EY16,$EX$3:EX16,"&gt;="&amp;MAX(1,EX17-Boss参数!$B$87+1),$EX$3:EX16,"&lt;="&amp;EX17))</f>
        <v>2</v>
      </c>
      <c r="AX17" s="1">
        <f>MIN(4,COUNTIFS($B$3:$B$16,"&gt;="&amp;MAX(1,$B17-2),$B$3:$B$16,"&lt;="&amp;$B17,$L$3:$L$16,"37_FOLLOW"))</f>
        <v>2</v>
      </c>
      <c r="AY17" s="9">
        <f>IF($E17="","",IF($E17="系统",0,ROUNDDOWN(INDEX(角色面板!$C$4:$C$7,MATCH($E17,角色面板!$A$4:$A$7,0))*(1+INDEX(角色面板!$C$11:$C$14,MATCH($E17,角色面板!$A$11:$A$14,0))+IF($E17="小瑞安侬",MAX(IF($B17&lt;=$AQ17,$AP17,0),IF(AND($L17="RHI_ATTACK",$EE17&gt;0),0.11+0.01*$G17,0)),0)+IF($E17="J",$AD17*Boss参数!$B$18,0))+IF(FD17&lt;=$AN17,MIN(Boss参数!$B$21,ROUNDDOWN(角色面板!$C$19*Boss参数!$B$20,0)),0)+IF(AND($B17&lt;=$AK17,$E17&lt;&gt;"小瑞安侬"),$DY17,0),0)))</f>
        <v>2296</v>
      </c>
      <c r="AZ17" s="10">
        <f>IF($E17="","",MAX(0,MIN(1,IFERROR(INDEX(角色面板!$G$18:$G$21,MATCH($E17,角色面板!$A$18:$A$21,0)),0)-FC17*Boss参数!$B$89-Boss参数!$E$4)))</f>
        <v>0.66700000000000004</v>
      </c>
      <c r="BA17" s="10">
        <f>IF(E17="","",(IF($E17="","",IF($E17="红弩箭",Boss参数!$B$80,IF($E17="J",Boss参数!$B$81,IFERROR(INDEX(角色面板!$H$18:$H$21,MATCH($E17,角色面板!$A$18:$A$21,0)),0)))+IF($B17&lt;=$AI17,Boss参数!$B$13,0)+MIN(30,$AM17)*Boss参数!$B$17+IF(AND($L17="LILYA_ULT",$X17&gt;=6),1,0)+IF(AND($Y17=1,$L17="LILYA_INSIGHT"),IF(MOD($AA17+1,3)=0,Boss参数!$B$83,Boss参数!$B$82),IF(AND($Y17=1,$L17="LILYA_FINISH"),Boss参数!$B$84,0))))-FC17*Boss参数!$B$90)</f>
        <v>1.897</v>
      </c>
      <c r="BB17" s="10">
        <f>IF($E17="","",IFERROR(INDEX(角色面板!$M$18:$M$21,MATCH($E17,角色面板!$A$18:$A$21,0)),0)+$AW17*Boss参数!$B$12+IF($B17&lt;=$AG17,$AF17,0)+$EI17+IF($L17="LILYA_DIVE",IF($U17=1,IF($G17=1,0.3,IF($G17=2,0.4,0.5)),IF($U17=2,IF($G17=1,0.6,IF($G17=2,0.8,1)),0)),0)+$R17+IF(AND($E17="J",OR($L17="J_COUNTER",$L17="J_HARD")),Boss参数!$B$79,0)+IF(AND(OR(L17="J_COUNTER",L17="J_HARD"),FA17&gt;=Boss参数!$B$59),FA17*Boss参数!$B$40,0))</f>
        <v>0.22</v>
      </c>
      <c r="BC17" s="10">
        <f>IF($E17="","",IFERROR(INDEX(角色面板!$K$18:$K$21,MATCH($E17,角色面板!$A$18:$A$21,0)),0)+IF($B17&lt;=$AH17,Boss参数!$B$46,0)+IF($E17="红弩箭",IF($U17=1,0.6,IF($U17=2,1.2,0))+$W17*0.06,0))-DI17*Boss参数!$B$23</f>
        <v>-0.25</v>
      </c>
      <c r="BD17" s="10">
        <f>IF($E17="","",IFERROR(INDEX(角色面板!$L$18:$L$21,MATCH($E17,角色面板!$A$18:$A$21,0)),0)+IF($B17&lt;=$AH17,Boss参数!$B$46,0)+IF($E17="J",$AL17*Boss参数!$B$16,0)+IF($E17="红弩箭",$X17*0.025,0)+IF(AND($L17="LILYA_ULT",$X17&gt;=6),1,0))-DI17*Boss参数!$B$23</f>
        <v>0.27</v>
      </c>
      <c r="BE17" s="10">
        <f>IF($E17="","",IF($H17="洞知",IF($E17="红弩箭",$AO17*Boss参数!$B$15,0)+$AX17*Boss参数!$B$14,0))</f>
        <v>0</v>
      </c>
      <c r="BF17" s="10">
        <f t="shared" si="1"/>
        <v>0</v>
      </c>
      <c r="BG17" s="10">
        <f>IF($D17="",0,IF(AND($L17&lt;&gt;"LILYA_DIVE",$L17&lt;&gt;"LILYA_ULT",$L17&lt;&gt;"LILYA_INSIGHT",$L17&lt;&gt;"LILYA_FINISH",$L17&lt;&gt;"37_FOLLOW",$L17&lt;&gt;"RHI_ATTACK",$L17&lt;&gt;"RHI_BERRY",$L17&lt;&gt;"J_COUNTER",$L17&lt;&gt;"J_ULT"),$J17,0)+IF($L17="LILYA_DIVE",$J17+IF($U17=1,IF($G17=1,6,IF($G17=2,12,18)),IF($U17=2,IF($G17=1,12,IF($G17=2,24,36)),0)),0)+IF($L17="LILYA_ULT",$J17+IF($X17&gt;=6,18,0),0)+IF($L17="LILYA_INSIGHT",IF($Y17=1,IF(MOD($AA17+1,3)=0,32,15),0),0)+IF($L17="LILYA_FINISH",IF($Y17=1,50+2.5*$Z17,0),0)+IF($L17="37_FOLLOW",$J17,0)+IF($L17="RHI_ATTACK",$J17*IF($B17&lt;=$AJ17,2,1),0)+IF($L17="RHI_BERRY",15+1.5*$AV17,0)+IF($L17="J_COUNTER",$J17+$AD17*Boss参数!$B$39,0)+IF($L17="J_ULT",$J17+Boss参数!$B$45*MAX(0,$AE17+$AD17-Boss参数!$I$4),0)+$S17)</f>
        <v>3.4</v>
      </c>
      <c r="BH17" s="10">
        <f t="shared" si="2"/>
        <v>0</v>
      </c>
      <c r="BI17" s="10">
        <f>IF(E17="","",IF(DT17=1,1+Boss参数!$B$8+AV17*Boss参数!$B$19,1))</f>
        <v>1</v>
      </c>
      <c r="BJ17" s="9">
        <f>IF($I17="现实",Boss参数!$C$4,IF($I17="精神",Boss参数!$D$4,0))</f>
        <v>1200</v>
      </c>
      <c r="BK17" s="9">
        <f>IF($E17="","",MAX($AY17*Boss参数!$B$9,$AY17-$BJ17*(1-$BF17)))</f>
        <v>1096</v>
      </c>
      <c r="BL17" s="10">
        <f>MAX(0,Boss参数!$F$4+IF(DT17=0,Boss参数!$B$27,0)-EJ17)</f>
        <v>1.4</v>
      </c>
      <c r="BM17" s="10">
        <f>Boss参数!$G$4+DU17-IF(Y17=1,Boss参数!$B$11,0)</f>
        <v>0.5</v>
      </c>
      <c r="BN17" s="10">
        <f>IF($E17="","",MAX(Boss参数!$B$10,1+IFERROR(INDEX(角色面板!$I$18:$I$21,MATCH($E17,角色面板!$A$18:$A$21,0)),0)+$BB17+Boss参数!$H$4-$BM17))</f>
        <v>0.74499999999999988</v>
      </c>
      <c r="BO17" s="10">
        <f>IF(E17="","",IF(OR(L17="J_COUNTER",L17="J_HARD"),MAX(0,1+INDEX(角色面板!$K$18:$K$21,MATCH(E17,角色面板!$A$18:$A$21,0))-DI17*Boss参数!$B$23+IF(OR(Boss参数!$B$43=1,L17="J_HARD"),IF(B17&lt;=AH17,Boss参数!$B$46,0),0)),MAX(0,IF(OR(H17="术法",L17="RHI_BERRY",AND(L17="37_FOLLOW",Boss参数!$B$31=1)),1+BC17,IF(H17="仪式",1+BD17,IF(H17="洞知",EK17,1))))))</f>
        <v>0.75</v>
      </c>
      <c r="BP17" s="10">
        <f t="shared" si="3"/>
        <v>1.1000000000000001</v>
      </c>
      <c r="BQ17" s="1">
        <f t="shared" si="4"/>
        <v>2082.1259999999997</v>
      </c>
      <c r="BR17" s="1">
        <f t="shared" si="5"/>
        <v>2290.3386</v>
      </c>
      <c r="BS17" s="1">
        <f>IF(BH17=0,0,ROUNDDOWN(AY17*BH17,0)*DV17*IF(Boss参数!$B$29=1,BN17,1)*IF(Boss参数!$B$33=1,BO17,1)*IF(Boss参数!$B$76=1,1-ES17,1))</f>
        <v>0</v>
      </c>
      <c r="BT17" s="1">
        <f t="shared" si="6"/>
        <v>0</v>
      </c>
      <c r="BU17" s="9">
        <f>IF(D17="",0,MIN(IF(Boss参数!$B$77=1,Boss参数!$B$63*Boss参数!$B$62,Boss参数!$B$61*Boss参数!$B$62),DW17+ROUNDDOWN(BS17,0)+ROUNDDOWN(DW17*Q17,0)))</f>
        <v>2082</v>
      </c>
      <c r="BV17" s="9">
        <f>IF(D17="",0,MIN(IF(Boss参数!$B$77=1,Boss参数!$B$63*Boss参数!$B$62,Boss参数!$B$61*Boss参数!$B$62),DX17+ROUNDDOWN(BT17,0)+ROUNDDOWN(DX17*Q17,0)))</f>
        <v>2290</v>
      </c>
      <c r="BW17" s="9">
        <f t="shared" si="7"/>
        <v>2220</v>
      </c>
      <c r="BX17" s="1" t="str">
        <f t="shared" si="8"/>
        <v/>
      </c>
      <c r="BY17" s="1">
        <f t="shared" si="9"/>
        <v>2</v>
      </c>
      <c r="BZ17" s="1">
        <f t="shared" si="10"/>
        <v>2</v>
      </c>
      <c r="CA17" s="1">
        <f>MIN(10,W17+IF(AND(L17="LILYA_COBRA",COUNTIF($L$3:L17,"LILYA_COBRA")=1),5,0)+IF(AND(L17="LILYA_DIVE",U17=1,COUNTIFS($DG$3:DG17,DG17,$L$3:L17,"LILYA_DIVE")=1),2,0)+IF(AND(FE17=1,U17=1),3,0))</f>
        <v>10</v>
      </c>
      <c r="CB17" s="1">
        <f>MIN(20,MAX(0,X17+IF(L17="LILYA_COBRA",IF(COUNTIF($L$3:L17,"LILYA_COBRA")=1,6,IF(U17=1,MAX(1,G17),IF(U17=2,2*MAX(1,G17),0))),0)+IF(AND(Y17=1,E17="红弩箭",L17&lt;&gt;"ENTER_INSIGHT"),1,0)-IF(AND(L17="LILYA_ULT",X17&gt;=6),6,0)))</f>
        <v>6</v>
      </c>
      <c r="CC17" s="1">
        <f t="shared" si="11"/>
        <v>0</v>
      </c>
      <c r="CD17" s="1">
        <f t="shared" si="12"/>
        <v>0</v>
      </c>
      <c r="CE17" s="1">
        <f t="shared" si="13"/>
        <v>0</v>
      </c>
      <c r="CF17" s="1">
        <f t="shared" si="14"/>
        <v>3</v>
      </c>
      <c r="CG17" s="1">
        <f t="shared" si="15"/>
        <v>1</v>
      </c>
      <c r="CH17" s="1">
        <f>MIN(35,AD17+IF(L17="J_HARD",6,0)+IF(L17="J_COUNTER",Boss参数!$B$30,0))</f>
        <v>10</v>
      </c>
      <c r="CI17" s="1">
        <f>MIN(Boss参数!$I$4,AE17+IF(L17="J_HARD",6,0)+IF(L17="J_ULT",AD17,0)+IF(L17="J_COUNTER",Boss参数!$B$30,0))</f>
        <v>6</v>
      </c>
      <c r="CJ17" s="10">
        <f>IF(L17="J_ULT",AD17*Boss参数!$B$41,IF(B17&lt;=AG17,AF17,0))</f>
        <v>0</v>
      </c>
      <c r="CK17" s="1">
        <f t="shared" si="16"/>
        <v>0</v>
      </c>
      <c r="CL17" s="1">
        <f t="shared" si="17"/>
        <v>3</v>
      </c>
      <c r="CM17" s="1">
        <f t="shared" si="18"/>
        <v>4</v>
      </c>
      <c r="CN17" s="1">
        <f t="shared" si="19"/>
        <v>5</v>
      </c>
      <c r="CO17" s="1">
        <f t="shared" si="20"/>
        <v>4</v>
      </c>
      <c r="CP17" s="1">
        <f t="shared" si="21"/>
        <v>3</v>
      </c>
      <c r="CQ17" s="1">
        <f t="shared" si="22"/>
        <v>5</v>
      </c>
      <c r="CR17" s="1">
        <f t="shared" si="23"/>
        <v>0</v>
      </c>
      <c r="CS17" s="1">
        <f t="shared" si="24"/>
        <v>0</v>
      </c>
      <c r="CT17" s="10">
        <f t="shared" si="25"/>
        <v>0</v>
      </c>
      <c r="CU17" s="1">
        <f t="shared" si="26"/>
        <v>0</v>
      </c>
      <c r="CV17" s="10">
        <f t="shared" si="27"/>
        <v>0</v>
      </c>
      <c r="CW17" s="1">
        <f t="shared" si="28"/>
        <v>0</v>
      </c>
      <c r="CX17" s="10">
        <f t="shared" si="29"/>
        <v>0</v>
      </c>
      <c r="CY17" s="1">
        <f t="shared" si="30"/>
        <v>0</v>
      </c>
      <c r="CZ17" s="1"/>
      <c r="DA17" s="1"/>
      <c r="DB17" s="1"/>
      <c r="DC17" s="1"/>
      <c r="DD17" s="1"/>
      <c r="DE17" s="1"/>
      <c r="DF17" s="1"/>
      <c r="DG17" s="1">
        <f>IF(D17="","",行动模拟!B23)</f>
        <v>2</v>
      </c>
      <c r="DH17" s="1" t="str">
        <f>IF(L17="END_TURN","回合结束",IF(D17="","",IF(INDEX(回合状态!$C$7:$C$17,MATCH(DG17,回合状态!$A$7:$A$17,0))="洞穿","洞穿",IF(OR(L17="J_COUNTER",L17="BOSS_ACTION",L17="BOSS_CONSERVATIVE"),"敌方",IF(AND(L17="37_FOLLOW",DG17=DG16,DH16="敌方"),"敌方",IF(INDEX(回合状态!$C$7:$C$17,MATCH(DG17,回合状态!$A$7:$A$17,0))="普通","出牌",INDEX(回合状态!$C$7:$C$17,MATCH(DG17,回合状态!$A$7:$A$17,0))))))))</f>
        <v>敌方</v>
      </c>
      <c r="DI17" s="1">
        <f t="shared" si="31"/>
        <v>1</v>
      </c>
      <c r="DJ17" s="1">
        <f>IF(D17="",0,MIN(Boss参数!$B$25,IF(OR(AND(DH17="敌方",OR(DH16&lt;&gt;"敌方",DG17&lt;&gt;DG16)),AND(L17="END_TURN",DH17&lt;&gt;"洞穿"),AND(DG17&lt;&gt;DG16,DH16&lt;&gt;"洞穿",L16&lt;&gt;"END_TURN",COUNTIFS($DG$3:DG16,DG16,$DH$3:DH16,"敌方")=0)),EW17,DN16)))</f>
        <v>1</v>
      </c>
      <c r="DK17" s="1">
        <f>IF(D17="",0,MIN(Boss参数!$B$25,IF(OR(AND(DH17="敌方",OR(DH16&lt;&gt;"敌方",DG17&lt;&gt;DG16)),AND(L17="END_TURN",DH17&lt;&gt;"洞穿"),AND(DG17&lt;&gt;DG16,DH16&lt;&gt;"洞穿",L16&lt;&gt;"END_TURN",COUNTIFS($DG$3:DG16,DG16,$DH$3:DH16,"敌方")=0)),EW17,DO16)))</f>
        <v>1</v>
      </c>
      <c r="DL17" s="1">
        <f>IF(D17="",0,MIN(Boss参数!$B$25,IF(OR(AND(DH17="敌方",OR(DH16&lt;&gt;"敌方",DG17&lt;&gt;DG16)),AND(L17="END_TURN",DH17&lt;&gt;"洞穿"),AND(DG17&lt;&gt;DG16,DH16&lt;&gt;"洞穿",L16&lt;&gt;"END_TURN",COUNTIFS($DG$3:DG16,DG16,$DH$3:DH16,"敌方")=0)),EW17,DP16)))</f>
        <v>1</v>
      </c>
      <c r="DM17" s="1">
        <f>IF(D17="",0,MIN(Boss参数!$B$25,IF(OR(AND(DH17="敌方",OR(DH16&lt;&gt;"敌方",DG17&lt;&gt;DG16)),AND(L17="END_TURN",DH17&lt;&gt;"洞穿"),AND(DG17&lt;&gt;DG16,DH16&lt;&gt;"洞穿",L16&lt;&gt;"END_TURN",COUNTIFS($DG$3:DG16,DG16,$DH$3:DH16,"敌方")=0)),EW17,DQ16)))</f>
        <v>1</v>
      </c>
      <c r="DN17" s="1">
        <f>MAX(0,MIN(Boss参数!$B$25,DJ17+DR17)-IF(E17="红弩箭",2*DR17,0))</f>
        <v>2</v>
      </c>
      <c r="DO17" s="1">
        <f>MAX(0,MIN(Boss参数!$B$25,DK17+DR17)-IF(E17="37",2*DR17,0))</f>
        <v>2</v>
      </c>
      <c r="DP17" s="1">
        <f>MAX(0,MIN(Boss参数!$B$25,DL17+DR17)-IF(E17="小瑞安侬",2*DR17,0))</f>
        <v>2</v>
      </c>
      <c r="DQ17" s="1">
        <f>MAX(0,MIN(Boss参数!$B$25,DM17+DR17)-IF(E17="J",2*DR17,0))</f>
        <v>0</v>
      </c>
      <c r="DR17" s="1">
        <f t="shared" si="32"/>
        <v>1</v>
      </c>
      <c r="DS17" s="1">
        <f t="shared" si="33"/>
        <v>0</v>
      </c>
      <c r="DT17" s="1">
        <f>IF(OR(E17="",E17="系统"),0,IF(OR(AND(DS17=1,Boss参数!$B$32=1),L17="RHI_BERRY",OR(AND(INDEX(角色面板!$B$18:$B$21,MATCH(E17,角色面板!$A$18:$A$21,0))="星",Boss参数!$B$4="岩"),AND(INDEX(角色面板!$B$18:$B$21,MATCH(E17,角色面板!$A$18:$A$21,0))="岩",Boss参数!$B$4="兽"),AND(INDEX(角色面板!$B$18:$B$21,MATCH(E17,角色面板!$A$18:$A$21,0))="兽",Boss参数!$B$4="木"),AND(INDEX(角色面板!$B$18:$B$21,MATCH(E17,角色面板!$A$18:$A$21,0))="木",Boss参数!$B$4="星"),AND(INDEX(角色面板!$B$18:$B$21,MATCH(E17,角色面板!$A$18:$A$21,0))="智",Boss参数!$B$4="灵"),AND(INDEX(角色面板!$B$18:$B$21,MATCH(E17,角色面板!$A$18:$A$21,0))="灵",Boss参数!$B$4="智"))),1,0))</f>
        <v>0</v>
      </c>
      <c r="DU17" s="1">
        <f>IF(D17="",0,INDEX(回合状态!$E$7:$E$17,MATCH(DG17,回合状态!$A$7:$A$17,0))+IF(AND(DH17="敌方",OR(INDEX(回合状态!$C$7:$C$17,MATCH(DG17,回合状态!$A$7:$A$17,0))="普通",INDEX(回合状态!$C$7:$C$17,MATCH(DG17,回合状态!$A$7:$A$17,0))="额外")),0.05,0))</f>
        <v>0.1</v>
      </c>
      <c r="DV17" s="1">
        <f>MAX(Boss参数!$B$28,1+IF(AND(E17="37",AC17&gt;0,BH17&gt;0),Boss参数!$B$42,0)-DI17*Boss参数!$B$24+EA17-ER17)</f>
        <v>0.85</v>
      </c>
      <c r="DW17" s="1">
        <f>MIN(IF(Boss参数!$B$77=1,Boss参数!$B$63*Boss参数!$B$62,Boss参数!$B$61*Boss参数!$B$62),ROUNDDOWN(BQ17*(1-ES17),0))</f>
        <v>2082</v>
      </c>
      <c r="DX17" s="1">
        <f>MIN(IF(Boss参数!$B$77=1,Boss参数!$B$63*Boss参数!$B$62,Boss参数!$B$61*Boss参数!$B$62),ROUNDDOWN(BR17*(1-ES17),0))</f>
        <v>2290</v>
      </c>
      <c r="DY17" s="1">
        <f t="shared" si="65"/>
        <v>238</v>
      </c>
      <c r="DZ17" s="1">
        <f>IF(L17="RHI_ULT",MIN(Boss参数!$B$48,ROUNDDOWN(AY17*Boss参数!$B$47,0)),DY17)</f>
        <v>238</v>
      </c>
      <c r="EA17" s="11">
        <v>0</v>
      </c>
      <c r="EB17" s="1">
        <f t="shared" si="34"/>
        <v>1</v>
      </c>
      <c r="EC17" s="1">
        <f>SUMIFS($EB$3:EB17,$B$3:B17,"&gt;="&amp;MAX(1,B17-2),$B$3:B17,"&lt;="&amp;B17)*Boss参数!$B$51</f>
        <v>6</v>
      </c>
      <c r="ED17" s="1">
        <f>IF(D17="",EG16,IF(AND(DG17&lt;&gt;DG16,DH17&lt;&gt;"洞穿"),MIN(Boss参数!$B$55,EG16+2),EG16))</f>
        <v>2</v>
      </c>
      <c r="EE17" s="1">
        <f t="shared" si="35"/>
        <v>0</v>
      </c>
      <c r="EF17" s="1">
        <f>IF(AND(OR(L17="END_TURN",AND(DH17="敌方",OR(DH16&lt;&gt;"敌方",DG17&lt;&gt;DG16))),SUMIFS($EF$3:EF16,$DG$3:DG16,DG17)=0),MIN(1,MAX(0,ED17-EE17)),0)</f>
        <v>1</v>
      </c>
      <c r="EG17" s="1">
        <f t="shared" si="36"/>
        <v>1</v>
      </c>
      <c r="EH17" s="11">
        <f>Boss参数!$B$53-IF(Y17=1,Boss参数!$B$54,0)</f>
        <v>0</v>
      </c>
      <c r="EI17" s="11">
        <f t="shared" si="37"/>
        <v>0</v>
      </c>
      <c r="EJ17" s="11">
        <f t="shared" si="38"/>
        <v>0</v>
      </c>
      <c r="EK17" s="11">
        <f t="shared" si="39"/>
        <v>1</v>
      </c>
      <c r="EL17" s="1">
        <f t="shared" si="66"/>
        <v>0</v>
      </c>
      <c r="EM17" s="1">
        <f>IF(AND(DG17&lt;&gt;DG16,DH17="洞穿"),0,IF(L17="ENTER_INSIGHT",Boss参数!$B$57,EO16))</f>
        <v>0</v>
      </c>
      <c r="EN17" s="11">
        <f>IF(AND(Y17=1,H17="洞知",EM17&gt;0),Boss参数!$B$56,0)</f>
        <v>0</v>
      </c>
      <c r="EO17" s="1">
        <f t="shared" si="40"/>
        <v>0</v>
      </c>
      <c r="EP17" s="12">
        <f t="shared" si="67"/>
        <v>116307</v>
      </c>
      <c r="EQ17" s="12">
        <f>ROUNDDOWN(EP17/Boss参数!$B$62,0)</f>
        <v>1</v>
      </c>
      <c r="ER17" s="11">
        <f>IF(EQ17&gt;=Boss参数!$B$66,Boss参数!$B$69,IF(EQ17&gt;=Boss参数!$B$65,Boss参数!$B$68,IF(EQ17&gt;=Boss参数!$B$64,Boss参数!$B$67,0)))</f>
        <v>0</v>
      </c>
      <c r="ES17" s="11">
        <f>MIN(1,IF(EQ17&gt;=Boss参数!$B$66,Boss参数!$B$72+ROUNDDOWN((EQ17-Boss参数!$B$66)/Boss参数!$B$73,0)*Boss参数!$B$74,IF(EQ17&gt;=Boss参数!$B$65,Boss参数!$B$71,IF(EQ17&gt;=Boss参数!$B$64,Boss参数!$B$70,0))))</f>
        <v>0</v>
      </c>
      <c r="ET17" s="12">
        <f>MIN(Boss参数!$B$61*Boss参数!$B$62,EP17+IF(AND(Boss参数!$B$60=1,ISNUMBER(验证表!H23)),验证表!H23,EU17))</f>
        <v>118597</v>
      </c>
      <c r="EU17" s="12">
        <f>IF(D17="",0,IF(验证表!G23="是",BV17,IF(验证表!G23="否",BU17,BW17)))</f>
        <v>2290</v>
      </c>
      <c r="EV17" s="12">
        <f>IF(EQ17&gt;=Boss参数!$B$66,2,IF(EQ17&gt;=Boss参数!$B$65,1,0))</f>
        <v>0</v>
      </c>
      <c r="EW17" s="12">
        <f t="shared" si="41"/>
        <v>1</v>
      </c>
      <c r="EX17" s="1">
        <f>IF(D17="",0,INDEX(回合状态!$D$7:$D$17,MATCH(DG17,回合状态!$A$7:$A$17,0)))</f>
        <v>2</v>
      </c>
      <c r="EY17" s="1">
        <f>IF(OR(L17="RHI_ATTACK",L17="RHI_BUFF"),1,IF(L17="RHI_ULT",Boss参数!$B$52,0))</f>
        <v>0</v>
      </c>
      <c r="EZ17" s="1">
        <f>MIN(6,SUMIFS($EY$3:EY17,$EX$3:EX17,"&gt;="&amp;MAX(1,EX17-Boss参数!$B$87+1),$EX$3:EX17,"&lt;="&amp;EX17))</f>
        <v>2</v>
      </c>
      <c r="FA17" s="1">
        <f t="shared" si="68"/>
        <v>8</v>
      </c>
      <c r="FB17" s="17">
        <f>IF(L17="BOSS_CONSERVATIVE",B17+Boss参数!$B$91,FB16)</f>
        <v>0</v>
      </c>
      <c r="FC17" s="17">
        <f t="shared" si="69"/>
        <v>0</v>
      </c>
      <c r="FD17" s="17">
        <f>IF(D17="",FD16,FD16+IF(AND(DG17&lt;&gt;DG16,INDEX(回合状态!$C$7:$C$17,MATCH(DG17,回合状态!$A$7:$A$17,0))&lt;&gt;"洞穿"),1,0))</f>
        <v>2</v>
      </c>
      <c r="FE17" s="17">
        <f>IF(D17="",0,IF(AND(OR(L17="END_TURN",DH17="敌方"),INDEX(回合状态!$C$7:$C$17,MATCH(DG17,回合状态!$A$7:$A$17,0))&lt;&gt;"洞穿",SUMIFS($FE$3:FE16,$DG$3:DG16,DG17)=0),1,0))</f>
        <v>1</v>
      </c>
    </row>
    <row r="18" spans="1:161" ht="84.95" customHeight="1">
      <c r="A18" s="1">
        <f>行动模拟!A24</f>
        <v>16</v>
      </c>
      <c r="B18" s="1">
        <f>IF(D18="",0,INDEX(回合状态!$B$7:$B$17,MATCH(DG18,回合状态!$A$7:$A$17,0)))</f>
        <v>2</v>
      </c>
      <c r="C18" s="1">
        <f>行动模拟!C24</f>
        <v>7</v>
      </c>
      <c r="D18" s="1" t="str">
        <f>IF(行动模拟!D24="","",行动模拟!D24)</f>
        <v>J｜高温回火</v>
      </c>
      <c r="E18" s="1" t="str">
        <f>IF($D18="","",IFERROR(INDEX(技能数据库!$B$4:$B$38,MATCH($D18,技能数据库!$A$4:$A$38,0)),""))</f>
        <v>J</v>
      </c>
      <c r="F18" s="1" t="str">
        <f>IF($D18="","",IFERROR(INDEX(技能数据库!$C$4:$C$38,MATCH($D18,技能数据库!$A$4:$A$38,0)),""))</f>
        <v>高温回火</v>
      </c>
      <c r="G18" s="1">
        <f>IF($D18="","",IFERROR(INDEX(技能数据库!$D$4:$D$38,MATCH($D18,技能数据库!$A$4:$A$38,0)),""))</f>
        <v>0</v>
      </c>
      <c r="H18" s="1" t="str">
        <f>IF($D18="","",IFERROR(INDEX(技能数据库!$E$4:$E$38,MATCH($D18,技能数据库!$A$4:$A$38,0)),""))</f>
        <v>反击</v>
      </c>
      <c r="I18" s="1" t="str">
        <f>IF($D18="","",IFERROR(INDEX(技能数据库!$F$4:$F$38,MATCH($D18,技能数据库!$A$4:$A$38,0)),""))</f>
        <v>现实</v>
      </c>
      <c r="J18" s="1">
        <f>IF($D18="","",IFERROR(INDEX(技能数据库!$G$4:$G$38,MATCH($D18,技能数据库!$A$4:$A$38,0)),""))</f>
        <v>3</v>
      </c>
      <c r="K18" s="1">
        <f>IF($D18="","",IFERROR(INDEX(技能数据库!$H$4:$H$38,MATCH($D18,技能数据库!$A$4:$A$38,0)),""))</f>
        <v>0</v>
      </c>
      <c r="L18" s="1" t="str">
        <f>IF($D18="","",IFERROR(INDEX(技能数据库!$I$4:$I$38,MATCH($D18,技能数据库!$A$4:$A$38,0)),""))</f>
        <v>J_COUNTER</v>
      </c>
      <c r="M18" s="10">
        <v>1</v>
      </c>
      <c r="N18" s="1"/>
      <c r="O18" s="1"/>
      <c r="P18" s="1"/>
      <c r="Q18" s="10">
        <f t="shared" si="0"/>
        <v>0</v>
      </c>
      <c r="R18" s="10">
        <v>0</v>
      </c>
      <c r="S18" s="10">
        <v>0</v>
      </c>
      <c r="T18" s="1">
        <f>行动模拟!I24</f>
        <v>0</v>
      </c>
      <c r="U18" s="1">
        <f>IF(FD18&lt;&gt;FD17,IF(BY17=1,IF(MIN(10,CA17+IF(AND(DG18&lt;&gt;DG17,DH17&lt;&gt;"洞穿",SUMIFS($FE$3:FE17,$DG$3:DG17,DG17)=0,BY17=1),3,0))&gt;=10,2,1),IF(BY17=2,IF(BZ17&lt;=1,0,2),0)),BY17)</f>
        <v>2</v>
      </c>
      <c r="V18" s="1">
        <f>IF(FD18&lt;&gt;FD17,IF(BY17=1,IF(MIN(10,CA17+IF(AND(DG18&lt;&gt;DG17,DH17&lt;&gt;"洞穿",SUMIFS($FE$3:FE17,$DG$3:DG17,DG17)=0,BY17=1),3,0))&gt;=10,2,0),IF(BY17=2,MAX(0,BZ17-1),0)),BZ17)</f>
        <v>2</v>
      </c>
      <c r="W18" s="1">
        <f>IF(AND(FD18&lt;&gt;FD17,BY17=2,BZ17&lt;=1),0,MIN(10,CA17+IF(AND(DG18&lt;&gt;DG17,DH17&lt;&gt;"洞穿",SUMIFS($FE$3:FE17,$DG$3:DG17,DG17)=0,BY17=1),3,0)))</f>
        <v>10</v>
      </c>
      <c r="X18" s="1">
        <f t="shared" si="42"/>
        <v>6</v>
      </c>
      <c r="Y18" s="1">
        <f t="shared" si="43"/>
        <v>0</v>
      </c>
      <c r="Z18" s="1">
        <f t="shared" si="44"/>
        <v>0</v>
      </c>
      <c r="AA18" s="1">
        <f t="shared" si="45"/>
        <v>0</v>
      </c>
      <c r="AB18" s="1">
        <f t="shared" si="46"/>
        <v>3</v>
      </c>
      <c r="AC18" s="1">
        <f t="shared" si="47"/>
        <v>1</v>
      </c>
      <c r="AD18" s="1">
        <f t="shared" si="48"/>
        <v>10</v>
      </c>
      <c r="AE18" s="1">
        <f>IF(D18="",0,IF(DG18&lt;&gt;DG17,IFERROR(INDEX(回合状态!$F$7:$F$17,MATCH(DG18,回合状态!$A$7:$A$17,0)),0),CI17))</f>
        <v>6</v>
      </c>
      <c r="AF18" s="10">
        <f t="shared" si="49"/>
        <v>0</v>
      </c>
      <c r="AG18" s="1">
        <f t="shared" si="50"/>
        <v>0</v>
      </c>
      <c r="AH18" s="1">
        <f t="shared" si="51"/>
        <v>3</v>
      </c>
      <c r="AI18" s="1">
        <f t="shared" si="52"/>
        <v>4</v>
      </c>
      <c r="AJ18" s="1">
        <f t="shared" si="53"/>
        <v>5</v>
      </c>
      <c r="AK18" s="1">
        <f t="shared" si="54"/>
        <v>4</v>
      </c>
      <c r="AL18" s="1">
        <f t="shared" si="55"/>
        <v>3</v>
      </c>
      <c r="AM18" s="1">
        <f t="shared" si="56"/>
        <v>5</v>
      </c>
      <c r="AN18" s="1">
        <f t="shared" si="57"/>
        <v>0</v>
      </c>
      <c r="AO18" s="1">
        <f t="shared" si="58"/>
        <v>0</v>
      </c>
      <c r="AP18" s="10">
        <f t="shared" si="59"/>
        <v>0</v>
      </c>
      <c r="AQ18" s="1">
        <f t="shared" si="60"/>
        <v>0</v>
      </c>
      <c r="AR18" s="10">
        <f t="shared" si="61"/>
        <v>0</v>
      </c>
      <c r="AS18" s="1">
        <f t="shared" si="62"/>
        <v>0</v>
      </c>
      <c r="AT18" s="10">
        <f t="shared" si="63"/>
        <v>0</v>
      </c>
      <c r="AU18" s="1">
        <f t="shared" si="64"/>
        <v>0</v>
      </c>
      <c r="AV18" s="1">
        <f>MIN(5,SUMIFS($EL$3:EL18,$B$3:B18,"&gt;="&amp;MAX(1,B18-2),$B$3:B18,"&lt;="&amp;B18)+EC18)</f>
        <v>5</v>
      </c>
      <c r="AW18" s="1">
        <f>MIN(6,SUMIFS($EY$3:EY17,$EX$3:EX17,"&gt;="&amp;MAX(1,EX18-Boss参数!$B$87+1),$EX$3:EX17,"&lt;="&amp;EX18))</f>
        <v>2</v>
      </c>
      <c r="AX18" s="1">
        <f>MIN(4,COUNTIFS($B$3:$B$17,"&gt;="&amp;MAX(1,$B18-2),$B$3:$B$17,"&lt;="&amp;$B18,$L$3:$L$17,"37_FOLLOW"))</f>
        <v>2</v>
      </c>
      <c r="AY18" s="9">
        <f>IF($E18="","",IF($E18="系统",0,ROUNDDOWN(INDEX(角色面板!$C$4:$C$7,MATCH($E18,角色面板!$A$4:$A$7,0))*(1+INDEX(角色面板!$C$11:$C$14,MATCH($E18,角色面板!$A$11:$A$14,0))+IF($E18="小瑞安侬",MAX(IF($B18&lt;=$AQ18,$AP18,0),IF(AND($L18="RHI_ATTACK",$EE18&gt;0),0.11+0.01*$G18,0)),0)+IF($E18="J",$AD18*Boss参数!$B$18,0))+IF(FD18&lt;=$AN18,MIN(Boss参数!$B$21,ROUNDDOWN(角色面板!$C$19*Boss参数!$B$20,0)),0)+IF(AND($B18&lt;=$AK18,$E18&lt;&gt;"小瑞安侬"),$DY18,0),0)))</f>
        <v>2334</v>
      </c>
      <c r="AZ18" s="10">
        <f>IF($E18="","",MAX(0,MIN(1,IFERROR(INDEX(角色面板!$G$18:$G$21,MATCH($E18,角色面板!$A$18:$A$21,0)),0)-FC18*Boss参数!$B$89-Boss参数!$E$4)))</f>
        <v>0.66700000000000004</v>
      </c>
      <c r="BA18" s="10">
        <f>IF(E18="","",(IF($E18="","",IF($E18="红弩箭",Boss参数!$B$80,IF($E18="J",Boss参数!$B$81,IFERROR(INDEX(角色面板!$H$18:$H$21,MATCH($E18,角色面板!$A$18:$A$21,0)),0)))+IF($B18&lt;=$AI18,Boss参数!$B$13,0)+MIN(30,$AM18)*Boss参数!$B$17+IF(AND($L18="LILYA_ULT",$X18&gt;=6),1,0)+IF(AND($Y18=1,$L18="LILYA_INSIGHT"),IF(MOD($AA18+1,3)=0,Boss参数!$B$83,Boss参数!$B$82),IF(AND($Y18=1,$L18="LILYA_FINISH"),Boss参数!$B$84,0))))-FC18*Boss参数!$B$90)</f>
        <v>1.897</v>
      </c>
      <c r="BB18" s="10">
        <f>IF($E18="","",IFERROR(INDEX(角色面板!$M$18:$M$21,MATCH($E18,角色面板!$A$18:$A$21,0)),0)+$AW18*Boss参数!$B$12+IF($B18&lt;=$AG18,$AF18,0)+$EI18+IF($L18="LILYA_DIVE",IF($U18=1,IF($G18=1,0.3,IF($G18=2,0.4,0.5)),IF($U18=2,IF($G18=1,0.6,IF($G18=2,0.8,1)),0)),0)+$R18+IF(AND($E18="J",OR($L18="J_COUNTER",$L18="J_HARD")),Boss参数!$B$79,0)+IF(AND(OR(L18="J_COUNTER",L18="J_HARD"),FA18&gt;=Boss参数!$B$59),FA18*Boss参数!$B$40,0))</f>
        <v>0.22</v>
      </c>
      <c r="BC18" s="10">
        <f>IF($E18="","",IFERROR(INDEX(角色面板!$K$18:$K$21,MATCH($E18,角色面板!$A$18:$A$21,0)),0)+IF($B18&lt;=$AH18,Boss参数!$B$46,0)+IF($E18="红弩箭",IF($U18=1,0.6,IF($U18=2,1.2,0))+$W18*0.06,0))-DI18*Boss参数!$B$23</f>
        <v>-0.10000000000000003</v>
      </c>
      <c r="BD18" s="10">
        <f>IF($E18="","",IFERROR(INDEX(角色面板!$L$18:$L$21,MATCH($E18,角色面板!$A$18:$A$21,0)),0)+IF($B18&lt;=$AH18,Boss参数!$B$46,0)+IF($E18="J",$AL18*Boss参数!$B$16,0)+IF($E18="红弩箭",$X18*0.025,0)+IF(AND($L18="LILYA_ULT",$X18&gt;=6),1,0))-DI18*Boss参数!$B$23</f>
        <v>0.42</v>
      </c>
      <c r="BE18" s="10">
        <f>IF($E18="","",IF($H18="洞知",IF($E18="红弩箭",$AO18*Boss参数!$B$15,0)+$AX18*Boss参数!$B$14,0))</f>
        <v>0</v>
      </c>
      <c r="BF18" s="10">
        <f t="shared" si="1"/>
        <v>0</v>
      </c>
      <c r="BG18" s="10">
        <f>IF($D18="",0,IF(AND($L18&lt;&gt;"LILYA_DIVE",$L18&lt;&gt;"LILYA_ULT",$L18&lt;&gt;"LILYA_INSIGHT",$L18&lt;&gt;"LILYA_FINISH",$L18&lt;&gt;"37_FOLLOW",$L18&lt;&gt;"RHI_ATTACK",$L18&lt;&gt;"RHI_BERRY",$L18&lt;&gt;"J_COUNTER",$L18&lt;&gt;"J_ULT"),$J18,0)+IF($L18="LILYA_DIVE",$J18+IF($U18=1,IF($G18=1,6,IF($G18=2,12,18)),IF($U18=2,IF($G18=1,12,IF($G18=2,24,36)),0)),0)+IF($L18="LILYA_ULT",$J18+IF($X18&gt;=6,18,0),0)+IF($L18="LILYA_INSIGHT",IF($Y18=1,IF(MOD($AA18+1,3)=0,32,15),0),0)+IF($L18="LILYA_FINISH",IF($Y18=1,50+2.5*$Z18,0),0)+IF($L18="37_FOLLOW",$J18,0)+IF($L18="RHI_ATTACK",$J18*IF($B18&lt;=$AJ18,2,1),0)+IF($L18="RHI_BERRY",15+1.5*$AV18,0)+IF($L18="J_COUNTER",$J18+$AD18*Boss参数!$B$39,0)+IF($L18="J_ULT",$J18+Boss参数!$B$45*MAX(0,$AE18+$AD18-Boss参数!$I$4),0)+$S18)</f>
        <v>3.5</v>
      </c>
      <c r="BH18" s="10">
        <f t="shared" si="2"/>
        <v>0</v>
      </c>
      <c r="BI18" s="10">
        <f>IF(E18="","",IF(DT18=1,1+Boss参数!$B$8+AV18*Boss参数!$B$19,1))</f>
        <v>1</v>
      </c>
      <c r="BJ18" s="9">
        <f>IF($I18="现实",Boss参数!$C$4,IF($I18="精神",Boss参数!$D$4,0))</f>
        <v>1200</v>
      </c>
      <c r="BK18" s="9">
        <f>IF($E18="","",MAX($AY18*Boss参数!$B$9,$AY18-$BJ18*(1-$BF18)))</f>
        <v>1134</v>
      </c>
      <c r="BL18" s="10">
        <f>MAX(0,Boss参数!$F$4+IF(DT18=0,Boss参数!$B$27,0)-EJ18)</f>
        <v>1.4</v>
      </c>
      <c r="BM18" s="10">
        <f>Boss参数!$G$4+DU18-IF(Y18=1,Boss参数!$B$11,0)</f>
        <v>0.5</v>
      </c>
      <c r="BN18" s="10">
        <f>IF($E18="","",MAX(Boss参数!$B$10,1+IFERROR(INDEX(角色面板!$I$18:$I$21,MATCH($E18,角色面板!$A$18:$A$21,0)),0)+$BB18+Boss参数!$H$4-$BM18))</f>
        <v>0.74499999999999988</v>
      </c>
      <c r="BO18" s="10">
        <f>IF(E18="","",IF(OR(L18="J_COUNTER",L18="J_HARD"),MAX(0,1+INDEX(角色面板!$K$18:$K$21,MATCH(E18,角色面板!$A$18:$A$21,0))-DI18*Boss参数!$B$23+IF(OR(Boss参数!$B$43=1,L18="J_HARD"),IF(B18&lt;=AH18,Boss参数!$B$46,0),0)),MAX(0,IF(OR(H18="术法",L18="RHI_BERRY",AND(L18="37_FOLLOW",Boss参数!$B$31=1)),1+BC18,IF(H18="仪式",1+BD18,IF(H18="洞知",EK18,1))))))</f>
        <v>0.89999999999999991</v>
      </c>
      <c r="BP18" s="10">
        <f t="shared" si="3"/>
        <v>1.1000000000000001</v>
      </c>
      <c r="BQ18" s="1">
        <f t="shared" si="4"/>
        <v>2661.2144999999996</v>
      </c>
      <c r="BR18" s="1">
        <f t="shared" si="5"/>
        <v>2927.3359499999997</v>
      </c>
      <c r="BS18" s="1">
        <f>IF(BH18=0,0,ROUNDDOWN(AY18*BH18,0)*DV18*IF(Boss参数!$B$29=1,BN18,1)*IF(Boss参数!$B$33=1,BO18,1)*IF(Boss参数!$B$76=1,1-ES18,1))</f>
        <v>0</v>
      </c>
      <c r="BT18" s="1">
        <f t="shared" si="6"/>
        <v>0</v>
      </c>
      <c r="BU18" s="9">
        <f>IF(D18="",0,MIN(IF(Boss参数!$B$77=1,Boss参数!$B$63*Boss参数!$B$62,Boss参数!$B$61*Boss参数!$B$62),DW18+ROUNDDOWN(BS18,0)+ROUNDDOWN(DW18*Q18,0)))</f>
        <v>2661</v>
      </c>
      <c r="BV18" s="9">
        <f>IF(D18="",0,MIN(IF(Boss参数!$B$77=1,Boss参数!$B$63*Boss参数!$B$62,Boss参数!$B$61*Boss参数!$B$62),DX18+ROUNDDOWN(BT18,0)+ROUNDDOWN(DX18*Q18,0)))</f>
        <v>2927</v>
      </c>
      <c r="BW18" s="9">
        <f t="shared" si="7"/>
        <v>2838</v>
      </c>
      <c r="BX18" s="1" t="str">
        <f t="shared" si="8"/>
        <v/>
      </c>
      <c r="BY18" s="1">
        <f t="shared" si="9"/>
        <v>2</v>
      </c>
      <c r="BZ18" s="1">
        <f t="shared" si="10"/>
        <v>2</v>
      </c>
      <c r="CA18" s="1">
        <f>MIN(10,W18+IF(AND(L18="LILYA_COBRA",COUNTIF($L$3:L18,"LILYA_COBRA")=1),5,0)+IF(AND(L18="LILYA_DIVE",U18=1,COUNTIFS($DG$3:DG18,DG18,$L$3:L18,"LILYA_DIVE")=1),2,0)+IF(AND(FE18=1,U18=1),3,0))</f>
        <v>10</v>
      </c>
      <c r="CB18" s="1">
        <f>MIN(20,MAX(0,X18+IF(L18="LILYA_COBRA",IF(COUNTIF($L$3:L18,"LILYA_COBRA")=1,6,IF(U18=1,MAX(1,G18),IF(U18=2,2*MAX(1,G18),0))),0)+IF(AND(Y18=1,E18="红弩箭",L18&lt;&gt;"ENTER_INSIGHT"),1,0)-IF(AND(L18="LILYA_ULT",X18&gt;=6),6,0)))</f>
        <v>6</v>
      </c>
      <c r="CC18" s="1">
        <f t="shared" si="11"/>
        <v>0</v>
      </c>
      <c r="CD18" s="1">
        <f t="shared" si="12"/>
        <v>0</v>
      </c>
      <c r="CE18" s="1">
        <f t="shared" si="13"/>
        <v>0</v>
      </c>
      <c r="CF18" s="1">
        <f t="shared" si="14"/>
        <v>4</v>
      </c>
      <c r="CG18" s="1">
        <f t="shared" si="15"/>
        <v>1</v>
      </c>
      <c r="CH18" s="1">
        <f>MIN(35,AD18+IF(L18="J_HARD",6,0)+IF(L18="J_COUNTER",Boss参数!$B$30,0))</f>
        <v>12</v>
      </c>
      <c r="CI18" s="1">
        <f>MIN(Boss参数!$I$4,AE18+IF(L18="J_HARD",6,0)+IF(L18="J_ULT",AD18,0)+IF(L18="J_COUNTER",Boss参数!$B$30,0))</f>
        <v>8</v>
      </c>
      <c r="CJ18" s="10">
        <f>IF(L18="J_ULT",AD18*Boss参数!$B$41,IF(B18&lt;=AG18,AF18,0))</f>
        <v>0</v>
      </c>
      <c r="CK18" s="1">
        <f t="shared" si="16"/>
        <v>0</v>
      </c>
      <c r="CL18" s="1">
        <f t="shared" si="17"/>
        <v>3</v>
      </c>
      <c r="CM18" s="1">
        <f t="shared" si="18"/>
        <v>4</v>
      </c>
      <c r="CN18" s="1">
        <f t="shared" si="19"/>
        <v>5</v>
      </c>
      <c r="CO18" s="1">
        <f t="shared" si="20"/>
        <v>4</v>
      </c>
      <c r="CP18" s="1">
        <f t="shared" si="21"/>
        <v>3</v>
      </c>
      <c r="CQ18" s="1">
        <f t="shared" si="22"/>
        <v>5</v>
      </c>
      <c r="CR18" s="1">
        <f t="shared" si="23"/>
        <v>0</v>
      </c>
      <c r="CS18" s="1">
        <f t="shared" si="24"/>
        <v>0</v>
      </c>
      <c r="CT18" s="10">
        <f t="shared" si="25"/>
        <v>0</v>
      </c>
      <c r="CU18" s="1">
        <f t="shared" si="26"/>
        <v>0</v>
      </c>
      <c r="CV18" s="10">
        <f t="shared" si="27"/>
        <v>0</v>
      </c>
      <c r="CW18" s="1">
        <f t="shared" si="28"/>
        <v>0</v>
      </c>
      <c r="CX18" s="10">
        <f t="shared" si="29"/>
        <v>0</v>
      </c>
      <c r="CY18" s="1">
        <f t="shared" si="30"/>
        <v>0</v>
      </c>
      <c r="CZ18" s="1"/>
      <c r="DA18" s="1"/>
      <c r="DB18" s="1"/>
      <c r="DC18" s="1"/>
      <c r="DD18" s="1"/>
      <c r="DE18" s="1"/>
      <c r="DF18" s="1"/>
      <c r="DG18" s="1">
        <f>IF(D18="","",行动模拟!B24)</f>
        <v>2</v>
      </c>
      <c r="DH18" s="1" t="str">
        <f>IF(L18="END_TURN","回合结束",IF(D18="","",IF(INDEX(回合状态!$C$7:$C$17,MATCH(DG18,回合状态!$A$7:$A$17,0))="洞穿","洞穿",IF(OR(L18="J_COUNTER",L18="BOSS_ACTION",L18="BOSS_CONSERVATIVE"),"敌方",IF(AND(L18="37_FOLLOW",DG18=DG17,DH17="敌方"),"敌方",IF(INDEX(回合状态!$C$7:$C$17,MATCH(DG18,回合状态!$A$7:$A$17,0))="普通","出牌",INDEX(回合状态!$C$7:$C$17,MATCH(DG18,回合状态!$A$7:$A$17,0))))))))</f>
        <v>敌方</v>
      </c>
      <c r="DI18" s="1">
        <f t="shared" si="31"/>
        <v>0</v>
      </c>
      <c r="DJ18" s="1">
        <f>IF(D18="",0,MIN(Boss参数!$B$25,IF(OR(AND(DH18="敌方",OR(DH17&lt;&gt;"敌方",DG18&lt;&gt;DG17)),AND(L18="END_TURN",DH18&lt;&gt;"洞穿"),AND(DG18&lt;&gt;DG17,DH17&lt;&gt;"洞穿",L17&lt;&gt;"END_TURN",COUNTIFS($DG$3:DG17,DG17,$DH$3:DH17,"敌方")=0)),EW18,DN17)))</f>
        <v>2</v>
      </c>
      <c r="DK18" s="1">
        <f>IF(D18="",0,MIN(Boss参数!$B$25,IF(OR(AND(DH18="敌方",OR(DH17&lt;&gt;"敌方",DG18&lt;&gt;DG17)),AND(L18="END_TURN",DH18&lt;&gt;"洞穿"),AND(DG18&lt;&gt;DG17,DH17&lt;&gt;"洞穿",L17&lt;&gt;"END_TURN",COUNTIFS($DG$3:DG17,DG17,$DH$3:DH17,"敌方")=0)),EW18,DO17)))</f>
        <v>2</v>
      </c>
      <c r="DL18" s="1">
        <f>IF(D18="",0,MIN(Boss参数!$B$25,IF(OR(AND(DH18="敌方",OR(DH17&lt;&gt;"敌方",DG18&lt;&gt;DG17)),AND(L18="END_TURN",DH18&lt;&gt;"洞穿"),AND(DG18&lt;&gt;DG17,DH17&lt;&gt;"洞穿",L17&lt;&gt;"END_TURN",COUNTIFS($DG$3:DG17,DG17,$DH$3:DH17,"敌方")=0)),EW18,DP17)))</f>
        <v>2</v>
      </c>
      <c r="DM18" s="1">
        <f>IF(D18="",0,MIN(Boss参数!$B$25,IF(OR(AND(DH18="敌方",OR(DH17&lt;&gt;"敌方",DG18&lt;&gt;DG17)),AND(L18="END_TURN",DH18&lt;&gt;"洞穿"),AND(DG18&lt;&gt;DG17,DH17&lt;&gt;"洞穿",L17&lt;&gt;"END_TURN",COUNTIFS($DG$3:DG17,DG17,$DH$3:DH17,"敌方")=0)),EW18,DQ17)))</f>
        <v>0</v>
      </c>
      <c r="DN18" s="1">
        <f>MAX(0,MIN(Boss参数!$B$25,DJ18+DR18)-IF(E18="红弩箭",2*DR18,0))</f>
        <v>2</v>
      </c>
      <c r="DO18" s="1">
        <f>MAX(0,MIN(Boss参数!$B$25,DK18+DR18)-IF(E18="37",2*DR18,0))</f>
        <v>2</v>
      </c>
      <c r="DP18" s="1">
        <f>MAX(0,MIN(Boss参数!$B$25,DL18+DR18)-IF(E18="小瑞安侬",2*DR18,0))</f>
        <v>2</v>
      </c>
      <c r="DQ18" s="1">
        <f>MAX(0,MIN(Boss参数!$B$25,DM18+DR18)-IF(E18="J",2*DR18,0))</f>
        <v>0</v>
      </c>
      <c r="DR18" s="1">
        <f t="shared" si="32"/>
        <v>0</v>
      </c>
      <c r="DS18" s="1">
        <f t="shared" si="33"/>
        <v>0</v>
      </c>
      <c r="DT18" s="1">
        <f>IF(OR(E18="",E18="系统"),0,IF(OR(AND(DS18=1,Boss参数!$B$32=1),L18="RHI_BERRY",OR(AND(INDEX(角色面板!$B$18:$B$21,MATCH(E18,角色面板!$A$18:$A$21,0))="星",Boss参数!$B$4="岩"),AND(INDEX(角色面板!$B$18:$B$21,MATCH(E18,角色面板!$A$18:$A$21,0))="岩",Boss参数!$B$4="兽"),AND(INDEX(角色面板!$B$18:$B$21,MATCH(E18,角色面板!$A$18:$A$21,0))="兽",Boss参数!$B$4="木"),AND(INDEX(角色面板!$B$18:$B$21,MATCH(E18,角色面板!$A$18:$A$21,0))="木",Boss参数!$B$4="星"),AND(INDEX(角色面板!$B$18:$B$21,MATCH(E18,角色面板!$A$18:$A$21,0))="智",Boss参数!$B$4="灵"),AND(INDEX(角色面板!$B$18:$B$21,MATCH(E18,角色面板!$A$18:$A$21,0))="灵",Boss参数!$B$4="智"))),1,0))</f>
        <v>0</v>
      </c>
      <c r="DU18" s="1">
        <f>IF(D18="",0,INDEX(回合状态!$E$7:$E$17,MATCH(DG18,回合状态!$A$7:$A$17,0))+IF(AND(DH18="敌方",OR(INDEX(回合状态!$C$7:$C$17,MATCH(DG18,回合状态!$A$7:$A$17,0))="普通",INDEX(回合状态!$C$7:$C$17,MATCH(DG18,回合状态!$A$7:$A$17,0))="额外")),0.05,0))</f>
        <v>0.1</v>
      </c>
      <c r="DV18" s="1">
        <f>MAX(Boss参数!$B$28,1+IF(AND(E18="37",AC18&gt;0,BH18&gt;0),Boss参数!$B$42,0)-DI18*Boss参数!$B$24+EA18-ER18)</f>
        <v>1</v>
      </c>
      <c r="DW18" s="1">
        <f>MIN(IF(Boss参数!$B$77=1,Boss参数!$B$63*Boss参数!$B$62,Boss参数!$B$61*Boss参数!$B$62),ROUNDDOWN(BQ18*(1-ES18),0))</f>
        <v>2661</v>
      </c>
      <c r="DX18" s="1">
        <f>MIN(IF(Boss参数!$B$77=1,Boss参数!$B$63*Boss参数!$B$62,Boss参数!$B$61*Boss参数!$B$62),ROUNDDOWN(BR18*(1-ES18),0))</f>
        <v>2927</v>
      </c>
      <c r="DY18" s="1">
        <f t="shared" si="65"/>
        <v>238</v>
      </c>
      <c r="DZ18" s="1">
        <f>IF(L18="RHI_ULT",MIN(Boss参数!$B$48,ROUNDDOWN(AY18*Boss参数!$B$47,0)),DY18)</f>
        <v>238</v>
      </c>
      <c r="EA18" s="11">
        <v>0</v>
      </c>
      <c r="EB18" s="1">
        <f t="shared" si="34"/>
        <v>0</v>
      </c>
      <c r="EC18" s="1">
        <f>SUMIFS($EB$3:EB18,$B$3:B18,"&gt;="&amp;MAX(1,B18-2),$B$3:B18,"&lt;="&amp;B18)*Boss参数!$B$51</f>
        <v>6</v>
      </c>
      <c r="ED18" s="1">
        <f>IF(D18="",EG17,IF(AND(DG18&lt;&gt;DG17,DH18&lt;&gt;"洞穿"),MIN(Boss参数!$B$55,EG17+2),EG17))</f>
        <v>1</v>
      </c>
      <c r="EE18" s="1">
        <f t="shared" si="35"/>
        <v>0</v>
      </c>
      <c r="EF18" s="1">
        <f>IF(AND(OR(L18="END_TURN",AND(DH18="敌方",OR(DH17&lt;&gt;"敌方",DG18&lt;&gt;DG17))),SUMIFS($EF$3:EF17,$DG$3:DG17,DG18)=0),MIN(1,MAX(0,ED18-EE18)),0)</f>
        <v>0</v>
      </c>
      <c r="EG18" s="1">
        <f t="shared" si="36"/>
        <v>1</v>
      </c>
      <c r="EH18" s="11">
        <f>Boss参数!$B$53-IF(Y18=1,Boss参数!$B$54,0)</f>
        <v>0</v>
      </c>
      <c r="EI18" s="11">
        <f t="shared" si="37"/>
        <v>0</v>
      </c>
      <c r="EJ18" s="11">
        <f t="shared" si="38"/>
        <v>0</v>
      </c>
      <c r="EK18" s="11">
        <f t="shared" si="39"/>
        <v>1</v>
      </c>
      <c r="EL18" s="1">
        <f t="shared" si="66"/>
        <v>0</v>
      </c>
      <c r="EM18" s="1">
        <f>IF(AND(DG18&lt;&gt;DG17,DH18="洞穿"),0,IF(L18="ENTER_INSIGHT",Boss参数!$B$57,EO17))</f>
        <v>0</v>
      </c>
      <c r="EN18" s="11">
        <f>IF(AND(Y18=1,H18="洞知",EM18&gt;0),Boss参数!$B$56,0)</f>
        <v>0</v>
      </c>
      <c r="EO18" s="1">
        <f t="shared" si="40"/>
        <v>0</v>
      </c>
      <c r="EP18" s="12">
        <f t="shared" si="67"/>
        <v>118597</v>
      </c>
      <c r="EQ18" s="12">
        <f>ROUNDDOWN(EP18/Boss参数!$B$62,0)</f>
        <v>1</v>
      </c>
      <c r="ER18" s="11">
        <f>IF(EQ18&gt;=Boss参数!$B$66,Boss参数!$B$69,IF(EQ18&gt;=Boss参数!$B$65,Boss参数!$B$68,IF(EQ18&gt;=Boss参数!$B$64,Boss参数!$B$67,0)))</f>
        <v>0</v>
      </c>
      <c r="ES18" s="11">
        <f>MIN(1,IF(EQ18&gt;=Boss参数!$B$66,Boss参数!$B$72+ROUNDDOWN((EQ18-Boss参数!$B$66)/Boss参数!$B$73,0)*Boss参数!$B$74,IF(EQ18&gt;=Boss参数!$B$65,Boss参数!$B$71,IF(EQ18&gt;=Boss参数!$B$64,Boss参数!$B$70,0))))</f>
        <v>0</v>
      </c>
      <c r="ET18" s="12">
        <f>MIN(Boss参数!$B$61*Boss参数!$B$62,EP18+IF(AND(Boss参数!$B$60=1,ISNUMBER(验证表!H24)),验证表!H24,EU18))</f>
        <v>121258</v>
      </c>
      <c r="EU18" s="12">
        <f>IF(D18="",0,IF(验证表!G24="是",BV18,IF(验证表!G24="否",BU18,BW18)))</f>
        <v>2661</v>
      </c>
      <c r="EV18" s="12">
        <f>IF(EQ18&gt;=Boss参数!$B$66,2,IF(EQ18&gt;=Boss参数!$B$65,1,0))</f>
        <v>0</v>
      </c>
      <c r="EW18" s="12">
        <f t="shared" si="41"/>
        <v>1</v>
      </c>
      <c r="EX18" s="1">
        <f>IF(D18="",0,INDEX(回合状态!$D$7:$D$17,MATCH(DG18,回合状态!$A$7:$A$17,0)))</f>
        <v>2</v>
      </c>
      <c r="EY18" s="1">
        <f>IF(OR(L18="RHI_ATTACK",L18="RHI_BUFF"),1,IF(L18="RHI_ULT",Boss参数!$B$52,0))</f>
        <v>0</v>
      </c>
      <c r="EZ18" s="1">
        <f>MIN(6,SUMIFS($EY$3:EY18,$EX$3:EX18,"&gt;="&amp;MAX(1,EX18-Boss参数!$B$87+1),$EX$3:EX18,"&lt;="&amp;EX18))</f>
        <v>2</v>
      </c>
      <c r="FA18" s="1">
        <f t="shared" si="68"/>
        <v>8</v>
      </c>
      <c r="FB18" s="17">
        <f>IF(L18="BOSS_CONSERVATIVE",B18+Boss参数!$B$91,FB17)</f>
        <v>0</v>
      </c>
      <c r="FC18" s="17">
        <f t="shared" si="69"/>
        <v>0</v>
      </c>
      <c r="FD18" s="17">
        <f>IF(D18="",FD17,FD17+IF(AND(DG18&lt;&gt;DG17,INDEX(回合状态!$C$7:$C$17,MATCH(DG18,回合状态!$A$7:$A$17,0))&lt;&gt;"洞穿"),1,0))</f>
        <v>2</v>
      </c>
      <c r="FE18" s="17">
        <f>IF(D18="",0,IF(AND(OR(L18="END_TURN",DH18="敌方"),INDEX(回合状态!$C$7:$C$17,MATCH(DG18,回合状态!$A$7:$A$17,0))&lt;&gt;"洞穿",SUMIFS($FE$3:FE17,$DG$3:DG17,DG18)=0),1,0))</f>
        <v>0</v>
      </c>
    </row>
    <row r="19" spans="1:161" ht="84.95" customHeight="1">
      <c r="A19" s="1">
        <f>行动模拟!A25</f>
        <v>17</v>
      </c>
      <c r="B19" s="1">
        <f>IF(D19="",0,INDEX(回合状态!$B$7:$B$17,MATCH(DG19,回合状态!$A$7:$A$17,0)))</f>
        <v>2</v>
      </c>
      <c r="C19" s="1">
        <f>行动模拟!C25</f>
        <v>8</v>
      </c>
      <c r="D19" s="1" t="str">
        <f>IF(行动模拟!D25="","",行动模拟!D25)</f>
        <v>J｜高温回火</v>
      </c>
      <c r="E19" s="1" t="str">
        <f>IF($D19="","",IFERROR(INDEX(技能数据库!$B$4:$B$38,MATCH($D19,技能数据库!$A$4:$A$38,0)),""))</f>
        <v>J</v>
      </c>
      <c r="F19" s="1" t="str">
        <f>IF($D19="","",IFERROR(INDEX(技能数据库!$C$4:$C$38,MATCH($D19,技能数据库!$A$4:$A$38,0)),""))</f>
        <v>高温回火</v>
      </c>
      <c r="G19" s="1">
        <f>IF($D19="","",IFERROR(INDEX(技能数据库!$D$4:$D$38,MATCH($D19,技能数据库!$A$4:$A$38,0)),""))</f>
        <v>0</v>
      </c>
      <c r="H19" s="1" t="str">
        <f>IF($D19="","",IFERROR(INDEX(技能数据库!$E$4:$E$38,MATCH($D19,技能数据库!$A$4:$A$38,0)),""))</f>
        <v>反击</v>
      </c>
      <c r="I19" s="1" t="str">
        <f>IF($D19="","",IFERROR(INDEX(技能数据库!$F$4:$F$38,MATCH($D19,技能数据库!$A$4:$A$38,0)),""))</f>
        <v>现实</v>
      </c>
      <c r="J19" s="1">
        <f>IF($D19="","",IFERROR(INDEX(技能数据库!$G$4:$G$38,MATCH($D19,技能数据库!$A$4:$A$38,0)),""))</f>
        <v>3</v>
      </c>
      <c r="K19" s="1">
        <f>IF($D19="","",IFERROR(INDEX(技能数据库!$H$4:$H$38,MATCH($D19,技能数据库!$A$4:$A$38,0)),""))</f>
        <v>0</v>
      </c>
      <c r="L19" s="1" t="str">
        <f>IF($D19="","",IFERROR(INDEX(技能数据库!$I$4:$I$38,MATCH($D19,技能数据库!$A$4:$A$38,0)),""))</f>
        <v>J_COUNTER</v>
      </c>
      <c r="M19" s="10">
        <v>1</v>
      </c>
      <c r="N19" s="1"/>
      <c r="O19" s="1"/>
      <c r="P19" s="1"/>
      <c r="Q19" s="10">
        <f t="shared" si="0"/>
        <v>0</v>
      </c>
      <c r="R19" s="10">
        <v>0</v>
      </c>
      <c r="S19" s="10">
        <v>0</v>
      </c>
      <c r="T19" s="1">
        <f>行动模拟!I25</f>
        <v>0</v>
      </c>
      <c r="U19" s="1">
        <f>IF(FD19&lt;&gt;FD18,IF(BY18=1,IF(MIN(10,CA18+IF(AND(DG19&lt;&gt;DG18,DH18&lt;&gt;"洞穿",SUMIFS($FE$3:FE18,$DG$3:DG18,DG18)=0,BY18=1),3,0))&gt;=10,2,1),IF(BY18=2,IF(BZ18&lt;=1,0,2),0)),BY18)</f>
        <v>2</v>
      </c>
      <c r="V19" s="1">
        <f>IF(FD19&lt;&gt;FD18,IF(BY18=1,IF(MIN(10,CA18+IF(AND(DG19&lt;&gt;DG18,DH18&lt;&gt;"洞穿",SUMIFS($FE$3:FE18,$DG$3:DG18,DG18)=0,BY18=1),3,0))&gt;=10,2,0),IF(BY18=2,MAX(0,BZ18-1),0)),BZ18)</f>
        <v>2</v>
      </c>
      <c r="W19" s="1">
        <f>IF(AND(FD19&lt;&gt;FD18,BY18=2,BZ18&lt;=1),0,MIN(10,CA18+IF(AND(DG19&lt;&gt;DG18,DH18&lt;&gt;"洞穿",SUMIFS($FE$3:FE18,$DG$3:DG18,DG18)=0,BY18=1),3,0)))</f>
        <v>10</v>
      </c>
      <c r="X19" s="1">
        <f t="shared" si="42"/>
        <v>6</v>
      </c>
      <c r="Y19" s="1">
        <f t="shared" si="43"/>
        <v>0</v>
      </c>
      <c r="Z19" s="1">
        <f t="shared" si="44"/>
        <v>0</v>
      </c>
      <c r="AA19" s="1">
        <f t="shared" si="45"/>
        <v>0</v>
      </c>
      <c r="AB19" s="1">
        <f t="shared" si="46"/>
        <v>4</v>
      </c>
      <c r="AC19" s="1">
        <f t="shared" si="47"/>
        <v>1</v>
      </c>
      <c r="AD19" s="1">
        <f t="shared" si="48"/>
        <v>12</v>
      </c>
      <c r="AE19" s="1">
        <f>IF(D19="",0,IF(DG19&lt;&gt;DG18,IFERROR(INDEX(回合状态!$F$7:$F$17,MATCH(DG19,回合状态!$A$7:$A$17,0)),0),CI18))</f>
        <v>8</v>
      </c>
      <c r="AF19" s="10">
        <f t="shared" si="49"/>
        <v>0</v>
      </c>
      <c r="AG19" s="1">
        <f t="shared" si="50"/>
        <v>0</v>
      </c>
      <c r="AH19" s="1">
        <f t="shared" si="51"/>
        <v>3</v>
      </c>
      <c r="AI19" s="1">
        <f t="shared" si="52"/>
        <v>4</v>
      </c>
      <c r="AJ19" s="1">
        <f t="shared" si="53"/>
        <v>5</v>
      </c>
      <c r="AK19" s="1">
        <f t="shared" si="54"/>
        <v>4</v>
      </c>
      <c r="AL19" s="1">
        <f t="shared" si="55"/>
        <v>3</v>
      </c>
      <c r="AM19" s="1">
        <f t="shared" si="56"/>
        <v>5</v>
      </c>
      <c r="AN19" s="1">
        <f t="shared" si="57"/>
        <v>0</v>
      </c>
      <c r="AO19" s="1">
        <f t="shared" si="58"/>
        <v>0</v>
      </c>
      <c r="AP19" s="10">
        <f t="shared" si="59"/>
        <v>0</v>
      </c>
      <c r="AQ19" s="1">
        <f t="shared" si="60"/>
        <v>0</v>
      </c>
      <c r="AR19" s="10">
        <f t="shared" si="61"/>
        <v>0</v>
      </c>
      <c r="AS19" s="1">
        <f t="shared" si="62"/>
        <v>0</v>
      </c>
      <c r="AT19" s="10">
        <f t="shared" si="63"/>
        <v>0</v>
      </c>
      <c r="AU19" s="1">
        <f t="shared" si="64"/>
        <v>0</v>
      </c>
      <c r="AV19" s="1">
        <f>MIN(5,SUMIFS($EL$3:EL19,$B$3:B19,"&gt;="&amp;MAX(1,B19-2),$B$3:B19,"&lt;="&amp;B19)+EC19)</f>
        <v>5</v>
      </c>
      <c r="AW19" s="1">
        <f>MIN(6,SUMIFS($EY$3:EY18,$EX$3:EX18,"&gt;="&amp;MAX(1,EX19-Boss参数!$B$87+1),$EX$3:EX18,"&lt;="&amp;EX19))</f>
        <v>2</v>
      </c>
      <c r="AX19" s="1">
        <f>MIN(4,COUNTIFS($B$3:$B$18,"&gt;="&amp;MAX(1,$B19-2),$B$3:$B$18,"&lt;="&amp;$B19,$L$3:$L$18,"37_FOLLOW"))</f>
        <v>2</v>
      </c>
      <c r="AY19" s="9">
        <f>IF($E19="","",IF($E19="系统",0,ROUNDDOWN(INDEX(角色面板!$C$4:$C$7,MATCH($E19,角色面板!$A$4:$A$7,0))*(1+INDEX(角色面板!$C$11:$C$14,MATCH($E19,角色面板!$A$11:$A$14,0))+IF($E19="小瑞安侬",MAX(IF($B19&lt;=$AQ19,$AP19,0),IF(AND($L19="RHI_ATTACK",$EE19&gt;0),0.11+0.01*$G19,0)),0)+IF($E19="J",$AD19*Boss参数!$B$18,0))+IF(FD19&lt;=$AN19,MIN(Boss参数!$B$21,ROUNDDOWN(角色面板!$C$19*Boss参数!$B$20,0)),0)+IF(AND($B19&lt;=$AK19,$E19&lt;&gt;"小瑞安侬"),$DY19,0),0)))</f>
        <v>2372</v>
      </c>
      <c r="AZ19" s="10">
        <f>IF($E19="","",MAX(0,MIN(1,IFERROR(INDEX(角色面板!$G$18:$G$21,MATCH($E19,角色面板!$A$18:$A$21,0)),0)-FC19*Boss参数!$B$89-Boss参数!$E$4)))</f>
        <v>0.66700000000000004</v>
      </c>
      <c r="BA19" s="10">
        <f>IF(E19="","",(IF($E19="","",IF($E19="红弩箭",Boss参数!$B$80,IF($E19="J",Boss参数!$B$81,IFERROR(INDEX(角色面板!$H$18:$H$21,MATCH($E19,角色面板!$A$18:$A$21,0)),0)))+IF($B19&lt;=$AI19,Boss参数!$B$13,0)+MIN(30,$AM19)*Boss参数!$B$17+IF(AND($L19="LILYA_ULT",$X19&gt;=6),1,0)+IF(AND($Y19=1,$L19="LILYA_INSIGHT"),IF(MOD($AA19+1,3)=0,Boss参数!$B$83,Boss参数!$B$82),IF(AND($Y19=1,$L19="LILYA_FINISH"),Boss参数!$B$84,0))))-FC19*Boss参数!$B$90)</f>
        <v>1.897</v>
      </c>
      <c r="BB19" s="10">
        <f>IF($E19="","",IFERROR(INDEX(角色面板!$M$18:$M$21,MATCH($E19,角色面板!$A$18:$A$21,0)),0)+$AW19*Boss参数!$B$12+IF($B19&lt;=$AG19,$AF19,0)+$EI19+IF($L19="LILYA_DIVE",IF($U19=1,IF($G19=1,0.3,IF($G19=2,0.4,0.5)),IF($U19=2,IF($G19=1,0.6,IF($G19=2,0.8,1)),0)),0)+$R19+IF(AND($E19="J",OR($L19="J_COUNTER",$L19="J_HARD")),Boss参数!$B$79,0)+IF(AND(OR(L19="J_COUNTER",L19="J_HARD"),FA19&gt;=Boss参数!$B$59),FA19*Boss参数!$B$40,0))</f>
        <v>0.22</v>
      </c>
      <c r="BC19" s="10">
        <f>IF($E19="","",IFERROR(INDEX(角色面板!$K$18:$K$21,MATCH($E19,角色面板!$A$18:$A$21,0)),0)+IF($B19&lt;=$AH19,Boss参数!$B$46,0)+IF($E19="红弩箭",IF($U19=1,0.6,IF($U19=2,1.2,0))+$W19*0.06,0))-DI19*Boss参数!$B$23</f>
        <v>-0.10000000000000003</v>
      </c>
      <c r="BD19" s="10">
        <f>IF($E19="","",IFERROR(INDEX(角色面板!$L$18:$L$21,MATCH($E19,角色面板!$A$18:$A$21,0)),0)+IF($B19&lt;=$AH19,Boss参数!$B$46,0)+IF($E19="J",$AL19*Boss参数!$B$16,0)+IF($E19="红弩箭",$X19*0.025,0)+IF(AND($L19="LILYA_ULT",$X19&gt;=6),1,0))-DI19*Boss参数!$B$23</f>
        <v>0.42</v>
      </c>
      <c r="BE19" s="10">
        <f>IF($E19="","",IF($H19="洞知",IF($E19="红弩箭",$AO19*Boss参数!$B$15,0)+$AX19*Boss参数!$B$14,0))</f>
        <v>0</v>
      </c>
      <c r="BF19" s="10">
        <f t="shared" si="1"/>
        <v>0</v>
      </c>
      <c r="BG19" s="10">
        <f>IF($D19="",0,IF(AND($L19&lt;&gt;"LILYA_DIVE",$L19&lt;&gt;"LILYA_ULT",$L19&lt;&gt;"LILYA_INSIGHT",$L19&lt;&gt;"LILYA_FINISH",$L19&lt;&gt;"37_FOLLOW",$L19&lt;&gt;"RHI_ATTACK",$L19&lt;&gt;"RHI_BERRY",$L19&lt;&gt;"J_COUNTER",$L19&lt;&gt;"J_ULT"),$J19,0)+IF($L19="LILYA_DIVE",$J19+IF($U19=1,IF($G19=1,6,IF($G19=2,12,18)),IF($U19=2,IF($G19=1,12,IF($G19=2,24,36)),0)),0)+IF($L19="LILYA_ULT",$J19+IF($X19&gt;=6,18,0),0)+IF($L19="LILYA_INSIGHT",IF($Y19=1,IF(MOD($AA19+1,3)=0,32,15),0),0)+IF($L19="LILYA_FINISH",IF($Y19=1,50+2.5*$Z19,0),0)+IF($L19="37_FOLLOW",$J19,0)+IF($L19="RHI_ATTACK",$J19*IF($B19&lt;=$AJ19,2,1),0)+IF($L19="RHI_BERRY",15+1.5*$AV19,0)+IF($L19="J_COUNTER",$J19+$AD19*Boss参数!$B$39,0)+IF($L19="J_ULT",$J19+Boss参数!$B$45*MAX(0,$AE19+$AD19-Boss参数!$I$4),0)+$S19)</f>
        <v>3.6</v>
      </c>
      <c r="BH19" s="10">
        <f t="shared" si="2"/>
        <v>0</v>
      </c>
      <c r="BI19" s="10">
        <f>IF(E19="","",IF(DT19=1,1+Boss参数!$B$8+AV19*Boss参数!$B$19,1))</f>
        <v>1</v>
      </c>
      <c r="BJ19" s="9">
        <f>IF($I19="现实",Boss参数!$C$4,IF($I19="精神",Boss参数!$D$4,0))</f>
        <v>1200</v>
      </c>
      <c r="BK19" s="9">
        <f>IF($E19="","",MAX($AY19*Boss参数!$B$9,$AY19-$BJ19*(1-$BF19)))</f>
        <v>1172</v>
      </c>
      <c r="BL19" s="10">
        <f>MAX(0,Boss参数!$F$4+IF(DT19=0,Boss参数!$B$27,0)-EJ19)</f>
        <v>1.4</v>
      </c>
      <c r="BM19" s="10">
        <f>Boss参数!$G$4+DU19-IF(Y19=1,Boss参数!$B$11,0)</f>
        <v>0.5</v>
      </c>
      <c r="BN19" s="10">
        <f>IF($E19="","",MAX(Boss参数!$B$10,1+IFERROR(INDEX(角色面板!$I$18:$I$21,MATCH($E19,角色面板!$A$18:$A$21,0)),0)+$BB19+Boss参数!$H$4-$BM19))</f>
        <v>0.74499999999999988</v>
      </c>
      <c r="BO19" s="10">
        <f>IF(E19="","",IF(OR(L19="J_COUNTER",L19="J_HARD"),MAX(0,1+INDEX(角色面板!$K$18:$K$21,MATCH(E19,角色面板!$A$18:$A$21,0))-DI19*Boss参数!$B$23+IF(OR(Boss参数!$B$43=1,L19="J_HARD"),IF(B19&lt;=AH19,Boss参数!$B$46,0),0)),MAX(0,IF(OR(H19="术法",L19="RHI_BERRY",AND(L19="37_FOLLOW",Boss参数!$B$31=1)),1+BC19,IF(H19="仪式",1+BD19,IF(H19="洞知",EK19,1))))))</f>
        <v>0.89999999999999991</v>
      </c>
      <c r="BP19" s="10">
        <f t="shared" si="3"/>
        <v>1.1000000000000001</v>
      </c>
      <c r="BQ19" s="1">
        <f t="shared" si="4"/>
        <v>2828.9735999999989</v>
      </c>
      <c r="BR19" s="1">
        <f t="shared" si="5"/>
        <v>3111.8709599999988</v>
      </c>
      <c r="BS19" s="1">
        <f>IF(BH19=0,0,ROUNDDOWN(AY19*BH19,0)*DV19*IF(Boss参数!$B$29=1,BN19,1)*IF(Boss参数!$B$33=1,BO19,1)*IF(Boss参数!$B$76=1,1-ES19,1))</f>
        <v>0</v>
      </c>
      <c r="BT19" s="1">
        <f t="shared" si="6"/>
        <v>0</v>
      </c>
      <c r="BU19" s="9">
        <f>IF(D19="",0,MIN(IF(Boss参数!$B$77=1,Boss参数!$B$63*Boss参数!$B$62,Boss参数!$B$61*Boss参数!$B$62),DW19+ROUNDDOWN(BS19,0)+ROUNDDOWN(DW19*Q19,0)))</f>
        <v>2828</v>
      </c>
      <c r="BV19" s="9">
        <f>IF(D19="",0,MIN(IF(Boss参数!$B$77=1,Boss参数!$B$63*Boss参数!$B$62,Boss参数!$B$61*Boss参数!$B$62),DX19+ROUNDDOWN(BT19,0)+ROUNDDOWN(DX19*Q19,0)))</f>
        <v>3111</v>
      </c>
      <c r="BW19" s="9">
        <f t="shared" si="7"/>
        <v>3016</v>
      </c>
      <c r="BX19" s="1" t="str">
        <f t="shared" si="8"/>
        <v/>
      </c>
      <c r="BY19" s="1">
        <f t="shared" si="9"/>
        <v>2</v>
      </c>
      <c r="BZ19" s="1">
        <f t="shared" si="10"/>
        <v>2</v>
      </c>
      <c r="CA19" s="1">
        <f>MIN(10,W19+IF(AND(L19="LILYA_COBRA",COUNTIF($L$3:L19,"LILYA_COBRA")=1),5,0)+IF(AND(L19="LILYA_DIVE",U19=1,COUNTIFS($DG$3:DG19,DG19,$L$3:L19,"LILYA_DIVE")=1),2,0)+IF(AND(FE19=1,U19=1),3,0))</f>
        <v>10</v>
      </c>
      <c r="CB19" s="1">
        <f>MIN(20,MAX(0,X19+IF(L19="LILYA_COBRA",IF(COUNTIF($L$3:L19,"LILYA_COBRA")=1,6,IF(U19=1,MAX(1,G19),IF(U19=2,2*MAX(1,G19),0))),0)+IF(AND(Y19=1,E19="红弩箭",L19&lt;&gt;"ENTER_INSIGHT"),1,0)-IF(AND(L19="LILYA_ULT",X19&gt;=6),6,0)))</f>
        <v>6</v>
      </c>
      <c r="CC19" s="1">
        <f t="shared" si="11"/>
        <v>0</v>
      </c>
      <c r="CD19" s="1">
        <f t="shared" si="12"/>
        <v>0</v>
      </c>
      <c r="CE19" s="1">
        <f t="shared" si="13"/>
        <v>0</v>
      </c>
      <c r="CF19" s="1">
        <f t="shared" si="14"/>
        <v>5</v>
      </c>
      <c r="CG19" s="1">
        <f t="shared" si="15"/>
        <v>1</v>
      </c>
      <c r="CH19" s="1">
        <f>MIN(35,AD19+IF(L19="J_HARD",6,0)+IF(L19="J_COUNTER",Boss参数!$B$30,0))</f>
        <v>14</v>
      </c>
      <c r="CI19" s="1">
        <f>MIN(Boss参数!$I$4,AE19+IF(L19="J_HARD",6,0)+IF(L19="J_ULT",AD19,0)+IF(L19="J_COUNTER",Boss参数!$B$30,0))</f>
        <v>10</v>
      </c>
      <c r="CJ19" s="10">
        <f>IF(L19="J_ULT",AD19*Boss参数!$B$41,IF(B19&lt;=AG19,AF19,0))</f>
        <v>0</v>
      </c>
      <c r="CK19" s="1">
        <f t="shared" si="16"/>
        <v>0</v>
      </c>
      <c r="CL19" s="1">
        <f t="shared" si="17"/>
        <v>3</v>
      </c>
      <c r="CM19" s="1">
        <f t="shared" si="18"/>
        <v>4</v>
      </c>
      <c r="CN19" s="1">
        <f t="shared" si="19"/>
        <v>5</v>
      </c>
      <c r="CO19" s="1">
        <f t="shared" si="20"/>
        <v>4</v>
      </c>
      <c r="CP19" s="1">
        <f t="shared" si="21"/>
        <v>3</v>
      </c>
      <c r="CQ19" s="1">
        <f t="shared" si="22"/>
        <v>5</v>
      </c>
      <c r="CR19" s="1">
        <f t="shared" si="23"/>
        <v>0</v>
      </c>
      <c r="CS19" s="1">
        <f t="shared" si="24"/>
        <v>0</v>
      </c>
      <c r="CT19" s="10">
        <f t="shared" si="25"/>
        <v>0</v>
      </c>
      <c r="CU19" s="1">
        <f t="shared" si="26"/>
        <v>0</v>
      </c>
      <c r="CV19" s="10">
        <f t="shared" si="27"/>
        <v>0</v>
      </c>
      <c r="CW19" s="1">
        <f t="shared" si="28"/>
        <v>0</v>
      </c>
      <c r="CX19" s="10">
        <f t="shared" si="29"/>
        <v>0</v>
      </c>
      <c r="CY19" s="1">
        <f t="shared" si="30"/>
        <v>0</v>
      </c>
      <c r="CZ19" s="1"/>
      <c r="DA19" s="1"/>
      <c r="DB19" s="1"/>
      <c r="DC19" s="1"/>
      <c r="DD19" s="1"/>
      <c r="DE19" s="1"/>
      <c r="DF19" s="1"/>
      <c r="DG19" s="1">
        <f>IF(D19="","",行动模拟!B25)</f>
        <v>2</v>
      </c>
      <c r="DH19" s="1" t="str">
        <f>IF(L19="END_TURN","回合结束",IF(D19="","",IF(INDEX(回合状态!$C$7:$C$17,MATCH(DG19,回合状态!$A$7:$A$17,0))="洞穿","洞穿",IF(OR(L19="J_COUNTER",L19="BOSS_ACTION",L19="BOSS_CONSERVATIVE"),"敌方",IF(AND(L19="37_FOLLOW",DG19=DG18,DH18="敌方"),"敌方",IF(INDEX(回合状态!$C$7:$C$17,MATCH(DG19,回合状态!$A$7:$A$17,0))="普通","出牌",INDEX(回合状态!$C$7:$C$17,MATCH(DG19,回合状态!$A$7:$A$17,0))))))))</f>
        <v>敌方</v>
      </c>
      <c r="DI19" s="1">
        <f t="shared" si="31"/>
        <v>0</v>
      </c>
      <c r="DJ19" s="1">
        <f>IF(D19="",0,MIN(Boss参数!$B$25,IF(OR(AND(DH19="敌方",OR(DH18&lt;&gt;"敌方",DG19&lt;&gt;DG18)),AND(L19="END_TURN",DH19&lt;&gt;"洞穿"),AND(DG19&lt;&gt;DG18,DH18&lt;&gt;"洞穿",L18&lt;&gt;"END_TURN",COUNTIFS($DG$3:DG18,DG18,$DH$3:DH18,"敌方")=0)),EW19,DN18)))</f>
        <v>2</v>
      </c>
      <c r="DK19" s="1">
        <f>IF(D19="",0,MIN(Boss参数!$B$25,IF(OR(AND(DH19="敌方",OR(DH18&lt;&gt;"敌方",DG19&lt;&gt;DG18)),AND(L19="END_TURN",DH19&lt;&gt;"洞穿"),AND(DG19&lt;&gt;DG18,DH18&lt;&gt;"洞穿",L18&lt;&gt;"END_TURN",COUNTIFS($DG$3:DG18,DG18,$DH$3:DH18,"敌方")=0)),EW19,DO18)))</f>
        <v>2</v>
      </c>
      <c r="DL19" s="1">
        <f>IF(D19="",0,MIN(Boss参数!$B$25,IF(OR(AND(DH19="敌方",OR(DH18&lt;&gt;"敌方",DG19&lt;&gt;DG18)),AND(L19="END_TURN",DH19&lt;&gt;"洞穿"),AND(DG19&lt;&gt;DG18,DH18&lt;&gt;"洞穿",L18&lt;&gt;"END_TURN",COUNTIFS($DG$3:DG18,DG18,$DH$3:DH18,"敌方")=0)),EW19,DP18)))</f>
        <v>2</v>
      </c>
      <c r="DM19" s="1">
        <f>IF(D19="",0,MIN(Boss参数!$B$25,IF(OR(AND(DH19="敌方",OR(DH18&lt;&gt;"敌方",DG19&lt;&gt;DG18)),AND(L19="END_TURN",DH19&lt;&gt;"洞穿"),AND(DG19&lt;&gt;DG18,DH18&lt;&gt;"洞穿",L18&lt;&gt;"END_TURN",COUNTIFS($DG$3:DG18,DG18,$DH$3:DH18,"敌方")=0)),EW19,DQ18)))</f>
        <v>0</v>
      </c>
      <c r="DN19" s="1">
        <f>MAX(0,MIN(Boss参数!$B$25,DJ19+DR19)-IF(E19="红弩箭",2*DR19,0))</f>
        <v>2</v>
      </c>
      <c r="DO19" s="1">
        <f>MAX(0,MIN(Boss参数!$B$25,DK19+DR19)-IF(E19="37",2*DR19,0))</f>
        <v>2</v>
      </c>
      <c r="DP19" s="1">
        <f>MAX(0,MIN(Boss参数!$B$25,DL19+DR19)-IF(E19="小瑞安侬",2*DR19,0))</f>
        <v>2</v>
      </c>
      <c r="DQ19" s="1">
        <f>MAX(0,MIN(Boss参数!$B$25,DM19+DR19)-IF(E19="J",2*DR19,0))</f>
        <v>0</v>
      </c>
      <c r="DR19" s="1">
        <f t="shared" si="32"/>
        <v>0</v>
      </c>
      <c r="DS19" s="1">
        <f t="shared" si="33"/>
        <v>0</v>
      </c>
      <c r="DT19" s="1">
        <f>IF(OR(E19="",E19="系统"),0,IF(OR(AND(DS19=1,Boss参数!$B$32=1),L19="RHI_BERRY",OR(AND(INDEX(角色面板!$B$18:$B$21,MATCH(E19,角色面板!$A$18:$A$21,0))="星",Boss参数!$B$4="岩"),AND(INDEX(角色面板!$B$18:$B$21,MATCH(E19,角色面板!$A$18:$A$21,0))="岩",Boss参数!$B$4="兽"),AND(INDEX(角色面板!$B$18:$B$21,MATCH(E19,角色面板!$A$18:$A$21,0))="兽",Boss参数!$B$4="木"),AND(INDEX(角色面板!$B$18:$B$21,MATCH(E19,角色面板!$A$18:$A$21,0))="木",Boss参数!$B$4="星"),AND(INDEX(角色面板!$B$18:$B$21,MATCH(E19,角色面板!$A$18:$A$21,0))="智",Boss参数!$B$4="灵"),AND(INDEX(角色面板!$B$18:$B$21,MATCH(E19,角色面板!$A$18:$A$21,0))="灵",Boss参数!$B$4="智"))),1,0))</f>
        <v>0</v>
      </c>
      <c r="DU19" s="1">
        <f>IF(D19="",0,INDEX(回合状态!$E$7:$E$17,MATCH(DG19,回合状态!$A$7:$A$17,0))+IF(AND(DH19="敌方",OR(INDEX(回合状态!$C$7:$C$17,MATCH(DG19,回合状态!$A$7:$A$17,0))="普通",INDEX(回合状态!$C$7:$C$17,MATCH(DG19,回合状态!$A$7:$A$17,0))="额外")),0.05,0))</f>
        <v>0.1</v>
      </c>
      <c r="DV19" s="1">
        <f>MAX(Boss参数!$B$28,1+IF(AND(E19="37",AC19&gt;0,BH19&gt;0),Boss参数!$B$42,0)-DI19*Boss参数!$B$24+EA19-ER19)</f>
        <v>1</v>
      </c>
      <c r="DW19" s="1">
        <f>MIN(IF(Boss参数!$B$77=1,Boss参数!$B$63*Boss参数!$B$62,Boss参数!$B$61*Boss参数!$B$62),ROUNDDOWN(BQ19*(1-ES19),0))</f>
        <v>2828</v>
      </c>
      <c r="DX19" s="1">
        <f>MIN(IF(Boss参数!$B$77=1,Boss参数!$B$63*Boss参数!$B$62,Boss参数!$B$61*Boss参数!$B$62),ROUNDDOWN(BR19*(1-ES19),0))</f>
        <v>3111</v>
      </c>
      <c r="DY19" s="1">
        <f t="shared" si="65"/>
        <v>238</v>
      </c>
      <c r="DZ19" s="1">
        <f>IF(L19="RHI_ULT",MIN(Boss参数!$B$48,ROUNDDOWN(AY19*Boss参数!$B$47,0)),DY19)</f>
        <v>238</v>
      </c>
      <c r="EA19" s="11">
        <v>0</v>
      </c>
      <c r="EB19" s="1">
        <f t="shared" si="34"/>
        <v>0</v>
      </c>
      <c r="EC19" s="1">
        <f>SUMIFS($EB$3:EB19,$B$3:B19,"&gt;="&amp;MAX(1,B19-2),$B$3:B19,"&lt;="&amp;B19)*Boss参数!$B$51</f>
        <v>6</v>
      </c>
      <c r="ED19" s="1">
        <f>IF(D19="",EG18,IF(AND(DG19&lt;&gt;DG18,DH19&lt;&gt;"洞穿"),MIN(Boss参数!$B$55,EG18+2),EG18))</f>
        <v>1</v>
      </c>
      <c r="EE19" s="1">
        <f t="shared" si="35"/>
        <v>0</v>
      </c>
      <c r="EF19" s="1">
        <f>IF(AND(OR(L19="END_TURN",AND(DH19="敌方",OR(DH18&lt;&gt;"敌方",DG19&lt;&gt;DG18))),SUMIFS($EF$3:EF18,$DG$3:DG18,DG19)=0),MIN(1,MAX(0,ED19-EE19)),0)</f>
        <v>0</v>
      </c>
      <c r="EG19" s="1">
        <f t="shared" si="36"/>
        <v>1</v>
      </c>
      <c r="EH19" s="11">
        <f>Boss参数!$B$53-IF(Y19=1,Boss参数!$B$54,0)</f>
        <v>0</v>
      </c>
      <c r="EI19" s="11">
        <f t="shared" si="37"/>
        <v>0</v>
      </c>
      <c r="EJ19" s="11">
        <f t="shared" si="38"/>
        <v>0</v>
      </c>
      <c r="EK19" s="11">
        <f t="shared" si="39"/>
        <v>1</v>
      </c>
      <c r="EL19" s="1">
        <f t="shared" si="66"/>
        <v>0</v>
      </c>
      <c r="EM19" s="1">
        <f>IF(AND(DG19&lt;&gt;DG18,DH19="洞穿"),0,IF(L19="ENTER_INSIGHT",Boss参数!$B$57,EO18))</f>
        <v>0</v>
      </c>
      <c r="EN19" s="11">
        <f>IF(AND(Y19=1,H19="洞知",EM19&gt;0),Boss参数!$B$56,0)</f>
        <v>0</v>
      </c>
      <c r="EO19" s="1">
        <f t="shared" si="40"/>
        <v>0</v>
      </c>
      <c r="EP19" s="12">
        <f t="shared" si="67"/>
        <v>121258</v>
      </c>
      <c r="EQ19" s="12">
        <f>ROUNDDOWN(EP19/Boss参数!$B$62,0)</f>
        <v>1</v>
      </c>
      <c r="ER19" s="11">
        <f>IF(EQ19&gt;=Boss参数!$B$66,Boss参数!$B$69,IF(EQ19&gt;=Boss参数!$B$65,Boss参数!$B$68,IF(EQ19&gt;=Boss参数!$B$64,Boss参数!$B$67,0)))</f>
        <v>0</v>
      </c>
      <c r="ES19" s="11">
        <f>MIN(1,IF(EQ19&gt;=Boss参数!$B$66,Boss参数!$B$72+ROUNDDOWN((EQ19-Boss参数!$B$66)/Boss参数!$B$73,0)*Boss参数!$B$74,IF(EQ19&gt;=Boss参数!$B$65,Boss参数!$B$71,IF(EQ19&gt;=Boss参数!$B$64,Boss参数!$B$70,0))))</f>
        <v>0</v>
      </c>
      <c r="ET19" s="12">
        <f>MIN(Boss参数!$B$61*Boss参数!$B$62,EP19+IF(AND(Boss参数!$B$60=1,ISNUMBER(验证表!H25)),验证表!H25,EU19))</f>
        <v>124369</v>
      </c>
      <c r="EU19" s="12">
        <f>IF(D19="",0,IF(验证表!G25="是",BV19,IF(验证表!G25="否",BU19,BW19)))</f>
        <v>3111</v>
      </c>
      <c r="EV19" s="12">
        <f>IF(EQ19&gt;=Boss参数!$B$66,2,IF(EQ19&gt;=Boss参数!$B$65,1,0))</f>
        <v>0</v>
      </c>
      <c r="EW19" s="12">
        <f t="shared" si="41"/>
        <v>1</v>
      </c>
      <c r="EX19" s="1">
        <f>IF(D19="",0,INDEX(回合状态!$D$7:$D$17,MATCH(DG19,回合状态!$A$7:$A$17,0)))</f>
        <v>2</v>
      </c>
      <c r="EY19" s="1">
        <f>IF(OR(L19="RHI_ATTACK",L19="RHI_BUFF"),1,IF(L19="RHI_ULT",Boss参数!$B$52,0))</f>
        <v>0</v>
      </c>
      <c r="EZ19" s="1">
        <f>MIN(6,SUMIFS($EY$3:EY19,$EX$3:EX19,"&gt;="&amp;MAX(1,EX19-Boss参数!$B$87+1),$EX$3:EX19,"&lt;="&amp;EX19))</f>
        <v>2</v>
      </c>
      <c r="FA19" s="1">
        <f t="shared" si="68"/>
        <v>8</v>
      </c>
      <c r="FB19" s="17">
        <f>IF(L19="BOSS_CONSERVATIVE",B19+Boss参数!$B$91,FB18)</f>
        <v>0</v>
      </c>
      <c r="FC19" s="17">
        <f t="shared" si="69"/>
        <v>0</v>
      </c>
      <c r="FD19" s="17">
        <f>IF(D19="",FD18,FD18+IF(AND(DG19&lt;&gt;DG18,INDEX(回合状态!$C$7:$C$17,MATCH(DG19,回合状态!$A$7:$A$17,0))&lt;&gt;"洞穿"),1,0))</f>
        <v>2</v>
      </c>
      <c r="FE19" s="17">
        <f>IF(D19="",0,IF(AND(OR(L19="END_TURN",DH19="敌方"),INDEX(回合状态!$C$7:$C$17,MATCH(DG19,回合状态!$A$7:$A$17,0))&lt;&gt;"洞穿",SUMIFS($FE$3:FE18,$DG$3:DG18,DG19)=0),1,0))</f>
        <v>0</v>
      </c>
    </row>
    <row r="20" spans="1:161" ht="84.95" customHeight="1">
      <c r="A20" s="1">
        <f>行动模拟!A26</f>
        <v>18</v>
      </c>
      <c r="B20" s="1">
        <f>IF(D20="",0,INDEX(回合状态!$B$7:$B$17,MATCH(DG20,回合状态!$A$7:$A$17,0)))</f>
        <v>2</v>
      </c>
      <c r="C20" s="1">
        <f>行动模拟!C26</f>
        <v>9</v>
      </c>
      <c r="D20" s="1" t="str">
        <f>IF(行动模拟!D26="","",行动模拟!D26)</f>
        <v>37｜补充算式</v>
      </c>
      <c r="E20" s="1" t="str">
        <f>IF($D20="","",IFERROR(INDEX(技能数据库!$B$4:$B$38,MATCH($D20,技能数据库!$A$4:$A$38,0)),""))</f>
        <v>37</v>
      </c>
      <c r="F20" s="1" t="str">
        <f>IF($D20="","",IFERROR(INDEX(技能数据库!$C$4:$C$38,MATCH($D20,技能数据库!$A$4:$A$38,0)),""))</f>
        <v>补充算式</v>
      </c>
      <c r="G20" s="1">
        <f>IF($D20="","",IFERROR(INDEX(技能数据库!$D$4:$D$38,MATCH($D20,技能数据库!$A$4:$A$38,0)),""))</f>
        <v>0</v>
      </c>
      <c r="H20" s="1" t="str">
        <f>IF($D20="","",IFERROR(INDEX(技能数据库!$E$4:$E$38,MATCH($D20,技能数据库!$A$4:$A$38,0)),""))</f>
        <v>额外行动</v>
      </c>
      <c r="I20" s="1" t="str">
        <f>IF($D20="","",IFERROR(INDEX(技能数据库!$F$4:$F$38,MATCH($D20,技能数据库!$A$4:$A$38,0)),""))</f>
        <v>精神</v>
      </c>
      <c r="J20" s="1">
        <f>IF($D20="","",IFERROR(INDEX(技能数据库!$G$4:$G$38,MATCH($D20,技能数据库!$A$4:$A$38,0)),""))</f>
        <v>3</v>
      </c>
      <c r="K20" s="1">
        <f>IF($D20="","",IFERROR(INDEX(技能数据库!$H$4:$H$38,MATCH($D20,技能数据库!$A$4:$A$38,0)),""))</f>
        <v>1</v>
      </c>
      <c r="L20" s="1" t="str">
        <f>IF($D20="","",IFERROR(INDEX(技能数据库!$I$4:$I$38,MATCH($D20,技能数据库!$A$4:$A$38,0)),""))</f>
        <v>37_FOLLOW</v>
      </c>
      <c r="M20" s="10">
        <v>1</v>
      </c>
      <c r="N20" s="1"/>
      <c r="O20" s="1"/>
      <c r="P20" s="1"/>
      <c r="Q20" s="10">
        <f t="shared" si="0"/>
        <v>0</v>
      </c>
      <c r="R20" s="10">
        <v>0</v>
      </c>
      <c r="S20" s="10">
        <v>0</v>
      </c>
      <c r="T20" s="1">
        <f>行动模拟!I26</f>
        <v>0</v>
      </c>
      <c r="U20" s="1">
        <f>IF(FD20&lt;&gt;FD19,IF(BY19=1,IF(MIN(10,CA19+IF(AND(DG20&lt;&gt;DG19,DH19&lt;&gt;"洞穿",SUMIFS($FE$3:FE19,$DG$3:DG19,DG19)=0,BY19=1),3,0))&gt;=10,2,1),IF(BY19=2,IF(BZ19&lt;=1,0,2),0)),BY19)</f>
        <v>2</v>
      </c>
      <c r="V20" s="1">
        <f>IF(FD20&lt;&gt;FD19,IF(BY19=1,IF(MIN(10,CA19+IF(AND(DG20&lt;&gt;DG19,DH19&lt;&gt;"洞穿",SUMIFS($FE$3:FE19,$DG$3:DG19,DG19)=0,BY19=1),3,0))&gt;=10,2,0),IF(BY19=2,MAX(0,BZ19-1),0)),BZ19)</f>
        <v>2</v>
      </c>
      <c r="W20" s="1">
        <f>IF(AND(FD20&lt;&gt;FD19,BY19=2,BZ19&lt;=1),0,MIN(10,CA19+IF(AND(DG20&lt;&gt;DG19,DH19&lt;&gt;"洞穿",SUMIFS($FE$3:FE19,$DG$3:DG19,DG19)=0,BY19=1),3,0)))</f>
        <v>10</v>
      </c>
      <c r="X20" s="1">
        <f t="shared" si="42"/>
        <v>6</v>
      </c>
      <c r="Y20" s="1">
        <f t="shared" si="43"/>
        <v>0</v>
      </c>
      <c r="Z20" s="1">
        <f t="shared" si="44"/>
        <v>0</v>
      </c>
      <c r="AA20" s="1">
        <f t="shared" si="45"/>
        <v>0</v>
      </c>
      <c r="AB20" s="1">
        <f t="shared" si="46"/>
        <v>5</v>
      </c>
      <c r="AC20" s="1">
        <f t="shared" si="47"/>
        <v>1</v>
      </c>
      <c r="AD20" s="1">
        <f t="shared" si="48"/>
        <v>14</v>
      </c>
      <c r="AE20" s="1">
        <f>IF(D20="",0,IF(DG20&lt;&gt;DG19,IFERROR(INDEX(回合状态!$F$7:$F$17,MATCH(DG20,回合状态!$A$7:$A$17,0)),0),CI19))</f>
        <v>10</v>
      </c>
      <c r="AF20" s="10">
        <f t="shared" si="49"/>
        <v>0</v>
      </c>
      <c r="AG20" s="1">
        <f t="shared" si="50"/>
        <v>0</v>
      </c>
      <c r="AH20" s="1">
        <f t="shared" si="51"/>
        <v>3</v>
      </c>
      <c r="AI20" s="1">
        <f t="shared" si="52"/>
        <v>4</v>
      </c>
      <c r="AJ20" s="1">
        <f t="shared" si="53"/>
        <v>5</v>
      </c>
      <c r="AK20" s="1">
        <f t="shared" si="54"/>
        <v>4</v>
      </c>
      <c r="AL20" s="1">
        <f t="shared" si="55"/>
        <v>3</v>
      </c>
      <c r="AM20" s="1">
        <f t="shared" si="56"/>
        <v>5</v>
      </c>
      <c r="AN20" s="1">
        <f t="shared" si="57"/>
        <v>0</v>
      </c>
      <c r="AO20" s="1">
        <f t="shared" si="58"/>
        <v>0</v>
      </c>
      <c r="AP20" s="10">
        <f t="shared" si="59"/>
        <v>0</v>
      </c>
      <c r="AQ20" s="1">
        <f t="shared" si="60"/>
        <v>0</v>
      </c>
      <c r="AR20" s="10">
        <f t="shared" si="61"/>
        <v>0</v>
      </c>
      <c r="AS20" s="1">
        <f t="shared" si="62"/>
        <v>0</v>
      </c>
      <c r="AT20" s="10">
        <f t="shared" si="63"/>
        <v>0</v>
      </c>
      <c r="AU20" s="1">
        <f t="shared" si="64"/>
        <v>0</v>
      </c>
      <c r="AV20" s="1">
        <f>MIN(5,SUMIFS($EL$3:EL20,$B$3:B20,"&gt;="&amp;MAX(1,B20-2),$B$3:B20,"&lt;="&amp;B20)+EC20)</f>
        <v>5</v>
      </c>
      <c r="AW20" s="1">
        <f>MIN(6,SUMIFS($EY$3:EY19,$EX$3:EX19,"&gt;="&amp;MAX(1,EX20-Boss参数!$B$87+1),$EX$3:EX19,"&lt;="&amp;EX20))</f>
        <v>2</v>
      </c>
      <c r="AX20" s="1">
        <f>MIN(4,COUNTIFS($B$3:$B$19,"&gt;="&amp;MAX(1,$B20-2),$B$3:$B$19,"&lt;="&amp;$B20,$L$3:$L$19,"37_FOLLOW"))</f>
        <v>2</v>
      </c>
      <c r="AY20" s="9">
        <f>IF($E20="","",IF($E20="系统",0,ROUNDDOWN(INDEX(角色面板!$C$4:$C$7,MATCH($E20,角色面板!$A$4:$A$7,0))*(1+INDEX(角色面板!$C$11:$C$14,MATCH($E20,角色面板!$A$11:$A$14,0))+IF($E20="小瑞安侬",MAX(IF($B20&lt;=$AQ20,$AP20,0),IF(AND($L20="RHI_ATTACK",$EE20&gt;0),0.11+0.01*$G20,0)),0)+IF($E20="J",$AD20*Boss参数!$B$18,0))+IF(FD20&lt;=$AN20,MIN(Boss参数!$B$21,ROUNDDOWN(角色面板!$C$19*Boss参数!$B$20,0)),0)+IF(AND($B20&lt;=$AK20,$E20&lt;&gt;"小瑞安侬"),$DY20,0),0)))</f>
        <v>3005</v>
      </c>
      <c r="AZ20" s="10">
        <f>IF($E20="","",MAX(0,MIN(1,IFERROR(INDEX(角色面板!$G$18:$G$21,MATCH($E20,角色面板!$A$18:$A$21,0)),0)-FC20*Boss参数!$B$89-Boss参数!$E$4)))</f>
        <v>0.76</v>
      </c>
      <c r="BA20" s="10">
        <f>IF(E20="","",(IF($E20="","",IF($E20="红弩箭",Boss参数!$B$80,IF($E20="J",Boss参数!$B$81,IFERROR(INDEX(角色面板!$H$18:$H$21,MATCH($E20,角色面板!$A$18:$A$21,0)),0)))+IF($B20&lt;=$AI20,Boss参数!$B$13,0)+MIN(30,$AM20)*Boss参数!$B$17+IF(AND($L20="LILYA_ULT",$X20&gt;=6),1,0)+IF(AND($Y20=1,$L20="LILYA_INSIGHT"),IF(MOD($AA20+1,3)=0,Boss参数!$B$83,Boss参数!$B$82),IF(AND($Y20=1,$L20="LILYA_FINISH"),Boss参数!$B$84,0))))-FC20*Boss参数!$B$90)</f>
        <v>2.3780000000000001</v>
      </c>
      <c r="BB20" s="10">
        <f>IF($E20="","",IFERROR(INDEX(角色面板!$M$18:$M$21,MATCH($E20,角色面板!$A$18:$A$21,0)),0)+$AW20*Boss参数!$B$12+IF($B20&lt;=$AG20,$AF20,0)+$EI20+IF($L20="LILYA_DIVE",IF($U20=1,IF($G20=1,0.3,IF($G20=2,0.4,0.5)),IF($U20=2,IF($G20=1,0.6,IF($G20=2,0.8,1)),0)),0)+$R20+IF(AND($E20="J",OR($L20="J_COUNTER",$L20="J_HARD")),Boss参数!$B$79,0)+IF(AND(OR(L20="J_COUNTER",L20="J_HARD"),FA20&gt;=Boss参数!$B$59),FA20*Boss参数!$B$40,0))</f>
        <v>0.04</v>
      </c>
      <c r="BC20" s="10">
        <f>IF($E20="","",IFERROR(INDEX(角色面板!$K$18:$K$21,MATCH($E20,角色面板!$A$18:$A$21,0)),0)+IF($B20&lt;=$AH20,Boss参数!$B$46,0)+IF($E20="红弩箭",IF($U20=1,0.6,IF($U20=2,1.2,0))+$W20*0.06,0))-DI20*Boss参数!$B$23</f>
        <v>-0.4</v>
      </c>
      <c r="BD20" s="10">
        <f>IF($E20="","",IFERROR(INDEX(角色面板!$L$18:$L$21,MATCH($E20,角色面板!$A$18:$A$21,0)),0)+IF($B20&lt;=$AH20,Boss参数!$B$46,0)+IF($E20="J",$AL20*Boss参数!$B$16,0)+IF($E20="红弩箭",$X20*0.025,0)+IF(AND($L20="LILYA_ULT",$X20&gt;=6),1,0))-DI20*Boss参数!$B$23</f>
        <v>0</v>
      </c>
      <c r="BE20" s="10">
        <f>IF($E20="","",IF($H20="洞知",IF($E20="红弩箭",$AO20*Boss参数!$B$15,0)+$AX20*Boss参数!$B$14,0))</f>
        <v>0</v>
      </c>
      <c r="BF20" s="10">
        <f t="shared" si="1"/>
        <v>0</v>
      </c>
      <c r="BG20" s="10">
        <f>IF($D20="",0,IF(AND($L20&lt;&gt;"LILYA_DIVE",$L20&lt;&gt;"LILYA_ULT",$L20&lt;&gt;"LILYA_INSIGHT",$L20&lt;&gt;"LILYA_FINISH",$L20&lt;&gt;"37_FOLLOW",$L20&lt;&gt;"RHI_ATTACK",$L20&lt;&gt;"RHI_BERRY",$L20&lt;&gt;"J_COUNTER",$L20&lt;&gt;"J_ULT"),$J20,0)+IF($L20="LILYA_DIVE",$J20+IF($U20=1,IF($G20=1,6,IF($G20=2,12,18)),IF($U20=2,IF($G20=1,12,IF($G20=2,24,36)),0)),0)+IF($L20="LILYA_ULT",$J20+IF($X20&gt;=6,18,0),0)+IF($L20="LILYA_INSIGHT",IF($Y20=1,IF(MOD($AA20+1,3)=0,32,15),0),0)+IF($L20="LILYA_FINISH",IF($Y20=1,50+2.5*$Z20,0),0)+IF($L20="37_FOLLOW",$J20,0)+IF($L20="RHI_ATTACK",$J20*IF($B20&lt;=$AJ20,2,1),0)+IF($L20="RHI_BERRY",15+1.5*$AV20,0)+IF($L20="J_COUNTER",$J20+$AD20*Boss参数!$B$39,0)+IF($L20="J_ULT",$J20+Boss参数!$B$45*MAX(0,$AE20+$AD20-Boss参数!$I$4),0)+$S20)</f>
        <v>3</v>
      </c>
      <c r="BH20" s="10">
        <f t="shared" si="2"/>
        <v>1</v>
      </c>
      <c r="BI20" s="10">
        <f>IF(E20="","",IF(DT20=1,1+Boss参数!$B$8+AV20*Boss参数!$B$19,1))</f>
        <v>1.5</v>
      </c>
      <c r="BJ20" s="9">
        <f>IF($I20="现实",Boss参数!$C$4,IF($I20="精神",Boss参数!$D$4,0))</f>
        <v>1000</v>
      </c>
      <c r="BK20" s="9">
        <f>IF($E20="","",MAX($AY20*Boss参数!$B$9,$AY20-$BJ20*(1-$BF20)))</f>
        <v>2005</v>
      </c>
      <c r="BL20" s="10">
        <f>MAX(0,Boss参数!$F$4+IF(DT20=0,Boss参数!$B$27,0)-EJ20)</f>
        <v>0.4</v>
      </c>
      <c r="BM20" s="10">
        <f>Boss参数!$G$4+DU20-IF(Y20=1,Boss参数!$B$11,0)</f>
        <v>0.5</v>
      </c>
      <c r="BN20" s="10">
        <f>IF($E20="","",MAX(Boss参数!$B$10,1+IFERROR(INDEX(角色面板!$I$18:$I$21,MATCH($E20,角色面板!$A$18:$A$21,0)),0)+$BB20+Boss参数!$H$4-$BM20))</f>
        <v>0.54499999999999993</v>
      </c>
      <c r="BO20" s="10">
        <f>IF(E20="","",IF(OR(L20="J_COUNTER",L20="J_HARD"),MAX(0,1+INDEX(角色面板!$K$18:$K$21,MATCH(E20,角色面板!$A$18:$A$21,0))-DI20*Boss参数!$B$23+IF(OR(Boss参数!$B$43=1,L20="J_HARD"),IF(B20&lt;=AH20,Boss参数!$B$46,0),0)),MAX(0,IF(OR(H20="术法",L20="RHI_BERRY",AND(L20="37_FOLLOW",Boss参数!$B$31=1)),1+BC20,IF(H20="仪式",1+BD20,IF(H20="洞知",EK20,1))))))</f>
        <v>0.6</v>
      </c>
      <c r="BP20" s="10">
        <f t="shared" si="3"/>
        <v>1.9780000000000002</v>
      </c>
      <c r="BQ20" s="1">
        <f t="shared" si="4"/>
        <v>2950.3574999999996</v>
      </c>
      <c r="BR20" s="1">
        <f t="shared" si="5"/>
        <v>5835.807135</v>
      </c>
      <c r="BS20" s="1">
        <f>IF(BH20=0,0,ROUNDDOWN(AY20*BH20,0)*DV20*IF(Boss参数!$B$29=1,BN20,1)*IF(Boss参数!$B$33=1,BO20,1)*IF(Boss参数!$B$76=1,1-ES20,1))</f>
        <v>5108.5</v>
      </c>
      <c r="BT20" s="1">
        <f t="shared" si="6"/>
        <v>10104.613000000001</v>
      </c>
      <c r="BU20" s="9">
        <f>IF(D20="",0,MIN(IF(Boss参数!$B$77=1,Boss参数!$B$63*Boss参数!$B$62,Boss参数!$B$61*Boss参数!$B$62),DW20+ROUNDDOWN(BS20,0)+ROUNDDOWN(DW20*Q20,0)))</f>
        <v>8058</v>
      </c>
      <c r="BV20" s="9">
        <f>IF(D20="",0,MIN(IF(Boss参数!$B$77=1,Boss参数!$B$63*Boss参数!$B$62,Boss参数!$B$61*Boss参数!$B$62),DX20+ROUNDDOWN(BT20,0)+ROUNDDOWN(DX20*Q20,0)))</f>
        <v>15939</v>
      </c>
      <c r="BW20" s="9">
        <f t="shared" si="7"/>
        <v>14047</v>
      </c>
      <c r="BX20" s="1" t="str">
        <f t="shared" si="8"/>
        <v/>
      </c>
      <c r="BY20" s="1">
        <f t="shared" si="9"/>
        <v>2</v>
      </c>
      <c r="BZ20" s="1">
        <f t="shared" si="10"/>
        <v>2</v>
      </c>
      <c r="CA20" s="1">
        <f>MIN(10,W20+IF(AND(L20="LILYA_COBRA",COUNTIF($L$3:L20,"LILYA_COBRA")=1),5,0)+IF(AND(L20="LILYA_DIVE",U20=1,COUNTIFS($DG$3:DG20,DG20,$L$3:L20,"LILYA_DIVE")=1),2,0)+IF(AND(FE20=1,U20=1),3,0))</f>
        <v>10</v>
      </c>
      <c r="CB20" s="1">
        <f>MIN(20,MAX(0,X20+IF(L20="LILYA_COBRA",IF(COUNTIF($L$3:L20,"LILYA_COBRA")=1,6,IF(U20=1,MAX(1,G20),IF(U20=2,2*MAX(1,G20),0))),0)+IF(AND(Y20=1,E20="红弩箭",L20&lt;&gt;"ENTER_INSIGHT"),1,0)-IF(AND(L20="LILYA_ULT",X20&gt;=6),6,0)))</f>
        <v>6</v>
      </c>
      <c r="CC20" s="1">
        <f t="shared" si="11"/>
        <v>0</v>
      </c>
      <c r="CD20" s="1">
        <f t="shared" si="12"/>
        <v>0</v>
      </c>
      <c r="CE20" s="1">
        <f t="shared" si="13"/>
        <v>0</v>
      </c>
      <c r="CF20" s="1">
        <f t="shared" si="14"/>
        <v>0</v>
      </c>
      <c r="CG20" s="1">
        <f t="shared" si="15"/>
        <v>0</v>
      </c>
      <c r="CH20" s="1">
        <f>MIN(35,AD20+IF(L20="J_HARD",6,0)+IF(L20="J_COUNTER",Boss参数!$B$30,0))</f>
        <v>14</v>
      </c>
      <c r="CI20" s="1">
        <f>MIN(Boss参数!$I$4,AE20+IF(L20="J_HARD",6,0)+IF(L20="J_ULT",AD20,0)+IF(L20="J_COUNTER",Boss参数!$B$30,0))</f>
        <v>10</v>
      </c>
      <c r="CJ20" s="10">
        <f>IF(L20="J_ULT",AD20*Boss参数!$B$41,IF(B20&lt;=AG20,AF20,0))</f>
        <v>0</v>
      </c>
      <c r="CK20" s="1">
        <f t="shared" si="16"/>
        <v>0</v>
      </c>
      <c r="CL20" s="1">
        <f t="shared" si="17"/>
        <v>3</v>
      </c>
      <c r="CM20" s="1">
        <f t="shared" si="18"/>
        <v>4</v>
      </c>
      <c r="CN20" s="1">
        <f t="shared" si="19"/>
        <v>5</v>
      </c>
      <c r="CO20" s="1">
        <f t="shared" si="20"/>
        <v>4</v>
      </c>
      <c r="CP20" s="1">
        <f t="shared" si="21"/>
        <v>3</v>
      </c>
      <c r="CQ20" s="1">
        <f t="shared" si="22"/>
        <v>5</v>
      </c>
      <c r="CR20" s="1">
        <f t="shared" si="23"/>
        <v>0</v>
      </c>
      <c r="CS20" s="1">
        <f t="shared" si="24"/>
        <v>0</v>
      </c>
      <c r="CT20" s="10">
        <f t="shared" si="25"/>
        <v>0</v>
      </c>
      <c r="CU20" s="1">
        <f t="shared" si="26"/>
        <v>0</v>
      </c>
      <c r="CV20" s="10">
        <f t="shared" si="27"/>
        <v>0</v>
      </c>
      <c r="CW20" s="1">
        <f t="shared" si="28"/>
        <v>0</v>
      </c>
      <c r="CX20" s="10">
        <f t="shared" si="29"/>
        <v>0</v>
      </c>
      <c r="CY20" s="1">
        <f t="shared" si="30"/>
        <v>0</v>
      </c>
      <c r="CZ20" s="1"/>
      <c r="DA20" s="1"/>
      <c r="DB20" s="1"/>
      <c r="DC20" s="1"/>
      <c r="DD20" s="1"/>
      <c r="DE20" s="1"/>
      <c r="DF20" s="1"/>
      <c r="DG20" s="1">
        <f>IF(D20="","",行动模拟!B26)</f>
        <v>2</v>
      </c>
      <c r="DH20" s="1" t="str">
        <f>IF(L20="END_TURN","回合结束",IF(D20="","",IF(INDEX(回合状态!$C$7:$C$17,MATCH(DG20,回合状态!$A$7:$A$17,0))="洞穿","洞穿",IF(OR(L20="J_COUNTER",L20="BOSS_ACTION",L20="BOSS_CONSERVATIVE"),"敌方",IF(AND(L20="37_FOLLOW",DG20=DG19,DH19="敌方"),"敌方",IF(INDEX(回合状态!$C$7:$C$17,MATCH(DG20,回合状态!$A$7:$A$17,0))="普通","出牌",INDEX(回合状态!$C$7:$C$17,MATCH(DG20,回合状态!$A$7:$A$17,0))))))))</f>
        <v>敌方</v>
      </c>
      <c r="DI20" s="1">
        <f t="shared" si="31"/>
        <v>2</v>
      </c>
      <c r="DJ20" s="1">
        <f>IF(D20="",0,MIN(Boss参数!$B$25,IF(OR(AND(DH20="敌方",OR(DH19&lt;&gt;"敌方",DG20&lt;&gt;DG19)),AND(L20="END_TURN",DH20&lt;&gt;"洞穿"),AND(DG20&lt;&gt;DG19,DH19&lt;&gt;"洞穿",L19&lt;&gt;"END_TURN",COUNTIFS($DG$3:DG19,DG19,$DH$3:DH19,"敌方")=0)),EW20,DN19)))</f>
        <v>2</v>
      </c>
      <c r="DK20" s="1">
        <f>IF(D20="",0,MIN(Boss参数!$B$25,IF(OR(AND(DH20="敌方",OR(DH19&lt;&gt;"敌方",DG20&lt;&gt;DG19)),AND(L20="END_TURN",DH20&lt;&gt;"洞穿"),AND(DG20&lt;&gt;DG19,DH19&lt;&gt;"洞穿",L19&lt;&gt;"END_TURN",COUNTIFS($DG$3:DG19,DG19,$DH$3:DH19,"敌方")=0)),EW20,DO19)))</f>
        <v>2</v>
      </c>
      <c r="DL20" s="1">
        <f>IF(D20="",0,MIN(Boss参数!$B$25,IF(OR(AND(DH20="敌方",OR(DH19&lt;&gt;"敌方",DG20&lt;&gt;DG19)),AND(L20="END_TURN",DH20&lt;&gt;"洞穿"),AND(DG20&lt;&gt;DG19,DH19&lt;&gt;"洞穿",L19&lt;&gt;"END_TURN",COUNTIFS($DG$3:DG19,DG19,$DH$3:DH19,"敌方")=0)),EW20,DP19)))</f>
        <v>2</v>
      </c>
      <c r="DM20" s="1">
        <f>IF(D20="",0,MIN(Boss参数!$B$25,IF(OR(AND(DH20="敌方",OR(DH19&lt;&gt;"敌方",DG20&lt;&gt;DG19)),AND(L20="END_TURN",DH20&lt;&gt;"洞穿"),AND(DG20&lt;&gt;DG19,DH19&lt;&gt;"洞穿",L19&lt;&gt;"END_TURN",COUNTIFS($DG$3:DG19,DG19,$DH$3:DH19,"敌方")=0)),EW20,DQ19)))</f>
        <v>0</v>
      </c>
      <c r="DN20" s="1">
        <f>MAX(0,MIN(Boss参数!$B$25,DJ20+DR20)-IF(E20="红弩箭",2*DR20,0))</f>
        <v>3</v>
      </c>
      <c r="DO20" s="1">
        <f>MAX(0,MIN(Boss参数!$B$25,DK20+DR20)-IF(E20="37",2*DR20,0))</f>
        <v>1</v>
      </c>
      <c r="DP20" s="1">
        <f>MAX(0,MIN(Boss参数!$B$25,DL20+DR20)-IF(E20="小瑞安侬",2*DR20,0))</f>
        <v>3</v>
      </c>
      <c r="DQ20" s="1">
        <f>MAX(0,MIN(Boss参数!$B$25,DM20+DR20)-IF(E20="J",2*DR20,0))</f>
        <v>1</v>
      </c>
      <c r="DR20" s="1">
        <f t="shared" si="32"/>
        <v>1</v>
      </c>
      <c r="DS20" s="1">
        <f t="shared" si="33"/>
        <v>0</v>
      </c>
      <c r="DT20" s="1">
        <f>IF(OR(E20="",E20="系统"),0,IF(OR(AND(DS20=1,Boss参数!$B$32=1),L20="RHI_BERRY",OR(AND(INDEX(角色面板!$B$18:$B$21,MATCH(E20,角色面板!$A$18:$A$21,0))="星",Boss参数!$B$4="岩"),AND(INDEX(角色面板!$B$18:$B$21,MATCH(E20,角色面板!$A$18:$A$21,0))="岩",Boss参数!$B$4="兽"),AND(INDEX(角色面板!$B$18:$B$21,MATCH(E20,角色面板!$A$18:$A$21,0))="兽",Boss参数!$B$4="木"),AND(INDEX(角色面板!$B$18:$B$21,MATCH(E20,角色面板!$A$18:$A$21,0))="木",Boss参数!$B$4="星"),AND(INDEX(角色面板!$B$18:$B$21,MATCH(E20,角色面板!$A$18:$A$21,0))="智",Boss参数!$B$4="灵"),AND(INDEX(角色面板!$B$18:$B$21,MATCH(E20,角色面板!$A$18:$A$21,0))="灵",Boss参数!$B$4="智"))),1,0))</f>
        <v>1</v>
      </c>
      <c r="DU20" s="1">
        <f>IF(D20="",0,INDEX(回合状态!$E$7:$E$17,MATCH(DG20,回合状态!$A$7:$A$17,0))+IF(AND(DH20="敌方",OR(INDEX(回合状态!$C$7:$C$17,MATCH(DG20,回合状态!$A$7:$A$17,0))="普通",INDEX(回合状态!$C$7:$C$17,MATCH(DG20,回合状态!$A$7:$A$17,0))="额外")),0.05,0))</f>
        <v>0.1</v>
      </c>
      <c r="DV20" s="1">
        <f>MAX(Boss参数!$B$28,1+IF(AND(E20="37",AC20&gt;0,BH20&gt;0),Boss参数!$B$42,0)-DI20*Boss参数!$B$24+EA20-ER20)</f>
        <v>1.7</v>
      </c>
      <c r="DW20" s="1">
        <f>MIN(IF(Boss参数!$B$77=1,Boss参数!$B$63*Boss参数!$B$62,Boss参数!$B$61*Boss参数!$B$62),ROUNDDOWN(BQ20*(1-ES20),0))</f>
        <v>2950</v>
      </c>
      <c r="DX20" s="1">
        <f>MIN(IF(Boss参数!$B$77=1,Boss参数!$B$63*Boss参数!$B$62,Boss参数!$B$61*Boss参数!$B$62),ROUNDDOWN(BR20*(1-ES20),0))</f>
        <v>5835</v>
      </c>
      <c r="DY20" s="1">
        <f t="shared" si="65"/>
        <v>238</v>
      </c>
      <c r="DZ20" s="1">
        <f>IF(L20="RHI_ULT",MIN(Boss参数!$B$48,ROUNDDOWN(AY20*Boss参数!$B$47,0)),DY20)</f>
        <v>238</v>
      </c>
      <c r="EA20" s="11">
        <v>0</v>
      </c>
      <c r="EB20" s="1">
        <f t="shared" si="34"/>
        <v>0</v>
      </c>
      <c r="EC20" s="1">
        <f>SUMIFS($EB$3:EB20,$B$3:B20,"&gt;="&amp;MAX(1,B20-2),$B$3:B20,"&lt;="&amp;B20)*Boss参数!$B$51</f>
        <v>6</v>
      </c>
      <c r="ED20" s="1">
        <f>IF(D20="",EG19,IF(AND(DG20&lt;&gt;DG19,DH20&lt;&gt;"洞穿"),MIN(Boss参数!$B$55,EG19+2),EG19))</f>
        <v>1</v>
      </c>
      <c r="EE20" s="1">
        <f t="shared" si="35"/>
        <v>0</v>
      </c>
      <c r="EF20" s="1">
        <f>IF(AND(OR(L20="END_TURN",AND(DH20="敌方",OR(DH19&lt;&gt;"敌方",DG20&lt;&gt;DG19))),SUMIFS($EF$3:EF19,$DG$3:DG19,DG20)=0),MIN(1,MAX(0,ED20-EE20)),0)</f>
        <v>0</v>
      </c>
      <c r="EG20" s="1">
        <f t="shared" si="36"/>
        <v>1</v>
      </c>
      <c r="EH20" s="11">
        <f>Boss参数!$B$53-IF(Y20=1,Boss参数!$B$54,0)</f>
        <v>0</v>
      </c>
      <c r="EI20" s="11">
        <f t="shared" si="37"/>
        <v>0</v>
      </c>
      <c r="EJ20" s="11">
        <f t="shared" si="38"/>
        <v>0</v>
      </c>
      <c r="EK20" s="11">
        <f t="shared" si="39"/>
        <v>1</v>
      </c>
      <c r="EL20" s="1">
        <f t="shared" si="66"/>
        <v>0</v>
      </c>
      <c r="EM20" s="1">
        <f>IF(AND(DG20&lt;&gt;DG19,DH20="洞穿"),0,IF(L20="ENTER_INSIGHT",Boss参数!$B$57,EO19))</f>
        <v>0</v>
      </c>
      <c r="EN20" s="11">
        <f>IF(AND(Y20=1,H20="洞知",EM20&gt;0),Boss参数!$B$56,0)</f>
        <v>0</v>
      </c>
      <c r="EO20" s="1">
        <f t="shared" si="40"/>
        <v>0</v>
      </c>
      <c r="EP20" s="12">
        <f t="shared" si="67"/>
        <v>124369</v>
      </c>
      <c r="EQ20" s="12">
        <f>ROUNDDOWN(EP20/Boss参数!$B$62,0)</f>
        <v>1</v>
      </c>
      <c r="ER20" s="11">
        <f>IF(EQ20&gt;=Boss参数!$B$66,Boss参数!$B$69,IF(EQ20&gt;=Boss参数!$B$65,Boss参数!$B$68,IF(EQ20&gt;=Boss参数!$B$64,Boss参数!$B$67,0)))</f>
        <v>0</v>
      </c>
      <c r="ES20" s="11">
        <f>MIN(1,IF(EQ20&gt;=Boss参数!$B$66,Boss参数!$B$72+ROUNDDOWN((EQ20-Boss参数!$B$66)/Boss参数!$B$73,0)*Boss参数!$B$74,IF(EQ20&gt;=Boss参数!$B$65,Boss参数!$B$71,IF(EQ20&gt;=Boss参数!$B$64,Boss参数!$B$70,0))))</f>
        <v>0</v>
      </c>
      <c r="ET20" s="12">
        <f>MIN(Boss参数!$B$61*Boss参数!$B$62,EP20+IF(AND(Boss参数!$B$60=1,ISNUMBER(验证表!H26)),验证表!H26,EU20))</f>
        <v>140308</v>
      </c>
      <c r="EU20" s="12">
        <f>IF(D20="",0,IF(验证表!G26="是",BV20,IF(验证表!G26="否",BU20,BW20)))</f>
        <v>15939</v>
      </c>
      <c r="EV20" s="12">
        <f>IF(EQ20&gt;=Boss参数!$B$66,2,IF(EQ20&gt;=Boss参数!$B$65,1,0))</f>
        <v>0</v>
      </c>
      <c r="EW20" s="12">
        <f t="shared" si="41"/>
        <v>1</v>
      </c>
      <c r="EX20" s="1">
        <f>IF(D20="",0,INDEX(回合状态!$D$7:$D$17,MATCH(DG20,回合状态!$A$7:$A$17,0)))</f>
        <v>2</v>
      </c>
      <c r="EY20" s="1">
        <f>IF(OR(L20="RHI_ATTACK",L20="RHI_BUFF"),1,IF(L20="RHI_ULT",Boss参数!$B$52,0))</f>
        <v>0</v>
      </c>
      <c r="EZ20" s="1">
        <f>MIN(6,SUMIFS($EY$3:EY20,$EX$3:EX20,"&gt;="&amp;MAX(1,EX20-Boss参数!$B$87+1),$EX$3:EX20,"&lt;="&amp;EX20))</f>
        <v>2</v>
      </c>
      <c r="FA20" s="1">
        <f t="shared" si="68"/>
        <v>8</v>
      </c>
      <c r="FB20" s="17">
        <f>IF(L20="BOSS_CONSERVATIVE",B20+Boss参数!$B$91,FB19)</f>
        <v>0</v>
      </c>
      <c r="FC20" s="17">
        <f t="shared" si="69"/>
        <v>0</v>
      </c>
      <c r="FD20" s="17">
        <f>IF(D20="",FD19,FD19+IF(AND(DG20&lt;&gt;DG19,INDEX(回合状态!$C$7:$C$17,MATCH(DG20,回合状态!$A$7:$A$17,0))&lt;&gt;"洞穿"),1,0))</f>
        <v>2</v>
      </c>
      <c r="FE20" s="17">
        <f>IF(D20="",0,IF(AND(OR(L20="END_TURN",DH20="敌方"),INDEX(回合状态!$C$7:$C$17,MATCH(DG20,回合状态!$A$7:$A$17,0))&lt;&gt;"洞穿",SUMIFS($FE$3:FE19,$DG$3:DG19,DG20)=0),1,0))</f>
        <v>0</v>
      </c>
    </row>
    <row r="21" spans="1:161" ht="84.95" customHeight="1">
      <c r="A21" s="1">
        <f>行动模拟!A27</f>
        <v>19</v>
      </c>
      <c r="B21" s="1">
        <f>IF(D21="",0,INDEX(回合状态!$B$7:$B$17,MATCH(DG21,回合状态!$A$7:$A$17,0)))</f>
        <v>2</v>
      </c>
      <c r="C21" s="1">
        <f>行动模拟!C27</f>
        <v>10</v>
      </c>
      <c r="D21" s="1" t="str">
        <f>IF(行动模拟!D27="","",行动模拟!D27)</f>
        <v>J｜高温回火</v>
      </c>
      <c r="E21" s="1" t="str">
        <f>IF($D21="","",IFERROR(INDEX(技能数据库!$B$4:$B$38,MATCH($D21,技能数据库!$A$4:$A$38,0)),""))</f>
        <v>J</v>
      </c>
      <c r="F21" s="1" t="str">
        <f>IF($D21="","",IFERROR(INDEX(技能数据库!$C$4:$C$38,MATCH($D21,技能数据库!$A$4:$A$38,0)),""))</f>
        <v>高温回火</v>
      </c>
      <c r="G21" s="1">
        <f>IF($D21="","",IFERROR(INDEX(技能数据库!$D$4:$D$38,MATCH($D21,技能数据库!$A$4:$A$38,0)),""))</f>
        <v>0</v>
      </c>
      <c r="H21" s="1" t="str">
        <f>IF($D21="","",IFERROR(INDEX(技能数据库!$E$4:$E$38,MATCH($D21,技能数据库!$A$4:$A$38,0)),""))</f>
        <v>反击</v>
      </c>
      <c r="I21" s="1" t="str">
        <f>IF($D21="","",IFERROR(INDEX(技能数据库!$F$4:$F$38,MATCH($D21,技能数据库!$A$4:$A$38,0)),""))</f>
        <v>现实</v>
      </c>
      <c r="J21" s="1">
        <f>IF($D21="","",IFERROR(INDEX(技能数据库!$G$4:$G$38,MATCH($D21,技能数据库!$A$4:$A$38,0)),""))</f>
        <v>3</v>
      </c>
      <c r="K21" s="1">
        <f>IF($D21="","",IFERROR(INDEX(技能数据库!$H$4:$H$38,MATCH($D21,技能数据库!$A$4:$A$38,0)),""))</f>
        <v>0</v>
      </c>
      <c r="L21" s="1" t="str">
        <f>IF($D21="","",IFERROR(INDEX(技能数据库!$I$4:$I$38,MATCH($D21,技能数据库!$A$4:$A$38,0)),""))</f>
        <v>J_COUNTER</v>
      </c>
      <c r="M21" s="10">
        <v>1</v>
      </c>
      <c r="N21" s="1"/>
      <c r="O21" s="1"/>
      <c r="P21" s="1"/>
      <c r="Q21" s="10">
        <f t="shared" si="0"/>
        <v>0</v>
      </c>
      <c r="R21" s="10">
        <v>0</v>
      </c>
      <c r="S21" s="10">
        <v>0</v>
      </c>
      <c r="T21" s="1">
        <f>行动模拟!I27</f>
        <v>0</v>
      </c>
      <c r="U21" s="1">
        <f>IF(FD21&lt;&gt;FD20,IF(BY20=1,IF(MIN(10,CA20+IF(AND(DG21&lt;&gt;DG20,DH20&lt;&gt;"洞穿",SUMIFS($FE$3:FE20,$DG$3:DG20,DG20)=0,BY20=1),3,0))&gt;=10,2,1),IF(BY20=2,IF(BZ20&lt;=1,0,2),0)),BY20)</f>
        <v>2</v>
      </c>
      <c r="V21" s="1">
        <f>IF(FD21&lt;&gt;FD20,IF(BY20=1,IF(MIN(10,CA20+IF(AND(DG21&lt;&gt;DG20,DH20&lt;&gt;"洞穿",SUMIFS($FE$3:FE20,$DG$3:DG20,DG20)=0,BY20=1),3,0))&gt;=10,2,0),IF(BY20=2,MAX(0,BZ20-1),0)),BZ20)</f>
        <v>2</v>
      </c>
      <c r="W21" s="1">
        <f>IF(AND(FD21&lt;&gt;FD20,BY20=2,BZ20&lt;=1),0,MIN(10,CA20+IF(AND(DG21&lt;&gt;DG20,DH20&lt;&gt;"洞穿",SUMIFS($FE$3:FE20,$DG$3:DG20,DG20)=0,BY20=1),3,0)))</f>
        <v>10</v>
      </c>
      <c r="X21" s="1">
        <f t="shared" si="42"/>
        <v>6</v>
      </c>
      <c r="Y21" s="1">
        <f t="shared" si="43"/>
        <v>0</v>
      </c>
      <c r="Z21" s="1">
        <f t="shared" si="44"/>
        <v>0</v>
      </c>
      <c r="AA21" s="1">
        <f t="shared" si="45"/>
        <v>0</v>
      </c>
      <c r="AB21" s="1">
        <f t="shared" si="46"/>
        <v>0</v>
      </c>
      <c r="AC21" s="1">
        <f t="shared" si="47"/>
        <v>0</v>
      </c>
      <c r="AD21" s="1">
        <f t="shared" si="48"/>
        <v>14</v>
      </c>
      <c r="AE21" s="1">
        <f>IF(D21="",0,IF(DG21&lt;&gt;DG20,IFERROR(INDEX(回合状态!$F$7:$F$17,MATCH(DG21,回合状态!$A$7:$A$17,0)),0),CI20))</f>
        <v>10</v>
      </c>
      <c r="AF21" s="10">
        <f t="shared" si="49"/>
        <v>0</v>
      </c>
      <c r="AG21" s="1">
        <f t="shared" si="50"/>
        <v>0</v>
      </c>
      <c r="AH21" s="1">
        <f t="shared" si="51"/>
        <v>3</v>
      </c>
      <c r="AI21" s="1">
        <f t="shared" si="52"/>
        <v>4</v>
      </c>
      <c r="AJ21" s="1">
        <f t="shared" si="53"/>
        <v>5</v>
      </c>
      <c r="AK21" s="1">
        <f t="shared" si="54"/>
        <v>4</v>
      </c>
      <c r="AL21" s="1">
        <f t="shared" si="55"/>
        <v>3</v>
      </c>
      <c r="AM21" s="1">
        <f t="shared" si="56"/>
        <v>5</v>
      </c>
      <c r="AN21" s="1">
        <f t="shared" si="57"/>
        <v>0</v>
      </c>
      <c r="AO21" s="1">
        <f t="shared" si="58"/>
        <v>0</v>
      </c>
      <c r="AP21" s="10">
        <f t="shared" si="59"/>
        <v>0</v>
      </c>
      <c r="AQ21" s="1">
        <f t="shared" si="60"/>
        <v>0</v>
      </c>
      <c r="AR21" s="10">
        <f t="shared" si="61"/>
        <v>0</v>
      </c>
      <c r="AS21" s="1">
        <f t="shared" si="62"/>
        <v>0</v>
      </c>
      <c r="AT21" s="10">
        <f t="shared" si="63"/>
        <v>0</v>
      </c>
      <c r="AU21" s="1">
        <f t="shared" si="64"/>
        <v>0</v>
      </c>
      <c r="AV21" s="1">
        <f>MIN(5,SUMIFS($EL$3:EL21,$B$3:B21,"&gt;="&amp;MAX(1,B21-2),$B$3:B21,"&lt;="&amp;B21)+EC21)</f>
        <v>5</v>
      </c>
      <c r="AW21" s="1">
        <f>MIN(6,SUMIFS($EY$3:EY20,$EX$3:EX20,"&gt;="&amp;MAX(1,EX21-Boss参数!$B$87+1),$EX$3:EX20,"&lt;="&amp;EX21))</f>
        <v>2</v>
      </c>
      <c r="AX21" s="1">
        <f>MIN(4,COUNTIFS($B$3:$B$20,"&gt;="&amp;MAX(1,$B21-2),$B$3:$B$20,"&lt;="&amp;$B21,$L$3:$L$20,"37_FOLLOW"))</f>
        <v>3</v>
      </c>
      <c r="AY21" s="9">
        <f>IF($E21="","",IF($E21="系统",0,ROUNDDOWN(INDEX(角色面板!$C$4:$C$7,MATCH($E21,角色面板!$A$4:$A$7,0))*(1+INDEX(角色面板!$C$11:$C$14,MATCH($E21,角色面板!$A$11:$A$14,0))+IF($E21="小瑞安侬",MAX(IF($B21&lt;=$AQ21,$AP21,0),IF(AND($L21="RHI_ATTACK",$EE21&gt;0),0.11+0.01*$G21,0)),0)+IF($E21="J",$AD21*Boss参数!$B$18,0))+IF(FD21&lt;=$AN21,MIN(Boss参数!$B$21,ROUNDDOWN(角色面板!$C$19*Boss参数!$B$20,0)),0)+IF(AND($B21&lt;=$AK21,$E21&lt;&gt;"小瑞安侬"),$DY21,0),0)))</f>
        <v>2410</v>
      </c>
      <c r="AZ21" s="10">
        <f>IF($E21="","",MAX(0,MIN(1,IFERROR(INDEX(角色面板!$G$18:$G$21,MATCH($E21,角色面板!$A$18:$A$21,0)),0)-FC21*Boss参数!$B$89-Boss参数!$E$4)))</f>
        <v>0.66700000000000004</v>
      </c>
      <c r="BA21" s="10">
        <f>IF(E21="","",(IF($E21="","",IF($E21="红弩箭",Boss参数!$B$80,IF($E21="J",Boss参数!$B$81,IFERROR(INDEX(角色面板!$H$18:$H$21,MATCH($E21,角色面板!$A$18:$A$21,0)),0)))+IF($B21&lt;=$AI21,Boss参数!$B$13,0)+MIN(30,$AM21)*Boss参数!$B$17+IF(AND($L21="LILYA_ULT",$X21&gt;=6),1,0)+IF(AND($Y21=1,$L21="LILYA_INSIGHT"),IF(MOD($AA21+1,3)=0,Boss参数!$B$83,Boss参数!$B$82),IF(AND($Y21=1,$L21="LILYA_FINISH"),Boss参数!$B$84,0))))-FC21*Boss参数!$B$90)</f>
        <v>1.897</v>
      </c>
      <c r="BB21" s="10">
        <f>IF($E21="","",IFERROR(INDEX(角色面板!$M$18:$M$21,MATCH($E21,角色面板!$A$18:$A$21,0)),0)+$AW21*Boss参数!$B$12+IF($B21&lt;=$AG21,$AF21,0)+$EI21+IF($L21="LILYA_DIVE",IF($U21=1,IF($G21=1,0.3,IF($G21=2,0.4,0.5)),IF($U21=2,IF($G21=1,0.6,IF($G21=2,0.8,1)),0)),0)+$R21+IF(AND($E21="J",OR($L21="J_COUNTER",$L21="J_HARD")),Boss参数!$B$79,0)+IF(AND(OR(L21="J_COUNTER",L21="J_HARD"),FA21&gt;=Boss参数!$B$59),FA21*Boss参数!$B$40,0))</f>
        <v>0.22</v>
      </c>
      <c r="BC21" s="10">
        <f>IF($E21="","",IFERROR(INDEX(角色面板!$K$18:$K$21,MATCH($E21,角色面板!$A$18:$A$21,0)),0)+IF($B21&lt;=$AH21,Boss参数!$B$46,0)+IF($E21="红弩箭",IF($U21=1,0.6,IF($U21=2,1.2,0))+$W21*0.06,0))-DI21*Boss参数!$B$23</f>
        <v>-0.25</v>
      </c>
      <c r="BD21" s="10">
        <f>IF($E21="","",IFERROR(INDEX(角色面板!$L$18:$L$21,MATCH($E21,角色面板!$A$18:$A$21,0)),0)+IF($B21&lt;=$AH21,Boss参数!$B$46,0)+IF($E21="J",$AL21*Boss参数!$B$16,0)+IF($E21="红弩箭",$X21*0.025,0)+IF(AND($L21="LILYA_ULT",$X21&gt;=6),1,0))-DI21*Boss参数!$B$23</f>
        <v>0.27</v>
      </c>
      <c r="BE21" s="10">
        <f>IF($E21="","",IF($H21="洞知",IF($E21="红弩箭",$AO21*Boss参数!$B$15,0)+$AX21*Boss参数!$B$14,0))</f>
        <v>0</v>
      </c>
      <c r="BF21" s="10">
        <f t="shared" si="1"/>
        <v>0</v>
      </c>
      <c r="BG21" s="10">
        <f>IF($D21="",0,IF(AND($L21&lt;&gt;"LILYA_DIVE",$L21&lt;&gt;"LILYA_ULT",$L21&lt;&gt;"LILYA_INSIGHT",$L21&lt;&gt;"LILYA_FINISH",$L21&lt;&gt;"37_FOLLOW",$L21&lt;&gt;"RHI_ATTACK",$L21&lt;&gt;"RHI_BERRY",$L21&lt;&gt;"J_COUNTER",$L21&lt;&gt;"J_ULT"),$J21,0)+IF($L21="LILYA_DIVE",$J21+IF($U21=1,IF($G21=1,6,IF($G21=2,12,18)),IF($U21=2,IF($G21=1,12,IF($G21=2,24,36)),0)),0)+IF($L21="LILYA_ULT",$J21+IF($X21&gt;=6,18,0),0)+IF($L21="LILYA_INSIGHT",IF($Y21=1,IF(MOD($AA21+1,3)=0,32,15),0),0)+IF($L21="LILYA_FINISH",IF($Y21=1,50+2.5*$Z21,0),0)+IF($L21="37_FOLLOW",$J21,0)+IF($L21="RHI_ATTACK",$J21*IF($B21&lt;=$AJ21,2,1),0)+IF($L21="RHI_BERRY",15+1.5*$AV21,0)+IF($L21="J_COUNTER",$J21+$AD21*Boss参数!$B$39,0)+IF($L21="J_ULT",$J21+Boss参数!$B$45*MAX(0,$AE21+$AD21-Boss参数!$I$4),0)+$S21)</f>
        <v>3.7</v>
      </c>
      <c r="BH21" s="10">
        <f t="shared" si="2"/>
        <v>0</v>
      </c>
      <c r="BI21" s="10">
        <f>IF(E21="","",IF(DT21=1,1+Boss参数!$B$8+AV21*Boss参数!$B$19,1))</f>
        <v>1</v>
      </c>
      <c r="BJ21" s="9">
        <f>IF($I21="现实",Boss参数!$C$4,IF($I21="精神",Boss参数!$D$4,0))</f>
        <v>1200</v>
      </c>
      <c r="BK21" s="9">
        <f>IF($E21="","",MAX($AY21*Boss参数!$B$9,$AY21-$BJ21*(1-$BF21)))</f>
        <v>1210</v>
      </c>
      <c r="BL21" s="10">
        <f>MAX(0,Boss参数!$F$4+IF(DT21=0,Boss参数!$B$27,0)-EJ21)</f>
        <v>1.4</v>
      </c>
      <c r="BM21" s="10">
        <f>Boss参数!$G$4+DU21-IF(Y21=1,Boss参数!$B$11,0)</f>
        <v>0.5</v>
      </c>
      <c r="BN21" s="10">
        <f>IF($E21="","",MAX(Boss参数!$B$10,1+IFERROR(INDEX(角色面板!$I$18:$I$21,MATCH($E21,角色面板!$A$18:$A$21,0)),0)+$BB21+Boss参数!$H$4-$BM21))</f>
        <v>0.74499999999999988</v>
      </c>
      <c r="BO21" s="10">
        <f>IF(E21="","",IF(OR(L21="J_COUNTER",L21="J_HARD"),MAX(0,1+INDEX(角色面板!$K$18:$K$21,MATCH(E21,角色面板!$A$18:$A$21,0))-DI21*Boss参数!$B$23+IF(OR(Boss参数!$B$43=1,L21="J_HARD"),IF(B21&lt;=AH21,Boss参数!$B$46,0),0)),MAX(0,IF(OR(H21="术法",L21="RHI_BERRY",AND(L21="37_FOLLOW",Boss参数!$B$31=1)),1+BC21,IF(H21="仪式",1+BD21,IF(H21="洞知",EK21,1))))))</f>
        <v>0.75</v>
      </c>
      <c r="BP21" s="10">
        <f t="shared" si="3"/>
        <v>1.1000000000000001</v>
      </c>
      <c r="BQ21" s="1">
        <f t="shared" si="4"/>
        <v>2501.5237499999994</v>
      </c>
      <c r="BR21" s="1">
        <f t="shared" si="5"/>
        <v>2751.6761249999995</v>
      </c>
      <c r="BS21" s="1">
        <f>IF(BH21=0,0,ROUNDDOWN(AY21*BH21,0)*DV21*IF(Boss参数!$B$29=1,BN21,1)*IF(Boss参数!$B$33=1,BO21,1)*IF(Boss参数!$B$76=1,1-ES21,1))</f>
        <v>0</v>
      </c>
      <c r="BT21" s="1">
        <f t="shared" si="6"/>
        <v>0</v>
      </c>
      <c r="BU21" s="9">
        <f>IF(D21="",0,MIN(IF(Boss参数!$B$77=1,Boss参数!$B$63*Boss参数!$B$62,Boss参数!$B$61*Boss参数!$B$62),DW21+ROUNDDOWN(BS21,0)+ROUNDDOWN(DW21*Q21,0)))</f>
        <v>2501</v>
      </c>
      <c r="BV21" s="9">
        <f>IF(D21="",0,MIN(IF(Boss参数!$B$77=1,Boss参数!$B$63*Boss参数!$B$62,Boss参数!$B$61*Boss参数!$B$62),DX21+ROUNDDOWN(BT21,0)+ROUNDDOWN(DX21*Q21,0)))</f>
        <v>2751</v>
      </c>
      <c r="BW21" s="9">
        <f t="shared" si="7"/>
        <v>2667</v>
      </c>
      <c r="BX21" s="1" t="str">
        <f t="shared" si="8"/>
        <v/>
      </c>
      <c r="BY21" s="1">
        <f t="shared" si="9"/>
        <v>2</v>
      </c>
      <c r="BZ21" s="1">
        <f t="shared" si="10"/>
        <v>2</v>
      </c>
      <c r="CA21" s="1">
        <f>MIN(10,W21+IF(AND(L21="LILYA_COBRA",COUNTIF($L$3:L21,"LILYA_COBRA")=1),5,0)+IF(AND(L21="LILYA_DIVE",U21=1,COUNTIFS($DG$3:DG21,DG21,$L$3:L21,"LILYA_DIVE")=1),2,0)+IF(AND(FE21=1,U21=1),3,0))</f>
        <v>10</v>
      </c>
      <c r="CB21" s="1">
        <f>MIN(20,MAX(0,X21+IF(L21="LILYA_COBRA",IF(COUNTIF($L$3:L21,"LILYA_COBRA")=1,6,IF(U21=1,MAX(1,G21),IF(U21=2,2*MAX(1,G21),0))),0)+IF(AND(Y21=1,E21="红弩箭",L21&lt;&gt;"ENTER_INSIGHT"),1,0)-IF(AND(L21="LILYA_ULT",X21&gt;=6),6,0)))</f>
        <v>6</v>
      </c>
      <c r="CC21" s="1">
        <f t="shared" si="11"/>
        <v>0</v>
      </c>
      <c r="CD21" s="1">
        <f t="shared" si="12"/>
        <v>0</v>
      </c>
      <c r="CE21" s="1">
        <f t="shared" si="13"/>
        <v>0</v>
      </c>
      <c r="CF21" s="1">
        <f t="shared" si="14"/>
        <v>1</v>
      </c>
      <c r="CG21" s="1">
        <f t="shared" si="15"/>
        <v>0</v>
      </c>
      <c r="CH21" s="1">
        <f>MIN(35,AD21+IF(L21="J_HARD",6,0)+IF(L21="J_COUNTER",Boss参数!$B$30,0))</f>
        <v>16</v>
      </c>
      <c r="CI21" s="1">
        <f>MIN(Boss参数!$I$4,AE21+IF(L21="J_HARD",6,0)+IF(L21="J_ULT",AD21,0)+IF(L21="J_COUNTER",Boss参数!$B$30,0))</f>
        <v>12</v>
      </c>
      <c r="CJ21" s="10">
        <f>IF(L21="J_ULT",AD21*Boss参数!$B$41,IF(B21&lt;=AG21,AF21,0))</f>
        <v>0</v>
      </c>
      <c r="CK21" s="1">
        <f t="shared" si="16"/>
        <v>0</v>
      </c>
      <c r="CL21" s="1">
        <f t="shared" si="17"/>
        <v>3</v>
      </c>
      <c r="CM21" s="1">
        <f t="shared" si="18"/>
        <v>4</v>
      </c>
      <c r="CN21" s="1">
        <f t="shared" si="19"/>
        <v>5</v>
      </c>
      <c r="CO21" s="1">
        <f t="shared" si="20"/>
        <v>4</v>
      </c>
      <c r="CP21" s="1">
        <f t="shared" si="21"/>
        <v>3</v>
      </c>
      <c r="CQ21" s="1">
        <f t="shared" si="22"/>
        <v>5</v>
      </c>
      <c r="CR21" s="1">
        <f t="shared" si="23"/>
        <v>0</v>
      </c>
      <c r="CS21" s="1">
        <f t="shared" si="24"/>
        <v>0</v>
      </c>
      <c r="CT21" s="10">
        <f t="shared" si="25"/>
        <v>0</v>
      </c>
      <c r="CU21" s="1">
        <f t="shared" si="26"/>
        <v>0</v>
      </c>
      <c r="CV21" s="10">
        <f t="shared" si="27"/>
        <v>0</v>
      </c>
      <c r="CW21" s="1">
        <f t="shared" si="28"/>
        <v>0</v>
      </c>
      <c r="CX21" s="10">
        <f t="shared" si="29"/>
        <v>0</v>
      </c>
      <c r="CY21" s="1">
        <f t="shared" si="30"/>
        <v>0</v>
      </c>
      <c r="CZ21" s="1"/>
      <c r="DA21" s="1"/>
      <c r="DB21" s="1"/>
      <c r="DC21" s="1"/>
      <c r="DD21" s="1"/>
      <c r="DE21" s="1"/>
      <c r="DF21" s="1"/>
      <c r="DG21" s="1">
        <f>IF(D21="","",行动模拟!B27)</f>
        <v>2</v>
      </c>
      <c r="DH21" s="1" t="str">
        <f>IF(L21="END_TURN","回合结束",IF(D21="","",IF(INDEX(回合状态!$C$7:$C$17,MATCH(DG21,回合状态!$A$7:$A$17,0))="洞穿","洞穿",IF(OR(L21="J_COUNTER",L21="BOSS_ACTION",L21="BOSS_CONSERVATIVE"),"敌方",IF(AND(L21="37_FOLLOW",DG21=DG20,DH20="敌方"),"敌方",IF(INDEX(回合状态!$C$7:$C$17,MATCH(DG21,回合状态!$A$7:$A$17,0))="普通","出牌",INDEX(回合状态!$C$7:$C$17,MATCH(DG21,回合状态!$A$7:$A$17,0))))))))</f>
        <v>敌方</v>
      </c>
      <c r="DI21" s="1">
        <f t="shared" si="31"/>
        <v>1</v>
      </c>
      <c r="DJ21" s="1">
        <f>IF(D21="",0,MIN(Boss参数!$B$25,IF(OR(AND(DH21="敌方",OR(DH20&lt;&gt;"敌方",DG21&lt;&gt;DG20)),AND(L21="END_TURN",DH21&lt;&gt;"洞穿"),AND(DG21&lt;&gt;DG20,DH20&lt;&gt;"洞穿",L20&lt;&gt;"END_TURN",COUNTIFS($DG$3:DG20,DG20,$DH$3:DH20,"敌方")=0)),EW21,DN20)))</f>
        <v>3</v>
      </c>
      <c r="DK21" s="1">
        <f>IF(D21="",0,MIN(Boss参数!$B$25,IF(OR(AND(DH21="敌方",OR(DH20&lt;&gt;"敌方",DG21&lt;&gt;DG20)),AND(L21="END_TURN",DH21&lt;&gt;"洞穿"),AND(DG21&lt;&gt;DG20,DH20&lt;&gt;"洞穿",L20&lt;&gt;"END_TURN",COUNTIFS($DG$3:DG20,DG20,$DH$3:DH20,"敌方")=0)),EW21,DO20)))</f>
        <v>1</v>
      </c>
      <c r="DL21" s="1">
        <f>IF(D21="",0,MIN(Boss参数!$B$25,IF(OR(AND(DH21="敌方",OR(DH20&lt;&gt;"敌方",DG21&lt;&gt;DG20)),AND(L21="END_TURN",DH21&lt;&gt;"洞穿"),AND(DG21&lt;&gt;DG20,DH20&lt;&gt;"洞穿",L20&lt;&gt;"END_TURN",COUNTIFS($DG$3:DG20,DG20,$DH$3:DH20,"敌方")=0)),EW21,DP20)))</f>
        <v>3</v>
      </c>
      <c r="DM21" s="1">
        <f>IF(D21="",0,MIN(Boss参数!$B$25,IF(OR(AND(DH21="敌方",OR(DH20&lt;&gt;"敌方",DG21&lt;&gt;DG20)),AND(L21="END_TURN",DH21&lt;&gt;"洞穿"),AND(DG21&lt;&gt;DG20,DH20&lt;&gt;"洞穿",L20&lt;&gt;"END_TURN",COUNTIFS($DG$3:DG20,DG20,$DH$3:DH20,"敌方")=0)),EW21,DQ20)))</f>
        <v>1</v>
      </c>
      <c r="DN21" s="1">
        <f>MAX(0,MIN(Boss参数!$B$25,DJ21+DR21)-IF(E21="红弩箭",2*DR21,0))</f>
        <v>4</v>
      </c>
      <c r="DO21" s="1">
        <f>MAX(0,MIN(Boss参数!$B$25,DK21+DR21)-IF(E21="37",2*DR21,0))</f>
        <v>2</v>
      </c>
      <c r="DP21" s="1">
        <f>MAX(0,MIN(Boss参数!$B$25,DL21+DR21)-IF(E21="小瑞安侬",2*DR21,0))</f>
        <v>4</v>
      </c>
      <c r="DQ21" s="1">
        <f>MAX(0,MIN(Boss参数!$B$25,DM21+DR21)-IF(E21="J",2*DR21,0))</f>
        <v>0</v>
      </c>
      <c r="DR21" s="1">
        <f t="shared" si="32"/>
        <v>1</v>
      </c>
      <c r="DS21" s="1">
        <f t="shared" si="33"/>
        <v>0</v>
      </c>
      <c r="DT21" s="1">
        <f>IF(OR(E21="",E21="系统"),0,IF(OR(AND(DS21=1,Boss参数!$B$32=1),L21="RHI_BERRY",OR(AND(INDEX(角色面板!$B$18:$B$21,MATCH(E21,角色面板!$A$18:$A$21,0))="星",Boss参数!$B$4="岩"),AND(INDEX(角色面板!$B$18:$B$21,MATCH(E21,角色面板!$A$18:$A$21,0))="岩",Boss参数!$B$4="兽"),AND(INDEX(角色面板!$B$18:$B$21,MATCH(E21,角色面板!$A$18:$A$21,0))="兽",Boss参数!$B$4="木"),AND(INDEX(角色面板!$B$18:$B$21,MATCH(E21,角色面板!$A$18:$A$21,0))="木",Boss参数!$B$4="星"),AND(INDEX(角色面板!$B$18:$B$21,MATCH(E21,角色面板!$A$18:$A$21,0))="智",Boss参数!$B$4="灵"),AND(INDEX(角色面板!$B$18:$B$21,MATCH(E21,角色面板!$A$18:$A$21,0))="灵",Boss参数!$B$4="智"))),1,0))</f>
        <v>0</v>
      </c>
      <c r="DU21" s="1">
        <f>IF(D21="",0,INDEX(回合状态!$E$7:$E$17,MATCH(DG21,回合状态!$A$7:$A$17,0))+IF(AND(DH21="敌方",OR(INDEX(回合状态!$C$7:$C$17,MATCH(DG21,回合状态!$A$7:$A$17,0))="普通",INDEX(回合状态!$C$7:$C$17,MATCH(DG21,回合状态!$A$7:$A$17,0))="额外")),0.05,0))</f>
        <v>0.1</v>
      </c>
      <c r="DV21" s="1">
        <f>MAX(Boss参数!$B$28,1+IF(AND(E21="37",AC21&gt;0,BH21&gt;0),Boss参数!$B$42,0)-DI21*Boss参数!$B$24+EA21-ER21)</f>
        <v>0.85</v>
      </c>
      <c r="DW21" s="1">
        <f>MIN(IF(Boss参数!$B$77=1,Boss参数!$B$63*Boss参数!$B$62,Boss参数!$B$61*Boss参数!$B$62),ROUNDDOWN(BQ21*(1-ES21),0))</f>
        <v>2501</v>
      </c>
      <c r="DX21" s="1">
        <f>MIN(IF(Boss参数!$B$77=1,Boss参数!$B$63*Boss参数!$B$62,Boss参数!$B$61*Boss参数!$B$62),ROUNDDOWN(BR21*(1-ES21),0))</f>
        <v>2751</v>
      </c>
      <c r="DY21" s="1">
        <f t="shared" si="65"/>
        <v>238</v>
      </c>
      <c r="DZ21" s="1">
        <f>IF(L21="RHI_ULT",MIN(Boss参数!$B$48,ROUNDDOWN(AY21*Boss参数!$B$47,0)),DY21)</f>
        <v>238</v>
      </c>
      <c r="EA21" s="11">
        <v>0</v>
      </c>
      <c r="EB21" s="1">
        <f t="shared" si="34"/>
        <v>0</v>
      </c>
      <c r="EC21" s="1">
        <f>SUMIFS($EB$3:EB21,$B$3:B21,"&gt;="&amp;MAX(1,B21-2),$B$3:B21,"&lt;="&amp;B21)*Boss参数!$B$51</f>
        <v>6</v>
      </c>
      <c r="ED21" s="1">
        <f>IF(D21="",EG20,IF(AND(DG21&lt;&gt;DG20,DH21&lt;&gt;"洞穿"),MIN(Boss参数!$B$55,EG20+2),EG20))</f>
        <v>1</v>
      </c>
      <c r="EE21" s="1">
        <f t="shared" si="35"/>
        <v>0</v>
      </c>
      <c r="EF21" s="1">
        <f>IF(AND(OR(L21="END_TURN",AND(DH21="敌方",OR(DH20&lt;&gt;"敌方",DG21&lt;&gt;DG20))),SUMIFS($EF$3:EF20,$DG$3:DG20,DG21)=0),MIN(1,MAX(0,ED21-EE21)),0)</f>
        <v>0</v>
      </c>
      <c r="EG21" s="1">
        <f t="shared" si="36"/>
        <v>1</v>
      </c>
      <c r="EH21" s="11">
        <f>Boss参数!$B$53-IF(Y21=1,Boss参数!$B$54,0)</f>
        <v>0</v>
      </c>
      <c r="EI21" s="11">
        <f t="shared" si="37"/>
        <v>0</v>
      </c>
      <c r="EJ21" s="11">
        <f t="shared" si="38"/>
        <v>0</v>
      </c>
      <c r="EK21" s="11">
        <f t="shared" si="39"/>
        <v>1</v>
      </c>
      <c r="EL21" s="1">
        <f t="shared" si="66"/>
        <v>0</v>
      </c>
      <c r="EM21" s="1">
        <f>IF(AND(DG21&lt;&gt;DG20,DH21="洞穿"),0,IF(L21="ENTER_INSIGHT",Boss参数!$B$57,EO20))</f>
        <v>0</v>
      </c>
      <c r="EN21" s="11">
        <f>IF(AND(Y21=1,H21="洞知",EM21&gt;0),Boss参数!$B$56,0)</f>
        <v>0</v>
      </c>
      <c r="EO21" s="1">
        <f t="shared" si="40"/>
        <v>0</v>
      </c>
      <c r="EP21" s="12">
        <f t="shared" si="67"/>
        <v>140308</v>
      </c>
      <c r="EQ21" s="12">
        <f>ROUNDDOWN(EP21/Boss参数!$B$62,0)</f>
        <v>1</v>
      </c>
      <c r="ER21" s="11">
        <f>IF(EQ21&gt;=Boss参数!$B$66,Boss参数!$B$69,IF(EQ21&gt;=Boss参数!$B$65,Boss参数!$B$68,IF(EQ21&gt;=Boss参数!$B$64,Boss参数!$B$67,0)))</f>
        <v>0</v>
      </c>
      <c r="ES21" s="11">
        <f>MIN(1,IF(EQ21&gt;=Boss参数!$B$66,Boss参数!$B$72+ROUNDDOWN((EQ21-Boss参数!$B$66)/Boss参数!$B$73,0)*Boss参数!$B$74,IF(EQ21&gt;=Boss参数!$B$65,Boss参数!$B$71,IF(EQ21&gt;=Boss参数!$B$64,Boss参数!$B$70,0))))</f>
        <v>0</v>
      </c>
      <c r="ET21" s="12">
        <f>MIN(Boss参数!$B$61*Boss参数!$B$62,EP21+IF(AND(Boss参数!$B$60=1,ISNUMBER(验证表!H27)),验证表!H27,EU21))</f>
        <v>142809</v>
      </c>
      <c r="EU21" s="12">
        <f>IF(D21="",0,IF(验证表!G27="是",BV21,IF(验证表!G27="否",BU21,BW21)))</f>
        <v>2501</v>
      </c>
      <c r="EV21" s="12">
        <f>IF(EQ21&gt;=Boss参数!$B$66,2,IF(EQ21&gt;=Boss参数!$B$65,1,0))</f>
        <v>0</v>
      </c>
      <c r="EW21" s="12">
        <f t="shared" si="41"/>
        <v>1</v>
      </c>
      <c r="EX21" s="1">
        <f>IF(D21="",0,INDEX(回合状态!$D$7:$D$17,MATCH(DG21,回合状态!$A$7:$A$17,0)))</f>
        <v>2</v>
      </c>
      <c r="EY21" s="1">
        <f>IF(OR(L21="RHI_ATTACK",L21="RHI_BUFF"),1,IF(L21="RHI_ULT",Boss参数!$B$52,0))</f>
        <v>0</v>
      </c>
      <c r="EZ21" s="1">
        <f>MIN(6,SUMIFS($EY$3:EY21,$EX$3:EX21,"&gt;="&amp;MAX(1,EX21-Boss参数!$B$87+1),$EX$3:EX21,"&lt;="&amp;EX21))</f>
        <v>2</v>
      </c>
      <c r="FA21" s="1">
        <f t="shared" si="68"/>
        <v>8</v>
      </c>
      <c r="FB21" s="17">
        <f>IF(L21="BOSS_CONSERVATIVE",B21+Boss参数!$B$91,FB20)</f>
        <v>0</v>
      </c>
      <c r="FC21" s="17">
        <f t="shared" si="69"/>
        <v>0</v>
      </c>
      <c r="FD21" s="17">
        <f>IF(D21="",FD20,FD20+IF(AND(DG21&lt;&gt;DG20,INDEX(回合状态!$C$7:$C$17,MATCH(DG21,回合状态!$A$7:$A$17,0))&lt;&gt;"洞穿"),1,0))</f>
        <v>2</v>
      </c>
      <c r="FE21" s="17">
        <f>IF(D21="",0,IF(AND(OR(L21="END_TURN",DH21="敌方"),INDEX(回合状态!$C$7:$C$17,MATCH(DG21,回合状态!$A$7:$A$17,0))&lt;&gt;"洞穿",SUMIFS($FE$3:FE20,$DG$3:DG20,DG21)=0),1,0))</f>
        <v>0</v>
      </c>
    </row>
    <row r="22" spans="1:161" ht="84.95" customHeight="1">
      <c r="A22" s="1">
        <f>行动模拟!A28</f>
        <v>20</v>
      </c>
      <c r="B22" s="1">
        <f>IF(D22="",0,INDEX(回合状态!$B$7:$B$17,MATCH(DG22,回合状态!$A$7:$A$17,0)))</f>
        <v>3</v>
      </c>
      <c r="C22" s="1">
        <f>行动模拟!C28</f>
        <v>1</v>
      </c>
      <c r="D22" s="1" t="str">
        <f>IF(行动模拟!D28="","",行动模拟!D28)</f>
        <v>小瑞安侬｜悄冥冥术阵</v>
      </c>
      <c r="E22" s="1" t="str">
        <f>IF($D22="","",IFERROR(INDEX(技能数据库!$B$4:$B$38,MATCH($D22,技能数据库!$A$4:$A$38,0)),""))</f>
        <v>小瑞安侬</v>
      </c>
      <c r="F22" s="1" t="str">
        <f>IF($D22="","",IFERROR(INDEX(技能数据库!$C$4:$C$38,MATCH($D22,技能数据库!$A$4:$A$38,0)),""))</f>
        <v>悄冥冥术阵</v>
      </c>
      <c r="G22" s="1">
        <f>IF($D22="","",IFERROR(INDEX(技能数据库!$D$4:$D$38,MATCH($D22,技能数据库!$A$4:$A$38,0)),""))</f>
        <v>0</v>
      </c>
      <c r="H22" s="1" t="str">
        <f>IF($D22="","",IFERROR(INDEX(技能数据库!$E$4:$E$38,MATCH($D22,技能数据库!$A$4:$A$38,0)),""))</f>
        <v>增益</v>
      </c>
      <c r="I22" s="1" t="str">
        <f>IF($D22="","",IFERROR(INDEX(技能数据库!$F$4:$F$38,MATCH($D22,技能数据库!$A$4:$A$38,0)),""))</f>
        <v>无</v>
      </c>
      <c r="J22" s="1">
        <f>IF($D22="","",IFERROR(INDEX(技能数据库!$G$4:$G$38,MATCH($D22,技能数据库!$A$4:$A$38,0)),""))</f>
        <v>0</v>
      </c>
      <c r="K22" s="1">
        <f>IF($D22="","",IFERROR(INDEX(技能数据库!$H$4:$H$38,MATCH($D22,技能数据库!$A$4:$A$38,0)),""))</f>
        <v>0</v>
      </c>
      <c r="L22" s="1" t="str">
        <f>IF($D22="","",IFERROR(INDEX(技能数据库!$I$4:$I$38,MATCH($D22,技能数据库!$A$4:$A$38,0)),""))</f>
        <v>RHI_BUFF</v>
      </c>
      <c r="M22" s="10">
        <v>1</v>
      </c>
      <c r="N22" s="1"/>
      <c r="O22" s="1"/>
      <c r="P22" s="1"/>
      <c r="Q22" s="10">
        <f t="shared" si="0"/>
        <v>0</v>
      </c>
      <c r="R22" s="10">
        <v>0</v>
      </c>
      <c r="S22" s="10">
        <v>0</v>
      </c>
      <c r="T22" s="1">
        <f>行动模拟!I28</f>
        <v>0</v>
      </c>
      <c r="U22" s="1">
        <f>IF(FD22&lt;&gt;FD21,IF(BY21=1,IF(MIN(10,CA21+IF(AND(DG22&lt;&gt;DG21,DH21&lt;&gt;"洞穿",SUMIFS($FE$3:FE21,$DG$3:DG21,DG21)=0,BY21=1),3,0))&gt;=10,2,1),IF(BY21=2,IF(BZ21&lt;=1,0,2),0)),BY21)</f>
        <v>2</v>
      </c>
      <c r="V22" s="1">
        <f>IF(FD22&lt;&gt;FD21,IF(BY21=1,IF(MIN(10,CA21+IF(AND(DG22&lt;&gt;DG21,DH21&lt;&gt;"洞穿",SUMIFS($FE$3:FE21,$DG$3:DG21,DG21)=0,BY21=1),3,0))&gt;=10,2,0),IF(BY21=2,MAX(0,BZ21-1),0)),BZ21)</f>
        <v>1</v>
      </c>
      <c r="W22" s="1">
        <f>IF(AND(FD22&lt;&gt;FD21,BY21=2,BZ21&lt;=1),0,MIN(10,CA21+IF(AND(DG22&lt;&gt;DG21,DH21&lt;&gt;"洞穿",SUMIFS($FE$3:FE21,$DG$3:DG21,DG21)=0,BY21=1),3,0)))</f>
        <v>10</v>
      </c>
      <c r="X22" s="1">
        <f t="shared" si="42"/>
        <v>6</v>
      </c>
      <c r="Y22" s="1">
        <f t="shared" si="43"/>
        <v>0</v>
      </c>
      <c r="Z22" s="1">
        <f t="shared" si="44"/>
        <v>0</v>
      </c>
      <c r="AA22" s="1">
        <f t="shared" si="45"/>
        <v>0</v>
      </c>
      <c r="AB22" s="1">
        <f t="shared" si="46"/>
        <v>1</v>
      </c>
      <c r="AC22" s="1">
        <f t="shared" si="47"/>
        <v>0</v>
      </c>
      <c r="AD22" s="1">
        <f t="shared" si="48"/>
        <v>16</v>
      </c>
      <c r="AE22" s="1">
        <f>IF(D22="",0,IF(DG22&lt;&gt;DG21,IFERROR(INDEX(回合状态!$F$7:$F$17,MATCH(DG22,回合状态!$A$7:$A$17,0)),0),CI21))</f>
        <v>6</v>
      </c>
      <c r="AF22" s="10">
        <f t="shared" si="49"/>
        <v>0</v>
      </c>
      <c r="AG22" s="1">
        <f t="shared" si="50"/>
        <v>0</v>
      </c>
      <c r="AH22" s="1">
        <f t="shared" si="51"/>
        <v>3</v>
      </c>
      <c r="AI22" s="1">
        <f t="shared" si="52"/>
        <v>4</v>
      </c>
      <c r="AJ22" s="1">
        <f t="shared" si="53"/>
        <v>5</v>
      </c>
      <c r="AK22" s="1">
        <f t="shared" si="54"/>
        <v>4</v>
      </c>
      <c r="AL22" s="1">
        <f t="shared" si="55"/>
        <v>3</v>
      </c>
      <c r="AM22" s="1">
        <f t="shared" si="56"/>
        <v>5</v>
      </c>
      <c r="AN22" s="1">
        <f t="shared" si="57"/>
        <v>0</v>
      </c>
      <c r="AO22" s="1">
        <f t="shared" si="58"/>
        <v>0</v>
      </c>
      <c r="AP22" s="10">
        <f t="shared" si="59"/>
        <v>0</v>
      </c>
      <c r="AQ22" s="1">
        <f t="shared" si="60"/>
        <v>0</v>
      </c>
      <c r="AR22" s="10">
        <f t="shared" si="61"/>
        <v>0</v>
      </c>
      <c r="AS22" s="1">
        <f t="shared" si="62"/>
        <v>0</v>
      </c>
      <c r="AT22" s="10">
        <f t="shared" si="63"/>
        <v>0</v>
      </c>
      <c r="AU22" s="1">
        <f t="shared" si="64"/>
        <v>0</v>
      </c>
      <c r="AV22" s="1">
        <f>MIN(5,SUMIFS($EL$3:EL22,$B$3:B22,"&gt;="&amp;MAX(1,B22-2),$B$3:B22,"&lt;="&amp;B22)+EC22)</f>
        <v>5</v>
      </c>
      <c r="AW22" s="1">
        <f>MIN(6,SUMIFS($EY$3:EY21,$EX$3:EX21,"&gt;="&amp;MAX(1,EX22-Boss参数!$B$87+1),$EX$3:EX21,"&lt;="&amp;EX22))</f>
        <v>2</v>
      </c>
      <c r="AX22" s="1">
        <f>MIN(4,COUNTIFS($B$3:$B$21,"&gt;="&amp;MAX(1,$B22-2),$B$3:$B$21,"&lt;="&amp;$B22,$L$3:$L$21,"37_FOLLOW"))</f>
        <v>3</v>
      </c>
      <c r="AY22" s="9">
        <f>IF($E22="","",IF($E22="系统",0,ROUNDDOWN(INDEX(角色面板!$C$4:$C$7,MATCH($E22,角色面板!$A$4:$A$7,0))*(1+INDEX(角色面板!$C$11:$C$14,MATCH($E22,角色面板!$A$11:$A$14,0))+IF($E22="小瑞安侬",MAX(IF($B22&lt;=$AQ22,$AP22,0),IF(AND($L22="RHI_ATTACK",$EE22&gt;0),0.11+0.01*$G22,0)),0)+IF($E22="J",$AD22*Boss参数!$B$18,0))+IF(FD22&lt;=$AN22,MIN(Boss参数!$B$21,ROUNDDOWN(角色面板!$C$19*Boss参数!$B$20,0)),0)+IF(AND($B22&lt;=$AK22,$E22&lt;&gt;"小瑞安侬"),$DY22,0),0)))</f>
        <v>2986</v>
      </c>
      <c r="AZ22" s="10">
        <f>IF($E22="","",MAX(0,MIN(1,IFERROR(INDEX(角色面板!$G$18:$G$21,MATCH($E22,角色面板!$A$18:$A$21,0)),0)-FC22*Boss参数!$B$89-Boss参数!$E$4)))</f>
        <v>0.55499999999999994</v>
      </c>
      <c r="BA22" s="10">
        <f>IF(E22="","",(IF($E22="","",IF($E22="红弩箭",Boss参数!$B$80,IF($E22="J",Boss参数!$B$81,IFERROR(INDEX(角色面板!$H$18:$H$21,MATCH($E22,角色面板!$A$18:$A$21,0)),0)))+IF($B22&lt;=$AI22,Boss参数!$B$13,0)+MIN(30,$AM22)*Boss参数!$B$17+IF(AND($L22="LILYA_ULT",$X22&gt;=6),1,0)+IF(AND($Y22=1,$L22="LILYA_INSIGHT"),IF(MOD($AA22+1,3)=0,Boss参数!$B$83,Boss参数!$B$82),IF(AND($Y22=1,$L22="LILYA_FINISH"),Boss参数!$B$84,0))))-FC22*Boss参数!$B$90)</f>
        <v>1.73</v>
      </c>
      <c r="BB22" s="10">
        <f>IF($E22="","",IFERROR(INDEX(角色面板!$M$18:$M$21,MATCH($E22,角色面板!$A$18:$A$21,0)),0)+$AW22*Boss参数!$B$12+IF($B22&lt;=$AG22,$AF22,0)+$EI22+IF($L22="LILYA_DIVE",IF($U22=1,IF($G22=1,0.3,IF($G22=2,0.4,0.5)),IF($U22=2,IF($G22=1,0.6,IF($G22=2,0.8,1)),0)),0)+$R22+IF(AND($E22="J",OR($L22="J_COUNTER",$L22="J_HARD")),Boss参数!$B$79,0)+IF(AND(OR(L22="J_COUNTER",L22="J_HARD"),FA22&gt;=Boss参数!$B$59),FA22*Boss参数!$B$40,0))</f>
        <v>0.04</v>
      </c>
      <c r="BC22" s="10">
        <f>IF($E22="","",IFERROR(INDEX(角色面板!$K$18:$K$21,MATCH($E22,角色面板!$A$18:$A$21,0)),0)+IF($B22&lt;=$AH22,Boss参数!$B$46,0)+IF($E22="红弩箭",IF($U22=1,0.6,IF($U22=2,1.2,0))+$W22*0.06,0))-DI22*Boss参数!$B$23</f>
        <v>-0.7</v>
      </c>
      <c r="BD22" s="10">
        <f>IF($E22="","",IFERROR(INDEX(角色面板!$L$18:$L$21,MATCH($E22,角色面板!$A$18:$A$21,0)),0)+IF($B22&lt;=$AH22,Boss参数!$B$46,0)+IF($E22="J",$AL22*Boss参数!$B$16,0)+IF($E22="红弩箭",$X22*0.025,0)+IF(AND($L22="LILYA_ULT",$X22&gt;=6),1,0))-DI22*Boss参数!$B$23</f>
        <v>-0.3</v>
      </c>
      <c r="BE22" s="10">
        <f>IF($E22="","",IF($H22="洞知",IF($E22="红弩箭",$AO22*Boss参数!$B$15,0)+$AX22*Boss参数!$B$14,0))</f>
        <v>0</v>
      </c>
      <c r="BF22" s="10">
        <f t="shared" si="1"/>
        <v>0</v>
      </c>
      <c r="BG22" s="10">
        <f>IF($D22="",0,IF(AND($L22&lt;&gt;"LILYA_DIVE",$L22&lt;&gt;"LILYA_ULT",$L22&lt;&gt;"LILYA_INSIGHT",$L22&lt;&gt;"LILYA_FINISH",$L22&lt;&gt;"37_FOLLOW",$L22&lt;&gt;"RHI_ATTACK",$L22&lt;&gt;"RHI_BERRY",$L22&lt;&gt;"J_COUNTER",$L22&lt;&gt;"J_ULT"),$J22,0)+IF($L22="LILYA_DIVE",$J22+IF($U22=1,IF($G22=1,6,IF($G22=2,12,18)),IF($U22=2,IF($G22=1,12,IF($G22=2,24,36)),0)),0)+IF($L22="LILYA_ULT",$J22+IF($X22&gt;=6,18,0),0)+IF($L22="LILYA_INSIGHT",IF($Y22=1,IF(MOD($AA22+1,3)=0,32,15),0),0)+IF($L22="LILYA_FINISH",IF($Y22=1,50+2.5*$Z22,0),0)+IF($L22="37_FOLLOW",$J22,0)+IF($L22="RHI_ATTACK",$J22*IF($B22&lt;=$AJ22,2,1),0)+IF($L22="RHI_BERRY",15+1.5*$AV22,0)+IF($L22="J_COUNTER",$J22+$AD22*Boss参数!$B$39,0)+IF($L22="J_ULT",$J22+Boss参数!$B$45*MAX(0,$AE22+$AD22-Boss参数!$I$4),0)+$S22)</f>
        <v>0</v>
      </c>
      <c r="BH22" s="10">
        <f t="shared" si="2"/>
        <v>0</v>
      </c>
      <c r="BI22" s="10">
        <f>IF(E22="","",IF(DT22=1,1+Boss参数!$B$8+AV22*Boss参数!$B$19,1))</f>
        <v>1</v>
      </c>
      <c r="BJ22" s="9">
        <f>IF($I22="现实",Boss参数!$C$4,IF($I22="精神",Boss参数!$D$4,0))</f>
        <v>0</v>
      </c>
      <c r="BK22" s="9">
        <f>IF($E22="","",MAX($AY22*Boss参数!$B$9,$AY22-$BJ22*(1-$BF22)))</f>
        <v>2986</v>
      </c>
      <c r="BL22" s="10">
        <f>MAX(0,Boss参数!$F$4+IF(DT22=0,Boss参数!$B$27,0)-EJ22)</f>
        <v>1.4</v>
      </c>
      <c r="BM22" s="10">
        <f>Boss参数!$G$4+DU22-IF(Y22=1,Boss参数!$B$11,0)</f>
        <v>0.5</v>
      </c>
      <c r="BN22" s="10">
        <f>IF($E22="","",MAX(Boss参数!$B$10,1+IFERROR(INDEX(角色面板!$I$18:$I$21,MATCH($E22,角色面板!$A$18:$A$21,0)),0)+$BB22+Boss参数!$H$4-$BM22))</f>
        <v>0.57499999999999996</v>
      </c>
      <c r="BO22" s="10">
        <f>IF(E22="","",IF(OR(L22="J_COUNTER",L22="J_HARD"),MAX(0,1+INDEX(角色面板!$K$18:$K$21,MATCH(E22,角色面板!$A$18:$A$21,0))-DI22*Boss参数!$B$23+IF(OR(Boss参数!$B$43=1,L22="J_HARD"),IF(B22&lt;=AH22,Boss参数!$B$46,0),0)),MAX(0,IF(OR(H22="术法",L22="RHI_BERRY",AND(L22="37_FOLLOW",Boss参数!$B$31=1)),1+BC22,IF(H22="仪式",1+BD22,IF(H22="洞知",EK22,1))))))</f>
        <v>1</v>
      </c>
      <c r="BP22" s="10">
        <f t="shared" si="3"/>
        <v>1.1000000000000001</v>
      </c>
      <c r="BQ22" s="1">
        <f t="shared" si="4"/>
        <v>0</v>
      </c>
      <c r="BR22" s="1">
        <f t="shared" si="5"/>
        <v>0</v>
      </c>
      <c r="BS22" s="1">
        <f>IF(BH22=0,0,ROUNDDOWN(AY22*BH22,0)*DV22*IF(Boss参数!$B$29=1,BN22,1)*IF(Boss参数!$B$33=1,BO22,1)*IF(Boss参数!$B$76=1,1-ES22,1))</f>
        <v>0</v>
      </c>
      <c r="BT22" s="1">
        <f t="shared" si="6"/>
        <v>0</v>
      </c>
      <c r="BU22" s="9">
        <f>IF(D22="",0,MIN(IF(Boss参数!$B$77=1,Boss参数!$B$63*Boss参数!$B$62,Boss参数!$B$61*Boss参数!$B$62),DW22+ROUNDDOWN(BS22,0)+ROUNDDOWN(DW22*Q22,0)))</f>
        <v>0</v>
      </c>
      <c r="BV22" s="9">
        <f>IF(D22="",0,MIN(IF(Boss参数!$B$77=1,Boss参数!$B$63*Boss参数!$B$62,Boss参数!$B$61*Boss参数!$B$62),DX22+ROUNDDOWN(BT22,0)+ROUNDDOWN(DX22*Q22,0)))</f>
        <v>0</v>
      </c>
      <c r="BW22" s="9">
        <f t="shared" si="7"/>
        <v>0</v>
      </c>
      <c r="BX22" s="1" t="str">
        <f t="shared" si="8"/>
        <v/>
      </c>
      <c r="BY22" s="1">
        <f t="shared" si="9"/>
        <v>2</v>
      </c>
      <c r="BZ22" s="1">
        <f t="shared" si="10"/>
        <v>1</v>
      </c>
      <c r="CA22" s="1">
        <f>MIN(10,W22+IF(AND(L22="LILYA_COBRA",COUNTIF($L$3:L22,"LILYA_COBRA")=1),5,0)+IF(AND(L22="LILYA_DIVE",U22=1,COUNTIFS($DG$3:DG22,DG22,$L$3:L22,"LILYA_DIVE")=1),2,0)+IF(AND(FE22=1,U22=1),3,0))</f>
        <v>10</v>
      </c>
      <c r="CB22" s="1">
        <f>MIN(20,MAX(0,X22+IF(L22="LILYA_COBRA",IF(COUNTIF($L$3:L22,"LILYA_COBRA")=1,6,IF(U22=1,MAX(1,G22),IF(U22=2,2*MAX(1,G22),0))),0)+IF(AND(Y22=1,E22="红弩箭",L22&lt;&gt;"ENTER_INSIGHT"),1,0)-IF(AND(L22="LILYA_ULT",X22&gt;=6),6,0)))</f>
        <v>6</v>
      </c>
      <c r="CC22" s="1">
        <f t="shared" si="11"/>
        <v>0</v>
      </c>
      <c r="CD22" s="1">
        <f t="shared" si="12"/>
        <v>0</v>
      </c>
      <c r="CE22" s="1">
        <f t="shared" si="13"/>
        <v>0</v>
      </c>
      <c r="CF22" s="1">
        <f t="shared" si="14"/>
        <v>2</v>
      </c>
      <c r="CG22" s="1">
        <f t="shared" si="15"/>
        <v>0</v>
      </c>
      <c r="CH22" s="1">
        <f>MIN(35,AD22+IF(L22="J_HARD",6,0)+IF(L22="J_COUNTER",Boss参数!$B$30,0))</f>
        <v>16</v>
      </c>
      <c r="CI22" s="1">
        <f>MIN(Boss参数!$I$4,AE22+IF(L22="J_HARD",6,0)+IF(L22="J_ULT",AD22,0)+IF(L22="J_COUNTER",Boss参数!$B$30,0))</f>
        <v>6</v>
      </c>
      <c r="CJ22" s="10">
        <f>IF(L22="J_ULT",AD22*Boss参数!$B$41,IF(B22&lt;=AG22,AF22,0))</f>
        <v>0</v>
      </c>
      <c r="CK22" s="1">
        <f t="shared" si="16"/>
        <v>0</v>
      </c>
      <c r="CL22" s="1">
        <f t="shared" si="17"/>
        <v>5</v>
      </c>
      <c r="CM22" s="1">
        <f t="shared" si="18"/>
        <v>4</v>
      </c>
      <c r="CN22" s="1">
        <f t="shared" si="19"/>
        <v>5</v>
      </c>
      <c r="CO22" s="1">
        <f t="shared" si="20"/>
        <v>4</v>
      </c>
      <c r="CP22" s="1">
        <f t="shared" si="21"/>
        <v>3</v>
      </c>
      <c r="CQ22" s="1">
        <f t="shared" si="22"/>
        <v>5</v>
      </c>
      <c r="CR22" s="1">
        <f t="shared" si="23"/>
        <v>0</v>
      </c>
      <c r="CS22" s="1">
        <f t="shared" si="24"/>
        <v>0</v>
      </c>
      <c r="CT22" s="10">
        <f t="shared" si="25"/>
        <v>0</v>
      </c>
      <c r="CU22" s="1">
        <f t="shared" si="26"/>
        <v>0</v>
      </c>
      <c r="CV22" s="10">
        <f t="shared" si="27"/>
        <v>0</v>
      </c>
      <c r="CW22" s="1">
        <f t="shared" si="28"/>
        <v>0</v>
      </c>
      <c r="CX22" s="10">
        <f t="shared" si="29"/>
        <v>0.3</v>
      </c>
      <c r="CY22" s="1">
        <f t="shared" si="30"/>
        <v>5</v>
      </c>
      <c r="CZ22" s="1"/>
      <c r="DA22" s="1"/>
      <c r="DB22" s="1"/>
      <c r="DC22" s="1"/>
      <c r="DD22" s="1"/>
      <c r="DE22" s="1"/>
      <c r="DF22" s="1"/>
      <c r="DG22" s="1">
        <f>IF(D22="","",行动模拟!B28)</f>
        <v>3</v>
      </c>
      <c r="DH22" s="1" t="str">
        <f>IF(L22="END_TURN","回合结束",IF(D22="","",IF(INDEX(回合状态!$C$7:$C$17,MATCH(DG22,回合状态!$A$7:$A$17,0))="洞穿","洞穿",IF(OR(L22="J_COUNTER",L22="BOSS_ACTION",L22="BOSS_CONSERVATIVE"),"敌方",IF(AND(L22="37_FOLLOW",DG22=DG21,DH21="敌方"),"敌方",IF(INDEX(回合状态!$C$7:$C$17,MATCH(DG22,回合状态!$A$7:$A$17,0))="普通","出牌",INDEX(回合状态!$C$7:$C$17,MATCH(DG22,回合状态!$A$7:$A$17,0))))))))</f>
        <v>出牌</v>
      </c>
      <c r="DI22" s="1">
        <f t="shared" si="31"/>
        <v>4</v>
      </c>
      <c r="DJ22" s="1">
        <f>IF(D22="",0,MIN(Boss参数!$B$25,IF(OR(AND(DH22="敌方",OR(DH21&lt;&gt;"敌方",DG22&lt;&gt;DG21)),AND(L22="END_TURN",DH22&lt;&gt;"洞穿"),AND(DG22&lt;&gt;DG21,DH21&lt;&gt;"洞穿",L21&lt;&gt;"END_TURN",COUNTIFS($DG$3:DG21,DG21,$DH$3:DH21,"敌方")=0)),EW22,DN21)))</f>
        <v>4</v>
      </c>
      <c r="DK22" s="1">
        <f>IF(D22="",0,MIN(Boss参数!$B$25,IF(OR(AND(DH22="敌方",OR(DH21&lt;&gt;"敌方",DG22&lt;&gt;DG21)),AND(L22="END_TURN",DH22&lt;&gt;"洞穿"),AND(DG22&lt;&gt;DG21,DH21&lt;&gt;"洞穿",L21&lt;&gt;"END_TURN",COUNTIFS($DG$3:DG21,DG21,$DH$3:DH21,"敌方")=0)),EW22,DO21)))</f>
        <v>2</v>
      </c>
      <c r="DL22" s="1">
        <f>IF(D22="",0,MIN(Boss参数!$B$25,IF(OR(AND(DH22="敌方",OR(DH21&lt;&gt;"敌方",DG22&lt;&gt;DG21)),AND(L22="END_TURN",DH22&lt;&gt;"洞穿"),AND(DG22&lt;&gt;DG21,DH21&lt;&gt;"洞穿",L21&lt;&gt;"END_TURN",COUNTIFS($DG$3:DG21,DG21,$DH$3:DH21,"敌方")=0)),EW22,DP21)))</f>
        <v>4</v>
      </c>
      <c r="DM22" s="1">
        <f>IF(D22="",0,MIN(Boss参数!$B$25,IF(OR(AND(DH22="敌方",OR(DH21&lt;&gt;"敌方",DG22&lt;&gt;DG21)),AND(L22="END_TURN",DH22&lt;&gt;"洞穿"),AND(DG22&lt;&gt;DG21,DH21&lt;&gt;"洞穿",L21&lt;&gt;"END_TURN",COUNTIFS($DG$3:DG21,DG21,$DH$3:DH21,"敌方")=0)),EW22,DQ21)))</f>
        <v>0</v>
      </c>
      <c r="DN22" s="1">
        <f>MAX(0,MIN(Boss参数!$B$25,DJ22+DR22)-IF(E22="红弩箭",2*DR22,0))</f>
        <v>4</v>
      </c>
      <c r="DO22" s="1">
        <f>MAX(0,MIN(Boss参数!$B$25,DK22+DR22)-IF(E22="37",2*DR22,0))</f>
        <v>2</v>
      </c>
      <c r="DP22" s="1">
        <f>MAX(0,MIN(Boss参数!$B$25,DL22+DR22)-IF(E22="小瑞安侬",2*DR22,0))</f>
        <v>4</v>
      </c>
      <c r="DQ22" s="1">
        <f>MAX(0,MIN(Boss参数!$B$25,DM22+DR22)-IF(E22="J",2*DR22,0))</f>
        <v>0</v>
      </c>
      <c r="DR22" s="1">
        <f t="shared" si="32"/>
        <v>0</v>
      </c>
      <c r="DS22" s="1">
        <f t="shared" si="33"/>
        <v>0</v>
      </c>
      <c r="DT22" s="1">
        <f>IF(OR(E22="",E22="系统"),0,IF(OR(AND(DS22=1,Boss参数!$B$32=1),L22="RHI_BERRY",OR(AND(INDEX(角色面板!$B$18:$B$21,MATCH(E22,角色面板!$A$18:$A$21,0))="星",Boss参数!$B$4="岩"),AND(INDEX(角色面板!$B$18:$B$21,MATCH(E22,角色面板!$A$18:$A$21,0))="岩",Boss参数!$B$4="兽"),AND(INDEX(角色面板!$B$18:$B$21,MATCH(E22,角色面板!$A$18:$A$21,0))="兽",Boss参数!$B$4="木"),AND(INDEX(角色面板!$B$18:$B$21,MATCH(E22,角色面板!$A$18:$A$21,0))="木",Boss参数!$B$4="星"),AND(INDEX(角色面板!$B$18:$B$21,MATCH(E22,角色面板!$A$18:$A$21,0))="智",Boss参数!$B$4="灵"),AND(INDEX(角色面板!$B$18:$B$21,MATCH(E22,角色面板!$A$18:$A$21,0))="灵",Boss参数!$B$4="智"))),1,0))</f>
        <v>0</v>
      </c>
      <c r="DU22" s="1">
        <f>IF(D22="",0,INDEX(回合状态!$E$7:$E$17,MATCH(DG22,回合状态!$A$7:$A$17,0))+IF(AND(DH22="敌方",OR(INDEX(回合状态!$C$7:$C$17,MATCH(DG22,回合状态!$A$7:$A$17,0))="普通",INDEX(回合状态!$C$7:$C$17,MATCH(DG22,回合状态!$A$7:$A$17,0))="额外")),0.05,0))</f>
        <v>0.1</v>
      </c>
      <c r="DV22" s="1">
        <f>MAX(Boss参数!$B$28,1+IF(AND(E22="37",AC22&gt;0,BH22&gt;0),Boss参数!$B$42,0)-DI22*Boss参数!$B$24+EA22-ER22)</f>
        <v>0.4</v>
      </c>
      <c r="DW22" s="1">
        <f>MIN(IF(Boss参数!$B$77=1,Boss参数!$B$63*Boss参数!$B$62,Boss参数!$B$61*Boss参数!$B$62),ROUNDDOWN(BQ22*(1-ES22),0))</f>
        <v>0</v>
      </c>
      <c r="DX22" s="1">
        <f>MIN(IF(Boss参数!$B$77=1,Boss参数!$B$63*Boss参数!$B$62,Boss参数!$B$61*Boss参数!$B$62),ROUNDDOWN(BR22*(1-ES22),0))</f>
        <v>0</v>
      </c>
      <c r="DY22" s="1">
        <f t="shared" si="65"/>
        <v>238</v>
      </c>
      <c r="DZ22" s="1">
        <f>IF(L22="RHI_ULT",MIN(Boss参数!$B$48,ROUNDDOWN(AY22*Boss参数!$B$47,0)),DY22)</f>
        <v>238</v>
      </c>
      <c r="EA22" s="11">
        <v>0</v>
      </c>
      <c r="EB22" s="1">
        <f t="shared" si="34"/>
        <v>1</v>
      </c>
      <c r="EC22" s="1">
        <f>SUMIFS($EB$3:EB22,$B$3:B22,"&gt;="&amp;MAX(1,B22-2),$B$3:B22,"&lt;="&amp;B22)*Boss参数!$B$51</f>
        <v>8</v>
      </c>
      <c r="ED22" s="1">
        <f>IF(D22="",EG21,IF(AND(DG22&lt;&gt;DG21,DH22&lt;&gt;"洞穿"),MIN(Boss参数!$B$55,EG21+2),EG21))</f>
        <v>3</v>
      </c>
      <c r="EE22" s="1">
        <f t="shared" si="35"/>
        <v>1</v>
      </c>
      <c r="EF22" s="1">
        <f>IF(AND(OR(L22="END_TURN",AND(DH22="敌方",OR(DH21&lt;&gt;"敌方",DG22&lt;&gt;DG21))),SUMIFS($EF$3:EF21,$DG$3:DG21,DG22)=0),MIN(1,MAX(0,ED22-EE22)),0)</f>
        <v>0</v>
      </c>
      <c r="EG22" s="1">
        <f t="shared" si="36"/>
        <v>2</v>
      </c>
      <c r="EH22" s="11">
        <f>Boss参数!$B$53-IF(Y22=1,Boss参数!$B$54,0)</f>
        <v>0</v>
      </c>
      <c r="EI22" s="11">
        <f t="shared" si="37"/>
        <v>0</v>
      </c>
      <c r="EJ22" s="11">
        <f t="shared" si="38"/>
        <v>0</v>
      </c>
      <c r="EK22" s="11">
        <f t="shared" si="39"/>
        <v>1</v>
      </c>
      <c r="EL22" s="1">
        <f t="shared" si="66"/>
        <v>1</v>
      </c>
      <c r="EM22" s="1">
        <f>IF(AND(DG22&lt;&gt;DG21,DH22="洞穿"),0,IF(L22="ENTER_INSIGHT",Boss参数!$B$57,EO21))</f>
        <v>0</v>
      </c>
      <c r="EN22" s="11">
        <f>IF(AND(Y22=1,H22="洞知",EM22&gt;0),Boss参数!$B$56,0)</f>
        <v>0</v>
      </c>
      <c r="EO22" s="1">
        <f t="shared" si="40"/>
        <v>0</v>
      </c>
      <c r="EP22" s="12">
        <f t="shared" si="67"/>
        <v>142809</v>
      </c>
      <c r="EQ22" s="12">
        <f>ROUNDDOWN(EP22/Boss参数!$B$62,0)</f>
        <v>1</v>
      </c>
      <c r="ER22" s="11">
        <f>IF(EQ22&gt;=Boss参数!$B$66,Boss参数!$B$69,IF(EQ22&gt;=Boss参数!$B$65,Boss参数!$B$68,IF(EQ22&gt;=Boss参数!$B$64,Boss参数!$B$67,0)))</f>
        <v>0</v>
      </c>
      <c r="ES22" s="11">
        <f>MIN(1,IF(EQ22&gt;=Boss参数!$B$66,Boss参数!$B$72+ROUNDDOWN((EQ22-Boss参数!$B$66)/Boss参数!$B$73,0)*Boss参数!$B$74,IF(EQ22&gt;=Boss参数!$B$65,Boss参数!$B$71,IF(EQ22&gt;=Boss参数!$B$64,Boss参数!$B$70,0))))</f>
        <v>0</v>
      </c>
      <c r="ET22" s="12">
        <f>MIN(Boss参数!$B$61*Boss参数!$B$62,EP22+IF(AND(Boss参数!$B$60=1,ISNUMBER(验证表!H28)),验证表!H28,EU22))</f>
        <v>142809</v>
      </c>
      <c r="EU22" s="12">
        <f>IF(D22="",0,IF(验证表!G28="是",BV22,IF(验证表!G28="否",BU22,BW22)))</f>
        <v>0</v>
      </c>
      <c r="EV22" s="12">
        <f>IF(EQ22&gt;=Boss参数!$B$66,2,IF(EQ22&gt;=Boss参数!$B$65,1,0))</f>
        <v>0</v>
      </c>
      <c r="EW22" s="12">
        <f t="shared" si="41"/>
        <v>1</v>
      </c>
      <c r="EX22" s="1">
        <f>IF(D22="",0,INDEX(回合状态!$D$7:$D$17,MATCH(DG22,回合状态!$A$7:$A$17,0)))</f>
        <v>3</v>
      </c>
      <c r="EY22" s="1">
        <f>IF(OR(L22="RHI_ATTACK",L22="RHI_BUFF"),1,IF(L22="RHI_ULT",Boss参数!$B$52,0))</f>
        <v>1</v>
      </c>
      <c r="EZ22" s="1">
        <f>MIN(6,SUMIFS($EY$3:EY22,$EX$3:EX22,"&gt;="&amp;MAX(1,EX22-Boss参数!$B$87+1),$EX$3:EX22,"&lt;="&amp;EX22))</f>
        <v>3</v>
      </c>
      <c r="FA22" s="1">
        <f t="shared" si="68"/>
        <v>16</v>
      </c>
      <c r="FB22" s="17">
        <f>IF(L22="BOSS_CONSERVATIVE",B22+Boss参数!$B$91,FB21)</f>
        <v>0</v>
      </c>
      <c r="FC22" s="17">
        <f t="shared" si="69"/>
        <v>0</v>
      </c>
      <c r="FD22" s="17">
        <f>IF(D22="",FD21,FD21+IF(AND(DG22&lt;&gt;DG21,INDEX(回合状态!$C$7:$C$17,MATCH(DG22,回合状态!$A$7:$A$17,0))&lt;&gt;"洞穿"),1,0))</f>
        <v>3</v>
      </c>
      <c r="FE22" s="17">
        <f>IF(D22="",0,IF(AND(OR(L22="END_TURN",DH22="敌方"),INDEX(回合状态!$C$7:$C$17,MATCH(DG22,回合状态!$A$7:$A$17,0))&lt;&gt;"洞穿",SUMIFS($FE$3:FE21,$DG$3:DG21,DG22)=0),1,0))</f>
        <v>0</v>
      </c>
    </row>
    <row r="23" spans="1:161" ht="84.95" customHeight="1">
      <c r="A23" s="1">
        <f>行动模拟!A29</f>
        <v>21</v>
      </c>
      <c r="B23" s="1">
        <f>IF(D23="",0,INDEX(回合状态!$B$7:$B$17,MATCH(DG23,回合状态!$A$7:$A$17,0)))</f>
        <v>3</v>
      </c>
      <c r="C23" s="1">
        <f>行动模拟!C29</f>
        <v>2</v>
      </c>
      <c r="D23" s="1" t="str">
        <f>IF(行动模拟!D29="","",行动模拟!D29)</f>
        <v>37｜数与几何的王国</v>
      </c>
      <c r="E23" s="1" t="str">
        <f>IF($D23="","",IFERROR(INDEX(技能数据库!$B$4:$B$38,MATCH($D23,技能数据库!$A$4:$A$38,0)),""))</f>
        <v>37</v>
      </c>
      <c r="F23" s="1" t="str">
        <f>IF($D23="","",IFERROR(INDEX(技能数据库!$C$4:$C$38,MATCH($D23,技能数据库!$A$4:$A$38,0)),""))</f>
        <v>数与几何的王国</v>
      </c>
      <c r="G23" s="1">
        <f>IF($D23="","",IFERROR(INDEX(技能数据库!$D$4:$D$38,MATCH($D23,技能数据库!$A$4:$A$38,0)),""))</f>
        <v>0</v>
      </c>
      <c r="H23" s="1" t="str">
        <f>IF($D23="","",IFERROR(INDEX(技能数据库!$E$4:$E$38,MATCH($D23,技能数据库!$A$4:$A$38,0)),""))</f>
        <v>仪式</v>
      </c>
      <c r="I23" s="1" t="str">
        <f>IF($D23="","",IFERROR(INDEX(技能数据库!$F$4:$F$38,MATCH($D23,技能数据库!$A$4:$A$38,0)),""))</f>
        <v>无</v>
      </c>
      <c r="J23" s="1">
        <f>IF($D23="","",IFERROR(INDEX(技能数据库!$G$4:$G$38,MATCH($D23,技能数据库!$A$4:$A$38,0)),""))</f>
        <v>0</v>
      </c>
      <c r="K23" s="1">
        <f>IF($D23="","",IFERROR(INDEX(技能数据库!$H$4:$H$38,MATCH($D23,技能数据库!$A$4:$A$38,0)),""))</f>
        <v>0</v>
      </c>
      <c r="L23" s="1" t="str">
        <f>IF($D23="","",IFERROR(INDEX(技能数据库!$I$4:$I$38,MATCH($D23,技能数据库!$A$4:$A$38,0)),""))</f>
        <v>37_ULT</v>
      </c>
      <c r="M23" s="10">
        <v>1</v>
      </c>
      <c r="N23" s="1"/>
      <c r="O23" s="1"/>
      <c r="P23" s="1"/>
      <c r="Q23" s="10">
        <f t="shared" si="0"/>
        <v>0</v>
      </c>
      <c r="R23" s="10">
        <v>0</v>
      </c>
      <c r="S23" s="10">
        <v>0</v>
      </c>
      <c r="T23" s="1">
        <f>行动模拟!I29</f>
        <v>0</v>
      </c>
      <c r="U23" s="1">
        <f>IF(FD23&lt;&gt;FD22,IF(BY22=1,IF(MIN(10,CA22+IF(AND(DG23&lt;&gt;DG22,DH22&lt;&gt;"洞穿",SUMIFS($FE$3:FE22,$DG$3:DG22,DG22)=0,BY22=1),3,0))&gt;=10,2,1),IF(BY22=2,IF(BZ22&lt;=1,0,2),0)),BY22)</f>
        <v>2</v>
      </c>
      <c r="V23" s="1">
        <f>IF(FD23&lt;&gt;FD22,IF(BY22=1,IF(MIN(10,CA22+IF(AND(DG23&lt;&gt;DG22,DH22&lt;&gt;"洞穿",SUMIFS($FE$3:FE22,$DG$3:DG22,DG22)=0,BY22=1),3,0))&gt;=10,2,0),IF(BY22=2,MAX(0,BZ22-1),0)),BZ22)</f>
        <v>1</v>
      </c>
      <c r="W23" s="1">
        <f>IF(AND(FD23&lt;&gt;FD22,BY22=2,BZ22&lt;=1),0,MIN(10,CA22+IF(AND(DG23&lt;&gt;DG22,DH22&lt;&gt;"洞穿",SUMIFS($FE$3:FE22,$DG$3:DG22,DG22)=0,BY22=1),3,0)))</f>
        <v>10</v>
      </c>
      <c r="X23" s="1">
        <f t="shared" si="42"/>
        <v>6</v>
      </c>
      <c r="Y23" s="1">
        <f t="shared" si="43"/>
        <v>0</v>
      </c>
      <c r="Z23" s="1">
        <f t="shared" si="44"/>
        <v>0</v>
      </c>
      <c r="AA23" s="1">
        <f t="shared" si="45"/>
        <v>0</v>
      </c>
      <c r="AB23" s="1">
        <f t="shared" si="46"/>
        <v>2</v>
      </c>
      <c r="AC23" s="1">
        <f t="shared" si="47"/>
        <v>0</v>
      </c>
      <c r="AD23" s="1">
        <f t="shared" si="48"/>
        <v>16</v>
      </c>
      <c r="AE23" s="1">
        <f>IF(D23="",0,IF(DG23&lt;&gt;DG22,IFERROR(INDEX(回合状态!$F$7:$F$17,MATCH(DG23,回合状态!$A$7:$A$17,0)),0),CI22))</f>
        <v>6</v>
      </c>
      <c r="AF23" s="10">
        <f t="shared" si="49"/>
        <v>0</v>
      </c>
      <c r="AG23" s="1">
        <f t="shared" si="50"/>
        <v>0</v>
      </c>
      <c r="AH23" s="1">
        <f t="shared" si="51"/>
        <v>5</v>
      </c>
      <c r="AI23" s="1">
        <f t="shared" si="52"/>
        <v>4</v>
      </c>
      <c r="AJ23" s="1">
        <f t="shared" si="53"/>
        <v>5</v>
      </c>
      <c r="AK23" s="1">
        <f t="shared" si="54"/>
        <v>4</v>
      </c>
      <c r="AL23" s="1">
        <f t="shared" si="55"/>
        <v>3</v>
      </c>
      <c r="AM23" s="1">
        <f t="shared" si="56"/>
        <v>5</v>
      </c>
      <c r="AN23" s="1">
        <f t="shared" si="57"/>
        <v>0</v>
      </c>
      <c r="AO23" s="1">
        <f t="shared" si="58"/>
        <v>0</v>
      </c>
      <c r="AP23" s="10">
        <f t="shared" si="59"/>
        <v>0</v>
      </c>
      <c r="AQ23" s="1">
        <f t="shared" si="60"/>
        <v>0</v>
      </c>
      <c r="AR23" s="10">
        <f t="shared" si="61"/>
        <v>0</v>
      </c>
      <c r="AS23" s="1">
        <f t="shared" si="62"/>
        <v>0</v>
      </c>
      <c r="AT23" s="10">
        <f t="shared" si="63"/>
        <v>0.3</v>
      </c>
      <c r="AU23" s="1">
        <f t="shared" si="64"/>
        <v>5</v>
      </c>
      <c r="AV23" s="1">
        <f>MIN(5,SUMIFS($EL$3:EL23,$B$3:B23,"&gt;="&amp;MAX(1,B23-2),$B$3:B23,"&lt;="&amp;B23)+EC23)</f>
        <v>5</v>
      </c>
      <c r="AW23" s="1">
        <f>MIN(6,SUMIFS($EY$3:EY22,$EX$3:EX22,"&gt;="&amp;MAX(1,EX23-Boss参数!$B$87+1),$EX$3:EX22,"&lt;="&amp;EX23))</f>
        <v>3</v>
      </c>
      <c r="AX23" s="1">
        <f>MIN(4,COUNTIFS($B$3:$B$22,"&gt;="&amp;MAX(1,$B23-2),$B$3:$B$22,"&lt;="&amp;$B23,$L$3:$L$22,"37_FOLLOW"))</f>
        <v>3</v>
      </c>
      <c r="AY23" s="9">
        <f>IF($E23="","",IF($E23="系统",0,ROUNDDOWN(INDEX(角色面板!$C$4:$C$7,MATCH($E23,角色面板!$A$4:$A$7,0))*(1+INDEX(角色面板!$C$11:$C$14,MATCH($E23,角色面板!$A$11:$A$14,0))+IF($E23="小瑞安侬",MAX(IF($B23&lt;=$AQ23,$AP23,0),IF(AND($L23="RHI_ATTACK",$EE23&gt;0),0.11+0.01*$G23,0)),0)+IF($E23="J",$AD23*Boss参数!$B$18,0))+IF(FD23&lt;=$AN23,MIN(Boss参数!$B$21,ROUNDDOWN(角色面板!$C$19*Boss参数!$B$20,0)),0)+IF(AND($B23&lt;=$AK23,$E23&lt;&gt;"小瑞安侬"),$DY23,0),0)))</f>
        <v>3005</v>
      </c>
      <c r="AZ23" s="10">
        <f>IF($E23="","",MAX(0,MIN(1,IFERROR(INDEX(角色面板!$G$18:$G$21,MATCH($E23,角色面板!$A$18:$A$21,0)),0)-FC23*Boss参数!$B$89-Boss参数!$E$4)))</f>
        <v>0.76</v>
      </c>
      <c r="BA23" s="10">
        <f>IF(E23="","",(IF($E23="","",IF($E23="红弩箭",Boss参数!$B$80,IF($E23="J",Boss参数!$B$81,IFERROR(INDEX(角色面板!$H$18:$H$21,MATCH($E23,角色面板!$A$18:$A$21,0)),0)))+IF($B23&lt;=$AI23,Boss参数!$B$13,0)+MIN(30,$AM23)*Boss参数!$B$17+IF(AND($L23="LILYA_ULT",$X23&gt;=6),1,0)+IF(AND($Y23=1,$L23="LILYA_INSIGHT"),IF(MOD($AA23+1,3)=0,Boss参数!$B$83,Boss参数!$B$82),IF(AND($Y23=1,$L23="LILYA_FINISH"),Boss参数!$B$84,0))))-FC23*Boss参数!$B$90)</f>
        <v>2.3780000000000001</v>
      </c>
      <c r="BB23" s="10">
        <f>IF($E23="","",IFERROR(INDEX(角色面板!$M$18:$M$21,MATCH($E23,角色面板!$A$18:$A$21,0)),0)+$AW23*Boss参数!$B$12+IF($B23&lt;=$AG23,$AF23,0)+$EI23+IF($L23="LILYA_DIVE",IF($U23=1,IF($G23=1,0.3,IF($G23=2,0.4,0.5)),IF($U23=2,IF($G23=1,0.6,IF($G23=2,0.8,1)),0)),0)+$R23+IF(AND($E23="J",OR($L23="J_COUNTER",$L23="J_HARD")),Boss参数!$B$79,0)+IF(AND(OR(L23="J_COUNTER",L23="J_HARD"),FA23&gt;=Boss参数!$B$59),FA23*Boss参数!$B$40,0))</f>
        <v>0.36</v>
      </c>
      <c r="BC23" s="10">
        <f>IF($E23="","",IFERROR(INDEX(角色面板!$K$18:$K$21,MATCH($E23,角色面板!$A$18:$A$21,0)),0)+IF($B23&lt;=$AH23,Boss参数!$B$46,0)+IF($E23="红弩箭",IF($U23=1,0.6,IF($U23=2,1.2,0))+$W23*0.06,0))-DI23*Boss参数!$B$23</f>
        <v>-0.4</v>
      </c>
      <c r="BD23" s="10">
        <f>IF($E23="","",IFERROR(INDEX(角色面板!$L$18:$L$21,MATCH($E23,角色面板!$A$18:$A$21,0)),0)+IF($B23&lt;=$AH23,Boss参数!$B$46,0)+IF($E23="J",$AL23*Boss参数!$B$16,0)+IF($E23="红弩箭",$X23*0.025,0)+IF(AND($L23="LILYA_ULT",$X23&gt;=6),1,0))-DI23*Boss参数!$B$23</f>
        <v>0</v>
      </c>
      <c r="BE23" s="10">
        <f>IF($E23="","",IF($H23="洞知",IF($E23="红弩箭",$AO23*Boss参数!$B$15,0)+$AX23*Boss参数!$B$14,0))</f>
        <v>0</v>
      </c>
      <c r="BF23" s="10">
        <f t="shared" si="1"/>
        <v>0</v>
      </c>
      <c r="BG23" s="10">
        <f>IF($D23="",0,IF(AND($L23&lt;&gt;"LILYA_DIVE",$L23&lt;&gt;"LILYA_ULT",$L23&lt;&gt;"LILYA_INSIGHT",$L23&lt;&gt;"LILYA_FINISH",$L23&lt;&gt;"37_FOLLOW",$L23&lt;&gt;"RHI_ATTACK",$L23&lt;&gt;"RHI_BERRY",$L23&lt;&gt;"J_COUNTER",$L23&lt;&gt;"J_ULT"),$J23,0)+IF($L23="LILYA_DIVE",$J23+IF($U23=1,IF($G23=1,6,IF($G23=2,12,18)),IF($U23=2,IF($G23=1,12,IF($G23=2,24,36)),0)),0)+IF($L23="LILYA_ULT",$J23+IF($X23&gt;=6,18,0),0)+IF($L23="LILYA_INSIGHT",IF($Y23=1,IF(MOD($AA23+1,3)=0,32,15),0),0)+IF($L23="LILYA_FINISH",IF($Y23=1,50+2.5*$Z23,0),0)+IF($L23="37_FOLLOW",$J23,0)+IF($L23="RHI_ATTACK",$J23*IF($B23&lt;=$AJ23,2,1),0)+IF($L23="RHI_BERRY",15+1.5*$AV23,0)+IF($L23="J_COUNTER",$J23+$AD23*Boss参数!$B$39,0)+IF($L23="J_ULT",$J23+Boss参数!$B$45*MAX(0,$AE23+$AD23-Boss参数!$I$4),0)+$S23)</f>
        <v>0</v>
      </c>
      <c r="BH23" s="10">
        <f t="shared" si="2"/>
        <v>0</v>
      </c>
      <c r="BI23" s="10">
        <f>IF(E23="","",IF(DT23=1,1+Boss参数!$B$8+AV23*Boss参数!$B$19,1))</f>
        <v>1.5</v>
      </c>
      <c r="BJ23" s="9">
        <f>IF($I23="现实",Boss参数!$C$4,IF($I23="精神",Boss参数!$D$4,0))</f>
        <v>0</v>
      </c>
      <c r="BK23" s="9">
        <f>IF($E23="","",MAX($AY23*Boss参数!$B$9,$AY23-$BJ23*(1-$BF23)))</f>
        <v>3005</v>
      </c>
      <c r="BL23" s="10">
        <f>MAX(0,Boss参数!$F$4+IF(DT23=0,Boss参数!$B$27,0)-EJ23)</f>
        <v>0.4</v>
      </c>
      <c r="BM23" s="10">
        <f>Boss参数!$G$4+DU23-IF(Y23=1,Boss参数!$B$11,0)</f>
        <v>0.5</v>
      </c>
      <c r="BN23" s="10">
        <f>IF($E23="","",MAX(Boss参数!$B$10,1+IFERROR(INDEX(角色面板!$I$18:$I$21,MATCH($E23,角色面板!$A$18:$A$21,0)),0)+$BB23+Boss参数!$H$4-$BM23))</f>
        <v>0.86499999999999977</v>
      </c>
      <c r="BO23" s="10">
        <f>IF(E23="","",IF(OR(L23="J_COUNTER",L23="J_HARD"),MAX(0,1+INDEX(角色面板!$K$18:$K$21,MATCH(E23,角色面板!$A$18:$A$21,0))-DI23*Boss参数!$B$23+IF(OR(Boss参数!$B$43=1,L23="J_HARD"),IF(B23&lt;=AH23,Boss参数!$B$46,0),0)),MAX(0,IF(OR(H23="术法",L23="RHI_BERRY",AND(L23="37_FOLLOW",Boss参数!$B$31=1)),1+BC23,IF(H23="仪式",1+BD23,IF(H23="洞知",EK23,1))))))</f>
        <v>1</v>
      </c>
      <c r="BP23" s="10">
        <f t="shared" si="3"/>
        <v>1.9780000000000002</v>
      </c>
      <c r="BQ23" s="1">
        <f t="shared" si="4"/>
        <v>0</v>
      </c>
      <c r="BR23" s="1">
        <f t="shared" si="5"/>
        <v>0</v>
      </c>
      <c r="BS23" s="1">
        <f>IF(BH23=0,0,ROUNDDOWN(AY23*BH23,0)*DV23*IF(Boss参数!$B$29=1,BN23,1)*IF(Boss参数!$B$33=1,BO23,1)*IF(Boss参数!$B$76=1,1-ES23,1))</f>
        <v>0</v>
      </c>
      <c r="BT23" s="1">
        <f t="shared" si="6"/>
        <v>0</v>
      </c>
      <c r="BU23" s="9">
        <f>IF(D23="",0,MIN(IF(Boss参数!$B$77=1,Boss参数!$B$63*Boss参数!$B$62,Boss参数!$B$61*Boss参数!$B$62),DW23+ROUNDDOWN(BS23,0)+ROUNDDOWN(DW23*Q23,0)))</f>
        <v>0</v>
      </c>
      <c r="BV23" s="9">
        <f>IF(D23="",0,MIN(IF(Boss参数!$B$77=1,Boss参数!$B$63*Boss参数!$B$62,Boss参数!$B$61*Boss参数!$B$62),DX23+ROUNDDOWN(BT23,0)+ROUNDDOWN(DX23*Q23,0)))</f>
        <v>0</v>
      </c>
      <c r="BW23" s="9">
        <f t="shared" si="7"/>
        <v>0</v>
      </c>
      <c r="BX23" s="1" t="str">
        <f t="shared" si="8"/>
        <v/>
      </c>
      <c r="BY23" s="1">
        <f t="shared" si="9"/>
        <v>2</v>
      </c>
      <c r="BZ23" s="1">
        <f t="shared" si="10"/>
        <v>1</v>
      </c>
      <c r="CA23" s="1">
        <f>MIN(10,W23+IF(AND(L23="LILYA_COBRA",COUNTIF($L$3:L23,"LILYA_COBRA")=1),5,0)+IF(AND(L23="LILYA_DIVE",U23=1,COUNTIFS($DG$3:DG23,DG23,$L$3:L23,"LILYA_DIVE")=1),2,0)+IF(AND(FE23=1,U23=1),3,0))</f>
        <v>10</v>
      </c>
      <c r="CB23" s="1">
        <f>MIN(20,MAX(0,X23+IF(L23="LILYA_COBRA",IF(COUNTIF($L$3:L23,"LILYA_COBRA")=1,6,IF(U23=1,MAX(1,G23),IF(U23=2,2*MAX(1,G23),0))),0)+IF(AND(Y23=1,E23="红弩箭",L23&lt;&gt;"ENTER_INSIGHT"),1,0)-IF(AND(L23="LILYA_ULT",X23&gt;=6),6,0)))</f>
        <v>6</v>
      </c>
      <c r="CC23" s="1">
        <f t="shared" si="11"/>
        <v>0</v>
      </c>
      <c r="CD23" s="1">
        <f t="shared" si="12"/>
        <v>0</v>
      </c>
      <c r="CE23" s="1">
        <f t="shared" si="13"/>
        <v>0</v>
      </c>
      <c r="CF23" s="1">
        <f t="shared" si="14"/>
        <v>5</v>
      </c>
      <c r="CG23" s="1">
        <f t="shared" si="15"/>
        <v>2</v>
      </c>
      <c r="CH23" s="1">
        <f>MIN(35,AD23+IF(L23="J_HARD",6,0)+IF(L23="J_COUNTER",Boss参数!$B$30,0))</f>
        <v>16</v>
      </c>
      <c r="CI23" s="1">
        <f>MIN(Boss参数!$I$4,AE23+IF(L23="J_HARD",6,0)+IF(L23="J_ULT",AD23,0)+IF(L23="J_COUNTER",Boss参数!$B$30,0))</f>
        <v>6</v>
      </c>
      <c r="CJ23" s="10">
        <f>IF(L23="J_ULT",AD23*Boss参数!$B$41,IF(B23&lt;=AG23,AF23,0))</f>
        <v>0</v>
      </c>
      <c r="CK23" s="1">
        <f t="shared" si="16"/>
        <v>0</v>
      </c>
      <c r="CL23" s="1">
        <f t="shared" si="17"/>
        <v>5</v>
      </c>
      <c r="CM23" s="1">
        <f t="shared" si="18"/>
        <v>4</v>
      </c>
      <c r="CN23" s="1">
        <f t="shared" si="19"/>
        <v>5</v>
      </c>
      <c r="CO23" s="1">
        <f t="shared" si="20"/>
        <v>4</v>
      </c>
      <c r="CP23" s="1">
        <f t="shared" si="21"/>
        <v>3</v>
      </c>
      <c r="CQ23" s="1">
        <f t="shared" si="22"/>
        <v>10</v>
      </c>
      <c r="CR23" s="1">
        <f t="shared" si="23"/>
        <v>4</v>
      </c>
      <c r="CS23" s="1">
        <f t="shared" si="24"/>
        <v>0</v>
      </c>
      <c r="CT23" s="10">
        <f t="shared" si="25"/>
        <v>0</v>
      </c>
      <c r="CU23" s="1">
        <f t="shared" si="26"/>
        <v>0</v>
      </c>
      <c r="CV23" s="10">
        <f t="shared" si="27"/>
        <v>0</v>
      </c>
      <c r="CW23" s="1">
        <f t="shared" si="28"/>
        <v>0</v>
      </c>
      <c r="CX23" s="10">
        <f t="shared" si="29"/>
        <v>0.3</v>
      </c>
      <c r="CY23" s="1">
        <f t="shared" si="30"/>
        <v>5</v>
      </c>
      <c r="CZ23" s="1"/>
      <c r="DA23" s="1"/>
      <c r="DB23" s="1"/>
      <c r="DC23" s="1"/>
      <c r="DD23" s="1"/>
      <c r="DE23" s="1"/>
      <c r="DF23" s="1"/>
      <c r="DG23" s="1">
        <f>IF(D23="","",行动模拟!B29)</f>
        <v>3</v>
      </c>
      <c r="DH23" s="1" t="str">
        <f>IF(L23="END_TURN","回合结束",IF(D23="","",IF(INDEX(回合状态!$C$7:$C$17,MATCH(DG23,回合状态!$A$7:$A$17,0))="洞穿","洞穿",IF(OR(L23="J_COUNTER",L23="BOSS_ACTION",L23="BOSS_CONSERVATIVE"),"敌方",IF(AND(L23="37_FOLLOW",DG23=DG22,DH22="敌方"),"敌方",IF(INDEX(回合状态!$C$7:$C$17,MATCH(DG23,回合状态!$A$7:$A$17,0))="普通","出牌",INDEX(回合状态!$C$7:$C$17,MATCH(DG23,回合状态!$A$7:$A$17,0))))))))</f>
        <v>出牌</v>
      </c>
      <c r="DI23" s="1">
        <f t="shared" si="31"/>
        <v>2</v>
      </c>
      <c r="DJ23" s="1">
        <f>IF(D23="",0,MIN(Boss参数!$B$25,IF(OR(AND(DH23="敌方",OR(DH22&lt;&gt;"敌方",DG23&lt;&gt;DG22)),AND(L23="END_TURN",DH23&lt;&gt;"洞穿"),AND(DG23&lt;&gt;DG22,DH22&lt;&gt;"洞穿",L22&lt;&gt;"END_TURN",COUNTIFS($DG$3:DG22,DG22,$DH$3:DH22,"敌方")=0)),EW23,DN22)))</f>
        <v>4</v>
      </c>
      <c r="DK23" s="1">
        <f>IF(D23="",0,MIN(Boss参数!$B$25,IF(OR(AND(DH23="敌方",OR(DH22&lt;&gt;"敌方",DG23&lt;&gt;DG22)),AND(L23="END_TURN",DH23&lt;&gt;"洞穿"),AND(DG23&lt;&gt;DG22,DH22&lt;&gt;"洞穿",L22&lt;&gt;"END_TURN",COUNTIFS($DG$3:DG22,DG22,$DH$3:DH22,"敌方")=0)),EW23,DO22)))</f>
        <v>2</v>
      </c>
      <c r="DL23" s="1">
        <f>IF(D23="",0,MIN(Boss参数!$B$25,IF(OR(AND(DH23="敌方",OR(DH22&lt;&gt;"敌方",DG23&lt;&gt;DG22)),AND(L23="END_TURN",DH23&lt;&gt;"洞穿"),AND(DG23&lt;&gt;DG22,DH22&lt;&gt;"洞穿",L22&lt;&gt;"END_TURN",COUNTIFS($DG$3:DG22,DG22,$DH$3:DH22,"敌方")=0)),EW23,DP22)))</f>
        <v>4</v>
      </c>
      <c r="DM23" s="1">
        <f>IF(D23="",0,MIN(Boss参数!$B$25,IF(OR(AND(DH23="敌方",OR(DH22&lt;&gt;"敌方",DG23&lt;&gt;DG22)),AND(L23="END_TURN",DH23&lt;&gt;"洞穿"),AND(DG23&lt;&gt;DG22,DH22&lt;&gt;"洞穿",L22&lt;&gt;"END_TURN",COUNTIFS($DG$3:DG22,DG22,$DH$3:DH22,"敌方")=0)),EW23,DQ22)))</f>
        <v>0</v>
      </c>
      <c r="DN23" s="1">
        <f>MAX(0,MIN(Boss参数!$B$25,DJ23+DR23)-IF(E23="红弩箭",2*DR23,0))</f>
        <v>4</v>
      </c>
      <c r="DO23" s="1">
        <f>MAX(0,MIN(Boss参数!$B$25,DK23+DR23)-IF(E23="37",2*DR23,0))</f>
        <v>2</v>
      </c>
      <c r="DP23" s="1">
        <f>MAX(0,MIN(Boss参数!$B$25,DL23+DR23)-IF(E23="小瑞安侬",2*DR23,0))</f>
        <v>4</v>
      </c>
      <c r="DQ23" s="1">
        <f>MAX(0,MIN(Boss参数!$B$25,DM23+DR23)-IF(E23="J",2*DR23,0))</f>
        <v>0</v>
      </c>
      <c r="DR23" s="1">
        <f t="shared" si="32"/>
        <v>0</v>
      </c>
      <c r="DS23" s="1">
        <f t="shared" si="33"/>
        <v>0</v>
      </c>
      <c r="DT23" s="1">
        <f>IF(OR(E23="",E23="系统"),0,IF(OR(AND(DS23=1,Boss参数!$B$32=1),L23="RHI_BERRY",OR(AND(INDEX(角色面板!$B$18:$B$21,MATCH(E23,角色面板!$A$18:$A$21,0))="星",Boss参数!$B$4="岩"),AND(INDEX(角色面板!$B$18:$B$21,MATCH(E23,角色面板!$A$18:$A$21,0))="岩",Boss参数!$B$4="兽"),AND(INDEX(角色面板!$B$18:$B$21,MATCH(E23,角色面板!$A$18:$A$21,0))="兽",Boss参数!$B$4="木"),AND(INDEX(角色面板!$B$18:$B$21,MATCH(E23,角色面板!$A$18:$A$21,0))="木",Boss参数!$B$4="星"),AND(INDEX(角色面板!$B$18:$B$21,MATCH(E23,角色面板!$A$18:$A$21,0))="智",Boss参数!$B$4="灵"),AND(INDEX(角色面板!$B$18:$B$21,MATCH(E23,角色面板!$A$18:$A$21,0))="灵",Boss参数!$B$4="智"))),1,0))</f>
        <v>1</v>
      </c>
      <c r="DU23" s="1">
        <f>IF(D23="",0,INDEX(回合状态!$E$7:$E$17,MATCH(DG23,回合状态!$A$7:$A$17,0))+IF(AND(DH23="敌方",OR(INDEX(回合状态!$C$7:$C$17,MATCH(DG23,回合状态!$A$7:$A$17,0))="普通",INDEX(回合状态!$C$7:$C$17,MATCH(DG23,回合状态!$A$7:$A$17,0))="额外")),0.05,0))</f>
        <v>0.1</v>
      </c>
      <c r="DV23" s="1">
        <f>MAX(Boss参数!$B$28,1+IF(AND(E23="37",AC23&gt;0,BH23&gt;0),Boss参数!$B$42,0)-DI23*Boss参数!$B$24+EA23-ER23)</f>
        <v>0.7</v>
      </c>
      <c r="DW23" s="1">
        <f>MIN(IF(Boss参数!$B$77=1,Boss参数!$B$63*Boss参数!$B$62,Boss参数!$B$61*Boss参数!$B$62),ROUNDDOWN(BQ23*(1-ES23),0))</f>
        <v>0</v>
      </c>
      <c r="DX23" s="1">
        <f>MIN(IF(Boss参数!$B$77=1,Boss参数!$B$63*Boss参数!$B$62,Boss参数!$B$61*Boss参数!$B$62),ROUNDDOWN(BR23*(1-ES23),0))</f>
        <v>0</v>
      </c>
      <c r="DY23" s="1">
        <f t="shared" si="65"/>
        <v>238</v>
      </c>
      <c r="DZ23" s="1">
        <f>IF(L23="RHI_ULT",MIN(Boss参数!$B$48,ROUNDDOWN(AY23*Boss参数!$B$47,0)),DY23)</f>
        <v>238</v>
      </c>
      <c r="EA23" s="11">
        <v>0</v>
      </c>
      <c r="EB23" s="1">
        <f t="shared" si="34"/>
        <v>0</v>
      </c>
      <c r="EC23" s="1">
        <f>SUMIFS($EB$3:EB23,$B$3:B23,"&gt;="&amp;MAX(1,B23-2),$B$3:B23,"&lt;="&amp;B23)*Boss参数!$B$51</f>
        <v>8</v>
      </c>
      <c r="ED23" s="1">
        <f>IF(D23="",EG22,IF(AND(DG23&lt;&gt;DG22,DH23&lt;&gt;"洞穿"),MIN(Boss参数!$B$55,EG22+2),EG22))</f>
        <v>2</v>
      </c>
      <c r="EE23" s="1">
        <f t="shared" si="35"/>
        <v>0</v>
      </c>
      <c r="EF23" s="1">
        <f>IF(AND(OR(L23="END_TURN",AND(DH23="敌方",OR(DH22&lt;&gt;"敌方",DG23&lt;&gt;DG22))),SUMIFS($EF$3:EF22,$DG$3:DG22,DG23)=0),MIN(1,MAX(0,ED23-EE23)),0)</f>
        <v>0</v>
      </c>
      <c r="EG23" s="1">
        <f t="shared" si="36"/>
        <v>2</v>
      </c>
      <c r="EH23" s="11">
        <f>Boss参数!$B$53-IF(Y23=1,Boss参数!$B$54,0)</f>
        <v>0</v>
      </c>
      <c r="EI23" s="11">
        <f t="shared" si="37"/>
        <v>0.3</v>
      </c>
      <c r="EJ23" s="11">
        <f t="shared" si="38"/>
        <v>0</v>
      </c>
      <c r="EK23" s="11">
        <f t="shared" si="39"/>
        <v>1</v>
      </c>
      <c r="EL23" s="1">
        <f t="shared" si="66"/>
        <v>0</v>
      </c>
      <c r="EM23" s="1">
        <f>IF(AND(DG23&lt;&gt;DG22,DH23="洞穿"),0,IF(L23="ENTER_INSIGHT",Boss参数!$B$57,EO22))</f>
        <v>0</v>
      </c>
      <c r="EN23" s="11">
        <f>IF(AND(Y23=1,H23="洞知",EM23&gt;0),Boss参数!$B$56,0)</f>
        <v>0</v>
      </c>
      <c r="EO23" s="1">
        <f t="shared" si="40"/>
        <v>0</v>
      </c>
      <c r="EP23" s="12">
        <f t="shared" si="67"/>
        <v>142809</v>
      </c>
      <c r="EQ23" s="12">
        <f>ROUNDDOWN(EP23/Boss参数!$B$62,0)</f>
        <v>1</v>
      </c>
      <c r="ER23" s="11">
        <f>IF(EQ23&gt;=Boss参数!$B$66,Boss参数!$B$69,IF(EQ23&gt;=Boss参数!$B$65,Boss参数!$B$68,IF(EQ23&gt;=Boss参数!$B$64,Boss参数!$B$67,0)))</f>
        <v>0</v>
      </c>
      <c r="ES23" s="11">
        <f>MIN(1,IF(EQ23&gt;=Boss参数!$B$66,Boss参数!$B$72+ROUNDDOWN((EQ23-Boss参数!$B$66)/Boss参数!$B$73,0)*Boss参数!$B$74,IF(EQ23&gt;=Boss参数!$B$65,Boss参数!$B$71,IF(EQ23&gt;=Boss参数!$B$64,Boss参数!$B$70,0))))</f>
        <v>0</v>
      </c>
      <c r="ET23" s="12">
        <f>MIN(Boss参数!$B$61*Boss参数!$B$62,EP23+IF(AND(Boss参数!$B$60=1,ISNUMBER(验证表!H29)),验证表!H29,EU23))</f>
        <v>142809</v>
      </c>
      <c r="EU23" s="12">
        <f>IF(D23="",0,IF(验证表!G29="是",BV23,IF(验证表!G29="否",BU23,BW23)))</f>
        <v>0</v>
      </c>
      <c r="EV23" s="12">
        <f>IF(EQ23&gt;=Boss参数!$B$66,2,IF(EQ23&gt;=Boss参数!$B$65,1,0))</f>
        <v>0</v>
      </c>
      <c r="EW23" s="12">
        <f t="shared" si="41"/>
        <v>1</v>
      </c>
      <c r="EX23" s="1">
        <f>IF(D23="",0,INDEX(回合状态!$D$7:$D$17,MATCH(DG23,回合状态!$A$7:$A$17,0)))</f>
        <v>3</v>
      </c>
      <c r="EY23" s="1">
        <f>IF(OR(L23="RHI_ATTACK",L23="RHI_BUFF"),1,IF(L23="RHI_ULT",Boss参数!$B$52,0))</f>
        <v>0</v>
      </c>
      <c r="EZ23" s="1">
        <f>MIN(6,SUMIFS($EY$3:EY23,$EX$3:EX23,"&gt;="&amp;MAX(1,EX23-Boss参数!$B$87+1),$EX$3:EX23,"&lt;="&amp;EX23))</f>
        <v>3</v>
      </c>
      <c r="FA23" s="1">
        <f t="shared" si="68"/>
        <v>16</v>
      </c>
      <c r="FB23" s="17">
        <f>IF(L23="BOSS_CONSERVATIVE",B23+Boss参数!$B$91,FB22)</f>
        <v>0</v>
      </c>
      <c r="FC23" s="17">
        <f t="shared" si="69"/>
        <v>0</v>
      </c>
      <c r="FD23" s="17">
        <f>IF(D23="",FD22,FD22+IF(AND(DG23&lt;&gt;DG22,INDEX(回合状态!$C$7:$C$17,MATCH(DG23,回合状态!$A$7:$A$17,0))&lt;&gt;"洞穿"),1,0))</f>
        <v>3</v>
      </c>
      <c r="FE23" s="17">
        <f>IF(D23="",0,IF(AND(OR(L23="END_TURN",DH23="敌方"),INDEX(回合状态!$C$7:$C$17,MATCH(DG23,回合状态!$A$7:$A$17,0))&lt;&gt;"洞穿",SUMIFS($FE$3:FE22,$DG$3:DG22,DG23)=0),1,0))</f>
        <v>0</v>
      </c>
    </row>
    <row r="24" spans="1:161" ht="84.95" customHeight="1">
      <c r="A24" s="1">
        <f>行动模拟!A30</f>
        <v>22</v>
      </c>
      <c r="B24" s="1">
        <f>IF(D24="",0,INDEX(回合状态!$B$7:$B$17,MATCH(DG24,回合状态!$A$7:$A$17,0)))</f>
        <v>3</v>
      </c>
      <c r="C24" s="1">
        <f>行动模拟!C30</f>
        <v>3</v>
      </c>
      <c r="D24" s="1" t="str">
        <f>IF(行动模拟!D30="","",行动模拟!D30)</f>
        <v>37｜补充算式</v>
      </c>
      <c r="E24" s="1" t="str">
        <f>IF($D24="","",IFERROR(INDEX(技能数据库!$B$4:$B$38,MATCH($D24,技能数据库!$A$4:$A$38,0)),""))</f>
        <v>37</v>
      </c>
      <c r="F24" s="1" t="str">
        <f>IF($D24="","",IFERROR(INDEX(技能数据库!$C$4:$C$38,MATCH($D24,技能数据库!$A$4:$A$38,0)),""))</f>
        <v>补充算式</v>
      </c>
      <c r="G24" s="1">
        <f>IF($D24="","",IFERROR(INDEX(技能数据库!$D$4:$D$38,MATCH($D24,技能数据库!$A$4:$A$38,0)),""))</f>
        <v>0</v>
      </c>
      <c r="H24" s="1" t="str">
        <f>IF($D24="","",IFERROR(INDEX(技能数据库!$E$4:$E$38,MATCH($D24,技能数据库!$A$4:$A$38,0)),""))</f>
        <v>额外行动</v>
      </c>
      <c r="I24" s="1" t="str">
        <f>IF($D24="","",IFERROR(INDEX(技能数据库!$F$4:$F$38,MATCH($D24,技能数据库!$A$4:$A$38,0)),""))</f>
        <v>精神</v>
      </c>
      <c r="J24" s="1">
        <f>IF($D24="","",IFERROR(INDEX(技能数据库!$G$4:$G$38,MATCH($D24,技能数据库!$A$4:$A$38,0)),""))</f>
        <v>3</v>
      </c>
      <c r="K24" s="1">
        <f>IF($D24="","",IFERROR(INDEX(技能数据库!$H$4:$H$38,MATCH($D24,技能数据库!$A$4:$A$38,0)),""))</f>
        <v>1</v>
      </c>
      <c r="L24" s="1" t="str">
        <f>IF($D24="","",IFERROR(INDEX(技能数据库!$I$4:$I$38,MATCH($D24,技能数据库!$A$4:$A$38,0)),""))</f>
        <v>37_FOLLOW</v>
      </c>
      <c r="M24" s="10">
        <v>1</v>
      </c>
      <c r="N24" s="1"/>
      <c r="O24" s="1"/>
      <c r="P24" s="1"/>
      <c r="Q24" s="10">
        <f t="shared" si="0"/>
        <v>0</v>
      </c>
      <c r="R24" s="10">
        <v>0</v>
      </c>
      <c r="S24" s="10">
        <v>0</v>
      </c>
      <c r="T24" s="1">
        <f>行动模拟!I30</f>
        <v>0</v>
      </c>
      <c r="U24" s="1">
        <f>IF(FD24&lt;&gt;FD23,IF(BY23=1,IF(MIN(10,CA23+IF(AND(DG24&lt;&gt;DG23,DH23&lt;&gt;"洞穿",SUMIFS($FE$3:FE23,$DG$3:DG23,DG23)=0,BY23=1),3,0))&gt;=10,2,1),IF(BY23=2,IF(BZ23&lt;=1,0,2),0)),BY23)</f>
        <v>2</v>
      </c>
      <c r="V24" s="1">
        <f>IF(FD24&lt;&gt;FD23,IF(BY23=1,IF(MIN(10,CA23+IF(AND(DG24&lt;&gt;DG23,DH23&lt;&gt;"洞穿",SUMIFS($FE$3:FE23,$DG$3:DG23,DG23)=0,BY23=1),3,0))&gt;=10,2,0),IF(BY23=2,MAX(0,BZ23-1),0)),BZ23)</f>
        <v>1</v>
      </c>
      <c r="W24" s="1">
        <f>IF(AND(FD24&lt;&gt;FD23,BY23=2,BZ23&lt;=1),0,MIN(10,CA23+IF(AND(DG24&lt;&gt;DG23,DH23&lt;&gt;"洞穿",SUMIFS($FE$3:FE23,$DG$3:DG23,DG23)=0,BY23=1),3,0)))</f>
        <v>10</v>
      </c>
      <c r="X24" s="1">
        <f t="shared" si="42"/>
        <v>6</v>
      </c>
      <c r="Y24" s="1">
        <f t="shared" si="43"/>
        <v>0</v>
      </c>
      <c r="Z24" s="1">
        <f t="shared" si="44"/>
        <v>0</v>
      </c>
      <c r="AA24" s="1">
        <f t="shared" si="45"/>
        <v>0</v>
      </c>
      <c r="AB24" s="1">
        <f t="shared" si="46"/>
        <v>5</v>
      </c>
      <c r="AC24" s="1">
        <f t="shared" si="47"/>
        <v>2</v>
      </c>
      <c r="AD24" s="1">
        <f t="shared" si="48"/>
        <v>16</v>
      </c>
      <c r="AE24" s="1">
        <f>IF(D24="",0,IF(DG24&lt;&gt;DG23,IFERROR(INDEX(回合状态!$F$7:$F$17,MATCH(DG24,回合状态!$A$7:$A$17,0)),0),CI23))</f>
        <v>6</v>
      </c>
      <c r="AF24" s="10">
        <f t="shared" si="49"/>
        <v>0</v>
      </c>
      <c r="AG24" s="1">
        <f t="shared" si="50"/>
        <v>0</v>
      </c>
      <c r="AH24" s="1">
        <f t="shared" si="51"/>
        <v>5</v>
      </c>
      <c r="AI24" s="1">
        <f t="shared" si="52"/>
        <v>4</v>
      </c>
      <c r="AJ24" s="1">
        <f t="shared" si="53"/>
        <v>5</v>
      </c>
      <c r="AK24" s="1">
        <f t="shared" si="54"/>
        <v>4</v>
      </c>
      <c r="AL24" s="1">
        <f t="shared" si="55"/>
        <v>3</v>
      </c>
      <c r="AM24" s="1">
        <f t="shared" si="56"/>
        <v>10</v>
      </c>
      <c r="AN24" s="1">
        <f t="shared" si="57"/>
        <v>4</v>
      </c>
      <c r="AO24" s="1">
        <f t="shared" si="58"/>
        <v>0</v>
      </c>
      <c r="AP24" s="10">
        <f t="shared" si="59"/>
        <v>0</v>
      </c>
      <c r="AQ24" s="1">
        <f t="shared" si="60"/>
        <v>0</v>
      </c>
      <c r="AR24" s="10">
        <f t="shared" si="61"/>
        <v>0</v>
      </c>
      <c r="AS24" s="1">
        <f t="shared" si="62"/>
        <v>0</v>
      </c>
      <c r="AT24" s="10">
        <f t="shared" si="63"/>
        <v>0.3</v>
      </c>
      <c r="AU24" s="1">
        <f t="shared" si="64"/>
        <v>5</v>
      </c>
      <c r="AV24" s="1">
        <f>MIN(5,SUMIFS($EL$3:EL24,$B$3:B24,"&gt;="&amp;MAX(1,B24-2),$B$3:B24,"&lt;="&amp;B24)+EC24)</f>
        <v>5</v>
      </c>
      <c r="AW24" s="1">
        <f>MIN(6,SUMIFS($EY$3:EY23,$EX$3:EX23,"&gt;="&amp;MAX(1,EX24-Boss参数!$B$87+1),$EX$3:EX23,"&lt;="&amp;EX24))</f>
        <v>3</v>
      </c>
      <c r="AX24" s="1">
        <f>MIN(4,COUNTIFS($B$3:$B$23,"&gt;="&amp;MAX(1,$B24-2),$B$3:$B$23,"&lt;="&amp;$B24,$L$3:$L$23,"37_FOLLOW"))</f>
        <v>3</v>
      </c>
      <c r="AY24" s="9">
        <f>IF($E24="","",IF($E24="系统",0,ROUNDDOWN(INDEX(角色面板!$C$4:$C$7,MATCH($E24,角色面板!$A$4:$A$7,0))*(1+INDEX(角色面板!$C$11:$C$14,MATCH($E24,角色面板!$A$11:$A$14,0))+IF($E24="小瑞安侬",MAX(IF($B24&lt;=$AQ24,$AP24,0),IF(AND($L24="RHI_ATTACK",$EE24&gt;0),0.11+0.01*$G24,0)),0)+IF($E24="J",$AD24*Boss参数!$B$18,0))+IF(FD24&lt;=$AN24,MIN(Boss参数!$B$21,ROUNDDOWN(角色面板!$C$19*Boss参数!$B$20,0)),0)+IF(AND($B24&lt;=$AK24,$E24&lt;&gt;"小瑞安侬"),$DY24,0),0)))</f>
        <v>3505</v>
      </c>
      <c r="AZ24" s="10">
        <f>IF($E24="","",MAX(0,MIN(1,IFERROR(INDEX(角色面板!$G$18:$G$21,MATCH($E24,角色面板!$A$18:$A$21,0)),0)-FC24*Boss参数!$B$89-Boss参数!$E$4)))</f>
        <v>0.76</v>
      </c>
      <c r="BA24" s="10">
        <f>IF(E24="","",(IF($E24="","",IF($E24="红弩箭",Boss参数!$B$80,IF($E24="J",Boss参数!$B$81,IFERROR(INDEX(角色面板!$H$18:$H$21,MATCH($E24,角色面板!$A$18:$A$21,0)),0)))+IF($B24&lt;=$AI24,Boss参数!$B$13,0)+MIN(30,$AM24)*Boss参数!$B$17+IF(AND($L24="LILYA_ULT",$X24&gt;=6),1,0)+IF(AND($Y24=1,$L24="LILYA_INSIGHT"),IF(MOD($AA24+1,3)=0,Boss参数!$B$83,Boss参数!$B$82),IF(AND($Y24=1,$L24="LILYA_FINISH"),Boss参数!$B$84,0))))-FC24*Boss参数!$B$90)</f>
        <v>2.3980000000000001</v>
      </c>
      <c r="BB24" s="10">
        <f>IF($E24="","",IFERROR(INDEX(角色面板!$M$18:$M$21,MATCH($E24,角色面板!$A$18:$A$21,0)),0)+$AW24*Boss参数!$B$12+IF($B24&lt;=$AG24,$AF24,0)+$EI24+IF($L24="LILYA_DIVE",IF($U24=1,IF($G24=1,0.3,IF($G24=2,0.4,0.5)),IF($U24=2,IF($G24=1,0.6,IF($G24=2,0.8,1)),0)),0)+$R24+IF(AND($E24="J",OR($L24="J_COUNTER",$L24="J_HARD")),Boss参数!$B$79,0)+IF(AND(OR(L24="J_COUNTER",L24="J_HARD"),FA24&gt;=Boss参数!$B$59),FA24*Boss参数!$B$40,0))</f>
        <v>0.36</v>
      </c>
      <c r="BC24" s="10">
        <f>IF($E24="","",IFERROR(INDEX(角色面板!$K$18:$K$21,MATCH($E24,角色面板!$A$18:$A$21,0)),0)+IF($B24&lt;=$AH24,Boss参数!$B$46,0)+IF($E24="红弩箭",IF($U24=1,0.6,IF($U24=2,1.2,0))+$W24*0.06,0))-DI24*Boss参数!$B$23</f>
        <v>-0.4</v>
      </c>
      <c r="BD24" s="10">
        <f>IF($E24="","",IFERROR(INDEX(角色面板!$L$18:$L$21,MATCH($E24,角色面板!$A$18:$A$21,0)),0)+IF($B24&lt;=$AH24,Boss参数!$B$46,0)+IF($E24="J",$AL24*Boss参数!$B$16,0)+IF($E24="红弩箭",$X24*0.025,0)+IF(AND($L24="LILYA_ULT",$X24&gt;=6),1,0))-DI24*Boss参数!$B$23</f>
        <v>0</v>
      </c>
      <c r="BE24" s="10">
        <f>IF($E24="","",IF($H24="洞知",IF($E24="红弩箭",$AO24*Boss参数!$B$15,0)+$AX24*Boss参数!$B$14,0))</f>
        <v>0</v>
      </c>
      <c r="BF24" s="10">
        <f t="shared" si="1"/>
        <v>0</v>
      </c>
      <c r="BG24" s="10">
        <f>IF($D24="",0,IF(AND($L24&lt;&gt;"LILYA_DIVE",$L24&lt;&gt;"LILYA_ULT",$L24&lt;&gt;"LILYA_INSIGHT",$L24&lt;&gt;"LILYA_FINISH",$L24&lt;&gt;"37_FOLLOW",$L24&lt;&gt;"RHI_ATTACK",$L24&lt;&gt;"RHI_BERRY",$L24&lt;&gt;"J_COUNTER",$L24&lt;&gt;"J_ULT"),$J24,0)+IF($L24="LILYA_DIVE",$J24+IF($U24=1,IF($G24=1,6,IF($G24=2,12,18)),IF($U24=2,IF($G24=1,12,IF($G24=2,24,36)),0)),0)+IF($L24="LILYA_ULT",$J24+IF($X24&gt;=6,18,0),0)+IF($L24="LILYA_INSIGHT",IF($Y24=1,IF(MOD($AA24+1,3)=0,32,15),0),0)+IF($L24="LILYA_FINISH",IF($Y24=1,50+2.5*$Z24,0),0)+IF($L24="37_FOLLOW",$J24,0)+IF($L24="RHI_ATTACK",$J24*IF($B24&lt;=$AJ24,2,1),0)+IF($L24="RHI_BERRY",15+1.5*$AV24,0)+IF($L24="J_COUNTER",$J24+$AD24*Boss参数!$B$39,0)+IF($L24="J_ULT",$J24+Boss参数!$B$45*MAX(0,$AE24+$AD24-Boss参数!$I$4),0)+$S24)</f>
        <v>3</v>
      </c>
      <c r="BH24" s="10">
        <f t="shared" si="2"/>
        <v>1</v>
      </c>
      <c r="BI24" s="10">
        <f>IF(E24="","",IF(DT24=1,1+Boss参数!$B$8+AV24*Boss参数!$B$19,1))</f>
        <v>1.5</v>
      </c>
      <c r="BJ24" s="9">
        <f>IF($I24="现实",Boss参数!$C$4,IF($I24="精神",Boss参数!$D$4,0))</f>
        <v>1000</v>
      </c>
      <c r="BK24" s="9">
        <f>IF($E24="","",MAX($AY24*Boss参数!$B$9,$AY24-$BJ24*(1-$BF24)))</f>
        <v>2505</v>
      </c>
      <c r="BL24" s="10">
        <f>MAX(0,Boss参数!$F$4+IF(DT24=0,Boss参数!$B$27,0)-EJ24)</f>
        <v>0.4</v>
      </c>
      <c r="BM24" s="10">
        <f>Boss参数!$G$4+DU24-IF(Y24=1,Boss参数!$B$11,0)</f>
        <v>0.5</v>
      </c>
      <c r="BN24" s="10">
        <f>IF($E24="","",MAX(Boss参数!$B$10,1+IFERROR(INDEX(角色面板!$I$18:$I$21,MATCH($E24,角色面板!$A$18:$A$21,0)),0)+$BB24+Boss参数!$H$4-$BM24))</f>
        <v>0.86499999999999977</v>
      </c>
      <c r="BO24" s="10">
        <f>IF(E24="","",IF(OR(L24="J_COUNTER",L24="J_HARD"),MAX(0,1+INDEX(角色面板!$K$18:$K$21,MATCH(E24,角色面板!$A$18:$A$21,0))-DI24*Boss参数!$B$23+IF(OR(Boss参数!$B$43=1,L24="J_HARD"),IF(B24&lt;=AH24,Boss参数!$B$46,0),0)),MAX(0,IF(OR(H24="术法",L24="RHI_BERRY",AND(L24="37_FOLLOW",Boss参数!$B$31=1)),1+BC24,IF(H24="仪式",1+BD24,IF(H24="洞知",EK24,1))))))</f>
        <v>0.6</v>
      </c>
      <c r="BP24" s="10">
        <f t="shared" si="3"/>
        <v>1.9980000000000002</v>
      </c>
      <c r="BQ24" s="1">
        <f t="shared" si="4"/>
        <v>5850.427499999998</v>
      </c>
      <c r="BR24" s="1">
        <f t="shared" si="5"/>
        <v>11689.154144999997</v>
      </c>
      <c r="BS24" s="1">
        <f>IF(BH24=0,0,ROUNDDOWN(AY24*BH24,0)*DV24*IF(Boss参数!$B$29=1,BN24,1)*IF(Boss参数!$B$33=1,BO24,1)*IF(Boss参数!$B$76=1,1-ES24,1))</f>
        <v>5958.5</v>
      </c>
      <c r="BT24" s="1">
        <f t="shared" si="6"/>
        <v>11905.083000000001</v>
      </c>
      <c r="BU24" s="9">
        <f>IF(D24="",0,MIN(IF(Boss参数!$B$77=1,Boss参数!$B$63*Boss参数!$B$62,Boss参数!$B$61*Boss参数!$B$62),DW24+ROUNDDOWN(BS24,0)+ROUNDDOWN(DW24*Q24,0)))</f>
        <v>11808</v>
      </c>
      <c r="BV24" s="9">
        <f>IF(D24="",0,MIN(IF(Boss参数!$B$77=1,Boss参数!$B$63*Boss参数!$B$62,Boss参数!$B$61*Boss参数!$B$62),DX24+ROUNDDOWN(BT24,0)+ROUNDDOWN(DX24*Q24,0)))</f>
        <v>23594</v>
      </c>
      <c r="BW24" s="9">
        <f t="shared" si="7"/>
        <v>20765</v>
      </c>
      <c r="BX24" s="1" t="str">
        <f t="shared" si="8"/>
        <v/>
      </c>
      <c r="BY24" s="1">
        <f t="shared" si="9"/>
        <v>2</v>
      </c>
      <c r="BZ24" s="1">
        <f t="shared" si="10"/>
        <v>1</v>
      </c>
      <c r="CA24" s="1">
        <f>MIN(10,W24+IF(AND(L24="LILYA_COBRA",COUNTIF($L$3:L24,"LILYA_COBRA")=1),5,0)+IF(AND(L24="LILYA_DIVE",U24=1,COUNTIFS($DG$3:DG24,DG24,$L$3:L24,"LILYA_DIVE")=1),2,0)+IF(AND(FE24=1,U24=1),3,0))</f>
        <v>10</v>
      </c>
      <c r="CB24" s="1">
        <f>MIN(20,MAX(0,X24+IF(L24="LILYA_COBRA",IF(COUNTIF($L$3:L24,"LILYA_COBRA")=1,6,IF(U24=1,MAX(1,G24),IF(U24=2,2*MAX(1,G24),0))),0)+IF(AND(Y24=1,E24="红弩箭",L24&lt;&gt;"ENTER_INSIGHT"),1,0)-IF(AND(L24="LILYA_ULT",X24&gt;=6),6,0)))</f>
        <v>6</v>
      </c>
      <c r="CC24" s="1">
        <f t="shared" si="11"/>
        <v>0</v>
      </c>
      <c r="CD24" s="1">
        <f t="shared" si="12"/>
        <v>0</v>
      </c>
      <c r="CE24" s="1">
        <f t="shared" si="13"/>
        <v>0</v>
      </c>
      <c r="CF24" s="1">
        <f t="shared" si="14"/>
        <v>0</v>
      </c>
      <c r="CG24" s="1">
        <f t="shared" si="15"/>
        <v>1</v>
      </c>
      <c r="CH24" s="1">
        <f>MIN(35,AD24+IF(L24="J_HARD",6,0)+IF(L24="J_COUNTER",Boss参数!$B$30,0))</f>
        <v>16</v>
      </c>
      <c r="CI24" s="1">
        <f>MIN(Boss参数!$I$4,AE24+IF(L24="J_HARD",6,0)+IF(L24="J_ULT",AD24,0)+IF(L24="J_COUNTER",Boss参数!$B$30,0))</f>
        <v>6</v>
      </c>
      <c r="CJ24" s="10">
        <f>IF(L24="J_ULT",AD24*Boss参数!$B$41,IF(B24&lt;=AG24,AF24,0))</f>
        <v>0</v>
      </c>
      <c r="CK24" s="1">
        <f t="shared" si="16"/>
        <v>0</v>
      </c>
      <c r="CL24" s="1">
        <f t="shared" si="17"/>
        <v>5</v>
      </c>
      <c r="CM24" s="1">
        <f t="shared" si="18"/>
        <v>4</v>
      </c>
      <c r="CN24" s="1">
        <f t="shared" si="19"/>
        <v>5</v>
      </c>
      <c r="CO24" s="1">
        <f t="shared" si="20"/>
        <v>4</v>
      </c>
      <c r="CP24" s="1">
        <f t="shared" si="21"/>
        <v>3</v>
      </c>
      <c r="CQ24" s="1">
        <f t="shared" si="22"/>
        <v>10</v>
      </c>
      <c r="CR24" s="1">
        <f t="shared" si="23"/>
        <v>4</v>
      </c>
      <c r="CS24" s="1">
        <f t="shared" si="24"/>
        <v>0</v>
      </c>
      <c r="CT24" s="10">
        <f t="shared" si="25"/>
        <v>0</v>
      </c>
      <c r="CU24" s="1">
        <f t="shared" si="26"/>
        <v>0</v>
      </c>
      <c r="CV24" s="10">
        <f t="shared" si="27"/>
        <v>0</v>
      </c>
      <c r="CW24" s="1">
        <f t="shared" si="28"/>
        <v>0</v>
      </c>
      <c r="CX24" s="10">
        <f t="shared" si="29"/>
        <v>0.3</v>
      </c>
      <c r="CY24" s="1">
        <f t="shared" si="30"/>
        <v>5</v>
      </c>
      <c r="CZ24" s="1"/>
      <c r="DA24" s="1"/>
      <c r="DB24" s="1"/>
      <c r="DC24" s="1"/>
      <c r="DD24" s="1"/>
      <c r="DE24" s="1"/>
      <c r="DF24" s="1"/>
      <c r="DG24" s="1">
        <f>IF(D24="","",行动模拟!B30)</f>
        <v>3</v>
      </c>
      <c r="DH24" s="1" t="str">
        <f>IF(L24="END_TURN","回合结束",IF(D24="","",IF(INDEX(回合状态!$C$7:$C$17,MATCH(DG24,回合状态!$A$7:$A$17,0))="洞穿","洞穿",IF(OR(L24="J_COUNTER",L24="BOSS_ACTION",L24="BOSS_CONSERVATIVE"),"敌方",IF(AND(L24="37_FOLLOW",DG24=DG23,DH23="敌方"),"敌方",IF(INDEX(回合状态!$C$7:$C$17,MATCH(DG24,回合状态!$A$7:$A$17,0))="普通","出牌",INDEX(回合状态!$C$7:$C$17,MATCH(DG24,回合状态!$A$7:$A$17,0))))))))</f>
        <v>出牌</v>
      </c>
      <c r="DI24" s="1">
        <f t="shared" si="31"/>
        <v>2</v>
      </c>
      <c r="DJ24" s="1">
        <f>IF(D24="",0,MIN(Boss参数!$B$25,IF(OR(AND(DH24="敌方",OR(DH23&lt;&gt;"敌方",DG24&lt;&gt;DG23)),AND(L24="END_TURN",DH24&lt;&gt;"洞穿"),AND(DG24&lt;&gt;DG23,DH23&lt;&gt;"洞穿",L23&lt;&gt;"END_TURN",COUNTIFS($DG$3:DG23,DG23,$DH$3:DH23,"敌方")=0)),EW24,DN23)))</f>
        <v>4</v>
      </c>
      <c r="DK24" s="1">
        <f>IF(D24="",0,MIN(Boss参数!$B$25,IF(OR(AND(DH24="敌方",OR(DH23&lt;&gt;"敌方",DG24&lt;&gt;DG23)),AND(L24="END_TURN",DH24&lt;&gt;"洞穿"),AND(DG24&lt;&gt;DG23,DH23&lt;&gt;"洞穿",L23&lt;&gt;"END_TURN",COUNTIFS($DG$3:DG23,DG23,$DH$3:DH23,"敌方")=0)),EW24,DO23)))</f>
        <v>2</v>
      </c>
      <c r="DL24" s="1">
        <f>IF(D24="",0,MIN(Boss参数!$B$25,IF(OR(AND(DH24="敌方",OR(DH23&lt;&gt;"敌方",DG24&lt;&gt;DG23)),AND(L24="END_TURN",DH24&lt;&gt;"洞穿"),AND(DG24&lt;&gt;DG23,DH23&lt;&gt;"洞穿",L23&lt;&gt;"END_TURN",COUNTIFS($DG$3:DG23,DG23,$DH$3:DH23,"敌方")=0)),EW24,DP23)))</f>
        <v>4</v>
      </c>
      <c r="DM24" s="1">
        <f>IF(D24="",0,MIN(Boss参数!$B$25,IF(OR(AND(DH24="敌方",OR(DH23&lt;&gt;"敌方",DG24&lt;&gt;DG23)),AND(L24="END_TURN",DH24&lt;&gt;"洞穿"),AND(DG24&lt;&gt;DG23,DH23&lt;&gt;"洞穿",L23&lt;&gt;"END_TURN",COUNTIFS($DG$3:DG23,DG23,$DH$3:DH23,"敌方")=0)),EW24,DQ23)))</f>
        <v>0</v>
      </c>
      <c r="DN24" s="1">
        <f>MAX(0,MIN(Boss参数!$B$25,DJ24+DR24)-IF(E24="红弩箭",2*DR24,0))</f>
        <v>5</v>
      </c>
      <c r="DO24" s="1">
        <f>MAX(0,MIN(Boss参数!$B$25,DK24+DR24)-IF(E24="37",2*DR24,0))</f>
        <v>1</v>
      </c>
      <c r="DP24" s="1">
        <f>MAX(0,MIN(Boss参数!$B$25,DL24+DR24)-IF(E24="小瑞安侬",2*DR24,0))</f>
        <v>5</v>
      </c>
      <c r="DQ24" s="1">
        <f>MAX(0,MIN(Boss参数!$B$25,DM24+DR24)-IF(E24="J",2*DR24,0))</f>
        <v>1</v>
      </c>
      <c r="DR24" s="1">
        <f t="shared" si="32"/>
        <v>1</v>
      </c>
      <c r="DS24" s="1">
        <f t="shared" si="33"/>
        <v>0</v>
      </c>
      <c r="DT24" s="1">
        <f>IF(OR(E24="",E24="系统"),0,IF(OR(AND(DS24=1,Boss参数!$B$32=1),L24="RHI_BERRY",OR(AND(INDEX(角色面板!$B$18:$B$21,MATCH(E24,角色面板!$A$18:$A$21,0))="星",Boss参数!$B$4="岩"),AND(INDEX(角色面板!$B$18:$B$21,MATCH(E24,角色面板!$A$18:$A$21,0))="岩",Boss参数!$B$4="兽"),AND(INDEX(角色面板!$B$18:$B$21,MATCH(E24,角色面板!$A$18:$A$21,0))="兽",Boss参数!$B$4="木"),AND(INDEX(角色面板!$B$18:$B$21,MATCH(E24,角色面板!$A$18:$A$21,0))="木",Boss参数!$B$4="星"),AND(INDEX(角色面板!$B$18:$B$21,MATCH(E24,角色面板!$A$18:$A$21,0))="智",Boss参数!$B$4="灵"),AND(INDEX(角色面板!$B$18:$B$21,MATCH(E24,角色面板!$A$18:$A$21,0))="灵",Boss参数!$B$4="智"))),1,0))</f>
        <v>1</v>
      </c>
      <c r="DU24" s="1">
        <f>IF(D24="",0,INDEX(回合状态!$E$7:$E$17,MATCH(DG24,回合状态!$A$7:$A$17,0))+IF(AND(DH24="敌方",OR(INDEX(回合状态!$C$7:$C$17,MATCH(DG24,回合状态!$A$7:$A$17,0))="普通",INDEX(回合状态!$C$7:$C$17,MATCH(DG24,回合状态!$A$7:$A$17,0))="额外")),0.05,0))</f>
        <v>0.1</v>
      </c>
      <c r="DV24" s="1">
        <f>MAX(Boss参数!$B$28,1+IF(AND(E24="37",AC24&gt;0,BH24&gt;0),Boss参数!$B$42,0)-DI24*Boss参数!$B$24+EA24-ER24)</f>
        <v>1.7</v>
      </c>
      <c r="DW24" s="1">
        <f>MIN(IF(Boss参数!$B$77=1,Boss参数!$B$63*Boss参数!$B$62,Boss参数!$B$61*Boss参数!$B$62),ROUNDDOWN(BQ24*(1-ES24),0))</f>
        <v>5850</v>
      </c>
      <c r="DX24" s="1">
        <f>MIN(IF(Boss参数!$B$77=1,Boss参数!$B$63*Boss参数!$B$62,Boss参数!$B$61*Boss参数!$B$62),ROUNDDOWN(BR24*(1-ES24),0))</f>
        <v>11689</v>
      </c>
      <c r="DY24" s="1">
        <f t="shared" si="65"/>
        <v>238</v>
      </c>
      <c r="DZ24" s="1">
        <f>IF(L24="RHI_ULT",MIN(Boss参数!$B$48,ROUNDDOWN(AY24*Boss参数!$B$47,0)),DY24)</f>
        <v>238</v>
      </c>
      <c r="EA24" s="11">
        <v>0</v>
      </c>
      <c r="EB24" s="1">
        <f t="shared" si="34"/>
        <v>0</v>
      </c>
      <c r="EC24" s="1">
        <f>SUMIFS($EB$3:EB24,$B$3:B24,"&gt;="&amp;MAX(1,B24-2),$B$3:B24,"&lt;="&amp;B24)*Boss参数!$B$51</f>
        <v>8</v>
      </c>
      <c r="ED24" s="1">
        <f>IF(D24="",EG23,IF(AND(DG24&lt;&gt;DG23,DH24&lt;&gt;"洞穿"),MIN(Boss参数!$B$55,EG23+2),EG23))</f>
        <v>2</v>
      </c>
      <c r="EE24" s="1">
        <f t="shared" si="35"/>
        <v>0</v>
      </c>
      <c r="EF24" s="1">
        <f>IF(AND(OR(L24="END_TURN",AND(DH24="敌方",OR(DH23&lt;&gt;"敌方",DG24&lt;&gt;DG23))),SUMIFS($EF$3:EF23,$DG$3:DG23,DG24)=0),MIN(1,MAX(0,ED24-EE24)),0)</f>
        <v>0</v>
      </c>
      <c r="EG24" s="1">
        <f t="shared" si="36"/>
        <v>2</v>
      </c>
      <c r="EH24" s="11">
        <f>Boss参数!$B$53-IF(Y24=1,Boss参数!$B$54,0)</f>
        <v>0</v>
      </c>
      <c r="EI24" s="11">
        <f t="shared" si="37"/>
        <v>0.3</v>
      </c>
      <c r="EJ24" s="11">
        <f t="shared" si="38"/>
        <v>0</v>
      </c>
      <c r="EK24" s="11">
        <f t="shared" si="39"/>
        <v>1</v>
      </c>
      <c r="EL24" s="1">
        <f t="shared" si="66"/>
        <v>0</v>
      </c>
      <c r="EM24" s="1">
        <f>IF(AND(DG24&lt;&gt;DG23,DH24="洞穿"),0,IF(L24="ENTER_INSIGHT",Boss参数!$B$57,EO23))</f>
        <v>0</v>
      </c>
      <c r="EN24" s="11">
        <f>IF(AND(Y24=1,H24="洞知",EM24&gt;0),Boss参数!$B$56,0)</f>
        <v>0</v>
      </c>
      <c r="EO24" s="1">
        <f t="shared" si="40"/>
        <v>0</v>
      </c>
      <c r="EP24" s="12">
        <f t="shared" si="67"/>
        <v>142809</v>
      </c>
      <c r="EQ24" s="12">
        <f>ROUNDDOWN(EP24/Boss参数!$B$62,0)</f>
        <v>1</v>
      </c>
      <c r="ER24" s="11">
        <f>IF(EQ24&gt;=Boss参数!$B$66,Boss参数!$B$69,IF(EQ24&gt;=Boss参数!$B$65,Boss参数!$B$68,IF(EQ24&gt;=Boss参数!$B$64,Boss参数!$B$67,0)))</f>
        <v>0</v>
      </c>
      <c r="ES24" s="11">
        <f>MIN(1,IF(EQ24&gt;=Boss参数!$B$66,Boss参数!$B$72+ROUNDDOWN((EQ24-Boss参数!$B$66)/Boss参数!$B$73,0)*Boss参数!$B$74,IF(EQ24&gt;=Boss参数!$B$65,Boss参数!$B$71,IF(EQ24&gt;=Boss参数!$B$64,Boss参数!$B$70,0))))</f>
        <v>0</v>
      </c>
      <c r="ET24" s="12">
        <f>MIN(Boss参数!$B$61*Boss参数!$B$62,EP24+IF(AND(Boss参数!$B$60=1,ISNUMBER(验证表!H30)),验证表!H30,EU24))</f>
        <v>166403</v>
      </c>
      <c r="EU24" s="12">
        <f>IF(D24="",0,IF(验证表!G30="是",BV24,IF(验证表!G30="否",BU24,BW24)))</f>
        <v>23594</v>
      </c>
      <c r="EV24" s="12">
        <f>IF(EQ24&gt;=Boss参数!$B$66,2,IF(EQ24&gt;=Boss参数!$B$65,1,0))</f>
        <v>0</v>
      </c>
      <c r="EW24" s="12">
        <f t="shared" si="41"/>
        <v>1</v>
      </c>
      <c r="EX24" s="1">
        <f>IF(D24="",0,INDEX(回合状态!$D$7:$D$17,MATCH(DG24,回合状态!$A$7:$A$17,0)))</f>
        <v>3</v>
      </c>
      <c r="EY24" s="1">
        <f>IF(OR(L24="RHI_ATTACK",L24="RHI_BUFF"),1,IF(L24="RHI_ULT",Boss参数!$B$52,0))</f>
        <v>0</v>
      </c>
      <c r="EZ24" s="1">
        <f>MIN(6,SUMIFS($EY$3:EY24,$EX$3:EX24,"&gt;="&amp;MAX(1,EX24-Boss参数!$B$87+1),$EX$3:EX24,"&lt;="&amp;EX24))</f>
        <v>3</v>
      </c>
      <c r="FA24" s="1">
        <f t="shared" si="68"/>
        <v>16</v>
      </c>
      <c r="FB24" s="17">
        <f>IF(L24="BOSS_CONSERVATIVE",B24+Boss参数!$B$91,FB23)</f>
        <v>0</v>
      </c>
      <c r="FC24" s="17">
        <f t="shared" si="69"/>
        <v>0</v>
      </c>
      <c r="FD24" s="17">
        <f>IF(D24="",FD23,FD23+IF(AND(DG24&lt;&gt;DG23,INDEX(回合状态!$C$7:$C$17,MATCH(DG24,回合状态!$A$7:$A$17,0))&lt;&gt;"洞穿"),1,0))</f>
        <v>3</v>
      </c>
      <c r="FE24" s="17">
        <f>IF(D24="",0,IF(AND(OR(L24="END_TURN",DH24="敌方"),INDEX(回合状态!$C$7:$C$17,MATCH(DG24,回合状态!$A$7:$A$17,0))&lt;&gt;"洞穿",SUMIFS($FE$3:FE23,$DG$3:DG23,DG24)=0),1,0))</f>
        <v>0</v>
      </c>
    </row>
    <row r="25" spans="1:161" ht="84.95" customHeight="1">
      <c r="A25" s="1">
        <f>行动模拟!A31</f>
        <v>23</v>
      </c>
      <c r="B25" s="1">
        <f>IF(D25="",0,INDEX(回合状态!$B$7:$B$17,MATCH(DG25,回合状态!$A$7:$A$17,0)))</f>
        <v>3</v>
      </c>
      <c r="C25" s="1">
        <f>行动模拟!C31</f>
        <v>4</v>
      </c>
      <c r="D25" s="1" t="str">
        <f>IF(行动模拟!D31="","",行动模拟!D31)</f>
        <v>J｜飞跃海特街</v>
      </c>
      <c r="E25" s="1" t="str">
        <f>IF($D25="","",IFERROR(INDEX(技能数据库!$B$4:$B$38,MATCH($D25,技能数据库!$A$4:$A$38,0)),""))</f>
        <v>J</v>
      </c>
      <c r="F25" s="1" t="str">
        <f>IF($D25="","",IFERROR(INDEX(技能数据库!$C$4:$C$38,MATCH($D25,技能数据库!$A$4:$A$38,0)),""))</f>
        <v>飞跃海特街</v>
      </c>
      <c r="G25" s="1">
        <f>IF($D25="","",IFERROR(INDEX(技能数据库!$D$4:$D$38,MATCH($D25,技能数据库!$A$4:$A$38,0)),""))</f>
        <v>0</v>
      </c>
      <c r="H25" s="1" t="str">
        <f>IF($D25="","",IFERROR(INDEX(技能数据库!$E$4:$E$38,MATCH($D25,技能数据库!$A$4:$A$38,0)),""))</f>
        <v>仪式</v>
      </c>
      <c r="I25" s="1" t="str">
        <f>IF($D25="","",IFERROR(INDEX(技能数据库!$F$4:$F$38,MATCH($D25,技能数据库!$A$4:$A$38,0)),""))</f>
        <v>现实</v>
      </c>
      <c r="J25" s="1">
        <f>IF($D25="","",IFERROR(INDEX(技能数据库!$G$4:$G$38,MATCH($D25,技能数据库!$A$4:$A$38,0)),""))</f>
        <v>7</v>
      </c>
      <c r="K25" s="1">
        <f>IF($D25="","",IFERROR(INDEX(技能数据库!$H$4:$H$38,MATCH($D25,技能数据库!$A$4:$A$38,0)),""))</f>
        <v>0</v>
      </c>
      <c r="L25" s="1" t="str">
        <f>IF($D25="","",IFERROR(INDEX(技能数据库!$I$4:$I$38,MATCH($D25,技能数据库!$A$4:$A$38,0)),""))</f>
        <v>J_ULT</v>
      </c>
      <c r="M25" s="10">
        <v>1</v>
      </c>
      <c r="N25" s="1"/>
      <c r="O25" s="1"/>
      <c r="P25" s="1"/>
      <c r="Q25" s="10">
        <f t="shared" si="0"/>
        <v>0</v>
      </c>
      <c r="R25" s="10">
        <v>0</v>
      </c>
      <c r="S25" s="10">
        <v>0</v>
      </c>
      <c r="T25" s="1">
        <f>行动模拟!I31</f>
        <v>0</v>
      </c>
      <c r="U25" s="1">
        <f>IF(FD25&lt;&gt;FD24,IF(BY24=1,IF(MIN(10,CA24+IF(AND(DG25&lt;&gt;DG24,DH24&lt;&gt;"洞穿",SUMIFS($FE$3:FE24,$DG$3:DG24,DG24)=0,BY24=1),3,0))&gt;=10,2,1),IF(BY24=2,IF(BZ24&lt;=1,0,2),0)),BY24)</f>
        <v>2</v>
      </c>
      <c r="V25" s="1">
        <f>IF(FD25&lt;&gt;FD24,IF(BY24=1,IF(MIN(10,CA24+IF(AND(DG25&lt;&gt;DG24,DH24&lt;&gt;"洞穿",SUMIFS($FE$3:FE24,$DG$3:DG24,DG24)=0,BY24=1),3,0))&gt;=10,2,0),IF(BY24=2,MAX(0,BZ24-1),0)),BZ24)</f>
        <v>1</v>
      </c>
      <c r="W25" s="1">
        <f>IF(AND(FD25&lt;&gt;FD24,BY24=2,BZ24&lt;=1),0,MIN(10,CA24+IF(AND(DG25&lt;&gt;DG24,DH24&lt;&gt;"洞穿",SUMIFS($FE$3:FE24,$DG$3:DG24,DG24)=0,BY24=1),3,0)))</f>
        <v>10</v>
      </c>
      <c r="X25" s="1">
        <f t="shared" si="42"/>
        <v>6</v>
      </c>
      <c r="Y25" s="1">
        <f t="shared" si="43"/>
        <v>0</v>
      </c>
      <c r="Z25" s="1">
        <f t="shared" si="44"/>
        <v>0</v>
      </c>
      <c r="AA25" s="1">
        <f t="shared" si="45"/>
        <v>0</v>
      </c>
      <c r="AB25" s="1">
        <f t="shared" si="46"/>
        <v>0</v>
      </c>
      <c r="AC25" s="1">
        <f t="shared" si="47"/>
        <v>1</v>
      </c>
      <c r="AD25" s="1">
        <f t="shared" si="48"/>
        <v>16</v>
      </c>
      <c r="AE25" s="1">
        <f>IF(D25="",0,IF(DG25&lt;&gt;DG24,IFERROR(INDEX(回合状态!$F$7:$F$17,MATCH(DG25,回合状态!$A$7:$A$17,0)),0),CI24))</f>
        <v>6</v>
      </c>
      <c r="AF25" s="10">
        <f t="shared" si="49"/>
        <v>0</v>
      </c>
      <c r="AG25" s="1">
        <f t="shared" si="50"/>
        <v>0</v>
      </c>
      <c r="AH25" s="1">
        <f t="shared" si="51"/>
        <v>5</v>
      </c>
      <c r="AI25" s="1">
        <f t="shared" si="52"/>
        <v>4</v>
      </c>
      <c r="AJ25" s="1">
        <f t="shared" si="53"/>
        <v>5</v>
      </c>
      <c r="AK25" s="1">
        <f t="shared" si="54"/>
        <v>4</v>
      </c>
      <c r="AL25" s="1">
        <f t="shared" si="55"/>
        <v>3</v>
      </c>
      <c r="AM25" s="1">
        <f t="shared" si="56"/>
        <v>10</v>
      </c>
      <c r="AN25" s="1">
        <f t="shared" si="57"/>
        <v>4</v>
      </c>
      <c r="AO25" s="1">
        <f t="shared" si="58"/>
        <v>0</v>
      </c>
      <c r="AP25" s="10">
        <f t="shared" si="59"/>
        <v>0</v>
      </c>
      <c r="AQ25" s="1">
        <f t="shared" si="60"/>
        <v>0</v>
      </c>
      <c r="AR25" s="10">
        <f t="shared" si="61"/>
        <v>0</v>
      </c>
      <c r="AS25" s="1">
        <f t="shared" si="62"/>
        <v>0</v>
      </c>
      <c r="AT25" s="10">
        <f t="shared" si="63"/>
        <v>0.3</v>
      </c>
      <c r="AU25" s="1">
        <f t="shared" si="64"/>
        <v>5</v>
      </c>
      <c r="AV25" s="1">
        <f>MIN(5,SUMIFS($EL$3:EL25,$B$3:B25,"&gt;="&amp;MAX(1,B25-2),$B$3:B25,"&lt;="&amp;B25)+EC25)</f>
        <v>5</v>
      </c>
      <c r="AW25" s="1">
        <f>MIN(6,SUMIFS($EY$3:EY24,$EX$3:EX24,"&gt;="&amp;MAX(1,EX25-Boss参数!$B$87+1),$EX$3:EX24,"&lt;="&amp;EX25))</f>
        <v>3</v>
      </c>
      <c r="AX25" s="1">
        <f>MIN(4,COUNTIFS($B$3:$B$24,"&gt;="&amp;MAX(1,$B25-2),$B$3:$B$24,"&lt;="&amp;$B25,$L$3:$L$24,"37_FOLLOW"))</f>
        <v>4</v>
      </c>
      <c r="AY25" s="9">
        <f>IF($E25="","",IF($E25="系统",0,ROUNDDOWN(INDEX(角色面板!$C$4:$C$7,MATCH($E25,角色面板!$A$4:$A$7,0))*(1+INDEX(角色面板!$C$11:$C$14,MATCH($E25,角色面板!$A$11:$A$14,0))+IF($E25="小瑞安侬",MAX(IF($B25&lt;=$AQ25,$AP25,0),IF(AND($L25="RHI_ATTACK",$EE25&gt;0),0.11+0.01*$G25,0)),0)+IF($E25="J",$AD25*Boss参数!$B$18,0))+IF(FD25&lt;=$AN25,MIN(Boss参数!$B$21,ROUNDDOWN(角色面板!$C$19*Boss参数!$B$20,0)),0)+IF(AND($B25&lt;=$AK25,$E25&lt;&gt;"小瑞安侬"),$DY25,0),0)))</f>
        <v>2948</v>
      </c>
      <c r="AZ25" s="10">
        <f>IF($E25="","",MAX(0,MIN(1,IFERROR(INDEX(角色面板!$G$18:$G$21,MATCH($E25,角色面板!$A$18:$A$21,0)),0)-FC25*Boss参数!$B$89-Boss参数!$E$4)))</f>
        <v>0.66700000000000004</v>
      </c>
      <c r="BA25" s="10">
        <f>IF(E25="","",(IF($E25="","",IF($E25="红弩箭",Boss参数!$B$80,IF($E25="J",Boss参数!$B$81,IFERROR(INDEX(角色面板!$H$18:$H$21,MATCH($E25,角色面板!$A$18:$A$21,0)),0)))+IF($B25&lt;=$AI25,Boss参数!$B$13,0)+MIN(30,$AM25)*Boss参数!$B$17+IF(AND($L25="LILYA_ULT",$X25&gt;=6),1,0)+IF(AND($Y25=1,$L25="LILYA_INSIGHT"),IF(MOD($AA25+1,3)=0,Boss参数!$B$83,Boss参数!$B$82),IF(AND($Y25=1,$L25="LILYA_FINISH"),Boss参数!$B$84,0))))-FC25*Boss参数!$B$90)</f>
        <v>1.917</v>
      </c>
      <c r="BB25" s="10">
        <f>IF($E25="","",IFERROR(INDEX(角色面板!$M$18:$M$21,MATCH($E25,角色面板!$A$18:$A$21,0)),0)+$AW25*Boss参数!$B$12+IF($B25&lt;=$AG25,$AF25,0)+$EI25+IF($L25="LILYA_DIVE",IF($U25=1,IF($G25=1,0.3,IF($G25=2,0.4,0.5)),IF($U25=2,IF($G25=1,0.6,IF($G25=2,0.8,1)),0)),0)+$R25+IF(AND($E25="J",OR($L25="J_COUNTER",$L25="J_HARD")),Boss参数!$B$79,0)+IF(AND(OR(L25="J_COUNTER",L25="J_HARD"),FA25&gt;=Boss参数!$B$59),FA25*Boss参数!$B$40,0))</f>
        <v>0.44</v>
      </c>
      <c r="BC25" s="10">
        <f>IF($E25="","",IFERROR(INDEX(角色面板!$K$18:$K$21,MATCH($E25,角色面板!$A$18:$A$21,0)),0)+IF($B25&lt;=$AH25,Boss参数!$B$46,0)+IF($E25="红弩箭",IF($U25=1,0.6,IF($U25=2,1.2,0))+$W25*0.06,0))-DI25*Boss参数!$B$23</f>
        <v>-0.25</v>
      </c>
      <c r="BD25" s="10">
        <f>IF($E25="","",IFERROR(INDEX(角色面板!$L$18:$L$21,MATCH($E25,角色面板!$A$18:$A$21,0)),0)+IF($B25&lt;=$AH25,Boss参数!$B$46,0)+IF($E25="J",$AL25*Boss参数!$B$16,0)+IF($E25="红弩箭",$X25*0.025,0)+IF(AND($L25="LILYA_ULT",$X25&gt;=6),1,0))-DI25*Boss参数!$B$23</f>
        <v>0.27</v>
      </c>
      <c r="BE25" s="10">
        <f>IF($E25="","",IF($H25="洞知",IF($E25="红弩箭",$AO25*Boss参数!$B$15,0)+$AX25*Boss参数!$B$14,0))</f>
        <v>0</v>
      </c>
      <c r="BF25" s="10">
        <f t="shared" si="1"/>
        <v>0</v>
      </c>
      <c r="BG25" s="10">
        <f>IF($D25="",0,IF(AND($L25&lt;&gt;"LILYA_DIVE",$L25&lt;&gt;"LILYA_ULT",$L25&lt;&gt;"LILYA_INSIGHT",$L25&lt;&gt;"LILYA_FINISH",$L25&lt;&gt;"37_FOLLOW",$L25&lt;&gt;"RHI_ATTACK",$L25&lt;&gt;"RHI_BERRY",$L25&lt;&gt;"J_COUNTER",$L25&lt;&gt;"J_ULT"),$J25,0)+IF($L25="LILYA_DIVE",$J25+IF($U25=1,IF($G25=1,6,IF($G25=2,12,18)),IF($U25=2,IF($G25=1,12,IF($G25=2,24,36)),0)),0)+IF($L25="LILYA_ULT",$J25+IF($X25&gt;=6,18,0),0)+IF($L25="LILYA_INSIGHT",IF($Y25=1,IF(MOD($AA25+1,3)=0,32,15),0),0)+IF($L25="LILYA_FINISH",IF($Y25=1,50+2.5*$Z25,0),0)+IF($L25="37_FOLLOW",$J25,0)+IF($L25="RHI_ATTACK",$J25*IF($B25&lt;=$AJ25,2,1),0)+IF($L25="RHI_BERRY",15+1.5*$AV25,0)+IF($L25="J_COUNTER",$J25+$AD25*Boss参数!$B$39,0)+IF($L25="J_ULT",$J25+Boss参数!$B$45*MAX(0,$AE25+$AD25-Boss参数!$I$4),0)+$S25)</f>
        <v>7</v>
      </c>
      <c r="BH25" s="10">
        <f t="shared" si="2"/>
        <v>0</v>
      </c>
      <c r="BI25" s="10">
        <f>IF(E25="","",IF(DT25=1,1+Boss参数!$B$8+AV25*Boss参数!$B$19,1))</f>
        <v>1.5</v>
      </c>
      <c r="BJ25" s="9">
        <f>IF($I25="现实",Boss参数!$C$4,IF($I25="精神",Boss参数!$D$4,0))</f>
        <v>1200</v>
      </c>
      <c r="BK25" s="9">
        <f>IF($E25="","",MAX($AY25*Boss参数!$B$9,$AY25-$BJ25*(1-$BF25)))</f>
        <v>1748</v>
      </c>
      <c r="BL25" s="10">
        <f>MAX(0,Boss参数!$F$4+IF(DT25=0,Boss参数!$B$27,0)-EJ25)</f>
        <v>0.4</v>
      </c>
      <c r="BM25" s="10">
        <f>Boss参数!$G$4+DU25-IF(Y25=1,Boss参数!$B$11,0)</f>
        <v>0.5</v>
      </c>
      <c r="BN25" s="10">
        <f>IF($E25="","",MAX(Boss参数!$B$10,1+IFERROR(INDEX(角色面板!$I$18:$I$21,MATCH($E25,角色面板!$A$18:$A$21,0)),0)+$BB25+Boss参数!$H$4-$BM25))</f>
        <v>0.96499999999999986</v>
      </c>
      <c r="BO25" s="10">
        <f>IF(E25="","",IF(OR(L25="J_COUNTER",L25="J_HARD"),MAX(0,1+INDEX(角色面板!$K$18:$K$21,MATCH(E25,角色面板!$A$18:$A$21,0))-DI25*Boss参数!$B$23+IF(OR(Boss参数!$B$43=1,L25="J_HARD"),IF(B25&lt;=AH25,Boss参数!$B$46,0),0)),MAX(0,IF(OR(H25="术法",L25="RHI_BERRY",AND(L25="37_FOLLOW",Boss参数!$B$31=1)),1+BC25,IF(H25="仪式",1+BD25,IF(H25="洞知",EK25,1))))))</f>
        <v>1.27</v>
      </c>
      <c r="BP25" s="10">
        <f t="shared" si="3"/>
        <v>1.5169999999999999</v>
      </c>
      <c r="BQ25" s="1">
        <f t="shared" si="4"/>
        <v>22493.744699999996</v>
      </c>
      <c r="BR25" s="1">
        <f t="shared" si="5"/>
        <v>34123.010709899994</v>
      </c>
      <c r="BS25" s="1">
        <f>IF(BH25=0,0,ROUNDDOWN(AY25*BH25,0)*DV25*IF(Boss参数!$B$29=1,BN25,1)*IF(Boss参数!$B$33=1,BO25,1)*IF(Boss参数!$B$76=1,1-ES25,1))</f>
        <v>0</v>
      </c>
      <c r="BT25" s="1">
        <f t="shared" si="6"/>
        <v>0</v>
      </c>
      <c r="BU25" s="9">
        <f>IF(D25="",0,MIN(IF(Boss参数!$B$77=1,Boss参数!$B$63*Boss参数!$B$62,Boss参数!$B$61*Boss参数!$B$62),DW25+ROUNDDOWN(BS25,0)+ROUNDDOWN(DW25*Q25,0)))</f>
        <v>22493</v>
      </c>
      <c r="BV25" s="9">
        <f>IF(D25="",0,MIN(IF(Boss参数!$B$77=1,Boss参数!$B$63*Boss参数!$B$62,Boss参数!$B$61*Boss参数!$B$62),DX25+ROUNDDOWN(BT25,0)+ROUNDDOWN(DX25*Q25,0)))</f>
        <v>34123</v>
      </c>
      <c r="BW25" s="9">
        <f t="shared" si="7"/>
        <v>30250</v>
      </c>
      <c r="BX25" s="1" t="str">
        <f t="shared" si="8"/>
        <v/>
      </c>
      <c r="BY25" s="1">
        <f t="shared" si="9"/>
        <v>2</v>
      </c>
      <c r="BZ25" s="1">
        <f t="shared" si="10"/>
        <v>1</v>
      </c>
      <c r="CA25" s="1">
        <f>MIN(10,W25+IF(AND(L25="LILYA_COBRA",COUNTIF($L$3:L25,"LILYA_COBRA")=1),5,0)+IF(AND(L25="LILYA_DIVE",U25=1,COUNTIFS($DG$3:DG25,DG25,$L$3:L25,"LILYA_DIVE")=1),2,0)+IF(AND(FE25=1,U25=1),3,0))</f>
        <v>10</v>
      </c>
      <c r="CB25" s="1">
        <f>MIN(20,MAX(0,X25+IF(L25="LILYA_COBRA",IF(COUNTIF($L$3:L25,"LILYA_COBRA")=1,6,IF(U25=1,MAX(1,G25),IF(U25=2,2*MAX(1,G25),0))),0)+IF(AND(Y25=1,E25="红弩箭",L25&lt;&gt;"ENTER_INSIGHT"),1,0)-IF(AND(L25="LILYA_ULT",X25&gt;=6),6,0)))</f>
        <v>6</v>
      </c>
      <c r="CC25" s="1">
        <f t="shared" si="11"/>
        <v>0</v>
      </c>
      <c r="CD25" s="1">
        <f t="shared" si="12"/>
        <v>0</v>
      </c>
      <c r="CE25" s="1">
        <f t="shared" si="13"/>
        <v>0</v>
      </c>
      <c r="CF25" s="1">
        <f t="shared" si="14"/>
        <v>1</v>
      </c>
      <c r="CG25" s="1">
        <f t="shared" si="15"/>
        <v>1</v>
      </c>
      <c r="CH25" s="1">
        <f>MIN(35,AD25+IF(L25="J_HARD",6,0)+IF(L25="J_COUNTER",Boss参数!$B$30,0))</f>
        <v>16</v>
      </c>
      <c r="CI25" s="1">
        <f>MIN(Boss参数!$I$4,AE25+IF(L25="J_HARD",6,0)+IF(L25="J_ULT",AD25,0)+IF(L25="J_COUNTER",Boss参数!$B$30,0))</f>
        <v>22</v>
      </c>
      <c r="CJ25" s="10">
        <f>IF(L25="J_ULT",AD25*Boss参数!$B$41,IF(B25&lt;=AG25,AF25,0))</f>
        <v>0.4</v>
      </c>
      <c r="CK25" s="1">
        <f t="shared" si="16"/>
        <v>5</v>
      </c>
      <c r="CL25" s="1">
        <f t="shared" si="17"/>
        <v>5</v>
      </c>
      <c r="CM25" s="1">
        <f t="shared" si="18"/>
        <v>4</v>
      </c>
      <c r="CN25" s="1">
        <f t="shared" si="19"/>
        <v>5</v>
      </c>
      <c r="CO25" s="1">
        <f t="shared" si="20"/>
        <v>4</v>
      </c>
      <c r="CP25" s="1">
        <f t="shared" si="21"/>
        <v>3</v>
      </c>
      <c r="CQ25" s="1">
        <f t="shared" si="22"/>
        <v>15</v>
      </c>
      <c r="CR25" s="1">
        <f t="shared" si="23"/>
        <v>4</v>
      </c>
      <c r="CS25" s="1">
        <f t="shared" si="24"/>
        <v>0</v>
      </c>
      <c r="CT25" s="10">
        <f t="shared" si="25"/>
        <v>0</v>
      </c>
      <c r="CU25" s="1">
        <f t="shared" si="26"/>
        <v>0</v>
      </c>
      <c r="CV25" s="10">
        <f t="shared" si="27"/>
        <v>0</v>
      </c>
      <c r="CW25" s="1">
        <f t="shared" si="28"/>
        <v>0</v>
      </c>
      <c r="CX25" s="10">
        <f t="shared" si="29"/>
        <v>0.3</v>
      </c>
      <c r="CY25" s="1">
        <f t="shared" si="30"/>
        <v>5</v>
      </c>
      <c r="CZ25" s="1"/>
      <c r="DA25" s="1"/>
      <c r="DB25" s="1"/>
      <c r="DC25" s="1"/>
      <c r="DD25" s="1"/>
      <c r="DE25" s="1"/>
      <c r="DF25" s="1"/>
      <c r="DG25" s="1">
        <f>IF(D25="","",行动模拟!B31)</f>
        <v>3</v>
      </c>
      <c r="DH25" s="1" t="str">
        <f>IF(L25="END_TURN","回合结束",IF(D25="","",IF(INDEX(回合状态!$C$7:$C$17,MATCH(DG25,回合状态!$A$7:$A$17,0))="洞穿","洞穿",IF(OR(L25="J_COUNTER",L25="BOSS_ACTION",L25="BOSS_CONSERVATIVE"),"敌方",IF(AND(L25="37_FOLLOW",DG25=DG24,DH24="敌方"),"敌方",IF(INDEX(回合状态!$C$7:$C$17,MATCH(DG25,回合状态!$A$7:$A$17,0))="普通","出牌",INDEX(回合状态!$C$7:$C$17,MATCH(DG25,回合状态!$A$7:$A$17,0))))))))</f>
        <v>出牌</v>
      </c>
      <c r="DI25" s="1">
        <f t="shared" si="31"/>
        <v>1</v>
      </c>
      <c r="DJ25" s="1">
        <f>IF(D25="",0,MIN(Boss参数!$B$25,IF(OR(AND(DH25="敌方",OR(DH24&lt;&gt;"敌方",DG25&lt;&gt;DG24)),AND(L25="END_TURN",DH25&lt;&gt;"洞穿"),AND(DG25&lt;&gt;DG24,DH24&lt;&gt;"洞穿",L24&lt;&gt;"END_TURN",COUNTIFS($DG$3:DG24,DG24,$DH$3:DH24,"敌方")=0)),EW25,DN24)))</f>
        <v>5</v>
      </c>
      <c r="DK25" s="1">
        <f>IF(D25="",0,MIN(Boss参数!$B$25,IF(OR(AND(DH25="敌方",OR(DH24&lt;&gt;"敌方",DG25&lt;&gt;DG24)),AND(L25="END_TURN",DH25&lt;&gt;"洞穿"),AND(DG25&lt;&gt;DG24,DH24&lt;&gt;"洞穿",L24&lt;&gt;"END_TURN",COUNTIFS($DG$3:DG24,DG24,$DH$3:DH24,"敌方")=0)),EW25,DO24)))</f>
        <v>1</v>
      </c>
      <c r="DL25" s="1">
        <f>IF(D25="",0,MIN(Boss参数!$B$25,IF(OR(AND(DH25="敌方",OR(DH24&lt;&gt;"敌方",DG25&lt;&gt;DG24)),AND(L25="END_TURN",DH25&lt;&gt;"洞穿"),AND(DG25&lt;&gt;DG24,DH24&lt;&gt;"洞穿",L24&lt;&gt;"END_TURN",COUNTIFS($DG$3:DG24,DG24,$DH$3:DH24,"敌方")=0)),EW25,DP24)))</f>
        <v>5</v>
      </c>
      <c r="DM25" s="1">
        <f>IF(D25="",0,MIN(Boss参数!$B$25,IF(OR(AND(DH25="敌方",OR(DH24&lt;&gt;"敌方",DG25&lt;&gt;DG24)),AND(L25="END_TURN",DH25&lt;&gt;"洞穿"),AND(DG25&lt;&gt;DG24,DH24&lt;&gt;"洞穿",L24&lt;&gt;"END_TURN",COUNTIFS($DG$3:DG24,DG24,$DH$3:DH24,"敌方")=0)),EW25,DQ24)))</f>
        <v>1</v>
      </c>
      <c r="DN25" s="1">
        <f>MAX(0,MIN(Boss参数!$B$25,DJ25+DR25)-IF(E25="红弩箭",2*DR25,0))</f>
        <v>5</v>
      </c>
      <c r="DO25" s="1">
        <f>MAX(0,MIN(Boss参数!$B$25,DK25+DR25)-IF(E25="37",2*DR25,0))</f>
        <v>2</v>
      </c>
      <c r="DP25" s="1">
        <f>MAX(0,MIN(Boss参数!$B$25,DL25+DR25)-IF(E25="小瑞安侬",2*DR25,0))</f>
        <v>5</v>
      </c>
      <c r="DQ25" s="1">
        <f>MAX(0,MIN(Boss参数!$B$25,DM25+DR25)-IF(E25="J",2*DR25,0))</f>
        <v>0</v>
      </c>
      <c r="DR25" s="1">
        <f t="shared" si="32"/>
        <v>1</v>
      </c>
      <c r="DS25" s="1">
        <f t="shared" si="33"/>
        <v>1</v>
      </c>
      <c r="DT25" s="1">
        <f>IF(OR(E25="",E25="系统"),0,IF(OR(AND(DS25=1,Boss参数!$B$32=1),L25="RHI_BERRY",OR(AND(INDEX(角色面板!$B$18:$B$21,MATCH(E25,角色面板!$A$18:$A$21,0))="星",Boss参数!$B$4="岩"),AND(INDEX(角色面板!$B$18:$B$21,MATCH(E25,角色面板!$A$18:$A$21,0))="岩",Boss参数!$B$4="兽"),AND(INDEX(角色面板!$B$18:$B$21,MATCH(E25,角色面板!$A$18:$A$21,0))="兽",Boss参数!$B$4="木"),AND(INDEX(角色面板!$B$18:$B$21,MATCH(E25,角色面板!$A$18:$A$21,0))="木",Boss参数!$B$4="星"),AND(INDEX(角色面板!$B$18:$B$21,MATCH(E25,角色面板!$A$18:$A$21,0))="智",Boss参数!$B$4="灵"),AND(INDEX(角色面板!$B$18:$B$21,MATCH(E25,角色面板!$A$18:$A$21,0))="灵",Boss参数!$B$4="智"))),1,0))</f>
        <v>1</v>
      </c>
      <c r="DU25" s="1">
        <f>IF(D25="",0,INDEX(回合状态!$E$7:$E$17,MATCH(DG25,回合状态!$A$7:$A$17,0))+IF(AND(DH25="敌方",OR(INDEX(回合状态!$C$7:$C$17,MATCH(DG25,回合状态!$A$7:$A$17,0))="普通",INDEX(回合状态!$C$7:$C$17,MATCH(DG25,回合状态!$A$7:$A$17,0))="额外")),0.05,0))</f>
        <v>0.1</v>
      </c>
      <c r="DV25" s="1">
        <f>MAX(Boss参数!$B$28,1+IF(AND(E25="37",AC25&gt;0,BH25&gt;0),Boss参数!$B$42,0)-DI25*Boss参数!$B$24+EA25-ER25)</f>
        <v>0.85</v>
      </c>
      <c r="DW25" s="1">
        <f>MIN(IF(Boss参数!$B$77=1,Boss参数!$B$63*Boss参数!$B$62,Boss参数!$B$61*Boss参数!$B$62),ROUNDDOWN(BQ25*(1-ES25),0))</f>
        <v>22493</v>
      </c>
      <c r="DX25" s="1">
        <f>MIN(IF(Boss参数!$B$77=1,Boss参数!$B$63*Boss参数!$B$62,Boss参数!$B$61*Boss参数!$B$62),ROUNDDOWN(BR25*(1-ES25),0))</f>
        <v>34123</v>
      </c>
      <c r="DY25" s="1">
        <f t="shared" si="65"/>
        <v>238</v>
      </c>
      <c r="DZ25" s="1">
        <f>IF(L25="RHI_ULT",MIN(Boss参数!$B$48,ROUNDDOWN(AY25*Boss参数!$B$47,0)),DY25)</f>
        <v>238</v>
      </c>
      <c r="EA25" s="11">
        <v>0</v>
      </c>
      <c r="EB25" s="1">
        <f t="shared" si="34"/>
        <v>0</v>
      </c>
      <c r="EC25" s="1">
        <f>SUMIFS($EB$3:EB25,$B$3:B25,"&gt;="&amp;MAX(1,B25-2),$B$3:B25,"&lt;="&amp;B25)*Boss参数!$B$51</f>
        <v>8</v>
      </c>
      <c r="ED25" s="1">
        <f>IF(D25="",EG24,IF(AND(DG25&lt;&gt;DG24,DH25&lt;&gt;"洞穿"),MIN(Boss参数!$B$55,EG24+2),EG24))</f>
        <v>2</v>
      </c>
      <c r="EE25" s="1">
        <f t="shared" si="35"/>
        <v>0</v>
      </c>
      <c r="EF25" s="1">
        <f>IF(AND(OR(L25="END_TURN",AND(DH25="敌方",OR(DH24&lt;&gt;"敌方",DG25&lt;&gt;DG24))),SUMIFS($EF$3:EF24,$DG$3:DG24,DG25)=0),MIN(1,MAX(0,ED25-EE25)),0)</f>
        <v>0</v>
      </c>
      <c r="EG25" s="1">
        <f t="shared" si="36"/>
        <v>2</v>
      </c>
      <c r="EH25" s="11">
        <f>Boss参数!$B$53-IF(Y25=1,Boss参数!$B$54,0)</f>
        <v>0</v>
      </c>
      <c r="EI25" s="11">
        <f t="shared" si="37"/>
        <v>0.3</v>
      </c>
      <c r="EJ25" s="11">
        <f t="shared" si="38"/>
        <v>0</v>
      </c>
      <c r="EK25" s="11">
        <f t="shared" si="39"/>
        <v>1</v>
      </c>
      <c r="EL25" s="1">
        <f t="shared" si="66"/>
        <v>0</v>
      </c>
      <c r="EM25" s="1">
        <f>IF(AND(DG25&lt;&gt;DG24,DH25="洞穿"),0,IF(L25="ENTER_INSIGHT",Boss参数!$B$57,EO24))</f>
        <v>0</v>
      </c>
      <c r="EN25" s="11">
        <f>IF(AND(Y25=1,H25="洞知",EM25&gt;0),Boss参数!$B$56,0)</f>
        <v>0</v>
      </c>
      <c r="EO25" s="1">
        <f t="shared" si="40"/>
        <v>0</v>
      </c>
      <c r="EP25" s="12">
        <f t="shared" si="67"/>
        <v>166403</v>
      </c>
      <c r="EQ25" s="12">
        <f>ROUNDDOWN(EP25/Boss参数!$B$62,0)</f>
        <v>1</v>
      </c>
      <c r="ER25" s="11">
        <f>IF(EQ25&gt;=Boss参数!$B$66,Boss参数!$B$69,IF(EQ25&gt;=Boss参数!$B$65,Boss参数!$B$68,IF(EQ25&gt;=Boss参数!$B$64,Boss参数!$B$67,0)))</f>
        <v>0</v>
      </c>
      <c r="ES25" s="11">
        <f>MIN(1,IF(EQ25&gt;=Boss参数!$B$66,Boss参数!$B$72+ROUNDDOWN((EQ25-Boss参数!$B$66)/Boss参数!$B$73,0)*Boss参数!$B$74,IF(EQ25&gt;=Boss参数!$B$65,Boss参数!$B$71,IF(EQ25&gt;=Boss参数!$B$64,Boss参数!$B$70,0))))</f>
        <v>0</v>
      </c>
      <c r="ET25" s="12">
        <f>MIN(Boss参数!$B$61*Boss参数!$B$62,EP25+IF(AND(Boss参数!$B$60=1,ISNUMBER(验证表!H31)),验证表!H31,EU25))</f>
        <v>200526</v>
      </c>
      <c r="EU25" s="12">
        <f>IF(D25="",0,IF(验证表!G31="是",BV25,IF(验证表!G31="否",BU25,BW25)))</f>
        <v>34123</v>
      </c>
      <c r="EV25" s="12">
        <f>IF(EQ25&gt;=Boss参数!$B$66,2,IF(EQ25&gt;=Boss参数!$B$65,1,0))</f>
        <v>0</v>
      </c>
      <c r="EW25" s="12">
        <f t="shared" si="41"/>
        <v>1</v>
      </c>
      <c r="EX25" s="1">
        <f>IF(D25="",0,INDEX(回合状态!$D$7:$D$17,MATCH(DG25,回合状态!$A$7:$A$17,0)))</f>
        <v>3</v>
      </c>
      <c r="EY25" s="1">
        <f>IF(OR(L25="RHI_ATTACK",L25="RHI_BUFF"),1,IF(L25="RHI_ULT",Boss参数!$B$52,0))</f>
        <v>0</v>
      </c>
      <c r="EZ25" s="1">
        <f>MIN(6,SUMIFS($EY$3:EY25,$EX$3:EX25,"&gt;="&amp;MAX(1,EX25-Boss参数!$B$87+1),$EX$3:EX25,"&lt;="&amp;EX25))</f>
        <v>3</v>
      </c>
      <c r="FA25" s="1">
        <f t="shared" si="68"/>
        <v>16</v>
      </c>
      <c r="FB25" s="17">
        <f>IF(L25="BOSS_CONSERVATIVE",B25+Boss参数!$B$91,FB24)</f>
        <v>0</v>
      </c>
      <c r="FC25" s="17">
        <f t="shared" si="69"/>
        <v>0</v>
      </c>
      <c r="FD25" s="17">
        <f>IF(D25="",FD24,FD24+IF(AND(DG25&lt;&gt;DG24,INDEX(回合状态!$C$7:$C$17,MATCH(DG25,回合状态!$A$7:$A$17,0))&lt;&gt;"洞穿"),1,0))</f>
        <v>3</v>
      </c>
      <c r="FE25" s="17">
        <f>IF(D25="",0,IF(AND(OR(L25="END_TURN",DH25="敌方"),INDEX(回合状态!$C$7:$C$17,MATCH(DG25,回合状态!$A$7:$A$17,0))&lt;&gt;"洞穿",SUMIFS($FE$3:FE24,$DG$3:DG24,DG25)=0),1,0))</f>
        <v>0</v>
      </c>
    </row>
    <row r="26" spans="1:161" ht="84.95" customHeight="1">
      <c r="A26" s="1">
        <f>行动模拟!A32</f>
        <v>24</v>
      </c>
      <c r="B26" s="1">
        <f>IF(D26="",0,INDEX(回合状态!$B$7:$B$17,MATCH(DG26,回合状态!$A$7:$A$17,0)))</f>
        <v>3</v>
      </c>
      <c r="C26" s="1">
        <f>行动模拟!C32</f>
        <v>5</v>
      </c>
      <c r="D26" s="1" t="str">
        <f>IF(行动模拟!D32="","",行动模拟!D32)</f>
        <v>小瑞安侬｜囫囵囵咒Ⅰ</v>
      </c>
      <c r="E26" s="1" t="str">
        <f>IF($D26="","",IFERROR(INDEX(技能数据库!$B$4:$B$38,MATCH($D26,技能数据库!$A$4:$A$38,0)),""))</f>
        <v>小瑞安侬</v>
      </c>
      <c r="F26" s="1" t="str">
        <f>IF($D26="","",IFERROR(INDEX(技能数据库!$C$4:$C$38,MATCH($D26,技能数据库!$A$4:$A$38,0)),""))</f>
        <v>囫囵囵咒</v>
      </c>
      <c r="G26" s="1">
        <f>IF($D26="","",IFERROR(INDEX(技能数据库!$D$4:$D$38,MATCH($D26,技能数据库!$A$4:$A$38,0)),""))</f>
        <v>1</v>
      </c>
      <c r="H26" s="1" t="str">
        <f>IF($D26="","",IFERROR(INDEX(技能数据库!$E$4:$E$38,MATCH($D26,技能数据库!$A$4:$A$38,0)),""))</f>
        <v>术法</v>
      </c>
      <c r="I26" s="1" t="str">
        <f>IF($D26="","",IFERROR(INDEX(技能数据库!$F$4:$F$38,MATCH($D26,技能数据库!$A$4:$A$38,0)),""))</f>
        <v>精神</v>
      </c>
      <c r="J26" s="1">
        <f>IF($D26="","",IFERROR(INDEX(技能数据库!$G$4:$G$38,MATCH($D26,技能数据库!$A$4:$A$38,0)),""))</f>
        <v>2</v>
      </c>
      <c r="K26" s="1">
        <f>IF($D26="","",IFERROR(INDEX(技能数据库!$H$4:$H$38,MATCH($D26,技能数据库!$A$4:$A$38,0)),""))</f>
        <v>0</v>
      </c>
      <c r="L26" s="1" t="str">
        <f>IF($D26="","",IFERROR(INDEX(技能数据库!$I$4:$I$38,MATCH($D26,技能数据库!$A$4:$A$38,0)),""))</f>
        <v>RHI_ATTACK</v>
      </c>
      <c r="M26" s="10">
        <v>1</v>
      </c>
      <c r="N26" s="1"/>
      <c r="O26" s="1"/>
      <c r="P26" s="1"/>
      <c r="Q26" s="10">
        <f t="shared" si="0"/>
        <v>0</v>
      </c>
      <c r="R26" s="10">
        <v>0</v>
      </c>
      <c r="S26" s="10">
        <v>0</v>
      </c>
      <c r="T26" s="1">
        <f>行动模拟!I32</f>
        <v>0</v>
      </c>
      <c r="U26" s="1">
        <f>IF(FD26&lt;&gt;FD25,IF(BY25=1,IF(MIN(10,CA25+IF(AND(DG26&lt;&gt;DG25,DH25&lt;&gt;"洞穿",SUMIFS($FE$3:FE25,$DG$3:DG25,DG25)=0,BY25=1),3,0))&gt;=10,2,1),IF(BY25=2,IF(BZ25&lt;=1,0,2),0)),BY25)</f>
        <v>2</v>
      </c>
      <c r="V26" s="1">
        <f>IF(FD26&lt;&gt;FD25,IF(BY25=1,IF(MIN(10,CA25+IF(AND(DG26&lt;&gt;DG25,DH25&lt;&gt;"洞穿",SUMIFS($FE$3:FE25,$DG$3:DG25,DG25)=0,BY25=1),3,0))&gt;=10,2,0),IF(BY25=2,MAX(0,BZ25-1),0)),BZ25)</f>
        <v>1</v>
      </c>
      <c r="W26" s="1">
        <f>IF(AND(FD26&lt;&gt;FD25,BY25=2,BZ25&lt;=1),0,MIN(10,CA25+IF(AND(DG26&lt;&gt;DG25,DH25&lt;&gt;"洞穿",SUMIFS($FE$3:FE25,$DG$3:DG25,DG25)=0,BY25=1),3,0)))</f>
        <v>10</v>
      </c>
      <c r="X26" s="1">
        <f t="shared" si="42"/>
        <v>6</v>
      </c>
      <c r="Y26" s="1">
        <f t="shared" si="43"/>
        <v>0</v>
      </c>
      <c r="Z26" s="1">
        <f t="shared" si="44"/>
        <v>0</v>
      </c>
      <c r="AA26" s="1">
        <f t="shared" si="45"/>
        <v>0</v>
      </c>
      <c r="AB26" s="1">
        <f t="shared" si="46"/>
        <v>1</v>
      </c>
      <c r="AC26" s="1">
        <f t="shared" si="47"/>
        <v>1</v>
      </c>
      <c r="AD26" s="1">
        <f t="shared" si="48"/>
        <v>16</v>
      </c>
      <c r="AE26" s="1">
        <f>IF(D26="",0,IF(DG26&lt;&gt;DG25,IFERROR(INDEX(回合状态!$F$7:$F$17,MATCH(DG26,回合状态!$A$7:$A$17,0)),0),CI25))</f>
        <v>22</v>
      </c>
      <c r="AF26" s="10">
        <f t="shared" si="49"/>
        <v>0.4</v>
      </c>
      <c r="AG26" s="1">
        <f t="shared" si="50"/>
        <v>5</v>
      </c>
      <c r="AH26" s="1">
        <f t="shared" si="51"/>
        <v>5</v>
      </c>
      <c r="AI26" s="1">
        <f t="shared" si="52"/>
        <v>4</v>
      </c>
      <c r="AJ26" s="1">
        <f t="shared" si="53"/>
        <v>5</v>
      </c>
      <c r="AK26" s="1">
        <f t="shared" si="54"/>
        <v>4</v>
      </c>
      <c r="AL26" s="1">
        <f t="shared" si="55"/>
        <v>3</v>
      </c>
      <c r="AM26" s="1">
        <f t="shared" si="56"/>
        <v>15</v>
      </c>
      <c r="AN26" s="1">
        <f t="shared" si="57"/>
        <v>4</v>
      </c>
      <c r="AO26" s="1">
        <f t="shared" si="58"/>
        <v>0</v>
      </c>
      <c r="AP26" s="10">
        <f t="shared" si="59"/>
        <v>0</v>
      </c>
      <c r="AQ26" s="1">
        <f t="shared" si="60"/>
        <v>0</v>
      </c>
      <c r="AR26" s="10">
        <f t="shared" si="61"/>
        <v>0</v>
      </c>
      <c r="AS26" s="1">
        <f t="shared" si="62"/>
        <v>0</v>
      </c>
      <c r="AT26" s="10">
        <f t="shared" si="63"/>
        <v>0.3</v>
      </c>
      <c r="AU26" s="1">
        <f t="shared" si="64"/>
        <v>5</v>
      </c>
      <c r="AV26" s="1">
        <f>MIN(5,SUMIFS($EL$3:EL26,$B$3:B26,"&gt;="&amp;MAX(1,B26-2),$B$3:B26,"&lt;="&amp;B26)+EC26)</f>
        <v>5</v>
      </c>
      <c r="AW26" s="1">
        <f>MIN(6,SUMIFS($EY$3:EY25,$EX$3:EX25,"&gt;="&amp;MAX(1,EX26-Boss参数!$B$87+1),$EX$3:EX25,"&lt;="&amp;EX26))</f>
        <v>3</v>
      </c>
      <c r="AX26" s="1">
        <f>MIN(4,COUNTIFS($B$3:$B$25,"&gt;="&amp;MAX(1,$B26-2),$B$3:$B$25,"&lt;="&amp;$B26,$L$3:$L$25,"37_FOLLOW"))</f>
        <v>4</v>
      </c>
      <c r="AY26" s="9">
        <f>IF($E26="","",IF($E26="系统",0,ROUNDDOWN(INDEX(角色面板!$C$4:$C$7,MATCH($E26,角色面板!$A$4:$A$7,0))*(1+INDEX(角色面板!$C$11:$C$14,MATCH($E26,角色面板!$A$11:$A$14,0))+IF($E26="小瑞安侬",MAX(IF($B26&lt;=$AQ26,$AP26,0),IF(AND($L26="RHI_ATTACK",$EE26&gt;0),0.11+0.01*$G26,0)),0)+IF($E26="J",$AD26*Boss参数!$B$18,0))+IF(FD26&lt;=$AN26,MIN(Boss参数!$B$21,ROUNDDOWN(角色面板!$C$19*Boss参数!$B$20,0)),0)+IF(AND($B26&lt;=$AK26,$E26&lt;&gt;"小瑞安侬"),$DY26,0),0)))</f>
        <v>3798</v>
      </c>
      <c r="AZ26" s="10">
        <f>IF($E26="","",MAX(0,MIN(1,IFERROR(INDEX(角色面板!$G$18:$G$21,MATCH($E26,角色面板!$A$18:$A$21,0)),0)-FC26*Boss参数!$B$89-Boss参数!$E$4)))</f>
        <v>0.55499999999999994</v>
      </c>
      <c r="BA26" s="10">
        <f>IF(E26="","",(IF($E26="","",IF($E26="红弩箭",Boss参数!$B$80,IF($E26="J",Boss参数!$B$81,IFERROR(INDEX(角色面板!$H$18:$H$21,MATCH($E26,角色面板!$A$18:$A$21,0)),0)))+IF($B26&lt;=$AI26,Boss参数!$B$13,0)+MIN(30,$AM26)*Boss参数!$B$17+IF(AND($L26="LILYA_ULT",$X26&gt;=6),1,0)+IF(AND($Y26=1,$L26="LILYA_INSIGHT"),IF(MOD($AA26+1,3)=0,Boss参数!$B$83,Boss参数!$B$82),IF(AND($Y26=1,$L26="LILYA_FINISH"),Boss参数!$B$84,0))))-FC26*Boss参数!$B$90)</f>
        <v>1.77</v>
      </c>
      <c r="BB26" s="10">
        <f>IF($E26="","",IFERROR(INDEX(角色面板!$M$18:$M$21,MATCH($E26,角色面板!$A$18:$A$21,0)),0)+$AW26*Boss参数!$B$12+IF($B26&lt;=$AG26,$AF26,0)+$EI26+IF($L26="LILYA_DIVE",IF($U26=1,IF($G26=1,0.3,IF($G26=2,0.4,0.5)),IF($U26=2,IF($G26=1,0.6,IF($G26=2,0.8,1)),0)),0)+$R26+IF(AND($E26="J",OR($L26="J_COUNTER",$L26="J_HARD")),Boss参数!$B$79,0)+IF(AND(OR(L26="J_COUNTER",L26="J_HARD"),FA26&gt;=Boss参数!$B$59),FA26*Boss参数!$B$40,0))</f>
        <v>0.76</v>
      </c>
      <c r="BC26" s="10">
        <f>IF($E26="","",IFERROR(INDEX(角色面板!$K$18:$K$21,MATCH($E26,角色面板!$A$18:$A$21,0)),0)+IF($B26&lt;=$AH26,Boss参数!$B$46,0)+IF($E26="红弩箭",IF($U26=1,0.6,IF($U26=2,1.2,0))+$W26*0.06,0))-DI26*Boss参数!$B$23</f>
        <v>-0.85000000000000009</v>
      </c>
      <c r="BD26" s="10">
        <f>IF($E26="","",IFERROR(INDEX(角色面板!$L$18:$L$21,MATCH($E26,角色面板!$A$18:$A$21,0)),0)+IF($B26&lt;=$AH26,Boss参数!$B$46,0)+IF($E26="J",$AL26*Boss参数!$B$16,0)+IF($E26="红弩箭",$X26*0.025,0)+IF(AND($L26="LILYA_ULT",$X26&gt;=6),1,0))-DI26*Boss参数!$B$23</f>
        <v>-0.45</v>
      </c>
      <c r="BE26" s="10">
        <f>IF($E26="","",IF($H26="洞知",IF($E26="红弩箭",$AO26*Boss参数!$B$15,0)+$AX26*Boss参数!$B$14,0))</f>
        <v>0</v>
      </c>
      <c r="BF26" s="10">
        <f t="shared" si="1"/>
        <v>0</v>
      </c>
      <c r="BG26" s="10">
        <f>IF($D26="",0,IF(AND($L26&lt;&gt;"LILYA_DIVE",$L26&lt;&gt;"LILYA_ULT",$L26&lt;&gt;"LILYA_INSIGHT",$L26&lt;&gt;"LILYA_FINISH",$L26&lt;&gt;"37_FOLLOW",$L26&lt;&gt;"RHI_ATTACK",$L26&lt;&gt;"RHI_BERRY",$L26&lt;&gt;"J_COUNTER",$L26&lt;&gt;"J_ULT"),$J26,0)+IF($L26="LILYA_DIVE",$J26+IF($U26=1,IF($G26=1,6,IF($G26=2,12,18)),IF($U26=2,IF($G26=1,12,IF($G26=2,24,36)),0)),0)+IF($L26="LILYA_ULT",$J26+IF($X26&gt;=6,18,0),0)+IF($L26="LILYA_INSIGHT",IF($Y26=1,IF(MOD($AA26+1,3)=0,32,15),0),0)+IF($L26="LILYA_FINISH",IF($Y26=1,50+2.5*$Z26,0),0)+IF($L26="37_FOLLOW",$J26,0)+IF($L26="RHI_ATTACK",$J26*IF($B26&lt;=$AJ26,2,1),0)+IF($L26="RHI_BERRY",15+1.5*$AV26,0)+IF($L26="J_COUNTER",$J26+$AD26*Boss参数!$B$39,0)+IF($L26="J_ULT",$J26+Boss参数!$B$45*MAX(0,$AE26+$AD26-Boss参数!$I$4),0)+$S26)</f>
        <v>4</v>
      </c>
      <c r="BH26" s="10">
        <f t="shared" si="2"/>
        <v>0</v>
      </c>
      <c r="BI26" s="10">
        <f>IF(E26="","",IF(DT26=1,1+Boss参数!$B$8+AV26*Boss参数!$B$19,1))</f>
        <v>1.5</v>
      </c>
      <c r="BJ26" s="9">
        <f>IF($I26="现实",Boss参数!$C$4,IF($I26="精神",Boss参数!$D$4,0))</f>
        <v>1000</v>
      </c>
      <c r="BK26" s="9">
        <f>IF($E26="","",MAX($AY26*Boss参数!$B$9,$AY26-$BJ26*(1-$BF26)))</f>
        <v>2798</v>
      </c>
      <c r="BL26" s="10">
        <f>MAX(0,Boss参数!$F$4+IF(DT26=0,Boss参数!$B$27,0)-EJ26)</f>
        <v>0.4</v>
      </c>
      <c r="BM26" s="10">
        <f>Boss参数!$G$4+DU26-IF(Y26=1,Boss参数!$B$11,0)</f>
        <v>0.5</v>
      </c>
      <c r="BN26" s="10">
        <f>IF($E26="","",MAX(Boss参数!$B$10,1+IFERROR(INDEX(角色面板!$I$18:$I$21,MATCH($E26,角色面板!$A$18:$A$21,0)),0)+$BB26+Boss参数!$H$4-$BM26))</f>
        <v>1.2949999999999999</v>
      </c>
      <c r="BO26" s="10">
        <f>IF(E26="","",IF(OR(L26="J_COUNTER",L26="J_HARD"),MAX(0,1+INDEX(角色面板!$K$18:$K$21,MATCH(E26,角色面板!$A$18:$A$21,0))-DI26*Boss参数!$B$23+IF(OR(Boss参数!$B$43=1,L26="J_HARD"),IF(B26&lt;=AH26,Boss参数!$B$46,0),0)),MAX(0,IF(OR(H26="术法",L26="RHI_BERRY",AND(L26="37_FOLLOW",Boss参数!$B$31=1)),1+BC26,IF(H26="仪式",1+BD26,IF(H26="洞知",EK26,1))))))</f>
        <v>0.14999999999999991</v>
      </c>
      <c r="BP26" s="10">
        <f t="shared" si="3"/>
        <v>1.37</v>
      </c>
      <c r="BQ26" s="1">
        <f t="shared" si="4"/>
        <v>3261.0689999999977</v>
      </c>
      <c r="BR26" s="1">
        <f t="shared" si="5"/>
        <v>4467.6645299999973</v>
      </c>
      <c r="BS26" s="1">
        <f>IF(BH26=0,0,ROUNDDOWN(AY26*BH26,0)*DV26*IF(Boss参数!$B$29=1,BN26,1)*IF(Boss参数!$B$33=1,BO26,1)*IF(Boss参数!$B$76=1,1-ES26,1))</f>
        <v>0</v>
      </c>
      <c r="BT26" s="1">
        <f t="shared" si="6"/>
        <v>0</v>
      </c>
      <c r="BU26" s="9">
        <f>IF(D26="",0,MIN(IF(Boss参数!$B$77=1,Boss参数!$B$63*Boss参数!$B$62,Boss参数!$B$61*Boss参数!$B$62),DW26+ROUNDDOWN(BS26,0)+ROUNDDOWN(DW26*Q26,0)))</f>
        <v>3261</v>
      </c>
      <c r="BV26" s="9">
        <f>IF(D26="",0,MIN(IF(Boss参数!$B$77=1,Boss参数!$B$63*Boss参数!$B$62,Boss参数!$B$61*Boss参数!$B$62),DX26+ROUNDDOWN(BT26,0)+ROUNDDOWN(DX26*Q26,0)))</f>
        <v>4467</v>
      </c>
      <c r="BW26" s="9">
        <f t="shared" si="7"/>
        <v>3930</v>
      </c>
      <c r="BX26" s="1" t="str">
        <f t="shared" si="8"/>
        <v/>
      </c>
      <c r="BY26" s="1">
        <f t="shared" si="9"/>
        <v>2</v>
      </c>
      <c r="BZ26" s="1">
        <f t="shared" si="10"/>
        <v>1</v>
      </c>
      <c r="CA26" s="1">
        <f>MIN(10,W26+IF(AND(L26="LILYA_COBRA",COUNTIF($L$3:L26,"LILYA_COBRA")=1),5,0)+IF(AND(L26="LILYA_DIVE",U26=1,COUNTIFS($DG$3:DG26,DG26,$L$3:L26,"LILYA_DIVE")=1),2,0)+IF(AND(FE26=1,U26=1),3,0))</f>
        <v>10</v>
      </c>
      <c r="CB26" s="1">
        <f>MIN(20,MAX(0,X26+IF(L26="LILYA_COBRA",IF(COUNTIF($L$3:L26,"LILYA_COBRA")=1,6,IF(U26=1,MAX(1,G26),IF(U26=2,2*MAX(1,G26),0))),0)+IF(AND(Y26=1,E26="红弩箭",L26&lt;&gt;"ENTER_INSIGHT"),1,0)-IF(AND(L26="LILYA_ULT",X26&gt;=6),6,0)))</f>
        <v>6</v>
      </c>
      <c r="CC26" s="1">
        <f t="shared" si="11"/>
        <v>0</v>
      </c>
      <c r="CD26" s="1">
        <f t="shared" si="12"/>
        <v>0</v>
      </c>
      <c r="CE26" s="1">
        <f t="shared" si="13"/>
        <v>0</v>
      </c>
      <c r="CF26" s="1">
        <f t="shared" si="14"/>
        <v>2</v>
      </c>
      <c r="CG26" s="1">
        <f t="shared" si="15"/>
        <v>1</v>
      </c>
      <c r="CH26" s="1">
        <f>MIN(35,AD26+IF(L26="J_HARD",6,0)+IF(L26="J_COUNTER",Boss参数!$B$30,0))</f>
        <v>16</v>
      </c>
      <c r="CI26" s="1">
        <f>MIN(Boss参数!$I$4,AE26+IF(L26="J_HARD",6,0)+IF(L26="J_ULT",AD26,0)+IF(L26="J_COUNTER",Boss参数!$B$30,0))</f>
        <v>22</v>
      </c>
      <c r="CJ26" s="10">
        <f>IF(L26="J_ULT",AD26*Boss参数!$B$41,IF(B26&lt;=AG26,AF26,0))</f>
        <v>0.4</v>
      </c>
      <c r="CK26" s="1">
        <f t="shared" si="16"/>
        <v>5</v>
      </c>
      <c r="CL26" s="1">
        <f t="shared" si="17"/>
        <v>5</v>
      </c>
      <c r="CM26" s="1">
        <f t="shared" si="18"/>
        <v>4</v>
      </c>
      <c r="CN26" s="1">
        <f t="shared" si="19"/>
        <v>5</v>
      </c>
      <c r="CO26" s="1">
        <f t="shared" si="20"/>
        <v>4</v>
      </c>
      <c r="CP26" s="1">
        <f t="shared" si="21"/>
        <v>3</v>
      </c>
      <c r="CQ26" s="1">
        <f t="shared" si="22"/>
        <v>15</v>
      </c>
      <c r="CR26" s="1">
        <f t="shared" si="23"/>
        <v>4</v>
      </c>
      <c r="CS26" s="1">
        <f t="shared" si="24"/>
        <v>0</v>
      </c>
      <c r="CT26" s="10">
        <f t="shared" si="25"/>
        <v>0.12</v>
      </c>
      <c r="CU26" s="1">
        <f t="shared" si="26"/>
        <v>5</v>
      </c>
      <c r="CV26" s="10">
        <f t="shared" si="27"/>
        <v>0.3</v>
      </c>
      <c r="CW26" s="1">
        <f t="shared" si="28"/>
        <v>5</v>
      </c>
      <c r="CX26" s="10">
        <f t="shared" si="29"/>
        <v>0.3</v>
      </c>
      <c r="CY26" s="1">
        <f t="shared" si="30"/>
        <v>5</v>
      </c>
      <c r="CZ26" s="1"/>
      <c r="DA26" s="1"/>
      <c r="DB26" s="1"/>
      <c r="DC26" s="1"/>
      <c r="DD26" s="1"/>
      <c r="DE26" s="1"/>
      <c r="DF26" s="1"/>
      <c r="DG26" s="1">
        <f>IF(D26="","",行动模拟!B32)</f>
        <v>3</v>
      </c>
      <c r="DH26" s="1" t="str">
        <f>IF(L26="END_TURN","回合结束",IF(D26="","",IF(INDEX(回合状态!$C$7:$C$17,MATCH(DG26,回合状态!$A$7:$A$17,0))="洞穿","洞穿",IF(OR(L26="J_COUNTER",L26="BOSS_ACTION",L26="BOSS_CONSERVATIVE"),"敌方",IF(AND(L26="37_FOLLOW",DG26=DG25,DH25="敌方"),"敌方",IF(INDEX(回合状态!$C$7:$C$17,MATCH(DG26,回合状态!$A$7:$A$17,0))="普通","出牌",INDEX(回合状态!$C$7:$C$17,MATCH(DG26,回合状态!$A$7:$A$17,0))))))))</f>
        <v>出牌</v>
      </c>
      <c r="DI26" s="1">
        <f t="shared" si="31"/>
        <v>5</v>
      </c>
      <c r="DJ26" s="1">
        <f>IF(D26="",0,MIN(Boss参数!$B$25,IF(OR(AND(DH26="敌方",OR(DH25&lt;&gt;"敌方",DG26&lt;&gt;DG25)),AND(L26="END_TURN",DH26&lt;&gt;"洞穿"),AND(DG26&lt;&gt;DG25,DH25&lt;&gt;"洞穿",L25&lt;&gt;"END_TURN",COUNTIFS($DG$3:DG25,DG25,$DH$3:DH25,"敌方")=0)),EW26,DN25)))</f>
        <v>5</v>
      </c>
      <c r="DK26" s="1">
        <f>IF(D26="",0,MIN(Boss参数!$B$25,IF(OR(AND(DH26="敌方",OR(DH25&lt;&gt;"敌方",DG26&lt;&gt;DG25)),AND(L26="END_TURN",DH26&lt;&gt;"洞穿"),AND(DG26&lt;&gt;DG25,DH25&lt;&gt;"洞穿",L25&lt;&gt;"END_TURN",COUNTIFS($DG$3:DG25,DG25,$DH$3:DH25,"敌方")=0)),EW26,DO25)))</f>
        <v>2</v>
      </c>
      <c r="DL26" s="1">
        <f>IF(D26="",0,MIN(Boss参数!$B$25,IF(OR(AND(DH26="敌方",OR(DH25&lt;&gt;"敌方",DG26&lt;&gt;DG25)),AND(L26="END_TURN",DH26&lt;&gt;"洞穿"),AND(DG26&lt;&gt;DG25,DH25&lt;&gt;"洞穿",L25&lt;&gt;"END_TURN",COUNTIFS($DG$3:DG25,DG25,$DH$3:DH25,"敌方")=0)),EW26,DP25)))</f>
        <v>5</v>
      </c>
      <c r="DM26" s="1">
        <f>IF(D26="",0,MIN(Boss参数!$B$25,IF(OR(AND(DH26="敌方",OR(DH25&lt;&gt;"敌方",DG26&lt;&gt;DG25)),AND(L26="END_TURN",DH26&lt;&gt;"洞穿"),AND(DG26&lt;&gt;DG25,DH25&lt;&gt;"洞穿",L25&lt;&gt;"END_TURN",COUNTIFS($DG$3:DG25,DG25,$DH$3:DH25,"敌方")=0)),EW26,DQ25)))</f>
        <v>0</v>
      </c>
      <c r="DN26" s="1">
        <f>MAX(0,MIN(Boss参数!$B$25,DJ26+DR26)-IF(E26="红弩箭",2*DR26,0))</f>
        <v>5</v>
      </c>
      <c r="DO26" s="1">
        <f>MAX(0,MIN(Boss参数!$B$25,DK26+DR26)-IF(E26="37",2*DR26,0))</f>
        <v>3</v>
      </c>
      <c r="DP26" s="1">
        <f>MAX(0,MIN(Boss参数!$B$25,DL26+DR26)-IF(E26="小瑞安侬",2*DR26,0))</f>
        <v>3</v>
      </c>
      <c r="DQ26" s="1">
        <f>MAX(0,MIN(Boss参数!$B$25,DM26+DR26)-IF(E26="J",2*DR26,0))</f>
        <v>1</v>
      </c>
      <c r="DR26" s="1">
        <f t="shared" si="32"/>
        <v>1</v>
      </c>
      <c r="DS26" s="1">
        <f t="shared" si="33"/>
        <v>1</v>
      </c>
      <c r="DT26" s="1">
        <f>IF(OR(E26="",E26="系统"),0,IF(OR(AND(DS26=1,Boss参数!$B$32=1),L26="RHI_BERRY",OR(AND(INDEX(角色面板!$B$18:$B$21,MATCH(E26,角色面板!$A$18:$A$21,0))="星",Boss参数!$B$4="岩"),AND(INDEX(角色面板!$B$18:$B$21,MATCH(E26,角色面板!$A$18:$A$21,0))="岩",Boss参数!$B$4="兽"),AND(INDEX(角色面板!$B$18:$B$21,MATCH(E26,角色面板!$A$18:$A$21,0))="兽",Boss参数!$B$4="木"),AND(INDEX(角色面板!$B$18:$B$21,MATCH(E26,角色面板!$A$18:$A$21,0))="木",Boss参数!$B$4="星"),AND(INDEX(角色面板!$B$18:$B$21,MATCH(E26,角色面板!$A$18:$A$21,0))="智",Boss参数!$B$4="灵"),AND(INDEX(角色面板!$B$18:$B$21,MATCH(E26,角色面板!$A$18:$A$21,0))="灵",Boss参数!$B$4="智"))),1,0))</f>
        <v>1</v>
      </c>
      <c r="DU26" s="1">
        <f>IF(D26="",0,INDEX(回合状态!$E$7:$E$17,MATCH(DG26,回合状态!$A$7:$A$17,0))+IF(AND(DH26="敌方",OR(INDEX(回合状态!$C$7:$C$17,MATCH(DG26,回合状态!$A$7:$A$17,0))="普通",INDEX(回合状态!$C$7:$C$17,MATCH(DG26,回合状态!$A$7:$A$17,0))="额外")),0.05,0))</f>
        <v>0.1</v>
      </c>
      <c r="DV26" s="1">
        <f>MAX(Boss参数!$B$28,1+IF(AND(E26="37",AC26&gt;0,BH26&gt;0),Boss参数!$B$42,0)-DI26*Boss参数!$B$24+EA26-ER26)</f>
        <v>0.25</v>
      </c>
      <c r="DW26" s="1">
        <f>MIN(IF(Boss参数!$B$77=1,Boss参数!$B$63*Boss参数!$B$62,Boss参数!$B$61*Boss参数!$B$62),ROUNDDOWN(BQ26*(1-ES26),0))</f>
        <v>3261</v>
      </c>
      <c r="DX26" s="1">
        <f>MIN(IF(Boss参数!$B$77=1,Boss参数!$B$63*Boss参数!$B$62,Boss参数!$B$61*Boss参数!$B$62),ROUNDDOWN(BR26*(1-ES26),0))</f>
        <v>4467</v>
      </c>
      <c r="DY26" s="1">
        <f t="shared" si="65"/>
        <v>238</v>
      </c>
      <c r="DZ26" s="1">
        <f>IF(L26="RHI_ULT",MIN(Boss参数!$B$48,ROUNDDOWN(AY26*Boss参数!$B$47,0)),DY26)</f>
        <v>238</v>
      </c>
      <c r="EA26" s="11">
        <v>0</v>
      </c>
      <c r="EB26" s="1">
        <f t="shared" si="34"/>
        <v>1</v>
      </c>
      <c r="EC26" s="1">
        <f>SUMIFS($EB$3:EB26,$B$3:B26,"&gt;="&amp;MAX(1,B26-2),$B$3:B26,"&lt;="&amp;B26)*Boss参数!$B$51</f>
        <v>10</v>
      </c>
      <c r="ED26" s="1">
        <f>IF(D26="",EG25,IF(AND(DG26&lt;&gt;DG25,DH26&lt;&gt;"洞穿"),MIN(Boss参数!$B$55,EG25+2),EG25))</f>
        <v>2</v>
      </c>
      <c r="EE26" s="1">
        <f t="shared" si="35"/>
        <v>1</v>
      </c>
      <c r="EF26" s="1">
        <f>IF(AND(OR(L26="END_TURN",AND(DH26="敌方",OR(DH25&lt;&gt;"敌方",DG26&lt;&gt;DG25))),SUMIFS($EF$3:EF25,$DG$3:DG25,DG26)=0),MIN(1,MAX(0,ED26-EE26)),0)</f>
        <v>0</v>
      </c>
      <c r="EG26" s="1">
        <f t="shared" si="36"/>
        <v>1</v>
      </c>
      <c r="EH26" s="11">
        <f>Boss参数!$B$53-IF(Y26=1,Boss参数!$B$54,0)</f>
        <v>0</v>
      </c>
      <c r="EI26" s="11">
        <f t="shared" si="37"/>
        <v>0.3</v>
      </c>
      <c r="EJ26" s="11">
        <f t="shared" si="38"/>
        <v>0</v>
      </c>
      <c r="EK26" s="11">
        <f t="shared" si="39"/>
        <v>1</v>
      </c>
      <c r="EL26" s="1">
        <f t="shared" si="66"/>
        <v>0</v>
      </c>
      <c r="EM26" s="1">
        <f>IF(AND(DG26&lt;&gt;DG25,DH26="洞穿"),0,IF(L26="ENTER_INSIGHT",Boss参数!$B$57,EO25))</f>
        <v>0</v>
      </c>
      <c r="EN26" s="11">
        <f>IF(AND(Y26=1,H26="洞知",EM26&gt;0),Boss参数!$B$56,0)</f>
        <v>0</v>
      </c>
      <c r="EO26" s="1">
        <f t="shared" si="40"/>
        <v>0</v>
      </c>
      <c r="EP26" s="12">
        <f t="shared" si="67"/>
        <v>200526</v>
      </c>
      <c r="EQ26" s="12">
        <f>ROUNDDOWN(EP26/Boss参数!$B$62,0)</f>
        <v>2</v>
      </c>
      <c r="ER26" s="11">
        <f>IF(EQ26&gt;=Boss参数!$B$66,Boss参数!$B$69,IF(EQ26&gt;=Boss参数!$B$65,Boss参数!$B$68,IF(EQ26&gt;=Boss参数!$B$64,Boss参数!$B$67,0)))</f>
        <v>0</v>
      </c>
      <c r="ES26" s="11">
        <f>MIN(1,IF(EQ26&gt;=Boss参数!$B$66,Boss参数!$B$72+ROUNDDOWN((EQ26-Boss参数!$B$66)/Boss参数!$B$73,0)*Boss参数!$B$74,IF(EQ26&gt;=Boss参数!$B$65,Boss参数!$B$71,IF(EQ26&gt;=Boss参数!$B$64,Boss参数!$B$70,0))))</f>
        <v>0</v>
      </c>
      <c r="ET26" s="12">
        <f>MIN(Boss参数!$B$61*Boss参数!$B$62,EP26+IF(AND(Boss参数!$B$60=1,ISNUMBER(验证表!H32)),验证表!H32,EU26))</f>
        <v>204993</v>
      </c>
      <c r="EU26" s="12">
        <f>IF(D26="",0,IF(验证表!G32="是",BV26,IF(验证表!G32="否",BU26,BW26)))</f>
        <v>4467</v>
      </c>
      <c r="EV26" s="12">
        <f>IF(EQ26&gt;=Boss参数!$B$66,2,IF(EQ26&gt;=Boss参数!$B$65,1,0))</f>
        <v>0</v>
      </c>
      <c r="EW26" s="12">
        <f t="shared" si="41"/>
        <v>1</v>
      </c>
      <c r="EX26" s="1">
        <f>IF(D26="",0,INDEX(回合状态!$D$7:$D$17,MATCH(DG26,回合状态!$A$7:$A$17,0)))</f>
        <v>3</v>
      </c>
      <c r="EY26" s="1">
        <f>IF(OR(L26="RHI_ATTACK",L26="RHI_BUFF"),1,IF(L26="RHI_ULT",Boss参数!$B$52,0))</f>
        <v>1</v>
      </c>
      <c r="EZ26" s="1">
        <f>MIN(6,SUMIFS($EY$3:EY26,$EX$3:EX26,"&gt;="&amp;MAX(1,EX26-Boss参数!$B$87+1),$EX$3:EX26,"&lt;="&amp;EX26))</f>
        <v>4</v>
      </c>
      <c r="FA26" s="1">
        <f t="shared" si="68"/>
        <v>16</v>
      </c>
      <c r="FB26" s="17">
        <f>IF(L26="BOSS_CONSERVATIVE",B26+Boss参数!$B$91,FB25)</f>
        <v>0</v>
      </c>
      <c r="FC26" s="17">
        <f t="shared" si="69"/>
        <v>0</v>
      </c>
      <c r="FD26" s="17">
        <f>IF(D26="",FD25,FD25+IF(AND(DG26&lt;&gt;DG25,INDEX(回合状态!$C$7:$C$17,MATCH(DG26,回合状态!$A$7:$A$17,0))&lt;&gt;"洞穿"),1,0))</f>
        <v>3</v>
      </c>
      <c r="FE26" s="17">
        <f>IF(D26="",0,IF(AND(OR(L26="END_TURN",DH26="敌方"),INDEX(回合状态!$C$7:$C$17,MATCH(DG26,回合状态!$A$7:$A$17,0))&lt;&gt;"洞穿",SUMIFS($FE$3:FE25,$DG$3:DG25,DG26)=0),1,0))</f>
        <v>0</v>
      </c>
    </row>
    <row r="27" spans="1:161" ht="84.95" customHeight="1">
      <c r="A27" s="1">
        <f>行动模拟!A33</f>
        <v>25</v>
      </c>
      <c r="B27" s="1">
        <f>IF(D27="",0,INDEX(回合状态!$B$7:$B$17,MATCH(DG27,回合状态!$A$7:$A$17,0)))</f>
        <v>3</v>
      </c>
      <c r="C27" s="1">
        <f>行动模拟!C33</f>
        <v>6</v>
      </c>
      <c r="D27" s="1" t="str">
        <f>IF(行动模拟!D33="","",行动模拟!D33)</f>
        <v>小瑞安侬｜囫囵囵咒Ⅰ</v>
      </c>
      <c r="E27" s="1" t="str">
        <f>IF($D27="","",IFERROR(INDEX(技能数据库!$B$4:$B$38,MATCH($D27,技能数据库!$A$4:$A$38,0)),""))</f>
        <v>小瑞安侬</v>
      </c>
      <c r="F27" s="1" t="str">
        <f>IF($D27="","",IFERROR(INDEX(技能数据库!$C$4:$C$38,MATCH($D27,技能数据库!$A$4:$A$38,0)),""))</f>
        <v>囫囵囵咒</v>
      </c>
      <c r="G27" s="1">
        <f>IF($D27="","",IFERROR(INDEX(技能数据库!$D$4:$D$38,MATCH($D27,技能数据库!$A$4:$A$38,0)),""))</f>
        <v>1</v>
      </c>
      <c r="H27" s="1" t="str">
        <f>IF($D27="","",IFERROR(INDEX(技能数据库!$E$4:$E$38,MATCH($D27,技能数据库!$A$4:$A$38,0)),""))</f>
        <v>术法</v>
      </c>
      <c r="I27" s="1" t="str">
        <f>IF($D27="","",IFERROR(INDEX(技能数据库!$F$4:$F$38,MATCH($D27,技能数据库!$A$4:$A$38,0)),""))</f>
        <v>精神</v>
      </c>
      <c r="J27" s="1">
        <f>IF($D27="","",IFERROR(INDEX(技能数据库!$G$4:$G$38,MATCH($D27,技能数据库!$A$4:$A$38,0)),""))</f>
        <v>2</v>
      </c>
      <c r="K27" s="1">
        <f>IF($D27="","",IFERROR(INDEX(技能数据库!$H$4:$H$38,MATCH($D27,技能数据库!$A$4:$A$38,0)),""))</f>
        <v>0</v>
      </c>
      <c r="L27" s="1" t="str">
        <f>IF($D27="","",IFERROR(INDEX(技能数据库!$I$4:$I$38,MATCH($D27,技能数据库!$A$4:$A$38,0)),""))</f>
        <v>RHI_ATTACK</v>
      </c>
      <c r="M27" s="10">
        <v>1</v>
      </c>
      <c r="N27" s="1"/>
      <c r="O27" s="1"/>
      <c r="P27" s="1"/>
      <c r="Q27" s="10">
        <f t="shared" si="0"/>
        <v>0</v>
      </c>
      <c r="R27" s="10">
        <v>0</v>
      </c>
      <c r="S27" s="10">
        <v>0</v>
      </c>
      <c r="T27" s="1">
        <f>行动模拟!I33</f>
        <v>0</v>
      </c>
      <c r="U27" s="1">
        <f>IF(FD27&lt;&gt;FD26,IF(BY26=1,IF(MIN(10,CA26+IF(AND(DG27&lt;&gt;DG26,DH26&lt;&gt;"洞穿",SUMIFS($FE$3:FE26,$DG$3:DG26,DG26)=0,BY26=1),3,0))&gt;=10,2,1),IF(BY26=2,IF(BZ26&lt;=1,0,2),0)),BY26)</f>
        <v>2</v>
      </c>
      <c r="V27" s="1">
        <f>IF(FD27&lt;&gt;FD26,IF(BY26=1,IF(MIN(10,CA26+IF(AND(DG27&lt;&gt;DG26,DH26&lt;&gt;"洞穿",SUMIFS($FE$3:FE26,$DG$3:DG26,DG26)=0,BY26=1),3,0))&gt;=10,2,0),IF(BY26=2,MAX(0,BZ26-1),0)),BZ26)</f>
        <v>1</v>
      </c>
      <c r="W27" s="1">
        <f>IF(AND(FD27&lt;&gt;FD26,BY26=2,BZ26&lt;=1),0,MIN(10,CA26+IF(AND(DG27&lt;&gt;DG26,DH26&lt;&gt;"洞穿",SUMIFS($FE$3:FE26,$DG$3:DG26,DG26)=0,BY26=1),3,0)))</f>
        <v>10</v>
      </c>
      <c r="X27" s="1">
        <f t="shared" si="42"/>
        <v>6</v>
      </c>
      <c r="Y27" s="1">
        <f t="shared" si="43"/>
        <v>0</v>
      </c>
      <c r="Z27" s="1">
        <f t="shared" si="44"/>
        <v>0</v>
      </c>
      <c r="AA27" s="1">
        <f t="shared" si="45"/>
        <v>0</v>
      </c>
      <c r="AB27" s="1">
        <f t="shared" si="46"/>
        <v>2</v>
      </c>
      <c r="AC27" s="1">
        <f t="shared" si="47"/>
        <v>1</v>
      </c>
      <c r="AD27" s="1">
        <f t="shared" si="48"/>
        <v>16</v>
      </c>
      <c r="AE27" s="1">
        <f>IF(D27="",0,IF(DG27&lt;&gt;DG26,IFERROR(INDEX(回合状态!$F$7:$F$17,MATCH(DG27,回合状态!$A$7:$A$17,0)),0),CI26))</f>
        <v>22</v>
      </c>
      <c r="AF27" s="10">
        <f t="shared" si="49"/>
        <v>0.4</v>
      </c>
      <c r="AG27" s="1">
        <f t="shared" si="50"/>
        <v>5</v>
      </c>
      <c r="AH27" s="1">
        <f t="shared" si="51"/>
        <v>5</v>
      </c>
      <c r="AI27" s="1">
        <f t="shared" si="52"/>
        <v>4</v>
      </c>
      <c r="AJ27" s="1">
        <f t="shared" si="53"/>
        <v>5</v>
      </c>
      <c r="AK27" s="1">
        <f t="shared" si="54"/>
        <v>4</v>
      </c>
      <c r="AL27" s="1">
        <f t="shared" si="55"/>
        <v>3</v>
      </c>
      <c r="AM27" s="1">
        <f t="shared" si="56"/>
        <v>15</v>
      </c>
      <c r="AN27" s="1">
        <f t="shared" si="57"/>
        <v>4</v>
      </c>
      <c r="AO27" s="1">
        <f t="shared" si="58"/>
        <v>0</v>
      </c>
      <c r="AP27" s="10">
        <f t="shared" si="59"/>
        <v>0.12</v>
      </c>
      <c r="AQ27" s="1">
        <f t="shared" si="60"/>
        <v>5</v>
      </c>
      <c r="AR27" s="10">
        <f t="shared" si="61"/>
        <v>0.3</v>
      </c>
      <c r="AS27" s="1">
        <f t="shared" si="62"/>
        <v>5</v>
      </c>
      <c r="AT27" s="10">
        <f t="shared" si="63"/>
        <v>0.3</v>
      </c>
      <c r="AU27" s="1">
        <f t="shared" si="64"/>
        <v>5</v>
      </c>
      <c r="AV27" s="1">
        <f>MIN(5,SUMIFS($EL$3:EL27,$B$3:B27,"&gt;="&amp;MAX(1,B27-2),$B$3:B27,"&lt;="&amp;B27)+EC27)</f>
        <v>5</v>
      </c>
      <c r="AW27" s="1">
        <f>MIN(6,SUMIFS($EY$3:EY26,$EX$3:EX26,"&gt;="&amp;MAX(1,EX27-Boss参数!$B$87+1),$EX$3:EX26,"&lt;="&amp;EX27))</f>
        <v>4</v>
      </c>
      <c r="AX27" s="1">
        <f>MIN(4,COUNTIFS($B$3:$B$26,"&gt;="&amp;MAX(1,$B27-2),$B$3:$B$26,"&lt;="&amp;$B27,$L$3:$L$26,"37_FOLLOW"))</f>
        <v>4</v>
      </c>
      <c r="AY27" s="9">
        <f>IF($E27="","",IF($E27="系统",0,ROUNDDOWN(INDEX(角色面板!$C$4:$C$7,MATCH($E27,角色面板!$A$4:$A$7,0))*(1+INDEX(角色面板!$C$11:$C$14,MATCH($E27,角色面板!$A$11:$A$14,0))+IF($E27="小瑞安侬",MAX(IF($B27&lt;=$AQ27,$AP27,0),IF(AND($L27="RHI_ATTACK",$EE27&gt;0),0.11+0.01*$G27,0)),0)+IF($E27="J",$AD27*Boss参数!$B$18,0))+IF(FD27&lt;=$AN27,MIN(Boss参数!$B$21,ROUNDDOWN(角色面板!$C$19*Boss参数!$B$20,0)),0)+IF(AND($B27&lt;=$AK27,$E27&lt;&gt;"小瑞安侬"),$DY27,0),0)))</f>
        <v>3798</v>
      </c>
      <c r="AZ27" s="10">
        <f>IF($E27="","",MAX(0,MIN(1,IFERROR(INDEX(角色面板!$G$18:$G$21,MATCH($E27,角色面板!$A$18:$A$21,0)),0)-FC27*Boss参数!$B$89-Boss参数!$E$4)))</f>
        <v>0.55499999999999994</v>
      </c>
      <c r="BA27" s="10">
        <f>IF(E27="","",(IF($E27="","",IF($E27="红弩箭",Boss参数!$B$80,IF($E27="J",Boss参数!$B$81,IFERROR(INDEX(角色面板!$H$18:$H$21,MATCH($E27,角色面板!$A$18:$A$21,0)),0)))+IF($B27&lt;=$AI27,Boss参数!$B$13,0)+MIN(30,$AM27)*Boss参数!$B$17+IF(AND($L27="LILYA_ULT",$X27&gt;=6),1,0)+IF(AND($Y27=1,$L27="LILYA_INSIGHT"),IF(MOD($AA27+1,3)=0,Boss参数!$B$83,Boss参数!$B$82),IF(AND($Y27=1,$L27="LILYA_FINISH"),Boss参数!$B$84,0))))-FC27*Boss参数!$B$90)</f>
        <v>1.77</v>
      </c>
      <c r="BB27" s="10">
        <f>IF($E27="","",IFERROR(INDEX(角色面板!$M$18:$M$21,MATCH($E27,角色面板!$A$18:$A$21,0)),0)+$AW27*Boss参数!$B$12+IF($B27&lt;=$AG27,$AF27,0)+$EI27+IF($L27="LILYA_DIVE",IF($U27=1,IF($G27=1,0.3,IF($G27=2,0.4,0.5)),IF($U27=2,IF($G27=1,0.6,IF($G27=2,0.8,1)),0)),0)+$R27+IF(AND($E27="J",OR($L27="J_COUNTER",$L27="J_HARD")),Boss参数!$B$79,0)+IF(AND(OR(L27="J_COUNTER",L27="J_HARD"),FA27&gt;=Boss参数!$B$59),FA27*Boss参数!$B$40,0))</f>
        <v>0.78</v>
      </c>
      <c r="BC27" s="10">
        <f>IF($E27="","",IFERROR(INDEX(角色面板!$K$18:$K$21,MATCH($E27,角色面板!$A$18:$A$21,0)),0)+IF($B27&lt;=$AH27,Boss参数!$B$46,0)+IF($E27="红弩箭",IF($U27=1,0.6,IF($U27=2,1.2,0))+$W27*0.06,0))-DI27*Boss参数!$B$23</f>
        <v>-0.55000000000000004</v>
      </c>
      <c r="BD27" s="10">
        <f>IF($E27="","",IFERROR(INDEX(角色面板!$L$18:$L$21,MATCH($E27,角色面板!$A$18:$A$21,0)),0)+IF($B27&lt;=$AH27,Boss参数!$B$46,0)+IF($E27="J",$AL27*Boss参数!$B$16,0)+IF($E27="红弩箭",$X27*0.025,0)+IF(AND($L27="LILYA_ULT",$X27&gt;=6),1,0))-DI27*Boss参数!$B$23</f>
        <v>-0.14999999999999997</v>
      </c>
      <c r="BE27" s="10">
        <f>IF($E27="","",IF($H27="洞知",IF($E27="红弩箭",$AO27*Boss参数!$B$15,0)+$AX27*Boss参数!$B$14,0))</f>
        <v>0</v>
      </c>
      <c r="BF27" s="10">
        <f t="shared" si="1"/>
        <v>0</v>
      </c>
      <c r="BG27" s="10">
        <f>IF($D27="",0,IF(AND($L27&lt;&gt;"LILYA_DIVE",$L27&lt;&gt;"LILYA_ULT",$L27&lt;&gt;"LILYA_INSIGHT",$L27&lt;&gt;"LILYA_FINISH",$L27&lt;&gt;"37_FOLLOW",$L27&lt;&gt;"RHI_ATTACK",$L27&lt;&gt;"RHI_BERRY",$L27&lt;&gt;"J_COUNTER",$L27&lt;&gt;"J_ULT"),$J27,0)+IF($L27="LILYA_DIVE",$J27+IF($U27=1,IF($G27=1,6,IF($G27=2,12,18)),IF($U27=2,IF($G27=1,12,IF($G27=2,24,36)),0)),0)+IF($L27="LILYA_ULT",$J27+IF($X27&gt;=6,18,0),0)+IF($L27="LILYA_INSIGHT",IF($Y27=1,IF(MOD($AA27+1,3)=0,32,15),0),0)+IF($L27="LILYA_FINISH",IF($Y27=1,50+2.5*$Z27,0),0)+IF($L27="37_FOLLOW",$J27,0)+IF($L27="RHI_ATTACK",$J27*IF($B27&lt;=$AJ27,2,1),0)+IF($L27="RHI_BERRY",15+1.5*$AV27,0)+IF($L27="J_COUNTER",$J27+$AD27*Boss参数!$B$39,0)+IF($L27="J_ULT",$J27+Boss参数!$B$45*MAX(0,$AE27+$AD27-Boss参数!$I$4),0)+$S27)</f>
        <v>4</v>
      </c>
      <c r="BH27" s="10">
        <f t="shared" si="2"/>
        <v>0</v>
      </c>
      <c r="BI27" s="10">
        <f>IF(E27="","",IF(DT27=1,1+Boss参数!$B$8+AV27*Boss参数!$B$19,1))</f>
        <v>1.5</v>
      </c>
      <c r="BJ27" s="9">
        <f>IF($I27="现实",Boss参数!$C$4,IF($I27="精神",Boss参数!$D$4,0))</f>
        <v>1000</v>
      </c>
      <c r="BK27" s="9">
        <f>IF($E27="","",MAX($AY27*Boss参数!$B$9,$AY27-$BJ27*(1-$BF27)))</f>
        <v>2798</v>
      </c>
      <c r="BL27" s="10">
        <f>MAX(0,Boss参数!$F$4+IF(DT27=0,Boss参数!$B$27,0)-EJ27)</f>
        <v>0.10000000000000003</v>
      </c>
      <c r="BM27" s="10">
        <f>Boss参数!$G$4+DU27-IF(Y27=1,Boss参数!$B$11,0)</f>
        <v>0.5</v>
      </c>
      <c r="BN27" s="10">
        <f>IF($E27="","",MAX(Boss参数!$B$10,1+IFERROR(INDEX(角色面板!$I$18:$I$21,MATCH($E27,角色面板!$A$18:$A$21,0)),0)+$BB27+Boss参数!$H$4-$BM27))</f>
        <v>1.3149999999999999</v>
      </c>
      <c r="BO27" s="10">
        <f>IF(E27="","",IF(OR(L27="J_COUNTER",L27="J_HARD"),MAX(0,1+INDEX(角色面板!$K$18:$K$21,MATCH(E27,角色面板!$A$18:$A$21,0))-DI27*Boss参数!$B$23+IF(OR(Boss参数!$B$43=1,L27="J_HARD"),IF(B27&lt;=AH27,Boss参数!$B$46,0),0)),MAX(0,IF(OR(H27="术法",L27="RHI_BERRY",AND(L27="37_FOLLOW",Boss参数!$B$31=1)),1+BC27,IF(H27="仪式",1+BD27,IF(H27="洞知",EK27,1))))))</f>
        <v>0.44999999999999996</v>
      </c>
      <c r="BP27" s="10">
        <f t="shared" si="3"/>
        <v>1.67</v>
      </c>
      <c r="BQ27" s="1">
        <f t="shared" si="4"/>
        <v>9934.2989999999991</v>
      </c>
      <c r="BR27" s="1">
        <f t="shared" si="5"/>
        <v>16590.279329999998</v>
      </c>
      <c r="BS27" s="1">
        <f>IF(BH27=0,0,ROUNDDOWN(AY27*BH27,0)*DV27*IF(Boss参数!$B$29=1,BN27,1)*IF(Boss参数!$B$33=1,BO27,1)*IF(Boss参数!$B$76=1,1-ES27,1))</f>
        <v>0</v>
      </c>
      <c r="BT27" s="1">
        <f t="shared" si="6"/>
        <v>0</v>
      </c>
      <c r="BU27" s="9">
        <f>IF(D27="",0,MIN(IF(Boss参数!$B$77=1,Boss参数!$B$63*Boss参数!$B$62,Boss参数!$B$61*Boss参数!$B$62),DW27+ROUNDDOWN(BS27,0)+ROUNDDOWN(DW27*Q27,0)))</f>
        <v>9934</v>
      </c>
      <c r="BV27" s="9">
        <f>IF(D27="",0,MIN(IF(Boss参数!$B$77=1,Boss参数!$B$63*Boss参数!$B$62,Boss参数!$B$61*Boss参数!$B$62),DX27+ROUNDDOWN(BT27,0)+ROUNDDOWN(DX27*Q27,0)))</f>
        <v>16590</v>
      </c>
      <c r="BW27" s="9">
        <f t="shared" si="7"/>
        <v>13628</v>
      </c>
      <c r="BX27" s="1" t="str">
        <f t="shared" si="8"/>
        <v/>
      </c>
      <c r="BY27" s="1">
        <f t="shared" si="9"/>
        <v>2</v>
      </c>
      <c r="BZ27" s="1">
        <f t="shared" si="10"/>
        <v>1</v>
      </c>
      <c r="CA27" s="1">
        <f>MIN(10,W27+IF(AND(L27="LILYA_COBRA",COUNTIF($L$3:L27,"LILYA_COBRA")=1),5,0)+IF(AND(L27="LILYA_DIVE",U27=1,COUNTIFS($DG$3:DG27,DG27,$L$3:L27,"LILYA_DIVE")=1),2,0)+IF(AND(FE27=1,U27=1),3,0))</f>
        <v>10</v>
      </c>
      <c r="CB27" s="1">
        <f>MIN(20,MAX(0,X27+IF(L27="LILYA_COBRA",IF(COUNTIF($L$3:L27,"LILYA_COBRA")=1,6,IF(U27=1,MAX(1,G27),IF(U27=2,2*MAX(1,G27),0))),0)+IF(AND(Y27=1,E27="红弩箭",L27&lt;&gt;"ENTER_INSIGHT"),1,0)-IF(AND(L27="LILYA_ULT",X27&gt;=6),6,0)))</f>
        <v>6</v>
      </c>
      <c r="CC27" s="1">
        <f t="shared" si="11"/>
        <v>0</v>
      </c>
      <c r="CD27" s="1">
        <f t="shared" si="12"/>
        <v>0</v>
      </c>
      <c r="CE27" s="1">
        <f t="shared" si="13"/>
        <v>0</v>
      </c>
      <c r="CF27" s="1">
        <f t="shared" si="14"/>
        <v>3</v>
      </c>
      <c r="CG27" s="1">
        <f t="shared" si="15"/>
        <v>1</v>
      </c>
      <c r="CH27" s="1">
        <f>MIN(35,AD27+IF(L27="J_HARD",6,0)+IF(L27="J_COUNTER",Boss参数!$B$30,0))</f>
        <v>16</v>
      </c>
      <c r="CI27" s="1">
        <f>MIN(Boss参数!$I$4,AE27+IF(L27="J_HARD",6,0)+IF(L27="J_ULT",AD27,0)+IF(L27="J_COUNTER",Boss参数!$B$30,0))</f>
        <v>22</v>
      </c>
      <c r="CJ27" s="10">
        <f>IF(L27="J_ULT",AD27*Boss参数!$B$41,IF(B27&lt;=AG27,AF27,0))</f>
        <v>0.4</v>
      </c>
      <c r="CK27" s="1">
        <f t="shared" si="16"/>
        <v>5</v>
      </c>
      <c r="CL27" s="1">
        <f t="shared" si="17"/>
        <v>5</v>
      </c>
      <c r="CM27" s="1">
        <f t="shared" si="18"/>
        <v>4</v>
      </c>
      <c r="CN27" s="1">
        <f t="shared" si="19"/>
        <v>5</v>
      </c>
      <c r="CO27" s="1">
        <f t="shared" si="20"/>
        <v>4</v>
      </c>
      <c r="CP27" s="1">
        <f t="shared" si="21"/>
        <v>3</v>
      </c>
      <c r="CQ27" s="1">
        <f t="shared" si="22"/>
        <v>15</v>
      </c>
      <c r="CR27" s="1">
        <f t="shared" si="23"/>
        <v>4</v>
      </c>
      <c r="CS27" s="1">
        <f t="shared" si="24"/>
        <v>0</v>
      </c>
      <c r="CT27" s="10">
        <f t="shared" si="25"/>
        <v>0.12</v>
      </c>
      <c r="CU27" s="1">
        <f t="shared" si="26"/>
        <v>5</v>
      </c>
      <c r="CV27" s="10">
        <f t="shared" si="27"/>
        <v>0.3</v>
      </c>
      <c r="CW27" s="1">
        <f t="shared" si="28"/>
        <v>5</v>
      </c>
      <c r="CX27" s="10">
        <f t="shared" si="29"/>
        <v>0.3</v>
      </c>
      <c r="CY27" s="1">
        <f t="shared" si="30"/>
        <v>5</v>
      </c>
      <c r="CZ27" s="1"/>
      <c r="DA27" s="1"/>
      <c r="DB27" s="1"/>
      <c r="DC27" s="1"/>
      <c r="DD27" s="1"/>
      <c r="DE27" s="1"/>
      <c r="DF27" s="1"/>
      <c r="DG27" s="1">
        <f>IF(D27="","",行动模拟!B33)</f>
        <v>3</v>
      </c>
      <c r="DH27" s="1" t="str">
        <f>IF(L27="END_TURN","回合结束",IF(D27="","",IF(INDEX(回合状态!$C$7:$C$17,MATCH(DG27,回合状态!$A$7:$A$17,0))="洞穿","洞穿",IF(OR(L27="J_COUNTER",L27="BOSS_ACTION",L27="BOSS_CONSERVATIVE"),"敌方",IF(AND(L27="37_FOLLOW",DG27=DG26,DH26="敌方"),"敌方",IF(INDEX(回合状态!$C$7:$C$17,MATCH(DG27,回合状态!$A$7:$A$17,0))="普通","出牌",INDEX(回合状态!$C$7:$C$17,MATCH(DG27,回合状态!$A$7:$A$17,0))))))))</f>
        <v>出牌</v>
      </c>
      <c r="DI27" s="1">
        <f t="shared" si="31"/>
        <v>3</v>
      </c>
      <c r="DJ27" s="1">
        <f>IF(D27="",0,MIN(Boss参数!$B$25,IF(OR(AND(DH27="敌方",OR(DH26&lt;&gt;"敌方",DG27&lt;&gt;DG26)),AND(L27="END_TURN",DH27&lt;&gt;"洞穿"),AND(DG27&lt;&gt;DG26,DH26&lt;&gt;"洞穿",L26&lt;&gt;"END_TURN",COUNTIFS($DG$3:DG26,DG26,$DH$3:DH26,"敌方")=0)),EW27,DN26)))</f>
        <v>5</v>
      </c>
      <c r="DK27" s="1">
        <f>IF(D27="",0,MIN(Boss参数!$B$25,IF(OR(AND(DH27="敌方",OR(DH26&lt;&gt;"敌方",DG27&lt;&gt;DG26)),AND(L27="END_TURN",DH27&lt;&gt;"洞穿"),AND(DG27&lt;&gt;DG26,DH26&lt;&gt;"洞穿",L26&lt;&gt;"END_TURN",COUNTIFS($DG$3:DG26,DG26,$DH$3:DH26,"敌方")=0)),EW27,DO26)))</f>
        <v>3</v>
      </c>
      <c r="DL27" s="1">
        <f>IF(D27="",0,MIN(Boss参数!$B$25,IF(OR(AND(DH27="敌方",OR(DH26&lt;&gt;"敌方",DG27&lt;&gt;DG26)),AND(L27="END_TURN",DH27&lt;&gt;"洞穿"),AND(DG27&lt;&gt;DG26,DH26&lt;&gt;"洞穿",L26&lt;&gt;"END_TURN",COUNTIFS($DG$3:DG26,DG26,$DH$3:DH26,"敌方")=0)),EW27,DP26)))</f>
        <v>3</v>
      </c>
      <c r="DM27" s="1">
        <f>IF(D27="",0,MIN(Boss参数!$B$25,IF(OR(AND(DH27="敌方",OR(DH26&lt;&gt;"敌方",DG27&lt;&gt;DG26)),AND(L27="END_TURN",DH27&lt;&gt;"洞穿"),AND(DG27&lt;&gt;DG26,DH26&lt;&gt;"洞穿",L26&lt;&gt;"END_TURN",COUNTIFS($DG$3:DG26,DG26,$DH$3:DH26,"敌方")=0)),EW27,DQ26)))</f>
        <v>1</v>
      </c>
      <c r="DN27" s="1">
        <f>MAX(0,MIN(Boss参数!$B$25,DJ27+DR27)-IF(E27="红弩箭",2*DR27,0))</f>
        <v>5</v>
      </c>
      <c r="DO27" s="1">
        <f>MAX(0,MIN(Boss参数!$B$25,DK27+DR27)-IF(E27="37",2*DR27,0))</f>
        <v>4</v>
      </c>
      <c r="DP27" s="1">
        <f>MAX(0,MIN(Boss参数!$B$25,DL27+DR27)-IF(E27="小瑞安侬",2*DR27,0))</f>
        <v>2</v>
      </c>
      <c r="DQ27" s="1">
        <f>MAX(0,MIN(Boss参数!$B$25,DM27+DR27)-IF(E27="J",2*DR27,0))</f>
        <v>2</v>
      </c>
      <c r="DR27" s="1">
        <f t="shared" si="32"/>
        <v>1</v>
      </c>
      <c r="DS27" s="1">
        <f t="shared" si="33"/>
        <v>1</v>
      </c>
      <c r="DT27" s="1">
        <f>IF(OR(E27="",E27="系统"),0,IF(OR(AND(DS27=1,Boss参数!$B$32=1),L27="RHI_BERRY",OR(AND(INDEX(角色面板!$B$18:$B$21,MATCH(E27,角色面板!$A$18:$A$21,0))="星",Boss参数!$B$4="岩"),AND(INDEX(角色面板!$B$18:$B$21,MATCH(E27,角色面板!$A$18:$A$21,0))="岩",Boss参数!$B$4="兽"),AND(INDEX(角色面板!$B$18:$B$21,MATCH(E27,角色面板!$A$18:$A$21,0))="兽",Boss参数!$B$4="木"),AND(INDEX(角色面板!$B$18:$B$21,MATCH(E27,角色面板!$A$18:$A$21,0))="木",Boss参数!$B$4="星"),AND(INDEX(角色面板!$B$18:$B$21,MATCH(E27,角色面板!$A$18:$A$21,0))="智",Boss参数!$B$4="灵"),AND(INDEX(角色面板!$B$18:$B$21,MATCH(E27,角色面板!$A$18:$A$21,0))="灵",Boss参数!$B$4="智"))),1,0))</f>
        <v>1</v>
      </c>
      <c r="DU27" s="1">
        <f>IF(D27="",0,INDEX(回合状态!$E$7:$E$17,MATCH(DG27,回合状态!$A$7:$A$17,0))+IF(AND(DH27="敌方",OR(INDEX(回合状态!$C$7:$C$17,MATCH(DG27,回合状态!$A$7:$A$17,0))="普通",INDEX(回合状态!$C$7:$C$17,MATCH(DG27,回合状态!$A$7:$A$17,0))="额外")),0.05,0))</f>
        <v>0.1</v>
      </c>
      <c r="DV27" s="1">
        <f>MAX(Boss参数!$B$28,1+IF(AND(E27="37",AC27&gt;0,BH27&gt;0),Boss参数!$B$42,0)-DI27*Boss参数!$B$24+EA27-ER27)</f>
        <v>0.55000000000000004</v>
      </c>
      <c r="DW27" s="1">
        <f>MIN(IF(Boss参数!$B$77=1,Boss参数!$B$63*Boss参数!$B$62,Boss参数!$B$61*Boss参数!$B$62),ROUNDDOWN(BQ27*(1-ES27),0))</f>
        <v>9934</v>
      </c>
      <c r="DX27" s="1">
        <f>MIN(IF(Boss参数!$B$77=1,Boss参数!$B$63*Boss参数!$B$62,Boss参数!$B$61*Boss参数!$B$62),ROUNDDOWN(BR27*(1-ES27),0))</f>
        <v>16590</v>
      </c>
      <c r="DY27" s="1">
        <f t="shared" si="65"/>
        <v>238</v>
      </c>
      <c r="DZ27" s="1">
        <f>IF(L27="RHI_ULT",MIN(Boss参数!$B$48,ROUNDDOWN(AY27*Boss参数!$B$47,0)),DY27)</f>
        <v>238</v>
      </c>
      <c r="EA27" s="11">
        <v>0</v>
      </c>
      <c r="EB27" s="1">
        <f t="shared" si="34"/>
        <v>1</v>
      </c>
      <c r="EC27" s="1">
        <f>SUMIFS($EB$3:EB27,$B$3:B27,"&gt;="&amp;MAX(1,B27-2),$B$3:B27,"&lt;="&amp;B27)*Boss参数!$B$51</f>
        <v>12</v>
      </c>
      <c r="ED27" s="1">
        <f>IF(D27="",EG26,IF(AND(DG27&lt;&gt;DG26,DH27&lt;&gt;"洞穿"),MIN(Boss参数!$B$55,EG26+2),EG26))</f>
        <v>1</v>
      </c>
      <c r="EE27" s="1">
        <f t="shared" si="35"/>
        <v>1</v>
      </c>
      <c r="EF27" s="1">
        <f>IF(AND(OR(L27="END_TURN",AND(DH27="敌方",OR(DH26&lt;&gt;"敌方",DG27&lt;&gt;DG26))),SUMIFS($EF$3:EF26,$DG$3:DG26,DG27)=0),MIN(1,MAX(0,ED27-EE27)),0)</f>
        <v>0</v>
      </c>
      <c r="EG27" s="1">
        <f t="shared" si="36"/>
        <v>0</v>
      </c>
      <c r="EH27" s="11">
        <f>Boss参数!$B$53-IF(Y27=1,Boss参数!$B$54,0)</f>
        <v>0</v>
      </c>
      <c r="EI27" s="11">
        <f t="shared" si="37"/>
        <v>0.3</v>
      </c>
      <c r="EJ27" s="11">
        <f t="shared" si="38"/>
        <v>0.3</v>
      </c>
      <c r="EK27" s="11">
        <f t="shared" si="39"/>
        <v>1</v>
      </c>
      <c r="EL27" s="1">
        <f t="shared" si="66"/>
        <v>0</v>
      </c>
      <c r="EM27" s="1">
        <f>IF(AND(DG27&lt;&gt;DG26,DH27="洞穿"),0,IF(L27="ENTER_INSIGHT",Boss参数!$B$57,EO26))</f>
        <v>0</v>
      </c>
      <c r="EN27" s="11">
        <f>IF(AND(Y27=1,H27="洞知",EM27&gt;0),Boss参数!$B$56,0)</f>
        <v>0</v>
      </c>
      <c r="EO27" s="1">
        <f t="shared" si="40"/>
        <v>0</v>
      </c>
      <c r="EP27" s="12">
        <f t="shared" si="67"/>
        <v>204993</v>
      </c>
      <c r="EQ27" s="12">
        <f>ROUNDDOWN(EP27/Boss参数!$B$62,0)</f>
        <v>2</v>
      </c>
      <c r="ER27" s="11">
        <f>IF(EQ27&gt;=Boss参数!$B$66,Boss参数!$B$69,IF(EQ27&gt;=Boss参数!$B$65,Boss参数!$B$68,IF(EQ27&gt;=Boss参数!$B$64,Boss参数!$B$67,0)))</f>
        <v>0</v>
      </c>
      <c r="ES27" s="11">
        <f>MIN(1,IF(EQ27&gt;=Boss参数!$B$66,Boss参数!$B$72+ROUNDDOWN((EQ27-Boss参数!$B$66)/Boss参数!$B$73,0)*Boss参数!$B$74,IF(EQ27&gt;=Boss参数!$B$65,Boss参数!$B$71,IF(EQ27&gt;=Boss参数!$B$64,Boss参数!$B$70,0))))</f>
        <v>0</v>
      </c>
      <c r="ET27" s="12">
        <f>MIN(Boss参数!$B$61*Boss参数!$B$62,EP27+IF(AND(Boss参数!$B$60=1,ISNUMBER(验证表!H33)),验证表!H33,EU27))</f>
        <v>214927</v>
      </c>
      <c r="EU27" s="12">
        <f>IF(D27="",0,IF(验证表!G33="是",BV27,IF(验证表!G33="否",BU27,BW27)))</f>
        <v>9934</v>
      </c>
      <c r="EV27" s="12">
        <f>IF(EQ27&gt;=Boss参数!$B$66,2,IF(EQ27&gt;=Boss参数!$B$65,1,0))</f>
        <v>0</v>
      </c>
      <c r="EW27" s="12">
        <f t="shared" si="41"/>
        <v>1</v>
      </c>
      <c r="EX27" s="1">
        <f>IF(D27="",0,INDEX(回合状态!$D$7:$D$17,MATCH(DG27,回合状态!$A$7:$A$17,0)))</f>
        <v>3</v>
      </c>
      <c r="EY27" s="1">
        <f>IF(OR(L27="RHI_ATTACK",L27="RHI_BUFF"),1,IF(L27="RHI_ULT",Boss参数!$B$52,0))</f>
        <v>1</v>
      </c>
      <c r="EZ27" s="1">
        <f>MIN(6,SUMIFS($EY$3:EY27,$EX$3:EX27,"&gt;="&amp;MAX(1,EX27-Boss参数!$B$87+1),$EX$3:EX27,"&lt;="&amp;EX27))</f>
        <v>5</v>
      </c>
      <c r="FA27" s="1">
        <f t="shared" si="68"/>
        <v>16</v>
      </c>
      <c r="FB27" s="17">
        <f>IF(L27="BOSS_CONSERVATIVE",B27+Boss参数!$B$91,FB26)</f>
        <v>0</v>
      </c>
      <c r="FC27" s="17">
        <f t="shared" si="69"/>
        <v>0</v>
      </c>
      <c r="FD27" s="17">
        <f>IF(D27="",FD26,FD26+IF(AND(DG27&lt;&gt;DG26,INDEX(回合状态!$C$7:$C$17,MATCH(DG27,回合状态!$A$7:$A$17,0))&lt;&gt;"洞穿"),1,0))</f>
        <v>3</v>
      </c>
      <c r="FE27" s="17">
        <f>IF(D27="",0,IF(AND(OR(L27="END_TURN",DH27="敌方"),INDEX(回合状态!$C$7:$C$17,MATCH(DG27,回合状态!$A$7:$A$17,0))&lt;&gt;"洞穿",SUMIFS($FE$3:FE26,$DG$3:DG26,DG27)=0),1,0))</f>
        <v>0</v>
      </c>
    </row>
    <row r="28" spans="1:161" ht="84.95" customHeight="1">
      <c r="A28" s="1">
        <f>行动模拟!A34</f>
        <v>26</v>
      </c>
      <c r="B28" s="1">
        <f>IF(D28="",0,INDEX(回合状态!$B$7:$B$17,MATCH(DG28,回合状态!$A$7:$A$17,0)))</f>
        <v>3</v>
      </c>
      <c r="C28" s="1">
        <f>行动模拟!C34</f>
        <v>7</v>
      </c>
      <c r="D28" s="1" t="str">
        <f>IF(行动模拟!D34="","",行动模拟!D34)</f>
        <v>红弩箭｜试试杀手锏</v>
      </c>
      <c r="E28" s="1" t="str">
        <f>IF($D28="","",IFERROR(INDEX(技能数据库!$B$4:$B$38,MATCH($D28,技能数据库!$A$4:$A$38,0)),""))</f>
        <v>红弩箭</v>
      </c>
      <c r="F28" s="1" t="str">
        <f>IF($D28="","",IFERROR(INDEX(技能数据库!$C$4:$C$38,MATCH($D28,技能数据库!$A$4:$A$38,0)),""))</f>
        <v>试试杀手锏</v>
      </c>
      <c r="G28" s="1">
        <f>IF($D28="","",IFERROR(INDEX(技能数据库!$D$4:$D$38,MATCH($D28,技能数据库!$A$4:$A$38,0)),""))</f>
        <v>0</v>
      </c>
      <c r="H28" s="1" t="str">
        <f>IF($D28="","",IFERROR(INDEX(技能数据库!$E$4:$E$38,MATCH($D28,技能数据库!$A$4:$A$38,0)),""))</f>
        <v>仪式</v>
      </c>
      <c r="I28" s="1" t="str">
        <f>IF($D28="","",IFERROR(INDEX(技能数据库!$F$4:$F$38,MATCH($D28,技能数据库!$A$4:$A$38,0)),""))</f>
        <v>现实</v>
      </c>
      <c r="J28" s="1">
        <f>IF($D28="","",IFERROR(INDEX(技能数据库!$G$4:$G$38,MATCH($D28,技能数据库!$A$4:$A$38,0)),""))</f>
        <v>18</v>
      </c>
      <c r="K28" s="1">
        <f>IF($D28="","",IFERROR(INDEX(技能数据库!$H$4:$H$38,MATCH($D28,技能数据库!$A$4:$A$38,0)),""))</f>
        <v>0</v>
      </c>
      <c r="L28" s="1" t="str">
        <f>IF($D28="","",IFERROR(INDEX(技能数据库!$I$4:$I$38,MATCH($D28,技能数据库!$A$4:$A$38,0)),""))</f>
        <v>LILYA_ULT</v>
      </c>
      <c r="M28" s="10">
        <v>1</v>
      </c>
      <c r="N28" s="1"/>
      <c r="O28" s="1"/>
      <c r="P28" s="1"/>
      <c r="Q28" s="10">
        <f t="shared" si="0"/>
        <v>0</v>
      </c>
      <c r="R28" s="10">
        <v>0</v>
      </c>
      <c r="S28" s="10">
        <v>0</v>
      </c>
      <c r="T28" s="1">
        <f>行动模拟!I34</f>
        <v>0</v>
      </c>
      <c r="U28" s="1">
        <f>IF(FD28&lt;&gt;FD27,IF(BY27=1,IF(MIN(10,CA27+IF(AND(DG28&lt;&gt;DG27,DH27&lt;&gt;"洞穿",SUMIFS($FE$3:FE27,$DG$3:DG27,DG27)=0,BY27=1),3,0))&gt;=10,2,1),IF(BY27=2,IF(BZ27&lt;=1,0,2),0)),BY27)</f>
        <v>2</v>
      </c>
      <c r="V28" s="1">
        <f>IF(FD28&lt;&gt;FD27,IF(BY27=1,IF(MIN(10,CA27+IF(AND(DG28&lt;&gt;DG27,DH27&lt;&gt;"洞穿",SUMIFS($FE$3:FE27,$DG$3:DG27,DG27)=0,BY27=1),3,0))&gt;=10,2,0),IF(BY27=2,MAX(0,BZ27-1),0)),BZ27)</f>
        <v>1</v>
      </c>
      <c r="W28" s="1">
        <f>IF(AND(FD28&lt;&gt;FD27,BY27=2,BZ27&lt;=1),0,MIN(10,CA27+IF(AND(DG28&lt;&gt;DG27,DH27&lt;&gt;"洞穿",SUMIFS($FE$3:FE27,$DG$3:DG27,DG27)=0,BY27=1),3,0)))</f>
        <v>10</v>
      </c>
      <c r="X28" s="1">
        <f t="shared" si="42"/>
        <v>6</v>
      </c>
      <c r="Y28" s="1">
        <f t="shared" si="43"/>
        <v>0</v>
      </c>
      <c r="Z28" s="1">
        <f t="shared" si="44"/>
        <v>0</v>
      </c>
      <c r="AA28" s="1">
        <f t="shared" si="45"/>
        <v>0</v>
      </c>
      <c r="AB28" s="1">
        <f t="shared" si="46"/>
        <v>3</v>
      </c>
      <c r="AC28" s="1">
        <f t="shared" si="47"/>
        <v>1</v>
      </c>
      <c r="AD28" s="1">
        <f t="shared" si="48"/>
        <v>16</v>
      </c>
      <c r="AE28" s="1">
        <f>IF(D28="",0,IF(DG28&lt;&gt;DG27,IFERROR(INDEX(回合状态!$F$7:$F$17,MATCH(DG28,回合状态!$A$7:$A$17,0)),0),CI27))</f>
        <v>22</v>
      </c>
      <c r="AF28" s="10">
        <f t="shared" si="49"/>
        <v>0.4</v>
      </c>
      <c r="AG28" s="1">
        <f t="shared" si="50"/>
        <v>5</v>
      </c>
      <c r="AH28" s="1">
        <f t="shared" si="51"/>
        <v>5</v>
      </c>
      <c r="AI28" s="1">
        <f t="shared" si="52"/>
        <v>4</v>
      </c>
      <c r="AJ28" s="1">
        <f t="shared" si="53"/>
        <v>5</v>
      </c>
      <c r="AK28" s="1">
        <f t="shared" si="54"/>
        <v>4</v>
      </c>
      <c r="AL28" s="1">
        <f t="shared" si="55"/>
        <v>3</v>
      </c>
      <c r="AM28" s="1">
        <f t="shared" si="56"/>
        <v>15</v>
      </c>
      <c r="AN28" s="1">
        <f t="shared" si="57"/>
        <v>4</v>
      </c>
      <c r="AO28" s="1">
        <f t="shared" si="58"/>
        <v>0</v>
      </c>
      <c r="AP28" s="10">
        <f t="shared" si="59"/>
        <v>0.12</v>
      </c>
      <c r="AQ28" s="1">
        <f t="shared" si="60"/>
        <v>5</v>
      </c>
      <c r="AR28" s="10">
        <f t="shared" si="61"/>
        <v>0.3</v>
      </c>
      <c r="AS28" s="1">
        <f t="shared" si="62"/>
        <v>5</v>
      </c>
      <c r="AT28" s="10">
        <f t="shared" si="63"/>
        <v>0.3</v>
      </c>
      <c r="AU28" s="1">
        <f t="shared" si="64"/>
        <v>5</v>
      </c>
      <c r="AV28" s="1">
        <f>MIN(5,SUMIFS($EL$3:EL28,$B$3:B28,"&gt;="&amp;MAX(1,B28-2),$B$3:B28,"&lt;="&amp;B28)+EC28)</f>
        <v>5</v>
      </c>
      <c r="AW28" s="1">
        <f>MIN(6,SUMIFS($EY$3:EY27,$EX$3:EX27,"&gt;="&amp;MAX(1,EX28-Boss参数!$B$87+1),$EX$3:EX27,"&lt;="&amp;EX28))</f>
        <v>5</v>
      </c>
      <c r="AX28" s="1">
        <f>MIN(4,COUNTIFS($B$3:$B$27,"&gt;="&amp;MAX(1,$B28-2),$B$3:$B$27,"&lt;="&amp;$B28,$L$3:$L$27,"37_FOLLOW"))</f>
        <v>4</v>
      </c>
      <c r="AY28" s="9">
        <f>IF($E28="","",IF($E28="系统",0,ROUNDDOWN(INDEX(角色面板!$C$4:$C$7,MATCH($E28,角色面板!$A$4:$A$7,0))*(1+INDEX(角色面板!$C$11:$C$14,MATCH($E28,角色面板!$A$11:$A$14,0))+IF($E28="小瑞安侬",MAX(IF($B28&lt;=$AQ28,$AP28,0),IF(AND($L28="RHI_ATTACK",$EE28&gt;0),0.11+0.01*$G28,0)),0)+IF($E28="J",$AD28*Boss参数!$B$18,0))+IF(FD28&lt;=$AN28,MIN(Boss参数!$B$21,ROUNDDOWN(角色面板!$C$19*Boss参数!$B$20,0)),0)+IF(AND($B28&lt;=$AK28,$E28&lt;&gt;"小瑞安侬"),$DY28,0),0)))</f>
        <v>3493</v>
      </c>
      <c r="AZ28" s="10">
        <f>IF($E28="","",MAX(0,MIN(1,IFERROR(INDEX(角色面板!$G$18:$G$21,MATCH($E28,角色面板!$A$18:$A$21,0)),0)-FC28*Boss参数!$B$89-Boss参数!$E$4)))</f>
        <v>1</v>
      </c>
      <c r="BA28" s="10">
        <f>IF(E28="","",(IF($E28="","",IF($E28="红弩箭",Boss参数!$B$80,IF($E28="J",Boss参数!$B$81,IFERROR(INDEX(角色面板!$H$18:$H$21,MATCH($E28,角色面板!$A$18:$A$21,0)),0)))+IF($B28&lt;=$AI28,Boss参数!$B$13,0)+MIN(30,$AM28)*Boss参数!$B$17+IF(AND($L28="LILYA_ULT",$X28&gt;=6),1,0)+IF(AND($Y28=1,$L28="LILYA_INSIGHT"),IF(MOD($AA28+1,3)=0,Boss参数!$B$83,Boss参数!$B$82),IF(AND($Y28=1,$L28="LILYA_FINISH"),Boss参数!$B$84,0))))-FC28*Boss参数!$B$90)</f>
        <v>3.2450000000000001</v>
      </c>
      <c r="BB28" s="10">
        <f>IF($E28="","",IFERROR(INDEX(角色面板!$M$18:$M$21,MATCH($E28,角色面板!$A$18:$A$21,0)),0)+$AW28*Boss参数!$B$12+IF($B28&lt;=$AG28,$AF28,0)+$EI28+IF($L28="LILYA_DIVE",IF($U28=1,IF($G28=1,0.3,IF($G28=2,0.4,0.5)),IF($U28=2,IF($G28=1,0.6,IF($G28=2,0.8,1)),0)),0)+$R28+IF(AND($E28="J",OR($L28="J_COUNTER",$L28="J_HARD")),Boss参数!$B$79,0)+IF(AND(OR(L28="J_COUNTER",L28="J_HARD"),FA28&gt;=Boss参数!$B$59),FA28*Boss参数!$B$40,0))</f>
        <v>1.04</v>
      </c>
      <c r="BC28" s="10">
        <f>IF($E28="","",IFERROR(INDEX(角色面板!$K$18:$K$21,MATCH($E28,角色面板!$A$18:$A$21,0)),0)+IF($B28&lt;=$AH28,Boss参数!$B$46,0)+IF($E28="红弩箭",IF($U28=1,0.6,IF($U28=2,1.2,0))+$W28*0.06,0))-DI28*Boss参数!$B$23</f>
        <v>0.94999999999999973</v>
      </c>
      <c r="BD28" s="10">
        <f>IF($E28="","",IFERROR(INDEX(角色面板!$L$18:$L$21,MATCH($E28,角色面板!$A$18:$A$21,0)),0)+IF($B28&lt;=$AH28,Boss参数!$B$46,0)+IF($E28="J",$AL28*Boss参数!$B$16,0)+IF($E28="红弩箭",$X28*0.025,0)+IF(AND($L28="LILYA_ULT",$X28&gt;=6),1,0))-DI28*Boss参数!$B$23</f>
        <v>0.7</v>
      </c>
      <c r="BE28" s="10">
        <f>IF($E28="","",IF($H28="洞知",IF($E28="红弩箭",$AO28*Boss参数!$B$15,0)+$AX28*Boss参数!$B$14,0))</f>
        <v>0</v>
      </c>
      <c r="BF28" s="10">
        <f t="shared" si="1"/>
        <v>0.2</v>
      </c>
      <c r="BG28" s="10">
        <f>IF($D28="",0,IF(AND($L28&lt;&gt;"LILYA_DIVE",$L28&lt;&gt;"LILYA_ULT",$L28&lt;&gt;"LILYA_INSIGHT",$L28&lt;&gt;"LILYA_FINISH",$L28&lt;&gt;"37_FOLLOW",$L28&lt;&gt;"RHI_ATTACK",$L28&lt;&gt;"RHI_BERRY",$L28&lt;&gt;"J_COUNTER",$L28&lt;&gt;"J_ULT"),$J28,0)+IF($L28="LILYA_DIVE",$J28+IF($U28=1,IF($G28=1,6,IF($G28=2,12,18)),IF($U28=2,IF($G28=1,12,IF($G28=2,24,36)),0)),0)+IF($L28="LILYA_ULT",$J28+IF($X28&gt;=6,18,0),0)+IF($L28="LILYA_INSIGHT",IF($Y28=1,IF(MOD($AA28+1,3)=0,32,15),0),0)+IF($L28="LILYA_FINISH",IF($Y28=1,50+2.5*$Z28,0),0)+IF($L28="37_FOLLOW",$J28,0)+IF($L28="RHI_ATTACK",$J28*IF($B28&lt;=$AJ28,2,1),0)+IF($L28="RHI_BERRY",15+1.5*$AV28,0)+IF($L28="J_COUNTER",$J28+$AD28*Boss参数!$B$39,0)+IF($L28="J_ULT",$J28+Boss参数!$B$45*MAX(0,$AE28+$AD28-Boss参数!$I$4),0)+$S28)</f>
        <v>36</v>
      </c>
      <c r="BH28" s="10">
        <f t="shared" si="2"/>
        <v>0</v>
      </c>
      <c r="BI28" s="10">
        <f>IF(E28="","",IF(DT28=1,1+Boss参数!$B$8+AV28*Boss参数!$B$19,1))</f>
        <v>1.5</v>
      </c>
      <c r="BJ28" s="9">
        <f>IF($I28="现实",Boss参数!$C$4,IF($I28="精神",Boss参数!$D$4,0))</f>
        <v>1200</v>
      </c>
      <c r="BK28" s="9">
        <f>IF($E28="","",MAX($AY28*Boss参数!$B$9,$AY28-$BJ28*(1-$BF28)))</f>
        <v>2533</v>
      </c>
      <c r="BL28" s="10">
        <f>MAX(0,Boss参数!$F$4+IF(DT28=0,Boss参数!$B$27,0)-EJ28)</f>
        <v>0.10000000000000003</v>
      </c>
      <c r="BM28" s="10">
        <f>Boss参数!$G$4+DU28-IF(Y28=1,Boss参数!$B$11,0)</f>
        <v>0.5</v>
      </c>
      <c r="BN28" s="10">
        <f>IF($E28="","",MAX(Boss参数!$B$10,1+IFERROR(INDEX(角色面板!$I$18:$I$21,MATCH($E28,角色面板!$A$18:$A$21,0)),0)+$BB28+Boss参数!$H$4-$BM28))</f>
        <v>1.6400000000000001</v>
      </c>
      <c r="BO28" s="10">
        <f>IF(E28="","",IF(OR(L28="J_COUNTER",L28="J_HARD"),MAX(0,1+INDEX(角色面板!$K$18:$K$21,MATCH(E28,角色面板!$A$18:$A$21,0))-DI28*Boss参数!$B$23+IF(OR(Boss参数!$B$43=1,L28="J_HARD"),IF(B28&lt;=AH28,Boss参数!$B$46,0),0)),MAX(0,IF(OR(H28="术法",L28="RHI_BERRY",AND(L28="37_FOLLOW",Boss参数!$B$31=1)),1+BC28,IF(H28="仪式",1+BD28,IF(H28="洞知",EK28,1))))))</f>
        <v>1.7</v>
      </c>
      <c r="BP28" s="10">
        <f t="shared" si="3"/>
        <v>3.145</v>
      </c>
      <c r="BQ28" s="1">
        <f t="shared" si="4"/>
        <v>381348.21600000001</v>
      </c>
      <c r="BR28" s="1">
        <f t="shared" si="5"/>
        <v>1199340.1393200001</v>
      </c>
      <c r="BS28" s="1">
        <f>IF(BH28=0,0,ROUNDDOWN(AY28*BH28,0)*DV28*IF(Boss参数!$B$29=1,BN28,1)*IF(Boss参数!$B$33=1,BO28,1)*IF(Boss参数!$B$76=1,1-ES28,1))</f>
        <v>0</v>
      </c>
      <c r="BT28" s="1">
        <f t="shared" si="6"/>
        <v>0</v>
      </c>
      <c r="BU28" s="9">
        <f>IF(D28="",0,MIN(IF(Boss参数!$B$77=1,Boss参数!$B$63*Boss参数!$B$62,Boss参数!$B$61*Boss参数!$B$62),DW28+ROUNDDOWN(BS28,0)+ROUNDDOWN(DW28*Q28,0)))</f>
        <v>381348</v>
      </c>
      <c r="BV28" s="9">
        <f>IF(D28="",0,MIN(IF(Boss参数!$B$77=1,Boss参数!$B$63*Boss参数!$B$62,Boss参数!$B$61*Boss参数!$B$62),DX28+ROUNDDOWN(BT28,0)+ROUNDDOWN(DX28*Q28,0)))</f>
        <v>1199340</v>
      </c>
      <c r="BW28" s="9">
        <f t="shared" si="7"/>
        <v>1199340</v>
      </c>
      <c r="BX28" s="1" t="str">
        <f t="shared" si="8"/>
        <v/>
      </c>
      <c r="BY28" s="1">
        <f t="shared" si="9"/>
        <v>2</v>
      </c>
      <c r="BZ28" s="1">
        <f t="shared" si="10"/>
        <v>1</v>
      </c>
      <c r="CA28" s="1">
        <f>MIN(10,W28+IF(AND(L28="LILYA_COBRA",COUNTIF($L$3:L28,"LILYA_COBRA")=1),5,0)+IF(AND(L28="LILYA_DIVE",U28=1,COUNTIFS($DG$3:DG28,DG28,$L$3:L28,"LILYA_DIVE")=1),2,0)+IF(AND(FE28=1,U28=1),3,0))</f>
        <v>10</v>
      </c>
      <c r="CB28" s="1">
        <f>MIN(20,MAX(0,X28+IF(L28="LILYA_COBRA",IF(COUNTIF($L$3:L28,"LILYA_COBRA")=1,6,IF(U28=1,MAX(1,G28),IF(U28=2,2*MAX(1,G28),0))),0)+IF(AND(Y28=1,E28="红弩箭",L28&lt;&gt;"ENTER_INSIGHT"),1,0)-IF(AND(L28="LILYA_ULT",X28&gt;=6),6,0)))</f>
        <v>0</v>
      </c>
      <c r="CC28" s="1">
        <f t="shared" si="11"/>
        <v>0</v>
      </c>
      <c r="CD28" s="1">
        <f t="shared" si="12"/>
        <v>0</v>
      </c>
      <c r="CE28" s="1">
        <f t="shared" si="13"/>
        <v>0</v>
      </c>
      <c r="CF28" s="1">
        <f t="shared" si="14"/>
        <v>4</v>
      </c>
      <c r="CG28" s="1">
        <f t="shared" si="15"/>
        <v>1</v>
      </c>
      <c r="CH28" s="1">
        <f>MIN(35,AD28+IF(L28="J_HARD",6,0)+IF(L28="J_COUNTER",Boss参数!$B$30,0))</f>
        <v>16</v>
      </c>
      <c r="CI28" s="1">
        <f>MIN(Boss参数!$I$4,AE28+IF(L28="J_HARD",6,0)+IF(L28="J_ULT",AD28,0)+IF(L28="J_COUNTER",Boss参数!$B$30,0))</f>
        <v>22</v>
      </c>
      <c r="CJ28" s="10">
        <f>IF(L28="J_ULT",AD28*Boss参数!$B$41,IF(B28&lt;=AG28,AF28,0))</f>
        <v>0.4</v>
      </c>
      <c r="CK28" s="1">
        <f t="shared" si="16"/>
        <v>5</v>
      </c>
      <c r="CL28" s="1">
        <f t="shared" si="17"/>
        <v>5</v>
      </c>
      <c r="CM28" s="1">
        <f t="shared" si="18"/>
        <v>4</v>
      </c>
      <c r="CN28" s="1">
        <f t="shared" si="19"/>
        <v>5</v>
      </c>
      <c r="CO28" s="1">
        <f t="shared" si="20"/>
        <v>4</v>
      </c>
      <c r="CP28" s="1">
        <f t="shared" si="21"/>
        <v>3</v>
      </c>
      <c r="CQ28" s="1">
        <f t="shared" si="22"/>
        <v>20</v>
      </c>
      <c r="CR28" s="1">
        <f t="shared" si="23"/>
        <v>4</v>
      </c>
      <c r="CS28" s="1">
        <f t="shared" si="24"/>
        <v>0</v>
      </c>
      <c r="CT28" s="10">
        <f t="shared" si="25"/>
        <v>0.12</v>
      </c>
      <c r="CU28" s="1">
        <f t="shared" si="26"/>
        <v>5</v>
      </c>
      <c r="CV28" s="10">
        <f t="shared" si="27"/>
        <v>0.3</v>
      </c>
      <c r="CW28" s="1">
        <f t="shared" si="28"/>
        <v>5</v>
      </c>
      <c r="CX28" s="10">
        <f t="shared" si="29"/>
        <v>0.3</v>
      </c>
      <c r="CY28" s="1">
        <f t="shared" si="30"/>
        <v>5</v>
      </c>
      <c r="CZ28" s="1"/>
      <c r="DA28" s="1"/>
      <c r="DB28" s="1"/>
      <c r="DC28" s="1"/>
      <c r="DD28" s="1"/>
      <c r="DE28" s="1"/>
      <c r="DF28" s="1"/>
      <c r="DG28" s="1">
        <f>IF(D28="","",行动模拟!B34)</f>
        <v>3</v>
      </c>
      <c r="DH28" s="1" t="str">
        <f>IF(L28="END_TURN","回合结束",IF(D28="","",IF(INDEX(回合状态!$C$7:$C$17,MATCH(DG28,回合状态!$A$7:$A$17,0))="洞穿","洞穿",IF(OR(L28="J_COUNTER",L28="BOSS_ACTION",L28="BOSS_CONSERVATIVE"),"敌方",IF(AND(L28="37_FOLLOW",DG28=DG27,DH27="敌方"),"敌方",IF(INDEX(回合状态!$C$7:$C$17,MATCH(DG28,回合状态!$A$7:$A$17,0))="普通","出牌",INDEX(回合状态!$C$7:$C$17,MATCH(DG28,回合状态!$A$7:$A$17,0))))))))</f>
        <v>出牌</v>
      </c>
      <c r="DI28" s="1">
        <f t="shared" si="31"/>
        <v>5</v>
      </c>
      <c r="DJ28" s="1">
        <f>IF(D28="",0,MIN(Boss参数!$B$25,IF(OR(AND(DH28="敌方",OR(DH27&lt;&gt;"敌方",DG28&lt;&gt;DG27)),AND(L28="END_TURN",DH28&lt;&gt;"洞穿"),AND(DG28&lt;&gt;DG27,DH27&lt;&gt;"洞穿",L27&lt;&gt;"END_TURN",COUNTIFS($DG$3:DG27,DG27,$DH$3:DH27,"敌方")=0)),EW28,DN27)))</f>
        <v>5</v>
      </c>
      <c r="DK28" s="1">
        <f>IF(D28="",0,MIN(Boss参数!$B$25,IF(OR(AND(DH28="敌方",OR(DH27&lt;&gt;"敌方",DG28&lt;&gt;DG27)),AND(L28="END_TURN",DH28&lt;&gt;"洞穿"),AND(DG28&lt;&gt;DG27,DH27&lt;&gt;"洞穿",L27&lt;&gt;"END_TURN",COUNTIFS($DG$3:DG27,DG27,$DH$3:DH27,"敌方")=0)),EW28,DO27)))</f>
        <v>4</v>
      </c>
      <c r="DL28" s="1">
        <f>IF(D28="",0,MIN(Boss参数!$B$25,IF(OR(AND(DH28="敌方",OR(DH27&lt;&gt;"敌方",DG28&lt;&gt;DG27)),AND(L28="END_TURN",DH28&lt;&gt;"洞穿"),AND(DG28&lt;&gt;DG27,DH27&lt;&gt;"洞穿",L27&lt;&gt;"END_TURN",COUNTIFS($DG$3:DG27,DG27,$DH$3:DH27,"敌方")=0)),EW28,DP27)))</f>
        <v>2</v>
      </c>
      <c r="DM28" s="1">
        <f>IF(D28="",0,MIN(Boss参数!$B$25,IF(OR(AND(DH28="敌方",OR(DH27&lt;&gt;"敌方",DG28&lt;&gt;DG27)),AND(L28="END_TURN",DH28&lt;&gt;"洞穿"),AND(DG28&lt;&gt;DG27,DH27&lt;&gt;"洞穿",L27&lt;&gt;"END_TURN",COUNTIFS($DG$3:DG27,DG27,$DH$3:DH27,"敌方")=0)),EW28,DQ27)))</f>
        <v>2</v>
      </c>
      <c r="DN28" s="1">
        <f>MAX(0,MIN(Boss参数!$B$25,DJ28+DR28)-IF(E28="红弩箭",2*DR28,0))</f>
        <v>3</v>
      </c>
      <c r="DO28" s="1">
        <f>MAX(0,MIN(Boss参数!$B$25,DK28+DR28)-IF(E28="37",2*DR28,0))</f>
        <v>5</v>
      </c>
      <c r="DP28" s="1">
        <f>MAX(0,MIN(Boss参数!$B$25,DL28+DR28)-IF(E28="小瑞安侬",2*DR28,0))</f>
        <v>3</v>
      </c>
      <c r="DQ28" s="1">
        <f>MAX(0,MIN(Boss参数!$B$25,DM28+DR28)-IF(E28="J",2*DR28,0))</f>
        <v>3</v>
      </c>
      <c r="DR28" s="1">
        <f t="shared" si="32"/>
        <v>1</v>
      </c>
      <c r="DS28" s="1">
        <f t="shared" si="33"/>
        <v>1</v>
      </c>
      <c r="DT28" s="1">
        <f>IF(OR(E28="",E28="系统"),0,IF(OR(AND(DS28=1,Boss参数!$B$32=1),L28="RHI_BERRY",OR(AND(INDEX(角色面板!$B$18:$B$21,MATCH(E28,角色面板!$A$18:$A$21,0))="星",Boss参数!$B$4="岩"),AND(INDEX(角色面板!$B$18:$B$21,MATCH(E28,角色面板!$A$18:$A$21,0))="岩",Boss参数!$B$4="兽"),AND(INDEX(角色面板!$B$18:$B$21,MATCH(E28,角色面板!$A$18:$A$21,0))="兽",Boss参数!$B$4="木"),AND(INDEX(角色面板!$B$18:$B$21,MATCH(E28,角色面板!$A$18:$A$21,0))="木",Boss参数!$B$4="星"),AND(INDEX(角色面板!$B$18:$B$21,MATCH(E28,角色面板!$A$18:$A$21,0))="智",Boss参数!$B$4="灵"),AND(INDEX(角色面板!$B$18:$B$21,MATCH(E28,角色面板!$A$18:$A$21,0))="灵",Boss参数!$B$4="智"))),1,0))</f>
        <v>1</v>
      </c>
      <c r="DU28" s="1">
        <f>IF(D28="",0,INDEX(回合状态!$E$7:$E$17,MATCH(DG28,回合状态!$A$7:$A$17,0))+IF(AND(DH28="敌方",OR(INDEX(回合状态!$C$7:$C$17,MATCH(DG28,回合状态!$A$7:$A$17,0))="普通",INDEX(回合状态!$C$7:$C$17,MATCH(DG28,回合状态!$A$7:$A$17,0))="额外")),0.05,0))</f>
        <v>0.1</v>
      </c>
      <c r="DV28" s="1">
        <f>MAX(Boss参数!$B$28,1+IF(AND(E28="37",AC28&gt;0,BH28&gt;0),Boss参数!$B$42,0)-DI28*Boss参数!$B$24+EA28-ER28)</f>
        <v>0.25</v>
      </c>
      <c r="DW28" s="1">
        <f>MIN(IF(Boss参数!$B$77=1,Boss参数!$B$63*Boss参数!$B$62,Boss参数!$B$61*Boss参数!$B$62),ROUNDDOWN(BQ28*(1-ES28),0))</f>
        <v>381348</v>
      </c>
      <c r="DX28" s="1">
        <f>MIN(IF(Boss参数!$B$77=1,Boss参数!$B$63*Boss参数!$B$62,Boss参数!$B$61*Boss参数!$B$62),ROUNDDOWN(BR28*(1-ES28),0))</f>
        <v>1199340</v>
      </c>
      <c r="DY28" s="1">
        <f t="shared" si="65"/>
        <v>238</v>
      </c>
      <c r="DZ28" s="1">
        <f>IF(L28="RHI_ULT",MIN(Boss参数!$B$48,ROUNDDOWN(AY28*Boss参数!$B$47,0)),DY28)</f>
        <v>238</v>
      </c>
      <c r="EA28" s="11">
        <v>0</v>
      </c>
      <c r="EB28" s="1">
        <f t="shared" si="34"/>
        <v>0</v>
      </c>
      <c r="EC28" s="1">
        <f>SUMIFS($EB$3:EB28,$B$3:B28,"&gt;="&amp;MAX(1,B28-2),$B$3:B28,"&lt;="&amp;B28)*Boss参数!$B$51</f>
        <v>12</v>
      </c>
      <c r="ED28" s="1">
        <f>IF(D28="",EG27,IF(AND(DG28&lt;&gt;DG27,DH28&lt;&gt;"洞穿"),MIN(Boss参数!$B$55,EG27+2),EG27))</f>
        <v>0</v>
      </c>
      <c r="EE28" s="1">
        <f t="shared" si="35"/>
        <v>0</v>
      </c>
      <c r="EF28" s="1">
        <f>IF(AND(OR(L28="END_TURN",AND(DH28="敌方",OR(DH27&lt;&gt;"敌方",DG28&lt;&gt;DG27))),SUMIFS($EF$3:EF27,$DG$3:DG27,DG28)=0),MIN(1,MAX(0,ED28-EE28)),0)</f>
        <v>0</v>
      </c>
      <c r="EG28" s="1">
        <f t="shared" si="36"/>
        <v>0</v>
      </c>
      <c r="EH28" s="11">
        <f>Boss参数!$B$53-IF(Y28=1,Boss参数!$B$54,0)</f>
        <v>0</v>
      </c>
      <c r="EI28" s="11">
        <f t="shared" si="37"/>
        <v>0.3</v>
      </c>
      <c r="EJ28" s="11">
        <f t="shared" si="38"/>
        <v>0.3</v>
      </c>
      <c r="EK28" s="11">
        <f t="shared" si="39"/>
        <v>1</v>
      </c>
      <c r="EL28" s="1">
        <f t="shared" si="66"/>
        <v>0</v>
      </c>
      <c r="EM28" s="1">
        <f>IF(AND(DG28&lt;&gt;DG27,DH28="洞穿"),0,IF(L28="ENTER_INSIGHT",Boss参数!$B$57,EO27))</f>
        <v>0</v>
      </c>
      <c r="EN28" s="11">
        <f>IF(AND(Y28=1,H28="洞知",EM28&gt;0),Boss参数!$B$56,0)</f>
        <v>0</v>
      </c>
      <c r="EO28" s="1">
        <f t="shared" si="40"/>
        <v>0</v>
      </c>
      <c r="EP28" s="12">
        <f t="shared" si="67"/>
        <v>214927</v>
      </c>
      <c r="EQ28" s="12">
        <f>ROUNDDOWN(EP28/Boss参数!$B$62,0)</f>
        <v>2</v>
      </c>
      <c r="ER28" s="11">
        <f>IF(EQ28&gt;=Boss参数!$B$66,Boss参数!$B$69,IF(EQ28&gt;=Boss参数!$B$65,Boss参数!$B$68,IF(EQ28&gt;=Boss参数!$B$64,Boss参数!$B$67,0)))</f>
        <v>0</v>
      </c>
      <c r="ES28" s="11">
        <f>MIN(1,IF(EQ28&gt;=Boss参数!$B$66,Boss参数!$B$72+ROUNDDOWN((EQ28-Boss参数!$B$66)/Boss参数!$B$73,0)*Boss参数!$B$74,IF(EQ28&gt;=Boss参数!$B$65,Boss参数!$B$71,IF(EQ28&gt;=Boss参数!$B$64,Boss参数!$B$70,0))))</f>
        <v>0</v>
      </c>
      <c r="ET28" s="12">
        <f>MIN(Boss参数!$B$61*Boss参数!$B$62,EP28+IF(AND(Boss参数!$B$60=1,ISNUMBER(验证表!H34)),验证表!H34,EU28))</f>
        <v>1414267</v>
      </c>
      <c r="EU28" s="12">
        <f>IF(D28="",0,IF(验证表!G34="是",BV28,IF(验证表!G34="否",BU28,BW28)))</f>
        <v>1199340</v>
      </c>
      <c r="EV28" s="12">
        <f>IF(EQ28&gt;=Boss参数!$B$66,2,IF(EQ28&gt;=Boss参数!$B$65,1,0))</f>
        <v>0</v>
      </c>
      <c r="EW28" s="12">
        <f t="shared" si="41"/>
        <v>1</v>
      </c>
      <c r="EX28" s="1">
        <f>IF(D28="",0,INDEX(回合状态!$D$7:$D$17,MATCH(DG28,回合状态!$A$7:$A$17,0)))</f>
        <v>3</v>
      </c>
      <c r="EY28" s="1">
        <f>IF(OR(L28="RHI_ATTACK",L28="RHI_BUFF"),1,IF(L28="RHI_ULT",Boss参数!$B$52,0))</f>
        <v>0</v>
      </c>
      <c r="EZ28" s="1">
        <f>MIN(6,SUMIFS($EY$3:EY28,$EX$3:EX28,"&gt;="&amp;MAX(1,EX28-Boss参数!$B$87+1),$EX$3:EX28,"&lt;="&amp;EX28))</f>
        <v>5</v>
      </c>
      <c r="FA28" s="1">
        <f t="shared" si="68"/>
        <v>16</v>
      </c>
      <c r="FB28" s="17">
        <f>IF(L28="BOSS_CONSERVATIVE",B28+Boss参数!$B$91,FB27)</f>
        <v>0</v>
      </c>
      <c r="FC28" s="17">
        <f t="shared" si="69"/>
        <v>0</v>
      </c>
      <c r="FD28" s="17">
        <f>IF(D28="",FD27,FD27+IF(AND(DG28&lt;&gt;DG27,INDEX(回合状态!$C$7:$C$17,MATCH(DG28,回合状态!$A$7:$A$17,0))&lt;&gt;"洞穿"),1,0))</f>
        <v>3</v>
      </c>
      <c r="FE28" s="17">
        <f>IF(D28="",0,IF(AND(OR(L28="END_TURN",DH28="敌方"),INDEX(回合状态!$C$7:$C$17,MATCH(DG28,回合状态!$A$7:$A$17,0))&lt;&gt;"洞穿",SUMIFS($FE$3:FE27,$DG$3:DG27,DG28)=0),1,0))</f>
        <v>0</v>
      </c>
    </row>
    <row r="29" spans="1:161" ht="84.95" customHeight="1">
      <c r="A29" s="1">
        <f>行动模拟!A35</f>
        <v>27</v>
      </c>
      <c r="B29" s="1">
        <f>IF(D29="",0,INDEX(回合状态!$B$7:$B$17,MATCH(DG29,回合状态!$A$7:$A$17,0)))</f>
        <v>3</v>
      </c>
      <c r="C29" s="1">
        <f>行动模拟!C35</f>
        <v>8</v>
      </c>
      <c r="D29" s="1" t="str">
        <f>IF(行动模拟!D35="","",行动模拟!D35)</f>
        <v>红弩箭｜极限俯冲Ⅲ</v>
      </c>
      <c r="E29" s="1" t="str">
        <f>IF($D29="","",IFERROR(INDEX(技能数据库!$B$4:$B$38,MATCH($D29,技能数据库!$A$4:$A$38,0)),""))</f>
        <v>红弩箭</v>
      </c>
      <c r="F29" s="1" t="str">
        <f>IF($D29="","",IFERROR(INDEX(技能数据库!$C$4:$C$38,MATCH($D29,技能数据库!$A$4:$A$38,0)),""))</f>
        <v>极限俯冲</v>
      </c>
      <c r="G29" s="1">
        <f>IF($D29="","",IFERROR(INDEX(技能数据库!$D$4:$D$38,MATCH($D29,技能数据库!$A$4:$A$38,0)),""))</f>
        <v>3</v>
      </c>
      <c r="H29" s="1" t="str">
        <f>IF($D29="","",IFERROR(INDEX(技能数据库!$E$4:$E$38,MATCH($D29,技能数据库!$A$4:$A$38,0)),""))</f>
        <v>术法</v>
      </c>
      <c r="I29" s="1" t="str">
        <f>IF($D29="","",IFERROR(INDEX(技能数据库!$F$4:$F$38,MATCH($D29,技能数据库!$A$4:$A$38,0)),""))</f>
        <v>现实</v>
      </c>
      <c r="J29" s="1">
        <f>IF($D29="","",IFERROR(INDEX(技能数据库!$G$4:$G$38,MATCH($D29,技能数据库!$A$4:$A$38,0)),""))</f>
        <v>9</v>
      </c>
      <c r="K29" s="1">
        <f>IF($D29="","",IFERROR(INDEX(技能数据库!$H$4:$H$38,MATCH($D29,技能数据库!$A$4:$A$38,0)),""))</f>
        <v>0</v>
      </c>
      <c r="L29" s="1" t="str">
        <f>IF($D29="","",IFERROR(INDEX(技能数据库!$I$4:$I$38,MATCH($D29,技能数据库!$A$4:$A$38,0)),""))</f>
        <v>LILYA_DIVE</v>
      </c>
      <c r="M29" s="10">
        <v>1</v>
      </c>
      <c r="N29" s="1"/>
      <c r="O29" s="1"/>
      <c r="P29" s="1"/>
      <c r="Q29" s="10">
        <f t="shared" si="0"/>
        <v>0</v>
      </c>
      <c r="R29" s="10">
        <v>0</v>
      </c>
      <c r="S29" s="10">
        <v>0</v>
      </c>
      <c r="T29" s="1">
        <f>行动模拟!I35</f>
        <v>0</v>
      </c>
      <c r="U29" s="1">
        <f>IF(FD29&lt;&gt;FD28,IF(BY28=1,IF(MIN(10,CA28+IF(AND(DG29&lt;&gt;DG28,DH28&lt;&gt;"洞穿",SUMIFS($FE$3:FE28,$DG$3:DG28,DG28)=0,BY28=1),3,0))&gt;=10,2,1),IF(BY28=2,IF(BZ28&lt;=1,0,2),0)),BY28)</f>
        <v>2</v>
      </c>
      <c r="V29" s="1">
        <f>IF(FD29&lt;&gt;FD28,IF(BY28=1,IF(MIN(10,CA28+IF(AND(DG29&lt;&gt;DG28,DH28&lt;&gt;"洞穿",SUMIFS($FE$3:FE28,$DG$3:DG28,DG28)=0,BY28=1),3,0))&gt;=10,2,0),IF(BY28=2,MAX(0,BZ28-1),0)),BZ28)</f>
        <v>1</v>
      </c>
      <c r="W29" s="1">
        <f>IF(AND(FD29&lt;&gt;FD28,BY28=2,BZ28&lt;=1),0,MIN(10,CA28+IF(AND(DG29&lt;&gt;DG28,DH28&lt;&gt;"洞穿",SUMIFS($FE$3:FE28,$DG$3:DG28,DG28)=0,BY28=1),3,0)))</f>
        <v>10</v>
      </c>
      <c r="X29" s="1">
        <f t="shared" si="42"/>
        <v>0</v>
      </c>
      <c r="Y29" s="1">
        <f t="shared" si="43"/>
        <v>0</v>
      </c>
      <c r="Z29" s="1">
        <f t="shared" si="44"/>
        <v>0</v>
      </c>
      <c r="AA29" s="1">
        <f t="shared" si="45"/>
        <v>0</v>
      </c>
      <c r="AB29" s="1">
        <f t="shared" si="46"/>
        <v>4</v>
      </c>
      <c r="AC29" s="1">
        <f t="shared" si="47"/>
        <v>1</v>
      </c>
      <c r="AD29" s="1">
        <f t="shared" si="48"/>
        <v>16</v>
      </c>
      <c r="AE29" s="1">
        <f>IF(D29="",0,IF(DG29&lt;&gt;DG28,IFERROR(INDEX(回合状态!$F$7:$F$17,MATCH(DG29,回合状态!$A$7:$A$17,0)),0),CI28))</f>
        <v>22</v>
      </c>
      <c r="AF29" s="10">
        <f t="shared" si="49"/>
        <v>0.4</v>
      </c>
      <c r="AG29" s="1">
        <f t="shared" si="50"/>
        <v>5</v>
      </c>
      <c r="AH29" s="1">
        <f t="shared" si="51"/>
        <v>5</v>
      </c>
      <c r="AI29" s="1">
        <f t="shared" si="52"/>
        <v>4</v>
      </c>
      <c r="AJ29" s="1">
        <f t="shared" si="53"/>
        <v>5</v>
      </c>
      <c r="AK29" s="1">
        <f t="shared" si="54"/>
        <v>4</v>
      </c>
      <c r="AL29" s="1">
        <f t="shared" si="55"/>
        <v>3</v>
      </c>
      <c r="AM29" s="1">
        <f t="shared" si="56"/>
        <v>20</v>
      </c>
      <c r="AN29" s="1">
        <f t="shared" si="57"/>
        <v>4</v>
      </c>
      <c r="AO29" s="1">
        <f t="shared" si="58"/>
        <v>0</v>
      </c>
      <c r="AP29" s="10">
        <f t="shared" si="59"/>
        <v>0.12</v>
      </c>
      <c r="AQ29" s="1">
        <f t="shared" si="60"/>
        <v>5</v>
      </c>
      <c r="AR29" s="10">
        <f t="shared" si="61"/>
        <v>0.3</v>
      </c>
      <c r="AS29" s="1">
        <f t="shared" si="62"/>
        <v>5</v>
      </c>
      <c r="AT29" s="10">
        <f t="shared" si="63"/>
        <v>0.3</v>
      </c>
      <c r="AU29" s="1">
        <f t="shared" si="64"/>
        <v>5</v>
      </c>
      <c r="AV29" s="1">
        <f>MIN(5,SUMIFS($EL$3:EL29,$B$3:B29,"&gt;="&amp;MAX(1,B29-2),$B$3:B29,"&lt;="&amp;B29)+EC29)</f>
        <v>5</v>
      </c>
      <c r="AW29" s="1">
        <f>MIN(6,SUMIFS($EY$3:EY28,$EX$3:EX28,"&gt;="&amp;MAX(1,EX29-Boss参数!$B$87+1),$EX$3:EX28,"&lt;="&amp;EX29))</f>
        <v>5</v>
      </c>
      <c r="AX29" s="1">
        <f>MIN(4,COUNTIFS($B$3:$B$28,"&gt;="&amp;MAX(1,$B29-2),$B$3:$B$28,"&lt;="&amp;$B29,$L$3:$L$28,"37_FOLLOW"))</f>
        <v>4</v>
      </c>
      <c r="AY29" s="9">
        <f>IF($E29="","",IF($E29="系统",0,ROUNDDOWN(INDEX(角色面板!$C$4:$C$7,MATCH($E29,角色面板!$A$4:$A$7,0))*(1+INDEX(角色面板!$C$11:$C$14,MATCH($E29,角色面板!$A$11:$A$14,0))+IF($E29="小瑞安侬",MAX(IF($B29&lt;=$AQ29,$AP29,0),IF(AND($L29="RHI_ATTACK",$EE29&gt;0),0.11+0.01*$G29,0)),0)+IF($E29="J",$AD29*Boss参数!$B$18,0))+IF(FD29&lt;=$AN29,MIN(Boss参数!$B$21,ROUNDDOWN(角色面板!$C$19*Boss参数!$B$20,0)),0)+IF(AND($B29&lt;=$AK29,$E29&lt;&gt;"小瑞安侬"),$DY29,0),0)))</f>
        <v>3493</v>
      </c>
      <c r="AZ29" s="10">
        <f>IF($E29="","",MAX(0,MIN(1,IFERROR(INDEX(角色面板!$G$18:$G$21,MATCH($E29,角色面板!$A$18:$A$21,0)),0)-FC29*Boss参数!$B$89-Boss参数!$E$4)))</f>
        <v>1</v>
      </c>
      <c r="BA29" s="10">
        <f>IF(E29="","",(IF($E29="","",IF($E29="红弩箭",Boss参数!$B$80,IF($E29="J",Boss参数!$B$81,IFERROR(INDEX(角色面板!$H$18:$H$21,MATCH($E29,角色面板!$A$18:$A$21,0)),0)))+IF($B29&lt;=$AI29,Boss参数!$B$13,0)+MIN(30,$AM29)*Boss参数!$B$17+IF(AND($L29="LILYA_ULT",$X29&gt;=6),1,0)+IF(AND($Y29=1,$L29="LILYA_INSIGHT"),IF(MOD($AA29+1,3)=0,Boss参数!$B$83,Boss参数!$B$82),IF(AND($Y29=1,$L29="LILYA_FINISH"),Boss参数!$B$84,0))))-FC29*Boss参数!$B$90)</f>
        <v>2.2650000000000001</v>
      </c>
      <c r="BB29" s="10">
        <f>IF($E29="","",IFERROR(INDEX(角色面板!$M$18:$M$21,MATCH($E29,角色面板!$A$18:$A$21,0)),0)+$AW29*Boss参数!$B$12+IF($B29&lt;=$AG29,$AF29,0)+$EI29+IF($L29="LILYA_DIVE",IF($U29=1,IF($G29=1,0.3,IF($G29=2,0.4,0.5)),IF($U29=2,IF($G29=1,0.6,IF($G29=2,0.8,1)),0)),0)+$R29+IF(AND($E29="J",OR($L29="J_COUNTER",$L29="J_HARD")),Boss参数!$B$79,0)+IF(AND(OR(L29="J_COUNTER",L29="J_HARD"),FA29&gt;=Boss参数!$B$59),FA29*Boss参数!$B$40,0))</f>
        <v>2.04</v>
      </c>
      <c r="BC29" s="10">
        <f>IF($E29="","",IFERROR(INDEX(角色面板!$K$18:$K$21,MATCH($E29,角色面板!$A$18:$A$21,0)),0)+IF($B29&lt;=$AH29,Boss参数!$B$46,0)+IF($E29="红弩箭",IF($U29=1,0.6,IF($U29=2,1.2,0))+$W29*0.06,0))-DI29*Boss参数!$B$23</f>
        <v>1.2499999999999998</v>
      </c>
      <c r="BD29" s="10">
        <f>IF($E29="","",IFERROR(INDEX(角色面板!$L$18:$L$21,MATCH($E29,角色面板!$A$18:$A$21,0)),0)+IF($B29&lt;=$AH29,Boss参数!$B$46,0)+IF($E29="J",$AL29*Boss参数!$B$16,0)+IF($E29="红弩箭",$X29*0.025,0)+IF(AND($L29="LILYA_ULT",$X29&gt;=6),1,0))-DI29*Boss参数!$B$23</f>
        <v>-0.14999999999999997</v>
      </c>
      <c r="BE29" s="10">
        <f>IF($E29="","",IF($H29="洞知",IF($E29="红弩箭",$AO29*Boss参数!$B$15,0)+$AX29*Boss参数!$B$14,0))</f>
        <v>0</v>
      </c>
      <c r="BF29" s="10">
        <f t="shared" si="1"/>
        <v>0</v>
      </c>
      <c r="BG29" s="10">
        <f>IF($D29="",0,IF(AND($L29&lt;&gt;"LILYA_DIVE",$L29&lt;&gt;"LILYA_ULT",$L29&lt;&gt;"LILYA_INSIGHT",$L29&lt;&gt;"LILYA_FINISH",$L29&lt;&gt;"37_FOLLOW",$L29&lt;&gt;"RHI_ATTACK",$L29&lt;&gt;"RHI_BERRY",$L29&lt;&gt;"J_COUNTER",$L29&lt;&gt;"J_ULT"),$J29,0)+IF($L29="LILYA_DIVE",$J29+IF($U29=1,IF($G29=1,6,IF($G29=2,12,18)),IF($U29=2,IF($G29=1,12,IF($G29=2,24,36)),0)),0)+IF($L29="LILYA_ULT",$J29+IF($X29&gt;=6,18,0),0)+IF($L29="LILYA_INSIGHT",IF($Y29=1,IF(MOD($AA29+1,3)=0,32,15),0),0)+IF($L29="LILYA_FINISH",IF($Y29=1,50+2.5*$Z29,0),0)+IF($L29="37_FOLLOW",$J29,0)+IF($L29="RHI_ATTACK",$J29*IF($B29&lt;=$AJ29,2,1),0)+IF($L29="RHI_BERRY",15+1.5*$AV29,0)+IF($L29="J_COUNTER",$J29+$AD29*Boss参数!$B$39,0)+IF($L29="J_ULT",$J29+Boss参数!$B$45*MAX(0,$AE29+$AD29-Boss参数!$I$4),0)+$S29)</f>
        <v>45</v>
      </c>
      <c r="BH29" s="10">
        <f t="shared" si="2"/>
        <v>0</v>
      </c>
      <c r="BI29" s="10">
        <f>IF(E29="","",IF(DT29=1,1+Boss参数!$B$8+AV29*Boss参数!$B$19,1))</f>
        <v>1.5</v>
      </c>
      <c r="BJ29" s="9">
        <f>IF($I29="现实",Boss参数!$C$4,IF($I29="精神",Boss参数!$D$4,0))</f>
        <v>1200</v>
      </c>
      <c r="BK29" s="9">
        <f>IF($E29="","",MAX($AY29*Boss参数!$B$9,$AY29-$BJ29*(1-$BF29)))</f>
        <v>2293</v>
      </c>
      <c r="BL29" s="10">
        <f>MAX(0,Boss参数!$F$4+IF(DT29=0,Boss参数!$B$27,0)-EJ29)</f>
        <v>0.10000000000000003</v>
      </c>
      <c r="BM29" s="10">
        <f>Boss参数!$G$4+DU29-IF(Y29=1,Boss参数!$B$11,0)</f>
        <v>0.5</v>
      </c>
      <c r="BN29" s="10">
        <f>IF($E29="","",MAX(Boss参数!$B$10,1+IFERROR(INDEX(角色面板!$I$18:$I$21,MATCH($E29,角色面板!$A$18:$A$21,0)),0)+$BB29+Boss参数!$H$4-$BM29))</f>
        <v>2.64</v>
      </c>
      <c r="BO29" s="10">
        <f>IF(E29="","",IF(OR(L29="J_COUNTER",L29="J_HARD"),MAX(0,1+INDEX(角色面板!$K$18:$K$21,MATCH(E29,角色面板!$A$18:$A$21,0))-DI29*Boss参数!$B$23+IF(OR(Boss参数!$B$43=1,L29="J_HARD"),IF(B29&lt;=AH29,Boss参数!$B$46,0),0)),MAX(0,IF(OR(H29="术法",L29="RHI_BERRY",AND(L29="37_FOLLOW",Boss参数!$B$31=1)),1+BC29,IF(H29="仪式",1+BD29,IF(H29="洞知",EK29,1))))))</f>
        <v>2.25</v>
      </c>
      <c r="BP29" s="10">
        <f t="shared" si="3"/>
        <v>2.165</v>
      </c>
      <c r="BQ29" s="1">
        <f t="shared" si="4"/>
        <v>919378.35000000009</v>
      </c>
      <c r="BR29" s="1">
        <f t="shared" si="5"/>
        <v>1990454.1277500002</v>
      </c>
      <c r="BS29" s="1">
        <f>IF(BH29=0,0,ROUNDDOWN(AY29*BH29,0)*DV29*IF(Boss参数!$B$29=1,BN29,1)*IF(Boss参数!$B$33=1,BO29,1)*IF(Boss参数!$B$76=1,1-ES29,1))</f>
        <v>0</v>
      </c>
      <c r="BT29" s="1">
        <f t="shared" si="6"/>
        <v>0</v>
      </c>
      <c r="BU29" s="9">
        <f>IF(D29="",0,MIN(IF(Boss参数!$B$77=1,Boss参数!$B$63*Boss参数!$B$62,Boss参数!$B$61*Boss参数!$B$62),DW29+ROUNDDOWN(BS29,0)+ROUNDDOWN(DW29*Q29,0)))</f>
        <v>919378</v>
      </c>
      <c r="BV29" s="9">
        <f>IF(D29="",0,MIN(IF(Boss参数!$B$77=1,Boss参数!$B$63*Boss参数!$B$62,Boss参数!$B$61*Boss参数!$B$62),DX29+ROUNDDOWN(BT29,0)+ROUNDDOWN(DX29*Q29,0)))</f>
        <v>1990454</v>
      </c>
      <c r="BW29" s="9">
        <f t="shared" si="7"/>
        <v>1990454</v>
      </c>
      <c r="BX29" s="1" t="str">
        <f t="shared" si="8"/>
        <v/>
      </c>
      <c r="BY29" s="1">
        <f t="shared" si="9"/>
        <v>2</v>
      </c>
      <c r="BZ29" s="1">
        <f t="shared" si="10"/>
        <v>1</v>
      </c>
      <c r="CA29" s="1">
        <f>MIN(10,W29+IF(AND(L29="LILYA_COBRA",COUNTIF($L$3:L29,"LILYA_COBRA")=1),5,0)+IF(AND(L29="LILYA_DIVE",U29=1,COUNTIFS($DG$3:DG29,DG29,$L$3:L29,"LILYA_DIVE")=1),2,0)+IF(AND(FE29=1,U29=1),3,0))</f>
        <v>10</v>
      </c>
      <c r="CB29" s="1">
        <f>MIN(20,MAX(0,X29+IF(L29="LILYA_COBRA",IF(COUNTIF($L$3:L29,"LILYA_COBRA")=1,6,IF(U29=1,MAX(1,G29),IF(U29=2,2*MAX(1,G29),0))),0)+IF(AND(Y29=1,E29="红弩箭",L29&lt;&gt;"ENTER_INSIGHT"),1,0)-IF(AND(L29="LILYA_ULT",X29&gt;=6),6,0)))</f>
        <v>0</v>
      </c>
      <c r="CC29" s="1">
        <f t="shared" si="11"/>
        <v>0</v>
      </c>
      <c r="CD29" s="1">
        <f t="shared" si="12"/>
        <v>0</v>
      </c>
      <c r="CE29" s="1">
        <f t="shared" si="13"/>
        <v>0</v>
      </c>
      <c r="CF29" s="1">
        <f t="shared" si="14"/>
        <v>5</v>
      </c>
      <c r="CG29" s="1">
        <f t="shared" si="15"/>
        <v>1</v>
      </c>
      <c r="CH29" s="1">
        <f>MIN(35,AD29+IF(L29="J_HARD",6,0)+IF(L29="J_COUNTER",Boss参数!$B$30,0))</f>
        <v>16</v>
      </c>
      <c r="CI29" s="1">
        <f>MIN(Boss参数!$I$4,AE29+IF(L29="J_HARD",6,0)+IF(L29="J_ULT",AD29,0)+IF(L29="J_COUNTER",Boss参数!$B$30,0))</f>
        <v>22</v>
      </c>
      <c r="CJ29" s="10">
        <f>IF(L29="J_ULT",AD29*Boss参数!$B$41,IF(B29&lt;=AG29,AF29,0))</f>
        <v>0.4</v>
      </c>
      <c r="CK29" s="1">
        <f t="shared" si="16"/>
        <v>5</v>
      </c>
      <c r="CL29" s="1">
        <f t="shared" si="17"/>
        <v>5</v>
      </c>
      <c r="CM29" s="1">
        <f t="shared" si="18"/>
        <v>4</v>
      </c>
      <c r="CN29" s="1">
        <f t="shared" si="19"/>
        <v>5</v>
      </c>
      <c r="CO29" s="1">
        <f t="shared" si="20"/>
        <v>4</v>
      </c>
      <c r="CP29" s="1">
        <f t="shared" si="21"/>
        <v>3</v>
      </c>
      <c r="CQ29" s="1">
        <f t="shared" si="22"/>
        <v>20</v>
      </c>
      <c r="CR29" s="1">
        <f t="shared" si="23"/>
        <v>4</v>
      </c>
      <c r="CS29" s="1">
        <f t="shared" si="24"/>
        <v>0</v>
      </c>
      <c r="CT29" s="10">
        <f t="shared" si="25"/>
        <v>0.12</v>
      </c>
      <c r="CU29" s="1">
        <f t="shared" si="26"/>
        <v>5</v>
      </c>
      <c r="CV29" s="10">
        <f t="shared" si="27"/>
        <v>0.3</v>
      </c>
      <c r="CW29" s="1">
        <f t="shared" si="28"/>
        <v>5</v>
      </c>
      <c r="CX29" s="10">
        <f t="shared" si="29"/>
        <v>0.3</v>
      </c>
      <c r="CY29" s="1">
        <f t="shared" si="30"/>
        <v>5</v>
      </c>
      <c r="CZ29" s="1"/>
      <c r="DA29" s="1"/>
      <c r="DB29" s="1"/>
      <c r="DC29" s="1"/>
      <c r="DD29" s="1"/>
      <c r="DE29" s="1"/>
      <c r="DF29" s="1"/>
      <c r="DG29" s="1">
        <f>IF(D29="","",行动模拟!B35)</f>
        <v>3</v>
      </c>
      <c r="DH29" s="1" t="str">
        <f>IF(L29="END_TURN","回合结束",IF(D29="","",IF(INDEX(回合状态!$C$7:$C$17,MATCH(DG29,回合状态!$A$7:$A$17,0))="洞穿","洞穿",IF(OR(L29="J_COUNTER",L29="BOSS_ACTION",L29="BOSS_CONSERVATIVE"),"敌方",IF(AND(L29="37_FOLLOW",DG29=DG28,DH28="敌方"),"敌方",IF(INDEX(回合状态!$C$7:$C$17,MATCH(DG29,回合状态!$A$7:$A$17,0))="普通","出牌",INDEX(回合状态!$C$7:$C$17,MATCH(DG29,回合状态!$A$7:$A$17,0))))))))</f>
        <v>出牌</v>
      </c>
      <c r="DI29" s="1">
        <f t="shared" si="31"/>
        <v>3</v>
      </c>
      <c r="DJ29" s="1">
        <f>IF(D29="",0,MIN(Boss参数!$B$25,IF(OR(AND(DH29="敌方",OR(DH28&lt;&gt;"敌方",DG29&lt;&gt;DG28)),AND(L29="END_TURN",DH29&lt;&gt;"洞穿"),AND(DG29&lt;&gt;DG28,DH28&lt;&gt;"洞穿",L28&lt;&gt;"END_TURN",COUNTIFS($DG$3:DG28,DG28,$DH$3:DH28,"敌方")=0)),EW29,DN28)))</f>
        <v>3</v>
      </c>
      <c r="DK29" s="1">
        <f>IF(D29="",0,MIN(Boss参数!$B$25,IF(OR(AND(DH29="敌方",OR(DH28&lt;&gt;"敌方",DG29&lt;&gt;DG28)),AND(L29="END_TURN",DH29&lt;&gt;"洞穿"),AND(DG29&lt;&gt;DG28,DH28&lt;&gt;"洞穿",L28&lt;&gt;"END_TURN",COUNTIFS($DG$3:DG28,DG28,$DH$3:DH28,"敌方")=0)),EW29,DO28)))</f>
        <v>5</v>
      </c>
      <c r="DL29" s="1">
        <f>IF(D29="",0,MIN(Boss参数!$B$25,IF(OR(AND(DH29="敌方",OR(DH28&lt;&gt;"敌方",DG29&lt;&gt;DG28)),AND(L29="END_TURN",DH29&lt;&gt;"洞穿"),AND(DG29&lt;&gt;DG28,DH28&lt;&gt;"洞穿",L28&lt;&gt;"END_TURN",COUNTIFS($DG$3:DG28,DG28,$DH$3:DH28,"敌方")=0)),EW29,DP28)))</f>
        <v>3</v>
      </c>
      <c r="DM29" s="1">
        <f>IF(D29="",0,MIN(Boss参数!$B$25,IF(OR(AND(DH29="敌方",OR(DH28&lt;&gt;"敌方",DG29&lt;&gt;DG28)),AND(L29="END_TURN",DH29&lt;&gt;"洞穿"),AND(DG29&lt;&gt;DG28,DH28&lt;&gt;"洞穿",L28&lt;&gt;"END_TURN",COUNTIFS($DG$3:DG28,DG28,$DH$3:DH28,"敌方")=0)),EW29,DQ28)))</f>
        <v>3</v>
      </c>
      <c r="DN29" s="1">
        <f>MAX(0,MIN(Boss参数!$B$25,DJ29+DR29)-IF(E29="红弩箭",2*DR29,0))</f>
        <v>2</v>
      </c>
      <c r="DO29" s="1">
        <f>MAX(0,MIN(Boss参数!$B$25,DK29+DR29)-IF(E29="37",2*DR29,0))</f>
        <v>5</v>
      </c>
      <c r="DP29" s="1">
        <f>MAX(0,MIN(Boss参数!$B$25,DL29+DR29)-IF(E29="小瑞安侬",2*DR29,0))</f>
        <v>4</v>
      </c>
      <c r="DQ29" s="1">
        <f>MAX(0,MIN(Boss参数!$B$25,DM29+DR29)-IF(E29="J",2*DR29,0))</f>
        <v>4</v>
      </c>
      <c r="DR29" s="1">
        <f t="shared" si="32"/>
        <v>1</v>
      </c>
      <c r="DS29" s="1">
        <f t="shared" si="33"/>
        <v>1</v>
      </c>
      <c r="DT29" s="1">
        <f>IF(OR(E29="",E29="系统"),0,IF(OR(AND(DS29=1,Boss参数!$B$32=1),L29="RHI_BERRY",OR(AND(INDEX(角色面板!$B$18:$B$21,MATCH(E29,角色面板!$A$18:$A$21,0))="星",Boss参数!$B$4="岩"),AND(INDEX(角色面板!$B$18:$B$21,MATCH(E29,角色面板!$A$18:$A$21,0))="岩",Boss参数!$B$4="兽"),AND(INDEX(角色面板!$B$18:$B$21,MATCH(E29,角色面板!$A$18:$A$21,0))="兽",Boss参数!$B$4="木"),AND(INDEX(角色面板!$B$18:$B$21,MATCH(E29,角色面板!$A$18:$A$21,0))="木",Boss参数!$B$4="星"),AND(INDEX(角色面板!$B$18:$B$21,MATCH(E29,角色面板!$A$18:$A$21,0))="智",Boss参数!$B$4="灵"),AND(INDEX(角色面板!$B$18:$B$21,MATCH(E29,角色面板!$A$18:$A$21,0))="灵",Boss参数!$B$4="智"))),1,0))</f>
        <v>1</v>
      </c>
      <c r="DU29" s="1">
        <f>IF(D29="",0,INDEX(回合状态!$E$7:$E$17,MATCH(DG29,回合状态!$A$7:$A$17,0))+IF(AND(DH29="敌方",OR(INDEX(回合状态!$C$7:$C$17,MATCH(DG29,回合状态!$A$7:$A$17,0))="普通",INDEX(回合状态!$C$7:$C$17,MATCH(DG29,回合状态!$A$7:$A$17,0))="额外")),0.05,0))</f>
        <v>0.1</v>
      </c>
      <c r="DV29" s="1">
        <f>MAX(Boss参数!$B$28,1+IF(AND(E29="37",AC29&gt;0,BH29&gt;0),Boss参数!$B$42,0)-DI29*Boss参数!$B$24+EA29-ER29)</f>
        <v>0.55000000000000004</v>
      </c>
      <c r="DW29" s="1">
        <f>MIN(IF(Boss参数!$B$77=1,Boss参数!$B$63*Boss参数!$B$62,Boss参数!$B$61*Boss参数!$B$62),ROUNDDOWN(BQ29*(1-ES29),0))</f>
        <v>919378</v>
      </c>
      <c r="DX29" s="1">
        <f>MIN(IF(Boss参数!$B$77=1,Boss参数!$B$63*Boss参数!$B$62,Boss参数!$B$61*Boss参数!$B$62),ROUNDDOWN(BR29*(1-ES29),0))</f>
        <v>1990454</v>
      </c>
      <c r="DY29" s="1">
        <f t="shared" si="65"/>
        <v>238</v>
      </c>
      <c r="DZ29" s="1">
        <f>IF(L29="RHI_ULT",MIN(Boss参数!$B$48,ROUNDDOWN(AY29*Boss参数!$B$47,0)),DY29)</f>
        <v>238</v>
      </c>
      <c r="EA29" s="11">
        <v>0</v>
      </c>
      <c r="EB29" s="1">
        <f t="shared" si="34"/>
        <v>0</v>
      </c>
      <c r="EC29" s="1">
        <f>SUMIFS($EB$3:EB29,$B$3:B29,"&gt;="&amp;MAX(1,B29-2),$B$3:B29,"&lt;="&amp;B29)*Boss参数!$B$51</f>
        <v>12</v>
      </c>
      <c r="ED29" s="1">
        <f>IF(D29="",EG28,IF(AND(DG29&lt;&gt;DG28,DH29&lt;&gt;"洞穿"),MIN(Boss参数!$B$55,EG28+2),EG28))</f>
        <v>0</v>
      </c>
      <c r="EE29" s="1">
        <f t="shared" si="35"/>
        <v>0</v>
      </c>
      <c r="EF29" s="1">
        <f>IF(AND(OR(L29="END_TURN",AND(DH29="敌方",OR(DH28&lt;&gt;"敌方",DG29&lt;&gt;DG28))),SUMIFS($EF$3:EF28,$DG$3:DG28,DG29)=0),MIN(1,MAX(0,ED29-EE29)),0)</f>
        <v>0</v>
      </c>
      <c r="EG29" s="1">
        <f t="shared" si="36"/>
        <v>0</v>
      </c>
      <c r="EH29" s="11">
        <f>Boss参数!$B$53-IF(Y29=1,Boss参数!$B$54,0)</f>
        <v>0</v>
      </c>
      <c r="EI29" s="11">
        <f t="shared" si="37"/>
        <v>0.3</v>
      </c>
      <c r="EJ29" s="11">
        <f t="shared" si="38"/>
        <v>0.3</v>
      </c>
      <c r="EK29" s="11">
        <f t="shared" si="39"/>
        <v>1</v>
      </c>
      <c r="EL29" s="1">
        <f t="shared" si="66"/>
        <v>0</v>
      </c>
      <c r="EM29" s="1">
        <f>IF(AND(DG29&lt;&gt;DG28,DH29="洞穿"),0,IF(L29="ENTER_INSIGHT",Boss参数!$B$57,EO28))</f>
        <v>0</v>
      </c>
      <c r="EN29" s="11">
        <f>IF(AND(Y29=1,H29="洞知",EM29&gt;0),Boss参数!$B$56,0)</f>
        <v>0</v>
      </c>
      <c r="EO29" s="1">
        <f t="shared" si="40"/>
        <v>0</v>
      </c>
      <c r="EP29" s="12">
        <f t="shared" si="67"/>
        <v>1414267</v>
      </c>
      <c r="EQ29" s="12">
        <f>ROUNDDOWN(EP29/Boss参数!$B$62,0)</f>
        <v>14</v>
      </c>
      <c r="ER29" s="11">
        <f>IF(EQ29&gt;=Boss参数!$B$66,Boss参数!$B$69,IF(EQ29&gt;=Boss参数!$B$65,Boss参数!$B$68,IF(EQ29&gt;=Boss参数!$B$64,Boss参数!$B$67,0)))</f>
        <v>0</v>
      </c>
      <c r="ES29" s="11">
        <f>MIN(1,IF(EQ29&gt;=Boss参数!$B$66,Boss参数!$B$72+ROUNDDOWN((EQ29-Boss参数!$B$66)/Boss参数!$B$73,0)*Boss参数!$B$74,IF(EQ29&gt;=Boss参数!$B$65,Boss参数!$B$71,IF(EQ29&gt;=Boss参数!$B$64,Boss参数!$B$70,0))))</f>
        <v>0</v>
      </c>
      <c r="ET29" s="12">
        <f>MIN(Boss参数!$B$61*Boss参数!$B$62,EP29+IF(AND(Boss参数!$B$60=1,ISNUMBER(验证表!H35)),验证表!H35,EU29))</f>
        <v>3404721</v>
      </c>
      <c r="EU29" s="12">
        <f>IF(D29="",0,IF(验证表!G35="是",BV29,IF(验证表!G35="否",BU29,BW29)))</f>
        <v>1990454</v>
      </c>
      <c r="EV29" s="12">
        <f>IF(EQ29&gt;=Boss参数!$B$66,2,IF(EQ29&gt;=Boss参数!$B$65,1,0))</f>
        <v>0</v>
      </c>
      <c r="EW29" s="12">
        <f t="shared" si="41"/>
        <v>1</v>
      </c>
      <c r="EX29" s="1">
        <f>IF(D29="",0,INDEX(回合状态!$D$7:$D$17,MATCH(DG29,回合状态!$A$7:$A$17,0)))</f>
        <v>3</v>
      </c>
      <c r="EY29" s="1">
        <f>IF(OR(L29="RHI_ATTACK",L29="RHI_BUFF"),1,IF(L29="RHI_ULT",Boss参数!$B$52,0))</f>
        <v>0</v>
      </c>
      <c r="EZ29" s="1">
        <f>MIN(6,SUMIFS($EY$3:EY29,$EX$3:EX29,"&gt;="&amp;MAX(1,EX29-Boss参数!$B$87+1),$EX$3:EX29,"&lt;="&amp;EX29))</f>
        <v>5</v>
      </c>
      <c r="FA29" s="1">
        <f t="shared" si="68"/>
        <v>16</v>
      </c>
      <c r="FB29" s="17">
        <f>IF(L29="BOSS_CONSERVATIVE",B29+Boss参数!$B$91,FB28)</f>
        <v>0</v>
      </c>
      <c r="FC29" s="17">
        <f t="shared" si="69"/>
        <v>0</v>
      </c>
      <c r="FD29" s="17">
        <f>IF(D29="",FD28,FD28+IF(AND(DG29&lt;&gt;DG28,INDEX(回合状态!$C$7:$C$17,MATCH(DG29,回合状态!$A$7:$A$17,0))&lt;&gt;"洞穿"),1,0))</f>
        <v>3</v>
      </c>
      <c r="FE29" s="17">
        <f>IF(D29="",0,IF(AND(OR(L29="END_TURN",DH29="敌方"),INDEX(回合状态!$C$7:$C$17,MATCH(DG29,回合状态!$A$7:$A$17,0))&lt;&gt;"洞穿",SUMIFS($FE$3:FE28,$DG$3:DG28,DG29)=0),1,0))</f>
        <v>0</v>
      </c>
    </row>
    <row r="30" spans="1:161" ht="84.95" customHeight="1">
      <c r="A30" s="1">
        <f>行动模拟!A36</f>
        <v>28</v>
      </c>
      <c r="B30" s="1">
        <f>IF(D30="",0,INDEX(回合状态!$B$7:$B$17,MATCH(DG30,回合状态!$A$7:$A$17,0)))</f>
        <v>3</v>
      </c>
      <c r="C30" s="1">
        <f>行动模拟!C36</f>
        <v>9</v>
      </c>
      <c r="D30" s="1" t="str">
        <f>IF(行动模拟!D36="","",行动模拟!D36)</f>
        <v>37｜补充算式</v>
      </c>
      <c r="E30" s="1" t="str">
        <f>IF($D30="","",IFERROR(INDEX(技能数据库!$B$4:$B$38,MATCH($D30,技能数据库!$A$4:$A$38,0)),""))</f>
        <v>37</v>
      </c>
      <c r="F30" s="1" t="str">
        <f>IF($D30="","",IFERROR(INDEX(技能数据库!$C$4:$C$38,MATCH($D30,技能数据库!$A$4:$A$38,0)),""))</f>
        <v>补充算式</v>
      </c>
      <c r="G30" s="1">
        <f>IF($D30="","",IFERROR(INDEX(技能数据库!$D$4:$D$38,MATCH($D30,技能数据库!$A$4:$A$38,0)),""))</f>
        <v>0</v>
      </c>
      <c r="H30" s="1" t="str">
        <f>IF($D30="","",IFERROR(INDEX(技能数据库!$E$4:$E$38,MATCH($D30,技能数据库!$A$4:$A$38,0)),""))</f>
        <v>额外行动</v>
      </c>
      <c r="I30" s="1" t="str">
        <f>IF($D30="","",IFERROR(INDEX(技能数据库!$F$4:$F$38,MATCH($D30,技能数据库!$A$4:$A$38,0)),""))</f>
        <v>精神</v>
      </c>
      <c r="J30" s="1">
        <f>IF($D30="","",IFERROR(INDEX(技能数据库!$G$4:$G$38,MATCH($D30,技能数据库!$A$4:$A$38,0)),""))</f>
        <v>3</v>
      </c>
      <c r="K30" s="1">
        <f>IF($D30="","",IFERROR(INDEX(技能数据库!$H$4:$H$38,MATCH($D30,技能数据库!$A$4:$A$38,0)),""))</f>
        <v>1</v>
      </c>
      <c r="L30" s="1" t="str">
        <f>IF($D30="","",IFERROR(INDEX(技能数据库!$I$4:$I$38,MATCH($D30,技能数据库!$A$4:$A$38,0)),""))</f>
        <v>37_FOLLOW</v>
      </c>
      <c r="M30" s="10">
        <v>1</v>
      </c>
      <c r="N30" s="1"/>
      <c r="O30" s="1"/>
      <c r="P30" s="1"/>
      <c r="Q30" s="10">
        <f t="shared" si="0"/>
        <v>0</v>
      </c>
      <c r="R30" s="10">
        <v>0</v>
      </c>
      <c r="S30" s="10">
        <v>0</v>
      </c>
      <c r="T30" s="1">
        <f>行动模拟!I36</f>
        <v>0</v>
      </c>
      <c r="U30" s="1">
        <f>IF(FD30&lt;&gt;FD29,IF(BY29=1,IF(MIN(10,CA29+IF(AND(DG30&lt;&gt;DG29,DH29&lt;&gt;"洞穿",SUMIFS($FE$3:FE29,$DG$3:DG29,DG29)=0,BY29=1),3,0))&gt;=10,2,1),IF(BY29=2,IF(BZ29&lt;=1,0,2),0)),BY29)</f>
        <v>2</v>
      </c>
      <c r="V30" s="1">
        <f>IF(FD30&lt;&gt;FD29,IF(BY29=1,IF(MIN(10,CA29+IF(AND(DG30&lt;&gt;DG29,DH29&lt;&gt;"洞穿",SUMIFS($FE$3:FE29,$DG$3:DG29,DG29)=0,BY29=1),3,0))&gt;=10,2,0),IF(BY29=2,MAX(0,BZ29-1),0)),BZ29)</f>
        <v>1</v>
      </c>
      <c r="W30" s="1">
        <f>IF(AND(FD30&lt;&gt;FD29,BY29=2,BZ29&lt;=1),0,MIN(10,CA29+IF(AND(DG30&lt;&gt;DG29,DH29&lt;&gt;"洞穿",SUMIFS($FE$3:FE29,$DG$3:DG29,DG29)=0,BY29=1),3,0)))</f>
        <v>10</v>
      </c>
      <c r="X30" s="1">
        <f t="shared" si="42"/>
        <v>0</v>
      </c>
      <c r="Y30" s="1">
        <f t="shared" si="43"/>
        <v>0</v>
      </c>
      <c r="Z30" s="1">
        <f t="shared" si="44"/>
        <v>0</v>
      </c>
      <c r="AA30" s="1">
        <f t="shared" si="45"/>
        <v>0</v>
      </c>
      <c r="AB30" s="1">
        <f t="shared" si="46"/>
        <v>5</v>
      </c>
      <c r="AC30" s="1">
        <f t="shared" si="47"/>
        <v>1</v>
      </c>
      <c r="AD30" s="1">
        <f t="shared" si="48"/>
        <v>16</v>
      </c>
      <c r="AE30" s="1">
        <f>IF(D30="",0,IF(DG30&lt;&gt;DG29,IFERROR(INDEX(回合状态!$F$7:$F$17,MATCH(DG30,回合状态!$A$7:$A$17,0)),0),CI29))</f>
        <v>22</v>
      </c>
      <c r="AF30" s="10">
        <f t="shared" si="49"/>
        <v>0.4</v>
      </c>
      <c r="AG30" s="1">
        <f t="shared" si="50"/>
        <v>5</v>
      </c>
      <c r="AH30" s="1">
        <f t="shared" si="51"/>
        <v>5</v>
      </c>
      <c r="AI30" s="1">
        <f t="shared" si="52"/>
        <v>4</v>
      </c>
      <c r="AJ30" s="1">
        <f t="shared" si="53"/>
        <v>5</v>
      </c>
      <c r="AK30" s="1">
        <f t="shared" si="54"/>
        <v>4</v>
      </c>
      <c r="AL30" s="1">
        <f t="shared" si="55"/>
        <v>3</v>
      </c>
      <c r="AM30" s="1">
        <f t="shared" si="56"/>
        <v>20</v>
      </c>
      <c r="AN30" s="1">
        <f t="shared" si="57"/>
        <v>4</v>
      </c>
      <c r="AO30" s="1">
        <f t="shared" si="58"/>
        <v>0</v>
      </c>
      <c r="AP30" s="10">
        <f t="shared" si="59"/>
        <v>0.12</v>
      </c>
      <c r="AQ30" s="1">
        <f t="shared" si="60"/>
        <v>5</v>
      </c>
      <c r="AR30" s="10">
        <f t="shared" si="61"/>
        <v>0.3</v>
      </c>
      <c r="AS30" s="1">
        <f t="shared" si="62"/>
        <v>5</v>
      </c>
      <c r="AT30" s="10">
        <f t="shared" si="63"/>
        <v>0.3</v>
      </c>
      <c r="AU30" s="1">
        <f t="shared" si="64"/>
        <v>5</v>
      </c>
      <c r="AV30" s="1">
        <f>MIN(5,SUMIFS($EL$3:EL30,$B$3:B30,"&gt;="&amp;MAX(1,B30-2),$B$3:B30,"&lt;="&amp;B30)+EC30)</f>
        <v>5</v>
      </c>
      <c r="AW30" s="1">
        <f>MIN(6,SUMIFS($EY$3:EY29,$EX$3:EX29,"&gt;="&amp;MAX(1,EX30-Boss参数!$B$87+1),$EX$3:EX29,"&lt;="&amp;EX30))</f>
        <v>5</v>
      </c>
      <c r="AX30" s="1">
        <f>MIN(4,COUNTIFS($B$3:$B$29,"&gt;="&amp;MAX(1,$B30-2),$B$3:$B$29,"&lt;="&amp;$B30,$L$3:$L$29,"37_FOLLOW"))</f>
        <v>4</v>
      </c>
      <c r="AY30" s="9">
        <f>IF($E30="","",IF($E30="系统",0,ROUNDDOWN(INDEX(角色面板!$C$4:$C$7,MATCH($E30,角色面板!$A$4:$A$7,0))*(1+INDEX(角色面板!$C$11:$C$14,MATCH($E30,角色面板!$A$11:$A$14,0))+IF($E30="小瑞安侬",MAX(IF($B30&lt;=$AQ30,$AP30,0),IF(AND($L30="RHI_ATTACK",$EE30&gt;0),0.11+0.01*$G30,0)),0)+IF($E30="J",$AD30*Boss参数!$B$18,0))+IF(FD30&lt;=$AN30,MIN(Boss参数!$B$21,ROUNDDOWN(角色面板!$C$19*Boss参数!$B$20,0)),0)+IF(AND($B30&lt;=$AK30,$E30&lt;&gt;"小瑞安侬"),$DY30,0),0)))</f>
        <v>3505</v>
      </c>
      <c r="AZ30" s="10">
        <f>IF($E30="","",MAX(0,MIN(1,IFERROR(INDEX(角色面板!$G$18:$G$21,MATCH($E30,角色面板!$A$18:$A$21,0)),0)-FC30*Boss参数!$B$89-Boss参数!$E$4)))</f>
        <v>0.76</v>
      </c>
      <c r="BA30" s="10">
        <f>IF(E30="","",(IF($E30="","",IF($E30="红弩箭",Boss参数!$B$80,IF($E30="J",Boss参数!$B$81,IFERROR(INDEX(角色面板!$H$18:$H$21,MATCH($E30,角色面板!$A$18:$A$21,0)),0)))+IF($B30&lt;=$AI30,Boss参数!$B$13,0)+MIN(30,$AM30)*Boss参数!$B$17+IF(AND($L30="LILYA_ULT",$X30&gt;=6),1,0)+IF(AND($Y30=1,$L30="LILYA_INSIGHT"),IF(MOD($AA30+1,3)=0,Boss参数!$B$83,Boss参数!$B$82),IF(AND($Y30=1,$L30="LILYA_FINISH"),Boss参数!$B$84,0))))-FC30*Boss参数!$B$90)</f>
        <v>2.4380000000000002</v>
      </c>
      <c r="BB30" s="10">
        <f>IF($E30="","",IFERROR(INDEX(角色面板!$M$18:$M$21,MATCH($E30,角色面板!$A$18:$A$21,0)),0)+$AW30*Boss参数!$B$12+IF($B30&lt;=$AG30,$AF30,0)+$EI30+IF($L30="LILYA_DIVE",IF($U30=1,IF($G30=1,0.3,IF($G30=2,0.4,0.5)),IF($U30=2,IF($G30=1,0.6,IF($G30=2,0.8,1)),0)),0)+$R30+IF(AND($E30="J",OR($L30="J_COUNTER",$L30="J_HARD")),Boss参数!$B$79,0)+IF(AND(OR(L30="J_COUNTER",L30="J_HARD"),FA30&gt;=Boss参数!$B$59),FA30*Boss参数!$B$40,0))</f>
        <v>0.8</v>
      </c>
      <c r="BC30" s="10">
        <f>IF($E30="","",IFERROR(INDEX(角色面板!$K$18:$K$21,MATCH($E30,角色面板!$A$18:$A$21,0)),0)+IF($B30&lt;=$AH30,Boss参数!$B$46,0)+IF($E30="红弩箭",IF($U30=1,0.6,IF($U30=2,1.2,0))+$W30*0.06,0))-DI30*Boss参数!$B$23</f>
        <v>-0.85000000000000009</v>
      </c>
      <c r="BD30" s="10">
        <f>IF($E30="","",IFERROR(INDEX(角色面板!$L$18:$L$21,MATCH($E30,角色面板!$A$18:$A$21,0)),0)+IF($B30&lt;=$AH30,Boss参数!$B$46,0)+IF($E30="J",$AL30*Boss参数!$B$16,0)+IF($E30="红弩箭",$X30*0.025,0)+IF(AND($L30="LILYA_ULT",$X30&gt;=6),1,0))-DI30*Boss参数!$B$23</f>
        <v>-0.45</v>
      </c>
      <c r="BE30" s="10">
        <f>IF($E30="","",IF($H30="洞知",IF($E30="红弩箭",$AO30*Boss参数!$B$15,0)+$AX30*Boss参数!$B$14,0))</f>
        <v>0</v>
      </c>
      <c r="BF30" s="10">
        <f t="shared" si="1"/>
        <v>0</v>
      </c>
      <c r="BG30" s="10">
        <f>IF($D30="",0,IF(AND($L30&lt;&gt;"LILYA_DIVE",$L30&lt;&gt;"LILYA_ULT",$L30&lt;&gt;"LILYA_INSIGHT",$L30&lt;&gt;"LILYA_FINISH",$L30&lt;&gt;"37_FOLLOW",$L30&lt;&gt;"RHI_ATTACK",$L30&lt;&gt;"RHI_BERRY",$L30&lt;&gt;"J_COUNTER",$L30&lt;&gt;"J_ULT"),$J30,0)+IF($L30="LILYA_DIVE",$J30+IF($U30=1,IF($G30=1,6,IF($G30=2,12,18)),IF($U30=2,IF($G30=1,12,IF($G30=2,24,36)),0)),0)+IF($L30="LILYA_ULT",$J30+IF($X30&gt;=6,18,0),0)+IF($L30="LILYA_INSIGHT",IF($Y30=1,IF(MOD($AA30+1,3)=0,32,15),0),0)+IF($L30="LILYA_FINISH",IF($Y30=1,50+2.5*$Z30,0),0)+IF($L30="37_FOLLOW",$J30,0)+IF($L30="RHI_ATTACK",$J30*IF($B30&lt;=$AJ30,2,1),0)+IF($L30="RHI_BERRY",15+1.5*$AV30,0)+IF($L30="J_COUNTER",$J30+$AD30*Boss参数!$B$39,0)+IF($L30="J_ULT",$J30+Boss参数!$B$45*MAX(0,$AE30+$AD30-Boss参数!$I$4),0)+$S30)</f>
        <v>3</v>
      </c>
      <c r="BH30" s="10">
        <f t="shared" si="2"/>
        <v>1</v>
      </c>
      <c r="BI30" s="10">
        <f>IF(E30="","",IF(DT30=1,1+Boss参数!$B$8+AV30*Boss参数!$B$19,1))</f>
        <v>1.5</v>
      </c>
      <c r="BJ30" s="9">
        <f>IF($I30="现实",Boss参数!$C$4,IF($I30="精神",Boss参数!$D$4,0))</f>
        <v>1000</v>
      </c>
      <c r="BK30" s="9">
        <f>IF($E30="","",MAX($AY30*Boss参数!$B$9,$AY30-$BJ30*(1-$BF30)))</f>
        <v>2505</v>
      </c>
      <c r="BL30" s="10">
        <f>MAX(0,Boss参数!$F$4+IF(DT30=0,Boss参数!$B$27,0)-EJ30)</f>
        <v>0.10000000000000003</v>
      </c>
      <c r="BM30" s="10">
        <f>Boss参数!$G$4+DU30-IF(Y30=1,Boss参数!$B$11,0)</f>
        <v>0.5</v>
      </c>
      <c r="BN30" s="10">
        <f>IF($E30="","",MAX(Boss参数!$B$10,1+IFERROR(INDEX(角色面板!$I$18:$I$21,MATCH($E30,角色面板!$A$18:$A$21,0)),0)+$BB30+Boss参数!$H$4-$BM30))</f>
        <v>1.3049999999999999</v>
      </c>
      <c r="BO30" s="10">
        <f>IF(E30="","",IF(OR(L30="J_COUNTER",L30="J_HARD"),MAX(0,1+INDEX(角色面板!$K$18:$K$21,MATCH(E30,角色面板!$A$18:$A$21,0))-DI30*Boss参数!$B$23+IF(OR(Boss参数!$B$43=1,L30="J_HARD"),IF(B30&lt;=AH30,Boss参数!$B$46,0),0)),MAX(0,IF(OR(H30="术法",L30="RHI_BERRY",AND(L30="37_FOLLOW",Boss参数!$B$31=1)),1+BC30,IF(H30="仪式",1+BD30,IF(H30="洞知",EK30,1))))))</f>
        <v>0.14999999999999991</v>
      </c>
      <c r="BP30" s="10">
        <f t="shared" si="3"/>
        <v>2.3380000000000001</v>
      </c>
      <c r="BQ30" s="1">
        <f t="shared" si="4"/>
        <v>2206.5918749999987</v>
      </c>
      <c r="BR30" s="1">
        <f t="shared" si="5"/>
        <v>5159.0118037499969</v>
      </c>
      <c r="BS30" s="1">
        <f>IF(BH30=0,0,ROUNDDOWN(AY30*BH30,0)*DV30*IF(Boss参数!$B$29=1,BN30,1)*IF(Boss参数!$B$33=1,BO30,1)*IF(Boss参数!$B$76=1,1-ES30,1))</f>
        <v>3329.75</v>
      </c>
      <c r="BT30" s="1">
        <f t="shared" si="6"/>
        <v>7784.9555</v>
      </c>
      <c r="BU30" s="9">
        <f>IF(D30="",0,MIN(IF(Boss参数!$B$77=1,Boss参数!$B$63*Boss参数!$B$62,Boss参数!$B$61*Boss参数!$B$62),DW30+ROUNDDOWN(BS30,0)+ROUNDDOWN(DW30*Q30,0)))</f>
        <v>5094</v>
      </c>
      <c r="BV30" s="9">
        <f>IF(D30="",0,MIN(IF(Boss参数!$B$77=1,Boss参数!$B$63*Boss参数!$B$62,Boss参数!$B$61*Boss参数!$B$62),DX30+ROUNDDOWN(BT30,0)+ROUNDDOWN(DX30*Q30,0)))</f>
        <v>11911</v>
      </c>
      <c r="BW30" s="9">
        <f t="shared" si="7"/>
        <v>10274</v>
      </c>
      <c r="BX30" s="1" t="str">
        <f t="shared" si="8"/>
        <v/>
      </c>
      <c r="BY30" s="1">
        <f t="shared" si="9"/>
        <v>2</v>
      </c>
      <c r="BZ30" s="1">
        <f t="shared" si="10"/>
        <v>1</v>
      </c>
      <c r="CA30" s="1">
        <f>MIN(10,W30+IF(AND(L30="LILYA_COBRA",COUNTIF($L$3:L30,"LILYA_COBRA")=1),5,0)+IF(AND(L30="LILYA_DIVE",U30=1,COUNTIFS($DG$3:DG30,DG30,$L$3:L30,"LILYA_DIVE")=1),2,0)+IF(AND(FE30=1,U30=1),3,0))</f>
        <v>10</v>
      </c>
      <c r="CB30" s="1">
        <f>MIN(20,MAX(0,X30+IF(L30="LILYA_COBRA",IF(COUNTIF($L$3:L30,"LILYA_COBRA")=1,6,IF(U30=1,MAX(1,G30),IF(U30=2,2*MAX(1,G30),0))),0)+IF(AND(Y30=1,E30="红弩箭",L30&lt;&gt;"ENTER_INSIGHT"),1,0)-IF(AND(L30="LILYA_ULT",X30&gt;=6),6,0)))</f>
        <v>0</v>
      </c>
      <c r="CC30" s="1">
        <f t="shared" si="11"/>
        <v>0</v>
      </c>
      <c r="CD30" s="1">
        <f t="shared" si="12"/>
        <v>0</v>
      </c>
      <c r="CE30" s="1">
        <f t="shared" si="13"/>
        <v>0</v>
      </c>
      <c r="CF30" s="1">
        <f t="shared" si="14"/>
        <v>0</v>
      </c>
      <c r="CG30" s="1">
        <f t="shared" si="15"/>
        <v>0</v>
      </c>
      <c r="CH30" s="1">
        <f>MIN(35,AD30+IF(L30="J_HARD",6,0)+IF(L30="J_COUNTER",Boss参数!$B$30,0))</f>
        <v>16</v>
      </c>
      <c r="CI30" s="1">
        <f>MIN(Boss参数!$I$4,AE30+IF(L30="J_HARD",6,0)+IF(L30="J_ULT",AD30,0)+IF(L30="J_COUNTER",Boss参数!$B$30,0))</f>
        <v>22</v>
      </c>
      <c r="CJ30" s="10">
        <f>IF(L30="J_ULT",AD30*Boss参数!$B$41,IF(B30&lt;=AG30,AF30,0))</f>
        <v>0.4</v>
      </c>
      <c r="CK30" s="1">
        <f t="shared" si="16"/>
        <v>5</v>
      </c>
      <c r="CL30" s="1">
        <f t="shared" si="17"/>
        <v>5</v>
      </c>
      <c r="CM30" s="1">
        <f t="shared" si="18"/>
        <v>4</v>
      </c>
      <c r="CN30" s="1">
        <f t="shared" si="19"/>
        <v>5</v>
      </c>
      <c r="CO30" s="1">
        <f t="shared" si="20"/>
        <v>4</v>
      </c>
      <c r="CP30" s="1">
        <f t="shared" si="21"/>
        <v>3</v>
      </c>
      <c r="CQ30" s="1">
        <f t="shared" si="22"/>
        <v>20</v>
      </c>
      <c r="CR30" s="1">
        <f t="shared" si="23"/>
        <v>4</v>
      </c>
      <c r="CS30" s="1">
        <f t="shared" si="24"/>
        <v>0</v>
      </c>
      <c r="CT30" s="10">
        <f t="shared" si="25"/>
        <v>0.12</v>
      </c>
      <c r="CU30" s="1">
        <f t="shared" si="26"/>
        <v>5</v>
      </c>
      <c r="CV30" s="10">
        <f t="shared" si="27"/>
        <v>0.3</v>
      </c>
      <c r="CW30" s="1">
        <f t="shared" si="28"/>
        <v>5</v>
      </c>
      <c r="CX30" s="10">
        <f t="shared" si="29"/>
        <v>0.3</v>
      </c>
      <c r="CY30" s="1">
        <f t="shared" si="30"/>
        <v>5</v>
      </c>
      <c r="CZ30" s="1"/>
      <c r="DA30" s="1"/>
      <c r="DB30" s="1"/>
      <c r="DC30" s="1"/>
      <c r="DD30" s="1"/>
      <c r="DE30" s="1"/>
      <c r="DF30" s="1"/>
      <c r="DG30" s="1">
        <f>IF(D30="","",行动模拟!B36)</f>
        <v>3</v>
      </c>
      <c r="DH30" s="1" t="str">
        <f>IF(L30="END_TURN","回合结束",IF(D30="","",IF(INDEX(回合状态!$C$7:$C$17,MATCH(DG30,回合状态!$A$7:$A$17,0))="洞穿","洞穿",IF(OR(L30="J_COUNTER",L30="BOSS_ACTION",L30="BOSS_CONSERVATIVE"),"敌方",IF(AND(L30="37_FOLLOW",DG30=DG29,DH29="敌方"),"敌方",IF(INDEX(回合状态!$C$7:$C$17,MATCH(DG30,回合状态!$A$7:$A$17,0))="普通","出牌",INDEX(回合状态!$C$7:$C$17,MATCH(DG30,回合状态!$A$7:$A$17,0))))))))</f>
        <v>出牌</v>
      </c>
      <c r="DI30" s="1">
        <f t="shared" si="31"/>
        <v>5</v>
      </c>
      <c r="DJ30" s="1">
        <f>IF(D30="",0,MIN(Boss参数!$B$25,IF(OR(AND(DH30="敌方",OR(DH29&lt;&gt;"敌方",DG30&lt;&gt;DG29)),AND(L30="END_TURN",DH30&lt;&gt;"洞穿"),AND(DG30&lt;&gt;DG29,DH29&lt;&gt;"洞穿",L29&lt;&gt;"END_TURN",COUNTIFS($DG$3:DG29,DG29,$DH$3:DH29,"敌方")=0)),EW30,DN29)))</f>
        <v>2</v>
      </c>
      <c r="DK30" s="1">
        <f>IF(D30="",0,MIN(Boss参数!$B$25,IF(OR(AND(DH30="敌方",OR(DH29&lt;&gt;"敌方",DG30&lt;&gt;DG29)),AND(L30="END_TURN",DH30&lt;&gt;"洞穿"),AND(DG30&lt;&gt;DG29,DH29&lt;&gt;"洞穿",L29&lt;&gt;"END_TURN",COUNTIFS($DG$3:DG29,DG29,$DH$3:DH29,"敌方")=0)),EW30,DO29)))</f>
        <v>5</v>
      </c>
      <c r="DL30" s="1">
        <f>IF(D30="",0,MIN(Boss参数!$B$25,IF(OR(AND(DH30="敌方",OR(DH29&lt;&gt;"敌方",DG30&lt;&gt;DG29)),AND(L30="END_TURN",DH30&lt;&gt;"洞穿"),AND(DG30&lt;&gt;DG29,DH29&lt;&gt;"洞穿",L29&lt;&gt;"END_TURN",COUNTIFS($DG$3:DG29,DG29,$DH$3:DH29,"敌方")=0)),EW30,DP29)))</f>
        <v>4</v>
      </c>
      <c r="DM30" s="1">
        <f>IF(D30="",0,MIN(Boss参数!$B$25,IF(OR(AND(DH30="敌方",OR(DH29&lt;&gt;"敌方",DG30&lt;&gt;DG29)),AND(L30="END_TURN",DH30&lt;&gt;"洞穿"),AND(DG30&lt;&gt;DG29,DH29&lt;&gt;"洞穿",L29&lt;&gt;"END_TURN",COUNTIFS($DG$3:DG29,DG29,$DH$3:DH29,"敌方")=0)),EW30,DQ29)))</f>
        <v>4</v>
      </c>
      <c r="DN30" s="1">
        <f>MAX(0,MIN(Boss参数!$B$25,DJ30+DR30)-IF(E30="红弩箭",2*DR30,0))</f>
        <v>3</v>
      </c>
      <c r="DO30" s="1">
        <f>MAX(0,MIN(Boss参数!$B$25,DK30+DR30)-IF(E30="37",2*DR30,0))</f>
        <v>3</v>
      </c>
      <c r="DP30" s="1">
        <f>MAX(0,MIN(Boss参数!$B$25,DL30+DR30)-IF(E30="小瑞安侬",2*DR30,0))</f>
        <v>5</v>
      </c>
      <c r="DQ30" s="1">
        <f>MAX(0,MIN(Boss参数!$B$25,DM30+DR30)-IF(E30="J",2*DR30,0))</f>
        <v>5</v>
      </c>
      <c r="DR30" s="1">
        <f t="shared" si="32"/>
        <v>1</v>
      </c>
      <c r="DS30" s="1">
        <f t="shared" si="33"/>
        <v>0</v>
      </c>
      <c r="DT30" s="1">
        <f>IF(OR(E30="",E30="系统"),0,IF(OR(AND(DS30=1,Boss参数!$B$32=1),L30="RHI_BERRY",OR(AND(INDEX(角色面板!$B$18:$B$21,MATCH(E30,角色面板!$A$18:$A$21,0))="星",Boss参数!$B$4="岩"),AND(INDEX(角色面板!$B$18:$B$21,MATCH(E30,角色面板!$A$18:$A$21,0))="岩",Boss参数!$B$4="兽"),AND(INDEX(角色面板!$B$18:$B$21,MATCH(E30,角色面板!$A$18:$A$21,0))="兽",Boss参数!$B$4="木"),AND(INDEX(角色面板!$B$18:$B$21,MATCH(E30,角色面板!$A$18:$A$21,0))="木",Boss参数!$B$4="星"),AND(INDEX(角色面板!$B$18:$B$21,MATCH(E30,角色面板!$A$18:$A$21,0))="智",Boss参数!$B$4="灵"),AND(INDEX(角色面板!$B$18:$B$21,MATCH(E30,角色面板!$A$18:$A$21,0))="灵",Boss参数!$B$4="智"))),1,0))</f>
        <v>1</v>
      </c>
      <c r="DU30" s="1">
        <f>IF(D30="",0,INDEX(回合状态!$E$7:$E$17,MATCH(DG30,回合状态!$A$7:$A$17,0))+IF(AND(DH30="敌方",OR(INDEX(回合状态!$C$7:$C$17,MATCH(DG30,回合状态!$A$7:$A$17,0))="普通",INDEX(回合状态!$C$7:$C$17,MATCH(DG30,回合状态!$A$7:$A$17,0))="额外")),0.05,0))</f>
        <v>0.1</v>
      </c>
      <c r="DV30" s="1">
        <f>MAX(Boss参数!$B$28,1+IF(AND(E30="37",AC30&gt;0,BH30&gt;0),Boss参数!$B$42,0)-DI30*Boss参数!$B$24+EA30-ER30)</f>
        <v>0.95</v>
      </c>
      <c r="DW30" s="1">
        <f>MIN(IF(Boss参数!$B$77=1,Boss参数!$B$63*Boss参数!$B$62,Boss参数!$B$61*Boss参数!$B$62),ROUNDDOWN(BQ30*(1-ES30),0))</f>
        <v>1765</v>
      </c>
      <c r="DX30" s="1">
        <f>MIN(IF(Boss参数!$B$77=1,Boss参数!$B$63*Boss参数!$B$62,Boss参数!$B$61*Boss参数!$B$62),ROUNDDOWN(BR30*(1-ES30),0))</f>
        <v>4127</v>
      </c>
      <c r="DY30" s="1">
        <f t="shared" si="65"/>
        <v>238</v>
      </c>
      <c r="DZ30" s="1">
        <f>IF(L30="RHI_ULT",MIN(Boss参数!$B$48,ROUNDDOWN(AY30*Boss参数!$B$47,0)),DY30)</f>
        <v>238</v>
      </c>
      <c r="EA30" s="11">
        <v>0</v>
      </c>
      <c r="EB30" s="1">
        <f t="shared" si="34"/>
        <v>0</v>
      </c>
      <c r="EC30" s="1">
        <f>SUMIFS($EB$3:EB30,$B$3:B30,"&gt;="&amp;MAX(1,B30-2),$B$3:B30,"&lt;="&amp;B30)*Boss参数!$B$51</f>
        <v>12</v>
      </c>
      <c r="ED30" s="1">
        <f>IF(D30="",EG29,IF(AND(DG30&lt;&gt;DG29,DH30&lt;&gt;"洞穿"),MIN(Boss参数!$B$55,EG29+2),EG29))</f>
        <v>0</v>
      </c>
      <c r="EE30" s="1">
        <f t="shared" si="35"/>
        <v>0</v>
      </c>
      <c r="EF30" s="1">
        <f>IF(AND(OR(L30="END_TURN",AND(DH30="敌方",OR(DH29&lt;&gt;"敌方",DG30&lt;&gt;DG29))),SUMIFS($EF$3:EF29,$DG$3:DG29,DG30)=0),MIN(1,MAX(0,ED30-EE30)),0)</f>
        <v>0</v>
      </c>
      <c r="EG30" s="1">
        <f t="shared" si="36"/>
        <v>0</v>
      </c>
      <c r="EH30" s="11">
        <f>Boss参数!$B$53-IF(Y30=1,Boss参数!$B$54,0)</f>
        <v>0</v>
      </c>
      <c r="EI30" s="11">
        <f t="shared" si="37"/>
        <v>0.3</v>
      </c>
      <c r="EJ30" s="11">
        <f t="shared" si="38"/>
        <v>0.3</v>
      </c>
      <c r="EK30" s="11">
        <f t="shared" si="39"/>
        <v>1</v>
      </c>
      <c r="EL30" s="1">
        <f t="shared" si="66"/>
        <v>0</v>
      </c>
      <c r="EM30" s="1">
        <f>IF(AND(DG30&lt;&gt;DG29,DH30="洞穿"),0,IF(L30="ENTER_INSIGHT",Boss参数!$B$57,EO29))</f>
        <v>0</v>
      </c>
      <c r="EN30" s="11">
        <f>IF(AND(Y30=1,H30="洞知",EM30&gt;0),Boss参数!$B$56,0)</f>
        <v>0</v>
      </c>
      <c r="EO30" s="1">
        <f t="shared" si="40"/>
        <v>0</v>
      </c>
      <c r="EP30" s="12">
        <f t="shared" si="67"/>
        <v>3404721</v>
      </c>
      <c r="EQ30" s="12">
        <f>ROUNDDOWN(EP30/Boss参数!$B$62,0)</f>
        <v>34</v>
      </c>
      <c r="ER30" s="11">
        <f>IF(EQ30&gt;=Boss参数!$B$66,Boss参数!$B$69,IF(EQ30&gt;=Boss参数!$B$65,Boss参数!$B$68,IF(EQ30&gt;=Boss参数!$B$64,Boss参数!$B$67,0)))</f>
        <v>0.3</v>
      </c>
      <c r="ES30" s="11">
        <f>MIN(1,IF(EQ30&gt;=Boss参数!$B$66,Boss参数!$B$72+ROUNDDOWN((EQ30-Boss参数!$B$66)/Boss参数!$B$73,0)*Boss参数!$B$74,IF(EQ30&gt;=Boss参数!$B$65,Boss参数!$B$71,IF(EQ30&gt;=Boss参数!$B$64,Boss参数!$B$70,0))))</f>
        <v>0.2</v>
      </c>
      <c r="ET30" s="12">
        <f>MIN(Boss参数!$B$61*Boss参数!$B$62,EP30+IF(AND(Boss参数!$B$60=1,ISNUMBER(验证表!H36)),验证表!H36,EU30))</f>
        <v>3416632</v>
      </c>
      <c r="EU30" s="12">
        <f>IF(D30="",0,IF(验证表!G36="是",BV30,IF(验证表!G36="否",BU30,BW30)))</f>
        <v>11911</v>
      </c>
      <c r="EV30" s="12">
        <f>IF(EQ30&gt;=Boss参数!$B$66,2,IF(EQ30&gt;=Boss参数!$B$65,1,0))</f>
        <v>0</v>
      </c>
      <c r="EW30" s="12">
        <f t="shared" si="41"/>
        <v>1</v>
      </c>
      <c r="EX30" s="1">
        <f>IF(D30="",0,INDEX(回合状态!$D$7:$D$17,MATCH(DG30,回合状态!$A$7:$A$17,0)))</f>
        <v>3</v>
      </c>
      <c r="EY30" s="1">
        <f>IF(OR(L30="RHI_ATTACK",L30="RHI_BUFF"),1,IF(L30="RHI_ULT",Boss参数!$B$52,0))</f>
        <v>0</v>
      </c>
      <c r="EZ30" s="1">
        <f>MIN(6,SUMIFS($EY$3:EY30,$EX$3:EX30,"&gt;="&amp;MAX(1,EX30-Boss参数!$B$87+1),$EX$3:EX30,"&lt;="&amp;EX30))</f>
        <v>5</v>
      </c>
      <c r="FA30" s="1">
        <f t="shared" si="68"/>
        <v>16</v>
      </c>
      <c r="FB30" s="17">
        <f>IF(L30="BOSS_CONSERVATIVE",B30+Boss参数!$B$91,FB29)</f>
        <v>0</v>
      </c>
      <c r="FC30" s="17">
        <f t="shared" si="69"/>
        <v>0</v>
      </c>
      <c r="FD30" s="17">
        <f>IF(D30="",FD29,FD29+IF(AND(DG30&lt;&gt;DG29,INDEX(回合状态!$C$7:$C$17,MATCH(DG30,回合状态!$A$7:$A$17,0))&lt;&gt;"洞穿"),1,0))</f>
        <v>3</v>
      </c>
      <c r="FE30" s="17">
        <f>IF(D30="",0,IF(AND(OR(L30="END_TURN",DH30="敌方"),INDEX(回合状态!$C$7:$C$17,MATCH(DG30,回合状态!$A$7:$A$17,0))&lt;&gt;"洞穿",SUMIFS($FE$3:FE29,$DG$3:DG29,DG30)=0),1,0))</f>
        <v>0</v>
      </c>
    </row>
    <row r="31" spans="1:161" ht="84.95" customHeight="1">
      <c r="A31" s="1">
        <f>行动模拟!A37</f>
        <v>29</v>
      </c>
      <c r="B31" s="1">
        <f>IF(D31="",0,INDEX(回合状态!$B$7:$B$17,MATCH(DG31,回合状态!$A$7:$A$17,0)))</f>
        <v>3</v>
      </c>
      <c r="C31" s="1">
        <f>行动模拟!C37</f>
        <v>10</v>
      </c>
      <c r="D31" s="1" t="str">
        <f>IF(行动模拟!D37="","",行动模拟!D37)</f>
        <v>J｜高温回火</v>
      </c>
      <c r="E31" s="1" t="str">
        <f>IF($D31="","",IFERROR(INDEX(技能数据库!$B$4:$B$38,MATCH($D31,技能数据库!$A$4:$A$38,0)),""))</f>
        <v>J</v>
      </c>
      <c r="F31" s="1" t="str">
        <f>IF($D31="","",IFERROR(INDEX(技能数据库!$C$4:$C$38,MATCH($D31,技能数据库!$A$4:$A$38,0)),""))</f>
        <v>高温回火</v>
      </c>
      <c r="G31" s="1">
        <f>IF($D31="","",IFERROR(INDEX(技能数据库!$D$4:$D$38,MATCH($D31,技能数据库!$A$4:$A$38,0)),""))</f>
        <v>0</v>
      </c>
      <c r="H31" s="1" t="str">
        <f>IF($D31="","",IFERROR(INDEX(技能数据库!$E$4:$E$38,MATCH($D31,技能数据库!$A$4:$A$38,0)),""))</f>
        <v>反击</v>
      </c>
      <c r="I31" s="1" t="str">
        <f>IF($D31="","",IFERROR(INDEX(技能数据库!$F$4:$F$38,MATCH($D31,技能数据库!$A$4:$A$38,0)),""))</f>
        <v>现实</v>
      </c>
      <c r="J31" s="1">
        <f>IF($D31="","",IFERROR(INDEX(技能数据库!$G$4:$G$38,MATCH($D31,技能数据库!$A$4:$A$38,0)),""))</f>
        <v>3</v>
      </c>
      <c r="K31" s="1">
        <f>IF($D31="","",IFERROR(INDEX(技能数据库!$H$4:$H$38,MATCH($D31,技能数据库!$A$4:$A$38,0)),""))</f>
        <v>0</v>
      </c>
      <c r="L31" s="1" t="str">
        <f>IF($D31="","",IFERROR(INDEX(技能数据库!$I$4:$I$38,MATCH($D31,技能数据库!$A$4:$A$38,0)),""))</f>
        <v>J_COUNTER</v>
      </c>
      <c r="M31" s="10">
        <v>1</v>
      </c>
      <c r="N31" s="1"/>
      <c r="O31" s="1"/>
      <c r="P31" s="1"/>
      <c r="Q31" s="10">
        <f t="shared" si="0"/>
        <v>0</v>
      </c>
      <c r="R31" s="10">
        <v>0</v>
      </c>
      <c r="S31" s="10">
        <v>0</v>
      </c>
      <c r="T31" s="1" t="str">
        <f>行动模拟!I37</f>
        <v>回合末默契消耗按库存自动计算；发生于首次Boss反击前的时点由本场验证。</v>
      </c>
      <c r="U31" s="1">
        <f>IF(FD31&lt;&gt;FD30,IF(BY30=1,IF(MIN(10,CA30+IF(AND(DG31&lt;&gt;DG30,DH30&lt;&gt;"洞穿",SUMIFS($FE$3:FE30,$DG$3:DG30,DG30)=0,BY30=1),3,0))&gt;=10,2,1),IF(BY30=2,IF(BZ30&lt;=1,0,2),0)),BY30)</f>
        <v>2</v>
      </c>
      <c r="V31" s="1">
        <f>IF(FD31&lt;&gt;FD30,IF(BY30=1,IF(MIN(10,CA30+IF(AND(DG31&lt;&gt;DG30,DH30&lt;&gt;"洞穿",SUMIFS($FE$3:FE30,$DG$3:DG30,DG30)=0,BY30=1),3,0))&gt;=10,2,0),IF(BY30=2,MAX(0,BZ30-1),0)),BZ30)</f>
        <v>1</v>
      </c>
      <c r="W31" s="1">
        <f>IF(AND(FD31&lt;&gt;FD30,BY30=2,BZ30&lt;=1),0,MIN(10,CA30+IF(AND(DG31&lt;&gt;DG30,DH30&lt;&gt;"洞穿",SUMIFS($FE$3:FE30,$DG$3:DG30,DG30)=0,BY30=1),3,0)))</f>
        <v>10</v>
      </c>
      <c r="X31" s="1">
        <f t="shared" si="42"/>
        <v>0</v>
      </c>
      <c r="Y31" s="1">
        <f t="shared" si="43"/>
        <v>0</v>
      </c>
      <c r="Z31" s="1">
        <f t="shared" si="44"/>
        <v>0</v>
      </c>
      <c r="AA31" s="1">
        <f t="shared" si="45"/>
        <v>0</v>
      </c>
      <c r="AB31" s="1">
        <f t="shared" si="46"/>
        <v>0</v>
      </c>
      <c r="AC31" s="1">
        <f t="shared" si="47"/>
        <v>0</v>
      </c>
      <c r="AD31" s="1">
        <f t="shared" si="48"/>
        <v>16</v>
      </c>
      <c r="AE31" s="1">
        <f>IF(D31="",0,IF(DG31&lt;&gt;DG30,IFERROR(INDEX(回合状态!$F$7:$F$17,MATCH(DG31,回合状态!$A$7:$A$17,0)),0),CI30))</f>
        <v>22</v>
      </c>
      <c r="AF31" s="10">
        <f t="shared" si="49"/>
        <v>0.4</v>
      </c>
      <c r="AG31" s="1">
        <f t="shared" si="50"/>
        <v>5</v>
      </c>
      <c r="AH31" s="1">
        <f t="shared" si="51"/>
        <v>5</v>
      </c>
      <c r="AI31" s="1">
        <f t="shared" si="52"/>
        <v>4</v>
      </c>
      <c r="AJ31" s="1">
        <f t="shared" si="53"/>
        <v>5</v>
      </c>
      <c r="AK31" s="1">
        <f t="shared" si="54"/>
        <v>4</v>
      </c>
      <c r="AL31" s="1">
        <f t="shared" si="55"/>
        <v>3</v>
      </c>
      <c r="AM31" s="1">
        <f t="shared" si="56"/>
        <v>20</v>
      </c>
      <c r="AN31" s="1">
        <f t="shared" si="57"/>
        <v>4</v>
      </c>
      <c r="AO31" s="1">
        <f t="shared" si="58"/>
        <v>0</v>
      </c>
      <c r="AP31" s="10">
        <f t="shared" si="59"/>
        <v>0.12</v>
      </c>
      <c r="AQ31" s="1">
        <f t="shared" si="60"/>
        <v>5</v>
      </c>
      <c r="AR31" s="10">
        <f t="shared" si="61"/>
        <v>0.3</v>
      </c>
      <c r="AS31" s="1">
        <f t="shared" si="62"/>
        <v>5</v>
      </c>
      <c r="AT31" s="10">
        <f t="shared" si="63"/>
        <v>0.3</v>
      </c>
      <c r="AU31" s="1">
        <f t="shared" si="64"/>
        <v>5</v>
      </c>
      <c r="AV31" s="1">
        <f>MIN(5,SUMIFS($EL$3:EL31,$B$3:B31,"&gt;="&amp;MAX(1,B31-2),$B$3:B31,"&lt;="&amp;B31)+EC31)</f>
        <v>5</v>
      </c>
      <c r="AW31" s="1">
        <f>MIN(6,SUMIFS($EY$3:EY30,$EX$3:EX30,"&gt;="&amp;MAX(1,EX31-Boss参数!$B$87+1),$EX$3:EX30,"&lt;="&amp;EX31))</f>
        <v>5</v>
      </c>
      <c r="AX31" s="1">
        <f>MIN(4,COUNTIFS($B$3:$B$30,"&gt;="&amp;MAX(1,$B31-2),$B$3:$B$30,"&lt;="&amp;$B31,$L$3:$L$30,"37_FOLLOW"))</f>
        <v>4</v>
      </c>
      <c r="AY31" s="9">
        <f>IF($E31="","",IF($E31="系统",0,ROUNDDOWN(INDEX(角色面板!$C$4:$C$7,MATCH($E31,角色面板!$A$4:$A$7,0))*(1+INDEX(角色面板!$C$11:$C$14,MATCH($E31,角色面板!$A$11:$A$14,0))+IF($E31="小瑞安侬",MAX(IF($B31&lt;=$AQ31,$AP31,0),IF(AND($L31="RHI_ATTACK",$EE31&gt;0),0.11+0.01*$G31,0)),0)+IF($E31="J",$AD31*Boss参数!$B$18,0))+IF(FD31&lt;=$AN31,MIN(Boss参数!$B$21,ROUNDDOWN(角色面板!$C$19*Boss参数!$B$20,0)),0)+IF(AND($B31&lt;=$AK31,$E31&lt;&gt;"小瑞安侬"),$DY31,0),0)))</f>
        <v>2948</v>
      </c>
      <c r="AZ31" s="10">
        <f>IF($E31="","",MAX(0,MIN(1,IFERROR(INDEX(角色面板!$G$18:$G$21,MATCH($E31,角色面板!$A$18:$A$21,0)),0)-FC31*Boss参数!$B$89-Boss参数!$E$4)))</f>
        <v>0.66700000000000004</v>
      </c>
      <c r="BA31" s="10">
        <f>IF(E31="","",(IF($E31="","",IF($E31="红弩箭",Boss参数!$B$80,IF($E31="J",Boss参数!$B$81,IFERROR(INDEX(角色面板!$H$18:$H$21,MATCH($E31,角色面板!$A$18:$A$21,0)),0)))+IF($B31&lt;=$AI31,Boss参数!$B$13,0)+MIN(30,$AM31)*Boss参数!$B$17+IF(AND($L31="LILYA_ULT",$X31&gt;=6),1,0)+IF(AND($Y31=1,$L31="LILYA_INSIGHT"),IF(MOD($AA31+1,3)=0,Boss参数!$B$83,Boss参数!$B$82),IF(AND($Y31=1,$L31="LILYA_FINISH"),Boss参数!$B$84,0))))-FC31*Boss参数!$B$90)</f>
        <v>1.9570000000000001</v>
      </c>
      <c r="BB31" s="10">
        <f>IF($E31="","",IFERROR(INDEX(角色面板!$M$18:$M$21,MATCH($E31,角色面板!$A$18:$A$21,0)),0)+$AW31*Boss参数!$B$12+IF($B31&lt;=$AG31,$AF31,0)+$EI31+IF($L31="LILYA_DIVE",IF($U31=1,IF($G31=1,0.3,IF($G31=2,0.4,0.5)),IF($U31=2,IF($G31=1,0.6,IF($G31=2,0.8,1)),0)),0)+$R31+IF(AND($E31="J",OR($L31="J_COUNTER",$L31="J_HARD")),Boss参数!$B$79,0)+IF(AND(OR(L31="J_COUNTER",L31="J_HARD"),FA31&gt;=Boss参数!$B$59),FA31*Boss参数!$B$40,0))</f>
        <v>0.98000000000000009</v>
      </c>
      <c r="BC31" s="10">
        <f>IF($E31="","",IFERROR(INDEX(角色面板!$K$18:$K$21,MATCH($E31,角色面板!$A$18:$A$21,0)),0)+IF($B31&lt;=$AH31,Boss参数!$B$46,0)+IF($E31="红弩箭",IF($U31=1,0.6,IF($U31=2,1.2,0))+$W31*0.06,0))-DI31*Boss参数!$B$23</f>
        <v>-0.25</v>
      </c>
      <c r="BD31" s="10">
        <f>IF($E31="","",IFERROR(INDEX(角色面板!$L$18:$L$21,MATCH($E31,角色面板!$A$18:$A$21,0)),0)+IF($B31&lt;=$AH31,Boss参数!$B$46,0)+IF($E31="J",$AL31*Boss参数!$B$16,0)+IF($E31="红弩箭",$X31*0.025,0)+IF(AND($L31="LILYA_ULT",$X31&gt;=6),1,0))-DI31*Boss参数!$B$23</f>
        <v>0.27</v>
      </c>
      <c r="BE31" s="10">
        <f>IF($E31="","",IF($H31="洞知",IF($E31="红弩箭",$AO31*Boss参数!$B$15,0)+$AX31*Boss参数!$B$14,0))</f>
        <v>0</v>
      </c>
      <c r="BF31" s="10">
        <f t="shared" si="1"/>
        <v>0</v>
      </c>
      <c r="BG31" s="10">
        <f>IF($D31="",0,IF(AND($L31&lt;&gt;"LILYA_DIVE",$L31&lt;&gt;"LILYA_ULT",$L31&lt;&gt;"LILYA_INSIGHT",$L31&lt;&gt;"LILYA_FINISH",$L31&lt;&gt;"37_FOLLOW",$L31&lt;&gt;"RHI_ATTACK",$L31&lt;&gt;"RHI_BERRY",$L31&lt;&gt;"J_COUNTER",$L31&lt;&gt;"J_ULT"),$J31,0)+IF($L31="LILYA_DIVE",$J31+IF($U31=1,IF($G31=1,6,IF($G31=2,12,18)),IF($U31=2,IF($G31=1,12,IF($G31=2,24,36)),0)),0)+IF($L31="LILYA_ULT",$J31+IF($X31&gt;=6,18,0),0)+IF($L31="LILYA_INSIGHT",IF($Y31=1,IF(MOD($AA31+1,3)=0,32,15),0),0)+IF($L31="LILYA_FINISH",IF($Y31=1,50+2.5*$Z31,0),0)+IF($L31="37_FOLLOW",$J31,0)+IF($L31="RHI_ATTACK",$J31*IF($B31&lt;=$AJ31,2,1),0)+IF($L31="RHI_BERRY",15+1.5*$AV31,0)+IF($L31="J_COUNTER",$J31+$AD31*Boss参数!$B$39,0)+IF($L31="J_ULT",$J31+Boss参数!$B$45*MAX(0,$AE31+$AD31-Boss参数!$I$4),0)+$S31)</f>
        <v>3.8</v>
      </c>
      <c r="BH31" s="10">
        <f t="shared" si="2"/>
        <v>0</v>
      </c>
      <c r="BI31" s="10">
        <f>IF(E31="","",IF(DT31=1,1+Boss参数!$B$8+AV31*Boss参数!$B$19,1))</f>
        <v>1</v>
      </c>
      <c r="BJ31" s="9">
        <f>IF($I31="现实",Boss参数!$C$4,IF($I31="精神",Boss参数!$D$4,0))</f>
        <v>1200</v>
      </c>
      <c r="BK31" s="9">
        <f>IF($E31="","",MAX($AY31*Boss参数!$B$9,$AY31-$BJ31*(1-$BF31)))</f>
        <v>1748</v>
      </c>
      <c r="BL31" s="10">
        <f>MAX(0,Boss参数!$F$4+IF(DT31=0,Boss参数!$B$27,0)-EJ31)</f>
        <v>1.0999999999999999</v>
      </c>
      <c r="BM31" s="10">
        <f>Boss参数!$G$4+DU31-IF(Y31=1,Boss参数!$B$11,0)</f>
        <v>0.55000000000000004</v>
      </c>
      <c r="BN31" s="10">
        <f>IF($E31="","",MAX(Boss参数!$B$10,1+IFERROR(INDEX(角色面板!$I$18:$I$21,MATCH($E31,角色面板!$A$18:$A$21,0)),0)+$BB31+Boss参数!$H$4-$BM31))</f>
        <v>1.4549999999999998</v>
      </c>
      <c r="BO31" s="10">
        <f>IF(E31="","",IF(OR(L31="J_COUNTER",L31="J_HARD"),MAX(0,1+INDEX(角色面板!$K$18:$K$21,MATCH(E31,角色面板!$A$18:$A$21,0))-DI31*Boss参数!$B$23+IF(OR(Boss参数!$B$43=1,L31="J_HARD"),IF(B31&lt;=AH31,Boss参数!$B$46,0),0)),MAX(0,IF(OR(H31="术法",L31="RHI_BERRY",AND(L31="37_FOLLOW",Boss参数!$B$31=1)),1+BC31,IF(H31="仪式",1+BD31,IF(H31="洞知",EK31,1))))))</f>
        <v>0.75</v>
      </c>
      <c r="BP31" s="10">
        <f t="shared" si="3"/>
        <v>1.1000000000000001</v>
      </c>
      <c r="BQ31" s="1">
        <f t="shared" si="4"/>
        <v>7248.5189999999993</v>
      </c>
      <c r="BR31" s="1">
        <f t="shared" si="5"/>
        <v>7973.3708999999999</v>
      </c>
      <c r="BS31" s="1">
        <f>IF(BH31=0,0,ROUNDDOWN(AY31*BH31,0)*DV31*IF(Boss参数!$B$29=1,BN31,1)*IF(Boss参数!$B$33=1,BO31,1)*IF(Boss参数!$B$76=1,1-ES31,1))</f>
        <v>0</v>
      </c>
      <c r="BT31" s="1">
        <f t="shared" si="6"/>
        <v>0</v>
      </c>
      <c r="BU31" s="9">
        <f>IF(D31="",0,MIN(IF(Boss参数!$B$77=1,Boss参数!$B$63*Boss参数!$B$62,Boss参数!$B$61*Boss参数!$B$62),DW31+ROUNDDOWN(BS31,0)+ROUNDDOWN(DW31*Q31,0)))</f>
        <v>5798</v>
      </c>
      <c r="BV31" s="9">
        <f>IF(D31="",0,MIN(IF(Boss参数!$B$77=1,Boss参数!$B$63*Boss参数!$B$62,Boss参数!$B$61*Boss参数!$B$62),DX31+ROUNDDOWN(BT31,0)+ROUNDDOWN(DX31*Q31,0)))</f>
        <v>6378</v>
      </c>
      <c r="BW31" s="9">
        <f t="shared" si="7"/>
        <v>6184</v>
      </c>
      <c r="BX31" s="1" t="str">
        <f t="shared" si="8"/>
        <v/>
      </c>
      <c r="BY31" s="1">
        <f t="shared" si="9"/>
        <v>2</v>
      </c>
      <c r="BZ31" s="1">
        <f t="shared" si="10"/>
        <v>1</v>
      </c>
      <c r="CA31" s="1">
        <f>MIN(10,W31+IF(AND(L31="LILYA_COBRA",COUNTIF($L$3:L31,"LILYA_COBRA")=1),5,0)+IF(AND(L31="LILYA_DIVE",U31=1,COUNTIFS($DG$3:DG31,DG31,$L$3:L31,"LILYA_DIVE")=1),2,0)+IF(AND(FE31=1,U31=1),3,0))</f>
        <v>10</v>
      </c>
      <c r="CB31" s="1">
        <f>MIN(20,MAX(0,X31+IF(L31="LILYA_COBRA",IF(COUNTIF($L$3:L31,"LILYA_COBRA")=1,6,IF(U31=1,MAX(1,G31),IF(U31=2,2*MAX(1,G31),0))),0)+IF(AND(Y31=1,E31="红弩箭",L31&lt;&gt;"ENTER_INSIGHT"),1,0)-IF(AND(L31="LILYA_ULT",X31&gt;=6),6,0)))</f>
        <v>0</v>
      </c>
      <c r="CC31" s="1">
        <f t="shared" si="11"/>
        <v>0</v>
      </c>
      <c r="CD31" s="1">
        <f t="shared" si="12"/>
        <v>0</v>
      </c>
      <c r="CE31" s="1">
        <f t="shared" si="13"/>
        <v>0</v>
      </c>
      <c r="CF31" s="1">
        <f t="shared" si="14"/>
        <v>1</v>
      </c>
      <c r="CG31" s="1">
        <f t="shared" si="15"/>
        <v>0</v>
      </c>
      <c r="CH31" s="1">
        <f>MIN(35,AD31+IF(L31="J_HARD",6,0)+IF(L31="J_COUNTER",Boss参数!$B$30,0))</f>
        <v>18</v>
      </c>
      <c r="CI31" s="1">
        <f>MIN(Boss参数!$I$4,AE31+IF(L31="J_HARD",6,0)+IF(L31="J_ULT",AD31,0)+IF(L31="J_COUNTER",Boss参数!$B$30,0))</f>
        <v>24</v>
      </c>
      <c r="CJ31" s="10">
        <f>IF(L31="J_ULT",AD31*Boss参数!$B$41,IF(B31&lt;=AG31,AF31,0))</f>
        <v>0.4</v>
      </c>
      <c r="CK31" s="1">
        <f t="shared" si="16"/>
        <v>5</v>
      </c>
      <c r="CL31" s="1">
        <f t="shared" si="17"/>
        <v>5</v>
      </c>
      <c r="CM31" s="1">
        <f t="shared" si="18"/>
        <v>4</v>
      </c>
      <c r="CN31" s="1">
        <f t="shared" si="19"/>
        <v>5</v>
      </c>
      <c r="CO31" s="1">
        <f t="shared" si="20"/>
        <v>4</v>
      </c>
      <c r="CP31" s="1">
        <f t="shared" si="21"/>
        <v>3</v>
      </c>
      <c r="CQ31" s="1">
        <f t="shared" si="22"/>
        <v>20</v>
      </c>
      <c r="CR31" s="1">
        <f t="shared" si="23"/>
        <v>4</v>
      </c>
      <c r="CS31" s="1">
        <f t="shared" si="24"/>
        <v>0</v>
      </c>
      <c r="CT31" s="10">
        <f t="shared" si="25"/>
        <v>0.12</v>
      </c>
      <c r="CU31" s="1">
        <f t="shared" si="26"/>
        <v>5</v>
      </c>
      <c r="CV31" s="10">
        <f t="shared" si="27"/>
        <v>0.3</v>
      </c>
      <c r="CW31" s="1">
        <f t="shared" si="28"/>
        <v>5</v>
      </c>
      <c r="CX31" s="10">
        <f t="shared" si="29"/>
        <v>0.3</v>
      </c>
      <c r="CY31" s="1">
        <f t="shared" si="30"/>
        <v>5</v>
      </c>
      <c r="CZ31" s="1"/>
      <c r="DA31" s="1"/>
      <c r="DB31" s="1"/>
      <c r="DC31" s="1"/>
      <c r="DD31" s="1"/>
      <c r="DE31" s="1"/>
      <c r="DF31" s="1"/>
      <c r="DG31" s="1">
        <f>IF(D31="","",行动模拟!B37)</f>
        <v>3</v>
      </c>
      <c r="DH31" s="1" t="str">
        <f>IF(L31="END_TURN","回合结束",IF(D31="","",IF(INDEX(回合状态!$C$7:$C$17,MATCH(DG31,回合状态!$A$7:$A$17,0))="洞穿","洞穿",IF(OR(L31="J_COUNTER",L31="BOSS_ACTION",L31="BOSS_CONSERVATIVE"),"敌方",IF(AND(L31="37_FOLLOW",DG31=DG30,DH30="敌方"),"敌方",IF(INDEX(回合状态!$C$7:$C$17,MATCH(DG31,回合状态!$A$7:$A$17,0))="普通","出牌",INDEX(回合状态!$C$7:$C$17,MATCH(DG31,回合状态!$A$7:$A$17,0))))))))</f>
        <v>敌方</v>
      </c>
      <c r="DI31" s="1">
        <f t="shared" si="31"/>
        <v>1</v>
      </c>
      <c r="DJ31" s="1">
        <f>IF(D31="",0,MIN(Boss参数!$B$25,IF(OR(AND(DH31="敌方",OR(DH30&lt;&gt;"敌方",DG31&lt;&gt;DG30)),AND(L31="END_TURN",DH31&lt;&gt;"洞穿"),AND(DG31&lt;&gt;DG30,DH30&lt;&gt;"洞穿",L30&lt;&gt;"END_TURN",COUNTIFS($DG$3:DG30,DG30,$DH$3:DH30,"敌方")=0)),EW31,DN30)))</f>
        <v>1</v>
      </c>
      <c r="DK31" s="1">
        <f>IF(D31="",0,MIN(Boss参数!$B$25,IF(OR(AND(DH31="敌方",OR(DH30&lt;&gt;"敌方",DG31&lt;&gt;DG30)),AND(L31="END_TURN",DH31&lt;&gt;"洞穿"),AND(DG31&lt;&gt;DG30,DH30&lt;&gt;"洞穿",L30&lt;&gt;"END_TURN",COUNTIFS($DG$3:DG30,DG30,$DH$3:DH30,"敌方")=0)),EW31,DO30)))</f>
        <v>1</v>
      </c>
      <c r="DL31" s="1">
        <f>IF(D31="",0,MIN(Boss参数!$B$25,IF(OR(AND(DH31="敌方",OR(DH30&lt;&gt;"敌方",DG31&lt;&gt;DG30)),AND(L31="END_TURN",DH31&lt;&gt;"洞穿"),AND(DG31&lt;&gt;DG30,DH30&lt;&gt;"洞穿",L30&lt;&gt;"END_TURN",COUNTIFS($DG$3:DG30,DG30,$DH$3:DH30,"敌方")=0)),EW31,DP30)))</f>
        <v>1</v>
      </c>
      <c r="DM31" s="1">
        <f>IF(D31="",0,MIN(Boss参数!$B$25,IF(OR(AND(DH31="敌方",OR(DH30&lt;&gt;"敌方",DG31&lt;&gt;DG30)),AND(L31="END_TURN",DH31&lt;&gt;"洞穿"),AND(DG31&lt;&gt;DG30,DH30&lt;&gt;"洞穿",L30&lt;&gt;"END_TURN",COUNTIFS($DG$3:DG30,DG30,$DH$3:DH30,"敌方")=0)),EW31,DQ30)))</f>
        <v>1</v>
      </c>
      <c r="DN31" s="1">
        <f>MAX(0,MIN(Boss参数!$B$25,DJ31+DR31)-IF(E31="红弩箭",2*DR31,0))</f>
        <v>2</v>
      </c>
      <c r="DO31" s="1">
        <f>MAX(0,MIN(Boss参数!$B$25,DK31+DR31)-IF(E31="37",2*DR31,0))</f>
        <v>2</v>
      </c>
      <c r="DP31" s="1">
        <f>MAX(0,MIN(Boss参数!$B$25,DL31+DR31)-IF(E31="小瑞安侬",2*DR31,0))</f>
        <v>2</v>
      </c>
      <c r="DQ31" s="1">
        <f>MAX(0,MIN(Boss参数!$B$25,DM31+DR31)-IF(E31="J",2*DR31,0))</f>
        <v>0</v>
      </c>
      <c r="DR31" s="1">
        <f t="shared" si="32"/>
        <v>1</v>
      </c>
      <c r="DS31" s="1">
        <f t="shared" si="33"/>
        <v>0</v>
      </c>
      <c r="DT31" s="1">
        <f>IF(OR(E31="",E31="系统"),0,IF(OR(AND(DS31=1,Boss参数!$B$32=1),L31="RHI_BERRY",OR(AND(INDEX(角色面板!$B$18:$B$21,MATCH(E31,角色面板!$A$18:$A$21,0))="星",Boss参数!$B$4="岩"),AND(INDEX(角色面板!$B$18:$B$21,MATCH(E31,角色面板!$A$18:$A$21,0))="岩",Boss参数!$B$4="兽"),AND(INDEX(角色面板!$B$18:$B$21,MATCH(E31,角色面板!$A$18:$A$21,0))="兽",Boss参数!$B$4="木"),AND(INDEX(角色面板!$B$18:$B$21,MATCH(E31,角色面板!$A$18:$A$21,0))="木",Boss参数!$B$4="星"),AND(INDEX(角色面板!$B$18:$B$21,MATCH(E31,角色面板!$A$18:$A$21,0))="智",Boss参数!$B$4="灵"),AND(INDEX(角色面板!$B$18:$B$21,MATCH(E31,角色面板!$A$18:$A$21,0))="灵",Boss参数!$B$4="智"))),1,0))</f>
        <v>0</v>
      </c>
      <c r="DU31" s="1">
        <f>IF(D31="",0,INDEX(回合状态!$E$7:$E$17,MATCH(DG31,回合状态!$A$7:$A$17,0))+IF(AND(DH31="敌方",OR(INDEX(回合状态!$C$7:$C$17,MATCH(DG31,回合状态!$A$7:$A$17,0))="普通",INDEX(回合状态!$C$7:$C$17,MATCH(DG31,回合状态!$A$7:$A$17,0))="额外")),0.05,0))</f>
        <v>0.15000000000000002</v>
      </c>
      <c r="DV31" s="1">
        <f>MAX(Boss参数!$B$28,1+IF(AND(E31="37",AC31&gt;0,BH31&gt;0),Boss参数!$B$42,0)-DI31*Boss参数!$B$24+EA31-ER31)</f>
        <v>0.55000000000000004</v>
      </c>
      <c r="DW31" s="1">
        <f>MIN(IF(Boss参数!$B$77=1,Boss参数!$B$63*Boss参数!$B$62,Boss参数!$B$61*Boss参数!$B$62),ROUNDDOWN(BQ31*(1-ES31),0))</f>
        <v>5798</v>
      </c>
      <c r="DX31" s="1">
        <f>MIN(IF(Boss参数!$B$77=1,Boss参数!$B$63*Boss参数!$B$62,Boss参数!$B$61*Boss参数!$B$62),ROUNDDOWN(BR31*(1-ES31),0))</f>
        <v>6378</v>
      </c>
      <c r="DY31" s="1">
        <f t="shared" si="65"/>
        <v>238</v>
      </c>
      <c r="DZ31" s="1">
        <f>IF(L31="RHI_ULT",MIN(Boss参数!$B$48,ROUNDDOWN(AY31*Boss参数!$B$47,0)),DY31)</f>
        <v>238</v>
      </c>
      <c r="EA31" s="11">
        <v>0</v>
      </c>
      <c r="EB31" s="1">
        <f t="shared" si="34"/>
        <v>0</v>
      </c>
      <c r="EC31" s="1">
        <f>SUMIFS($EB$3:EB31,$B$3:B31,"&gt;="&amp;MAX(1,B31-2),$B$3:B31,"&lt;="&amp;B31)*Boss参数!$B$51</f>
        <v>12</v>
      </c>
      <c r="ED31" s="1">
        <f>IF(D31="",EG30,IF(AND(DG31&lt;&gt;DG30,DH31&lt;&gt;"洞穿"),MIN(Boss参数!$B$55,EG30+2),EG30))</f>
        <v>0</v>
      </c>
      <c r="EE31" s="1">
        <f t="shared" si="35"/>
        <v>0</v>
      </c>
      <c r="EF31" s="1">
        <f>IF(AND(OR(L31="END_TURN",AND(DH31="敌方",OR(DH30&lt;&gt;"敌方",DG31&lt;&gt;DG30))),SUMIFS($EF$3:EF30,$DG$3:DG30,DG31)=0),MIN(1,MAX(0,ED31-EE31)),0)</f>
        <v>0</v>
      </c>
      <c r="EG31" s="1">
        <f t="shared" si="36"/>
        <v>0</v>
      </c>
      <c r="EH31" s="11">
        <f>Boss参数!$B$53-IF(Y31=1,Boss参数!$B$54,0)</f>
        <v>0</v>
      </c>
      <c r="EI31" s="11">
        <f t="shared" si="37"/>
        <v>0.3</v>
      </c>
      <c r="EJ31" s="11">
        <f t="shared" si="38"/>
        <v>0.3</v>
      </c>
      <c r="EK31" s="11">
        <f t="shared" si="39"/>
        <v>1</v>
      </c>
      <c r="EL31" s="1">
        <f t="shared" si="66"/>
        <v>0</v>
      </c>
      <c r="EM31" s="1">
        <f>IF(AND(DG31&lt;&gt;DG30,DH31="洞穿"),0,IF(L31="ENTER_INSIGHT",Boss参数!$B$57,EO30))</f>
        <v>0</v>
      </c>
      <c r="EN31" s="11">
        <f>IF(AND(Y31=1,H31="洞知",EM31&gt;0),Boss参数!$B$56,0)</f>
        <v>0</v>
      </c>
      <c r="EO31" s="1">
        <f t="shared" si="40"/>
        <v>0</v>
      </c>
      <c r="EP31" s="12">
        <f t="shared" si="67"/>
        <v>3416632</v>
      </c>
      <c r="EQ31" s="12">
        <f>ROUNDDOWN(EP31/Boss参数!$B$62,0)</f>
        <v>34</v>
      </c>
      <c r="ER31" s="11">
        <f>IF(EQ31&gt;=Boss参数!$B$66,Boss参数!$B$69,IF(EQ31&gt;=Boss参数!$B$65,Boss参数!$B$68,IF(EQ31&gt;=Boss参数!$B$64,Boss参数!$B$67,0)))</f>
        <v>0.3</v>
      </c>
      <c r="ES31" s="11">
        <f>MIN(1,IF(EQ31&gt;=Boss参数!$B$66,Boss参数!$B$72+ROUNDDOWN((EQ31-Boss参数!$B$66)/Boss参数!$B$73,0)*Boss参数!$B$74,IF(EQ31&gt;=Boss参数!$B$65,Boss参数!$B$71,IF(EQ31&gt;=Boss参数!$B$64,Boss参数!$B$70,0))))</f>
        <v>0.2</v>
      </c>
      <c r="ET31" s="12">
        <f>MIN(Boss参数!$B$61*Boss参数!$B$62,EP31+IF(AND(Boss参数!$B$60=1,ISNUMBER(验证表!H37)),验证表!H37,EU31))</f>
        <v>3422430</v>
      </c>
      <c r="EU31" s="12">
        <f>IF(D31="",0,IF(验证表!G37="是",BV31,IF(验证表!G37="否",BU31,BW31)))</f>
        <v>5798</v>
      </c>
      <c r="EV31" s="12">
        <f>IF(EQ31&gt;=Boss参数!$B$66,2,IF(EQ31&gt;=Boss参数!$B$65,1,0))</f>
        <v>0</v>
      </c>
      <c r="EW31" s="12">
        <f t="shared" si="41"/>
        <v>1</v>
      </c>
      <c r="EX31" s="1">
        <f>IF(D31="",0,INDEX(回合状态!$D$7:$D$17,MATCH(DG31,回合状态!$A$7:$A$17,0)))</f>
        <v>3</v>
      </c>
      <c r="EY31" s="1">
        <f>IF(OR(L31="RHI_ATTACK",L31="RHI_BUFF"),1,IF(L31="RHI_ULT",Boss参数!$B$52,0))</f>
        <v>0</v>
      </c>
      <c r="EZ31" s="1">
        <f>MIN(6,SUMIFS($EY$3:EY31,$EX$3:EX31,"&gt;="&amp;MAX(1,EX31-Boss参数!$B$87+1),$EX$3:EX31,"&lt;="&amp;EX31))</f>
        <v>5</v>
      </c>
      <c r="FA31" s="1">
        <f t="shared" si="68"/>
        <v>16</v>
      </c>
      <c r="FB31" s="17">
        <f>IF(L31="BOSS_CONSERVATIVE",B31+Boss参数!$B$91,FB30)</f>
        <v>0</v>
      </c>
      <c r="FC31" s="17">
        <f t="shared" si="69"/>
        <v>0</v>
      </c>
      <c r="FD31" s="17">
        <f>IF(D31="",FD30,FD30+IF(AND(DG31&lt;&gt;DG30,INDEX(回合状态!$C$7:$C$17,MATCH(DG31,回合状态!$A$7:$A$17,0))&lt;&gt;"洞穿"),1,0))</f>
        <v>3</v>
      </c>
      <c r="FE31" s="17">
        <f>IF(D31="",0,IF(AND(OR(L31="END_TURN",DH31="敌方"),INDEX(回合状态!$C$7:$C$17,MATCH(DG31,回合状态!$A$7:$A$17,0))&lt;&gt;"洞穿",SUMIFS($FE$3:FE30,$DG$3:DG30,DG31)=0),1,0))</f>
        <v>1</v>
      </c>
    </row>
    <row r="32" spans="1:161" ht="84.95" customHeight="1">
      <c r="A32" s="1">
        <f>行动模拟!A38</f>
        <v>30</v>
      </c>
      <c r="B32" s="1">
        <f>IF(D32="",0,INDEX(回合状态!$B$7:$B$17,MATCH(DG32,回合状态!$A$7:$A$17,0)))</f>
        <v>3</v>
      </c>
      <c r="C32" s="1">
        <f>行动模拟!C38</f>
        <v>11</v>
      </c>
      <c r="D32" s="1" t="str">
        <f>IF(行动模拟!D38="","",行动模拟!D38)</f>
        <v>J｜高温回火</v>
      </c>
      <c r="E32" s="1" t="str">
        <f>IF($D32="","",IFERROR(INDEX(技能数据库!$B$4:$B$38,MATCH($D32,技能数据库!$A$4:$A$38,0)),""))</f>
        <v>J</v>
      </c>
      <c r="F32" s="1" t="str">
        <f>IF($D32="","",IFERROR(INDEX(技能数据库!$C$4:$C$38,MATCH($D32,技能数据库!$A$4:$A$38,0)),""))</f>
        <v>高温回火</v>
      </c>
      <c r="G32" s="1">
        <f>IF($D32="","",IFERROR(INDEX(技能数据库!$D$4:$D$38,MATCH($D32,技能数据库!$A$4:$A$38,0)),""))</f>
        <v>0</v>
      </c>
      <c r="H32" s="1" t="str">
        <f>IF($D32="","",IFERROR(INDEX(技能数据库!$E$4:$E$38,MATCH($D32,技能数据库!$A$4:$A$38,0)),""))</f>
        <v>反击</v>
      </c>
      <c r="I32" s="1" t="str">
        <f>IF($D32="","",IFERROR(INDEX(技能数据库!$F$4:$F$38,MATCH($D32,技能数据库!$A$4:$A$38,0)),""))</f>
        <v>现实</v>
      </c>
      <c r="J32" s="1">
        <f>IF($D32="","",IFERROR(INDEX(技能数据库!$G$4:$G$38,MATCH($D32,技能数据库!$A$4:$A$38,0)),""))</f>
        <v>3</v>
      </c>
      <c r="K32" s="1">
        <f>IF($D32="","",IFERROR(INDEX(技能数据库!$H$4:$H$38,MATCH($D32,技能数据库!$A$4:$A$38,0)),""))</f>
        <v>0</v>
      </c>
      <c r="L32" s="1" t="str">
        <f>IF($D32="","",IFERROR(INDEX(技能数据库!$I$4:$I$38,MATCH($D32,技能数据库!$A$4:$A$38,0)),""))</f>
        <v>J_COUNTER</v>
      </c>
      <c r="M32" s="10">
        <v>1</v>
      </c>
      <c r="N32" s="1"/>
      <c r="O32" s="1"/>
      <c r="P32" s="1"/>
      <c r="Q32" s="10">
        <f t="shared" si="0"/>
        <v>0</v>
      </c>
      <c r="R32" s="10">
        <v>0</v>
      </c>
      <c r="S32" s="10">
        <v>0</v>
      </c>
      <c r="T32" s="1">
        <f>行动模拟!I38</f>
        <v>0</v>
      </c>
      <c r="U32" s="1">
        <f>IF(FD32&lt;&gt;FD31,IF(BY31=1,IF(MIN(10,CA31+IF(AND(DG32&lt;&gt;DG31,DH31&lt;&gt;"洞穿",SUMIFS($FE$3:FE31,$DG$3:DG31,DG31)=0,BY31=1),3,0))&gt;=10,2,1),IF(BY31=2,IF(BZ31&lt;=1,0,2),0)),BY31)</f>
        <v>2</v>
      </c>
      <c r="V32" s="1">
        <f>IF(FD32&lt;&gt;FD31,IF(BY31=1,IF(MIN(10,CA31+IF(AND(DG32&lt;&gt;DG31,DH31&lt;&gt;"洞穿",SUMIFS($FE$3:FE31,$DG$3:DG31,DG31)=0,BY31=1),3,0))&gt;=10,2,0),IF(BY31=2,MAX(0,BZ31-1),0)),BZ31)</f>
        <v>1</v>
      </c>
      <c r="W32" s="1">
        <f>IF(AND(FD32&lt;&gt;FD31,BY31=2,BZ31&lt;=1),0,MIN(10,CA31+IF(AND(DG32&lt;&gt;DG31,DH31&lt;&gt;"洞穿",SUMIFS($FE$3:FE31,$DG$3:DG31,DG31)=0,BY31=1),3,0)))</f>
        <v>10</v>
      </c>
      <c r="X32" s="1">
        <f t="shared" si="42"/>
        <v>0</v>
      </c>
      <c r="Y32" s="1">
        <f t="shared" si="43"/>
        <v>0</v>
      </c>
      <c r="Z32" s="1">
        <f t="shared" si="44"/>
        <v>0</v>
      </c>
      <c r="AA32" s="1">
        <f t="shared" si="45"/>
        <v>0</v>
      </c>
      <c r="AB32" s="1">
        <f t="shared" si="46"/>
        <v>1</v>
      </c>
      <c r="AC32" s="1">
        <f t="shared" si="47"/>
        <v>0</v>
      </c>
      <c r="AD32" s="1">
        <f t="shared" si="48"/>
        <v>18</v>
      </c>
      <c r="AE32" s="1">
        <f>IF(D32="",0,IF(DG32&lt;&gt;DG31,IFERROR(INDEX(回合状态!$F$7:$F$17,MATCH(DG32,回合状态!$A$7:$A$17,0)),0),CI31))</f>
        <v>24</v>
      </c>
      <c r="AF32" s="10">
        <f t="shared" si="49"/>
        <v>0.4</v>
      </c>
      <c r="AG32" s="1">
        <f t="shared" si="50"/>
        <v>5</v>
      </c>
      <c r="AH32" s="1">
        <f t="shared" si="51"/>
        <v>5</v>
      </c>
      <c r="AI32" s="1">
        <f t="shared" si="52"/>
        <v>4</v>
      </c>
      <c r="AJ32" s="1">
        <f t="shared" si="53"/>
        <v>5</v>
      </c>
      <c r="AK32" s="1">
        <f t="shared" si="54"/>
        <v>4</v>
      </c>
      <c r="AL32" s="1">
        <f t="shared" si="55"/>
        <v>3</v>
      </c>
      <c r="AM32" s="1">
        <f t="shared" si="56"/>
        <v>20</v>
      </c>
      <c r="AN32" s="1">
        <f t="shared" si="57"/>
        <v>4</v>
      </c>
      <c r="AO32" s="1">
        <f t="shared" si="58"/>
        <v>0</v>
      </c>
      <c r="AP32" s="10">
        <f t="shared" si="59"/>
        <v>0.12</v>
      </c>
      <c r="AQ32" s="1">
        <f t="shared" si="60"/>
        <v>5</v>
      </c>
      <c r="AR32" s="10">
        <f t="shared" si="61"/>
        <v>0.3</v>
      </c>
      <c r="AS32" s="1">
        <f t="shared" si="62"/>
        <v>5</v>
      </c>
      <c r="AT32" s="10">
        <f t="shared" si="63"/>
        <v>0.3</v>
      </c>
      <c r="AU32" s="1">
        <f t="shared" si="64"/>
        <v>5</v>
      </c>
      <c r="AV32" s="1">
        <f>MIN(5,SUMIFS($EL$3:EL32,$B$3:B32,"&gt;="&amp;MAX(1,B32-2),$B$3:B32,"&lt;="&amp;B32)+EC32)</f>
        <v>5</v>
      </c>
      <c r="AW32" s="1">
        <f>MIN(6,SUMIFS($EY$3:EY31,$EX$3:EX31,"&gt;="&amp;MAX(1,EX32-Boss参数!$B$87+1),$EX$3:EX31,"&lt;="&amp;EX32))</f>
        <v>5</v>
      </c>
      <c r="AX32" s="1">
        <f>MIN(4,COUNTIFS($B$3:$B$31,"&gt;="&amp;MAX(1,$B32-2),$B$3:$B$31,"&lt;="&amp;$B32,$L$3:$L$31,"37_FOLLOW"))</f>
        <v>4</v>
      </c>
      <c r="AY32" s="9">
        <f>IF($E32="","",IF($E32="系统",0,ROUNDDOWN(INDEX(角色面板!$C$4:$C$7,MATCH($E32,角色面板!$A$4:$A$7,0))*(1+INDEX(角色面板!$C$11:$C$14,MATCH($E32,角色面板!$A$11:$A$14,0))+IF($E32="小瑞安侬",MAX(IF($B32&lt;=$AQ32,$AP32,0),IF(AND($L32="RHI_ATTACK",$EE32&gt;0),0.11+0.01*$G32,0)),0)+IF($E32="J",$AD32*Boss参数!$B$18,0))+IF(FD32&lt;=$AN32,MIN(Boss参数!$B$21,ROUNDDOWN(角色面板!$C$19*Boss参数!$B$20,0)),0)+IF(AND($B32&lt;=$AK32,$E32&lt;&gt;"小瑞安侬"),$DY32,0),0)))</f>
        <v>2987</v>
      </c>
      <c r="AZ32" s="10">
        <f>IF($E32="","",MAX(0,MIN(1,IFERROR(INDEX(角色面板!$G$18:$G$21,MATCH($E32,角色面板!$A$18:$A$21,0)),0)-FC32*Boss参数!$B$89-Boss参数!$E$4)))</f>
        <v>0.66700000000000004</v>
      </c>
      <c r="BA32" s="10">
        <f>IF(E32="","",(IF($E32="","",IF($E32="红弩箭",Boss参数!$B$80,IF($E32="J",Boss参数!$B$81,IFERROR(INDEX(角色面板!$H$18:$H$21,MATCH($E32,角色面板!$A$18:$A$21,0)),0)))+IF($B32&lt;=$AI32,Boss参数!$B$13,0)+MIN(30,$AM32)*Boss参数!$B$17+IF(AND($L32="LILYA_ULT",$X32&gt;=6),1,0)+IF(AND($Y32=1,$L32="LILYA_INSIGHT"),IF(MOD($AA32+1,3)=0,Boss参数!$B$83,Boss参数!$B$82),IF(AND($Y32=1,$L32="LILYA_FINISH"),Boss参数!$B$84,0))))-FC32*Boss参数!$B$90)</f>
        <v>1.9570000000000001</v>
      </c>
      <c r="BB32" s="10">
        <f>IF($E32="","",IFERROR(INDEX(角色面板!$M$18:$M$21,MATCH($E32,角色面板!$A$18:$A$21,0)),0)+$AW32*Boss参数!$B$12+IF($B32&lt;=$AG32,$AF32,0)+$EI32+IF($L32="LILYA_DIVE",IF($U32=1,IF($G32=1,0.3,IF($G32=2,0.4,0.5)),IF($U32=2,IF($G32=1,0.6,IF($G32=2,0.8,1)),0)),0)+$R32+IF(AND($E32="J",OR($L32="J_COUNTER",$L32="J_HARD")),Boss参数!$B$79,0)+IF(AND(OR(L32="J_COUNTER",L32="J_HARD"),FA32&gt;=Boss参数!$B$59),FA32*Boss参数!$B$40,0))</f>
        <v>0.98000000000000009</v>
      </c>
      <c r="BC32" s="10">
        <f>IF($E32="","",IFERROR(INDEX(角色面板!$K$18:$K$21,MATCH($E32,角色面板!$A$18:$A$21,0)),0)+IF($B32&lt;=$AH32,Boss参数!$B$46,0)+IF($E32="红弩箭",IF($U32=1,0.6,IF($U32=2,1.2,0))+$W32*0.06,0))-DI32*Boss参数!$B$23</f>
        <v>-0.10000000000000003</v>
      </c>
      <c r="BD32" s="10">
        <f>IF($E32="","",IFERROR(INDEX(角色面板!$L$18:$L$21,MATCH($E32,角色面板!$A$18:$A$21,0)),0)+IF($B32&lt;=$AH32,Boss参数!$B$46,0)+IF($E32="J",$AL32*Boss参数!$B$16,0)+IF($E32="红弩箭",$X32*0.025,0)+IF(AND($L32="LILYA_ULT",$X32&gt;=6),1,0))-DI32*Boss参数!$B$23</f>
        <v>0.42</v>
      </c>
      <c r="BE32" s="10">
        <f>IF($E32="","",IF($H32="洞知",IF($E32="红弩箭",$AO32*Boss参数!$B$15,0)+$AX32*Boss参数!$B$14,0))</f>
        <v>0</v>
      </c>
      <c r="BF32" s="10">
        <f t="shared" si="1"/>
        <v>0</v>
      </c>
      <c r="BG32" s="10">
        <f>IF($D32="",0,IF(AND($L32&lt;&gt;"LILYA_DIVE",$L32&lt;&gt;"LILYA_ULT",$L32&lt;&gt;"LILYA_INSIGHT",$L32&lt;&gt;"LILYA_FINISH",$L32&lt;&gt;"37_FOLLOW",$L32&lt;&gt;"RHI_ATTACK",$L32&lt;&gt;"RHI_BERRY",$L32&lt;&gt;"J_COUNTER",$L32&lt;&gt;"J_ULT"),$J32,0)+IF($L32="LILYA_DIVE",$J32+IF($U32=1,IF($G32=1,6,IF($G32=2,12,18)),IF($U32=2,IF($G32=1,12,IF($G32=2,24,36)),0)),0)+IF($L32="LILYA_ULT",$J32+IF($X32&gt;=6,18,0),0)+IF($L32="LILYA_INSIGHT",IF($Y32=1,IF(MOD($AA32+1,3)=0,32,15),0),0)+IF($L32="LILYA_FINISH",IF($Y32=1,50+2.5*$Z32,0),0)+IF($L32="37_FOLLOW",$J32,0)+IF($L32="RHI_ATTACK",$J32*IF($B32&lt;=$AJ32,2,1),0)+IF($L32="RHI_BERRY",15+1.5*$AV32,0)+IF($L32="J_COUNTER",$J32+$AD32*Boss参数!$B$39,0)+IF($L32="J_ULT",$J32+Boss参数!$B$45*MAX(0,$AE32+$AD32-Boss参数!$I$4),0)+$S32)</f>
        <v>3.9</v>
      </c>
      <c r="BH32" s="10">
        <f t="shared" si="2"/>
        <v>0</v>
      </c>
      <c r="BI32" s="10">
        <f>IF(E32="","",IF(DT32=1,1+Boss参数!$B$8+AV32*Boss参数!$B$19,1))</f>
        <v>1</v>
      </c>
      <c r="BJ32" s="9">
        <f>IF($I32="现实",Boss参数!$C$4,IF($I32="精神",Boss参数!$D$4,0))</f>
        <v>1200</v>
      </c>
      <c r="BK32" s="9">
        <f>IF($E32="","",MAX($AY32*Boss参数!$B$9,$AY32-$BJ32*(1-$BF32)))</f>
        <v>1787</v>
      </c>
      <c r="BL32" s="10">
        <f>MAX(0,Boss参数!$F$4+IF(DT32=0,Boss参数!$B$27,0)-EJ32)</f>
        <v>1.0999999999999999</v>
      </c>
      <c r="BM32" s="10">
        <f>Boss参数!$G$4+DU32-IF(Y32=1,Boss参数!$B$11,0)</f>
        <v>0.55000000000000004</v>
      </c>
      <c r="BN32" s="10">
        <f>IF($E32="","",MAX(Boss参数!$B$10,1+IFERROR(INDEX(角色面板!$I$18:$I$21,MATCH($E32,角色面板!$A$18:$A$21,0)),0)+$BB32+Boss参数!$H$4-$BM32))</f>
        <v>1.4549999999999998</v>
      </c>
      <c r="BO32" s="10">
        <f>IF(E32="","",IF(OR(L32="J_COUNTER",L32="J_HARD"),MAX(0,1+INDEX(角色面板!$K$18:$K$21,MATCH(E32,角色面板!$A$18:$A$21,0))-DI32*Boss参数!$B$23+IF(OR(Boss参数!$B$43=1,L32="J_HARD"),IF(B32&lt;=AH32,Boss参数!$B$46,0),0)),MAX(0,IF(OR(H32="术法",L32="RHI_BERRY",AND(L32="37_FOLLOW",Boss参数!$B$31=1)),1+BC32,IF(H32="仪式",1+BD32,IF(H32="洞知",EK32,1))))))</f>
        <v>0.89999999999999991</v>
      </c>
      <c r="BP32" s="10">
        <f t="shared" si="3"/>
        <v>1.1000000000000001</v>
      </c>
      <c r="BQ32" s="1">
        <f t="shared" si="4"/>
        <v>9126.2983499999973</v>
      </c>
      <c r="BR32" s="1">
        <f t="shared" si="5"/>
        <v>10038.928184999997</v>
      </c>
      <c r="BS32" s="1">
        <f>IF(BH32=0,0,ROUNDDOWN(AY32*BH32,0)*DV32*IF(Boss参数!$B$29=1,BN32,1)*IF(Boss参数!$B$33=1,BO32,1)*IF(Boss参数!$B$76=1,1-ES32,1))</f>
        <v>0</v>
      </c>
      <c r="BT32" s="1">
        <f t="shared" si="6"/>
        <v>0</v>
      </c>
      <c r="BU32" s="9">
        <f>IF(D32="",0,MIN(IF(Boss参数!$B$77=1,Boss参数!$B$63*Boss参数!$B$62,Boss参数!$B$61*Boss参数!$B$62),DW32+ROUNDDOWN(BS32,0)+ROUNDDOWN(DW32*Q32,0)))</f>
        <v>7301</v>
      </c>
      <c r="BV32" s="9">
        <f>IF(D32="",0,MIN(IF(Boss参数!$B$77=1,Boss参数!$B$63*Boss参数!$B$62,Boss参数!$B$61*Boss参数!$B$62),DX32+ROUNDDOWN(BT32,0)+ROUNDDOWN(DX32*Q32,0)))</f>
        <v>8031</v>
      </c>
      <c r="BW32" s="9">
        <f t="shared" si="7"/>
        <v>7787</v>
      </c>
      <c r="BX32" s="1" t="str">
        <f t="shared" si="8"/>
        <v/>
      </c>
      <c r="BY32" s="1">
        <f t="shared" si="9"/>
        <v>2</v>
      </c>
      <c r="BZ32" s="1">
        <f t="shared" si="10"/>
        <v>1</v>
      </c>
      <c r="CA32" s="1">
        <f>MIN(10,W32+IF(AND(L32="LILYA_COBRA",COUNTIF($L$3:L32,"LILYA_COBRA")=1),5,0)+IF(AND(L32="LILYA_DIVE",U32=1,COUNTIFS($DG$3:DG32,DG32,$L$3:L32,"LILYA_DIVE")=1),2,0)+IF(AND(FE32=1,U32=1),3,0))</f>
        <v>10</v>
      </c>
      <c r="CB32" s="1">
        <f>MIN(20,MAX(0,X32+IF(L32="LILYA_COBRA",IF(COUNTIF($L$3:L32,"LILYA_COBRA")=1,6,IF(U32=1,MAX(1,G32),IF(U32=2,2*MAX(1,G32),0))),0)+IF(AND(Y32=1,E32="红弩箭",L32&lt;&gt;"ENTER_INSIGHT"),1,0)-IF(AND(L32="LILYA_ULT",X32&gt;=6),6,0)))</f>
        <v>0</v>
      </c>
      <c r="CC32" s="1">
        <f t="shared" si="11"/>
        <v>0</v>
      </c>
      <c r="CD32" s="1">
        <f t="shared" si="12"/>
        <v>0</v>
      </c>
      <c r="CE32" s="1">
        <f t="shared" si="13"/>
        <v>0</v>
      </c>
      <c r="CF32" s="1">
        <f t="shared" si="14"/>
        <v>2</v>
      </c>
      <c r="CG32" s="1">
        <f t="shared" si="15"/>
        <v>0</v>
      </c>
      <c r="CH32" s="1">
        <f>MIN(35,AD32+IF(L32="J_HARD",6,0)+IF(L32="J_COUNTER",Boss参数!$B$30,0))</f>
        <v>20</v>
      </c>
      <c r="CI32" s="1">
        <f>MIN(Boss参数!$I$4,AE32+IF(L32="J_HARD",6,0)+IF(L32="J_ULT",AD32,0)+IF(L32="J_COUNTER",Boss参数!$B$30,0))</f>
        <v>26</v>
      </c>
      <c r="CJ32" s="10">
        <f>IF(L32="J_ULT",AD32*Boss参数!$B$41,IF(B32&lt;=AG32,AF32,0))</f>
        <v>0.4</v>
      </c>
      <c r="CK32" s="1">
        <f t="shared" si="16"/>
        <v>5</v>
      </c>
      <c r="CL32" s="1">
        <f t="shared" si="17"/>
        <v>5</v>
      </c>
      <c r="CM32" s="1">
        <f t="shared" si="18"/>
        <v>4</v>
      </c>
      <c r="CN32" s="1">
        <f t="shared" si="19"/>
        <v>5</v>
      </c>
      <c r="CO32" s="1">
        <f t="shared" si="20"/>
        <v>4</v>
      </c>
      <c r="CP32" s="1">
        <f t="shared" si="21"/>
        <v>3</v>
      </c>
      <c r="CQ32" s="1">
        <f t="shared" si="22"/>
        <v>20</v>
      </c>
      <c r="CR32" s="1">
        <f t="shared" si="23"/>
        <v>4</v>
      </c>
      <c r="CS32" s="1">
        <f t="shared" si="24"/>
        <v>0</v>
      </c>
      <c r="CT32" s="10">
        <f t="shared" si="25"/>
        <v>0.12</v>
      </c>
      <c r="CU32" s="1">
        <f t="shared" si="26"/>
        <v>5</v>
      </c>
      <c r="CV32" s="10">
        <f t="shared" si="27"/>
        <v>0.3</v>
      </c>
      <c r="CW32" s="1">
        <f t="shared" si="28"/>
        <v>5</v>
      </c>
      <c r="CX32" s="10">
        <f t="shared" si="29"/>
        <v>0.3</v>
      </c>
      <c r="CY32" s="1">
        <f t="shared" si="30"/>
        <v>5</v>
      </c>
      <c r="CZ32" s="1"/>
      <c r="DA32" s="1"/>
      <c r="DB32" s="1"/>
      <c r="DC32" s="1"/>
      <c r="DD32" s="1"/>
      <c r="DE32" s="1"/>
      <c r="DF32" s="1"/>
      <c r="DG32" s="1">
        <f>IF(D32="","",行动模拟!B38)</f>
        <v>3</v>
      </c>
      <c r="DH32" s="1" t="str">
        <f>IF(L32="END_TURN","回合结束",IF(D32="","",IF(INDEX(回合状态!$C$7:$C$17,MATCH(DG32,回合状态!$A$7:$A$17,0))="洞穿","洞穿",IF(OR(L32="J_COUNTER",L32="BOSS_ACTION",L32="BOSS_CONSERVATIVE"),"敌方",IF(AND(L32="37_FOLLOW",DG32=DG31,DH31="敌方"),"敌方",IF(INDEX(回合状态!$C$7:$C$17,MATCH(DG32,回合状态!$A$7:$A$17,0))="普通","出牌",INDEX(回合状态!$C$7:$C$17,MATCH(DG32,回合状态!$A$7:$A$17,0))))))))</f>
        <v>敌方</v>
      </c>
      <c r="DI32" s="1">
        <f t="shared" si="31"/>
        <v>0</v>
      </c>
      <c r="DJ32" s="1">
        <f>IF(D32="",0,MIN(Boss参数!$B$25,IF(OR(AND(DH32="敌方",OR(DH31&lt;&gt;"敌方",DG32&lt;&gt;DG31)),AND(L32="END_TURN",DH32&lt;&gt;"洞穿"),AND(DG32&lt;&gt;DG31,DH31&lt;&gt;"洞穿",L31&lt;&gt;"END_TURN",COUNTIFS($DG$3:DG31,DG31,$DH$3:DH31,"敌方")=0)),EW32,DN31)))</f>
        <v>2</v>
      </c>
      <c r="DK32" s="1">
        <f>IF(D32="",0,MIN(Boss参数!$B$25,IF(OR(AND(DH32="敌方",OR(DH31&lt;&gt;"敌方",DG32&lt;&gt;DG31)),AND(L32="END_TURN",DH32&lt;&gt;"洞穿"),AND(DG32&lt;&gt;DG31,DH31&lt;&gt;"洞穿",L31&lt;&gt;"END_TURN",COUNTIFS($DG$3:DG31,DG31,$DH$3:DH31,"敌方")=0)),EW32,DO31)))</f>
        <v>2</v>
      </c>
      <c r="DL32" s="1">
        <f>IF(D32="",0,MIN(Boss参数!$B$25,IF(OR(AND(DH32="敌方",OR(DH31&lt;&gt;"敌方",DG32&lt;&gt;DG31)),AND(L32="END_TURN",DH32&lt;&gt;"洞穿"),AND(DG32&lt;&gt;DG31,DH31&lt;&gt;"洞穿",L31&lt;&gt;"END_TURN",COUNTIFS($DG$3:DG31,DG31,$DH$3:DH31,"敌方")=0)),EW32,DP31)))</f>
        <v>2</v>
      </c>
      <c r="DM32" s="1">
        <f>IF(D32="",0,MIN(Boss参数!$B$25,IF(OR(AND(DH32="敌方",OR(DH31&lt;&gt;"敌方",DG32&lt;&gt;DG31)),AND(L32="END_TURN",DH32&lt;&gt;"洞穿"),AND(DG32&lt;&gt;DG31,DH31&lt;&gt;"洞穿",L31&lt;&gt;"END_TURN",COUNTIFS($DG$3:DG31,DG31,$DH$3:DH31,"敌方")=0)),EW32,DQ31)))</f>
        <v>0</v>
      </c>
      <c r="DN32" s="1">
        <f>MAX(0,MIN(Boss参数!$B$25,DJ32+DR32)-IF(E32="红弩箭",2*DR32,0))</f>
        <v>2</v>
      </c>
      <c r="DO32" s="1">
        <f>MAX(0,MIN(Boss参数!$B$25,DK32+DR32)-IF(E32="37",2*DR32,0))</f>
        <v>2</v>
      </c>
      <c r="DP32" s="1">
        <f>MAX(0,MIN(Boss参数!$B$25,DL32+DR32)-IF(E32="小瑞安侬",2*DR32,0))</f>
        <v>2</v>
      </c>
      <c r="DQ32" s="1">
        <f>MAX(0,MIN(Boss参数!$B$25,DM32+DR32)-IF(E32="J",2*DR32,0))</f>
        <v>0</v>
      </c>
      <c r="DR32" s="1">
        <f t="shared" si="32"/>
        <v>0</v>
      </c>
      <c r="DS32" s="1">
        <f t="shared" si="33"/>
        <v>0</v>
      </c>
      <c r="DT32" s="1">
        <f>IF(OR(E32="",E32="系统"),0,IF(OR(AND(DS32=1,Boss参数!$B$32=1),L32="RHI_BERRY",OR(AND(INDEX(角色面板!$B$18:$B$21,MATCH(E32,角色面板!$A$18:$A$21,0))="星",Boss参数!$B$4="岩"),AND(INDEX(角色面板!$B$18:$B$21,MATCH(E32,角色面板!$A$18:$A$21,0))="岩",Boss参数!$B$4="兽"),AND(INDEX(角色面板!$B$18:$B$21,MATCH(E32,角色面板!$A$18:$A$21,0))="兽",Boss参数!$B$4="木"),AND(INDEX(角色面板!$B$18:$B$21,MATCH(E32,角色面板!$A$18:$A$21,0))="木",Boss参数!$B$4="星"),AND(INDEX(角色面板!$B$18:$B$21,MATCH(E32,角色面板!$A$18:$A$21,0))="智",Boss参数!$B$4="灵"),AND(INDEX(角色面板!$B$18:$B$21,MATCH(E32,角色面板!$A$18:$A$21,0))="灵",Boss参数!$B$4="智"))),1,0))</f>
        <v>0</v>
      </c>
      <c r="DU32" s="1">
        <f>IF(D32="",0,INDEX(回合状态!$E$7:$E$17,MATCH(DG32,回合状态!$A$7:$A$17,0))+IF(AND(DH32="敌方",OR(INDEX(回合状态!$C$7:$C$17,MATCH(DG32,回合状态!$A$7:$A$17,0))="普通",INDEX(回合状态!$C$7:$C$17,MATCH(DG32,回合状态!$A$7:$A$17,0))="额外")),0.05,0))</f>
        <v>0.15000000000000002</v>
      </c>
      <c r="DV32" s="1">
        <f>MAX(Boss参数!$B$28,1+IF(AND(E32="37",AC32&gt;0,BH32&gt;0),Boss参数!$B$42,0)-DI32*Boss参数!$B$24+EA32-ER32)</f>
        <v>0.7</v>
      </c>
      <c r="DW32" s="1">
        <f>MIN(IF(Boss参数!$B$77=1,Boss参数!$B$63*Boss参数!$B$62,Boss参数!$B$61*Boss参数!$B$62),ROUNDDOWN(BQ32*(1-ES32),0))</f>
        <v>7301</v>
      </c>
      <c r="DX32" s="1">
        <f>MIN(IF(Boss参数!$B$77=1,Boss参数!$B$63*Boss参数!$B$62,Boss参数!$B$61*Boss参数!$B$62),ROUNDDOWN(BR32*(1-ES32),0))</f>
        <v>8031</v>
      </c>
      <c r="DY32" s="1">
        <f t="shared" si="65"/>
        <v>238</v>
      </c>
      <c r="DZ32" s="1">
        <f>IF(L32="RHI_ULT",MIN(Boss参数!$B$48,ROUNDDOWN(AY32*Boss参数!$B$47,0)),DY32)</f>
        <v>238</v>
      </c>
      <c r="EA32" s="11">
        <v>0</v>
      </c>
      <c r="EB32" s="1">
        <f t="shared" si="34"/>
        <v>0</v>
      </c>
      <c r="EC32" s="1">
        <f>SUMIFS($EB$3:EB32,$B$3:B32,"&gt;="&amp;MAX(1,B32-2),$B$3:B32,"&lt;="&amp;B32)*Boss参数!$B$51</f>
        <v>12</v>
      </c>
      <c r="ED32" s="1">
        <f>IF(D32="",EG31,IF(AND(DG32&lt;&gt;DG31,DH32&lt;&gt;"洞穿"),MIN(Boss参数!$B$55,EG31+2),EG31))</f>
        <v>0</v>
      </c>
      <c r="EE32" s="1">
        <f t="shared" si="35"/>
        <v>0</v>
      </c>
      <c r="EF32" s="1">
        <f>IF(AND(OR(L32="END_TURN",AND(DH32="敌方",OR(DH31&lt;&gt;"敌方",DG32&lt;&gt;DG31))),SUMIFS($EF$3:EF31,$DG$3:DG31,DG32)=0),MIN(1,MAX(0,ED32-EE32)),0)</f>
        <v>0</v>
      </c>
      <c r="EG32" s="1">
        <f t="shared" si="36"/>
        <v>0</v>
      </c>
      <c r="EH32" s="11">
        <f>Boss参数!$B$53-IF(Y32=1,Boss参数!$B$54,0)</f>
        <v>0</v>
      </c>
      <c r="EI32" s="11">
        <f t="shared" si="37"/>
        <v>0.3</v>
      </c>
      <c r="EJ32" s="11">
        <f t="shared" si="38"/>
        <v>0.3</v>
      </c>
      <c r="EK32" s="11">
        <f t="shared" si="39"/>
        <v>1</v>
      </c>
      <c r="EL32" s="1">
        <f t="shared" si="66"/>
        <v>0</v>
      </c>
      <c r="EM32" s="1">
        <f>IF(AND(DG32&lt;&gt;DG31,DH32="洞穿"),0,IF(L32="ENTER_INSIGHT",Boss参数!$B$57,EO31))</f>
        <v>0</v>
      </c>
      <c r="EN32" s="11">
        <f>IF(AND(Y32=1,H32="洞知",EM32&gt;0),Boss参数!$B$56,0)</f>
        <v>0</v>
      </c>
      <c r="EO32" s="1">
        <f t="shared" si="40"/>
        <v>0</v>
      </c>
      <c r="EP32" s="12">
        <f t="shared" si="67"/>
        <v>3422430</v>
      </c>
      <c r="EQ32" s="12">
        <f>ROUNDDOWN(EP32/Boss参数!$B$62,0)</f>
        <v>34</v>
      </c>
      <c r="ER32" s="11">
        <f>IF(EQ32&gt;=Boss参数!$B$66,Boss参数!$B$69,IF(EQ32&gt;=Boss参数!$B$65,Boss参数!$B$68,IF(EQ32&gt;=Boss参数!$B$64,Boss参数!$B$67,0)))</f>
        <v>0.3</v>
      </c>
      <c r="ES32" s="11">
        <f>MIN(1,IF(EQ32&gt;=Boss参数!$B$66,Boss参数!$B$72+ROUNDDOWN((EQ32-Boss参数!$B$66)/Boss参数!$B$73,0)*Boss参数!$B$74,IF(EQ32&gt;=Boss参数!$B$65,Boss参数!$B$71,IF(EQ32&gt;=Boss参数!$B$64,Boss参数!$B$70,0))))</f>
        <v>0.2</v>
      </c>
      <c r="ET32" s="12">
        <f>MIN(Boss参数!$B$61*Boss参数!$B$62,EP32+IF(AND(Boss参数!$B$60=1,ISNUMBER(验证表!H38)),验证表!H38,EU32))</f>
        <v>3430461</v>
      </c>
      <c r="EU32" s="12">
        <f>IF(D32="",0,IF(验证表!G38="是",BV32,IF(验证表!G38="否",BU32,BW32)))</f>
        <v>8031</v>
      </c>
      <c r="EV32" s="12">
        <f>IF(EQ32&gt;=Boss参数!$B$66,2,IF(EQ32&gt;=Boss参数!$B$65,1,0))</f>
        <v>0</v>
      </c>
      <c r="EW32" s="12">
        <f t="shared" si="41"/>
        <v>1</v>
      </c>
      <c r="EX32" s="1">
        <f>IF(D32="",0,INDEX(回合状态!$D$7:$D$17,MATCH(DG32,回合状态!$A$7:$A$17,0)))</f>
        <v>3</v>
      </c>
      <c r="EY32" s="1">
        <f>IF(OR(L32="RHI_ATTACK",L32="RHI_BUFF"),1,IF(L32="RHI_ULT",Boss参数!$B$52,0))</f>
        <v>0</v>
      </c>
      <c r="EZ32" s="1">
        <f>MIN(6,SUMIFS($EY$3:EY32,$EX$3:EX32,"&gt;="&amp;MAX(1,EX32-Boss参数!$B$87+1),$EX$3:EX32,"&lt;="&amp;EX32))</f>
        <v>5</v>
      </c>
      <c r="FA32" s="1">
        <f t="shared" si="68"/>
        <v>16</v>
      </c>
      <c r="FB32" s="17">
        <f>IF(L32="BOSS_CONSERVATIVE",B32+Boss参数!$B$91,FB31)</f>
        <v>0</v>
      </c>
      <c r="FC32" s="17">
        <f t="shared" si="69"/>
        <v>0</v>
      </c>
      <c r="FD32" s="17">
        <f>IF(D32="",FD31,FD31+IF(AND(DG32&lt;&gt;DG31,INDEX(回合状态!$C$7:$C$17,MATCH(DG32,回合状态!$A$7:$A$17,0))&lt;&gt;"洞穿"),1,0))</f>
        <v>3</v>
      </c>
      <c r="FE32" s="17">
        <f>IF(D32="",0,IF(AND(OR(L32="END_TURN",DH32="敌方"),INDEX(回合状态!$C$7:$C$17,MATCH(DG32,回合状态!$A$7:$A$17,0))&lt;&gt;"洞穿",SUMIFS($FE$3:FE31,$DG$3:DG31,DG32)=0),1,0))</f>
        <v>0</v>
      </c>
    </row>
    <row r="33" spans="1:161" ht="84.95" customHeight="1">
      <c r="A33" s="1">
        <f>行动模拟!A39</f>
        <v>31</v>
      </c>
      <c r="B33" s="1">
        <f>IF(D33="",0,INDEX(回合状态!$B$7:$B$17,MATCH(DG33,回合状态!$A$7:$A$17,0)))</f>
        <v>3</v>
      </c>
      <c r="C33" s="1">
        <f>行动模拟!C39</f>
        <v>12</v>
      </c>
      <c r="D33" s="1" t="str">
        <f>IF(行动模拟!D39="","",行动模拟!D39)</f>
        <v>J｜高温回火</v>
      </c>
      <c r="E33" s="1" t="str">
        <f>IF($D33="","",IFERROR(INDEX(技能数据库!$B$4:$B$38,MATCH($D33,技能数据库!$A$4:$A$38,0)),""))</f>
        <v>J</v>
      </c>
      <c r="F33" s="1" t="str">
        <f>IF($D33="","",IFERROR(INDEX(技能数据库!$C$4:$C$38,MATCH($D33,技能数据库!$A$4:$A$38,0)),""))</f>
        <v>高温回火</v>
      </c>
      <c r="G33" s="1">
        <f>IF($D33="","",IFERROR(INDEX(技能数据库!$D$4:$D$38,MATCH($D33,技能数据库!$A$4:$A$38,0)),""))</f>
        <v>0</v>
      </c>
      <c r="H33" s="1" t="str">
        <f>IF($D33="","",IFERROR(INDEX(技能数据库!$E$4:$E$38,MATCH($D33,技能数据库!$A$4:$A$38,0)),""))</f>
        <v>反击</v>
      </c>
      <c r="I33" s="1" t="str">
        <f>IF($D33="","",IFERROR(INDEX(技能数据库!$F$4:$F$38,MATCH($D33,技能数据库!$A$4:$A$38,0)),""))</f>
        <v>现实</v>
      </c>
      <c r="J33" s="1">
        <f>IF($D33="","",IFERROR(INDEX(技能数据库!$G$4:$G$38,MATCH($D33,技能数据库!$A$4:$A$38,0)),""))</f>
        <v>3</v>
      </c>
      <c r="K33" s="1">
        <f>IF($D33="","",IFERROR(INDEX(技能数据库!$H$4:$H$38,MATCH($D33,技能数据库!$A$4:$A$38,0)),""))</f>
        <v>0</v>
      </c>
      <c r="L33" s="1" t="str">
        <f>IF($D33="","",IFERROR(INDEX(技能数据库!$I$4:$I$38,MATCH($D33,技能数据库!$A$4:$A$38,0)),""))</f>
        <v>J_COUNTER</v>
      </c>
      <c r="M33" s="10">
        <v>1</v>
      </c>
      <c r="N33" s="1"/>
      <c r="O33" s="1"/>
      <c r="P33" s="1"/>
      <c r="Q33" s="10">
        <f t="shared" si="0"/>
        <v>0</v>
      </c>
      <c r="R33" s="10">
        <v>0</v>
      </c>
      <c r="S33" s="10">
        <v>0</v>
      </c>
      <c r="T33" s="1">
        <f>行动模拟!I39</f>
        <v>0</v>
      </c>
      <c r="U33" s="1">
        <f>IF(FD33&lt;&gt;FD32,IF(BY32=1,IF(MIN(10,CA32+IF(AND(DG33&lt;&gt;DG32,DH32&lt;&gt;"洞穿",SUMIFS($FE$3:FE32,$DG$3:DG32,DG32)=0,BY32=1),3,0))&gt;=10,2,1),IF(BY32=2,IF(BZ32&lt;=1,0,2),0)),BY32)</f>
        <v>2</v>
      </c>
      <c r="V33" s="1">
        <f>IF(FD33&lt;&gt;FD32,IF(BY32=1,IF(MIN(10,CA32+IF(AND(DG33&lt;&gt;DG32,DH32&lt;&gt;"洞穿",SUMIFS($FE$3:FE32,$DG$3:DG32,DG32)=0,BY32=1),3,0))&gt;=10,2,0),IF(BY32=2,MAX(0,BZ32-1),0)),BZ32)</f>
        <v>1</v>
      </c>
      <c r="W33" s="1">
        <f>IF(AND(FD33&lt;&gt;FD32,BY32=2,BZ32&lt;=1),0,MIN(10,CA32+IF(AND(DG33&lt;&gt;DG32,DH32&lt;&gt;"洞穿",SUMIFS($FE$3:FE32,$DG$3:DG32,DG32)=0,BY32=1),3,0)))</f>
        <v>10</v>
      </c>
      <c r="X33" s="1">
        <f t="shared" si="42"/>
        <v>0</v>
      </c>
      <c r="Y33" s="1">
        <f t="shared" si="43"/>
        <v>0</v>
      </c>
      <c r="Z33" s="1">
        <f t="shared" si="44"/>
        <v>0</v>
      </c>
      <c r="AA33" s="1">
        <f t="shared" si="45"/>
        <v>0</v>
      </c>
      <c r="AB33" s="1">
        <f t="shared" si="46"/>
        <v>2</v>
      </c>
      <c r="AC33" s="1">
        <f t="shared" si="47"/>
        <v>0</v>
      </c>
      <c r="AD33" s="1">
        <f t="shared" si="48"/>
        <v>20</v>
      </c>
      <c r="AE33" s="1">
        <f>IF(D33="",0,IF(DG33&lt;&gt;DG32,IFERROR(INDEX(回合状态!$F$7:$F$17,MATCH(DG33,回合状态!$A$7:$A$17,0)),0),CI32))</f>
        <v>26</v>
      </c>
      <c r="AF33" s="10">
        <f t="shared" si="49"/>
        <v>0.4</v>
      </c>
      <c r="AG33" s="1">
        <f t="shared" si="50"/>
        <v>5</v>
      </c>
      <c r="AH33" s="1">
        <f t="shared" si="51"/>
        <v>5</v>
      </c>
      <c r="AI33" s="1">
        <f t="shared" si="52"/>
        <v>4</v>
      </c>
      <c r="AJ33" s="1">
        <f t="shared" si="53"/>
        <v>5</v>
      </c>
      <c r="AK33" s="1">
        <f t="shared" si="54"/>
        <v>4</v>
      </c>
      <c r="AL33" s="1">
        <f t="shared" si="55"/>
        <v>3</v>
      </c>
      <c r="AM33" s="1">
        <f t="shared" si="56"/>
        <v>20</v>
      </c>
      <c r="AN33" s="1">
        <f t="shared" si="57"/>
        <v>4</v>
      </c>
      <c r="AO33" s="1">
        <f t="shared" si="58"/>
        <v>0</v>
      </c>
      <c r="AP33" s="10">
        <f t="shared" si="59"/>
        <v>0.12</v>
      </c>
      <c r="AQ33" s="1">
        <f t="shared" si="60"/>
        <v>5</v>
      </c>
      <c r="AR33" s="10">
        <f t="shared" si="61"/>
        <v>0.3</v>
      </c>
      <c r="AS33" s="1">
        <f t="shared" si="62"/>
        <v>5</v>
      </c>
      <c r="AT33" s="10">
        <f t="shared" si="63"/>
        <v>0.3</v>
      </c>
      <c r="AU33" s="1">
        <f t="shared" si="64"/>
        <v>5</v>
      </c>
      <c r="AV33" s="1">
        <f>MIN(5,SUMIFS($EL$3:EL33,$B$3:B33,"&gt;="&amp;MAX(1,B33-2),$B$3:B33,"&lt;="&amp;B33)+EC33)</f>
        <v>5</v>
      </c>
      <c r="AW33" s="1">
        <f>MIN(6,SUMIFS($EY$3:EY32,$EX$3:EX32,"&gt;="&amp;MAX(1,EX33-Boss参数!$B$87+1),$EX$3:EX32,"&lt;="&amp;EX33))</f>
        <v>5</v>
      </c>
      <c r="AX33" s="1">
        <f>MIN(4,COUNTIFS($B$3:$B$32,"&gt;="&amp;MAX(1,$B33-2),$B$3:$B$32,"&lt;="&amp;$B33,$L$3:$L$32,"37_FOLLOW"))</f>
        <v>4</v>
      </c>
      <c r="AY33" s="9">
        <f>IF($E33="","",IF($E33="系统",0,ROUNDDOWN(INDEX(角色面板!$C$4:$C$7,MATCH($E33,角色面板!$A$4:$A$7,0))*(1+INDEX(角色面板!$C$11:$C$14,MATCH($E33,角色面板!$A$11:$A$14,0))+IF($E33="小瑞安侬",MAX(IF($B33&lt;=$AQ33,$AP33,0),IF(AND($L33="RHI_ATTACK",$EE33&gt;0),0.11+0.01*$G33,0)),0)+IF($E33="J",$AD33*Boss参数!$B$18,0))+IF(FD33&lt;=$AN33,MIN(Boss参数!$B$21,ROUNDDOWN(角色面板!$C$19*Boss参数!$B$20,0)),0)+IF(AND($B33&lt;=$AK33,$E33&lt;&gt;"小瑞安侬"),$DY33,0),0)))</f>
        <v>3025</v>
      </c>
      <c r="AZ33" s="10">
        <f>IF($E33="","",MAX(0,MIN(1,IFERROR(INDEX(角色面板!$G$18:$G$21,MATCH($E33,角色面板!$A$18:$A$21,0)),0)-FC33*Boss参数!$B$89-Boss参数!$E$4)))</f>
        <v>0.66700000000000004</v>
      </c>
      <c r="BA33" s="10">
        <f>IF(E33="","",(IF($E33="","",IF($E33="红弩箭",Boss参数!$B$80,IF($E33="J",Boss参数!$B$81,IFERROR(INDEX(角色面板!$H$18:$H$21,MATCH($E33,角色面板!$A$18:$A$21,0)),0)))+IF($B33&lt;=$AI33,Boss参数!$B$13,0)+MIN(30,$AM33)*Boss参数!$B$17+IF(AND($L33="LILYA_ULT",$X33&gt;=6),1,0)+IF(AND($Y33=1,$L33="LILYA_INSIGHT"),IF(MOD($AA33+1,3)=0,Boss参数!$B$83,Boss参数!$B$82),IF(AND($Y33=1,$L33="LILYA_FINISH"),Boss参数!$B$84,0))))-FC33*Boss参数!$B$90)</f>
        <v>1.9570000000000001</v>
      </c>
      <c r="BB33" s="10">
        <f>IF($E33="","",IFERROR(INDEX(角色面板!$M$18:$M$21,MATCH($E33,角色面板!$A$18:$A$21,0)),0)+$AW33*Boss参数!$B$12+IF($B33&lt;=$AG33,$AF33,0)+$EI33+IF($L33="LILYA_DIVE",IF($U33=1,IF($G33=1,0.3,IF($G33=2,0.4,0.5)),IF($U33=2,IF($G33=1,0.6,IF($G33=2,0.8,1)),0)),0)+$R33+IF(AND($E33="J",OR($L33="J_COUNTER",$L33="J_HARD")),Boss参数!$B$79,0)+IF(AND(OR(L33="J_COUNTER",L33="J_HARD"),FA33&gt;=Boss参数!$B$59),FA33*Boss参数!$B$40,0))</f>
        <v>0.98000000000000009</v>
      </c>
      <c r="BC33" s="10">
        <f>IF($E33="","",IFERROR(INDEX(角色面板!$K$18:$K$21,MATCH($E33,角色面板!$A$18:$A$21,0)),0)+IF($B33&lt;=$AH33,Boss参数!$B$46,0)+IF($E33="红弩箭",IF($U33=1,0.6,IF($U33=2,1.2,0))+$W33*0.06,0))-DI33*Boss参数!$B$23</f>
        <v>-0.10000000000000003</v>
      </c>
      <c r="BD33" s="10">
        <f>IF($E33="","",IFERROR(INDEX(角色面板!$L$18:$L$21,MATCH($E33,角色面板!$A$18:$A$21,0)),0)+IF($B33&lt;=$AH33,Boss参数!$B$46,0)+IF($E33="J",$AL33*Boss参数!$B$16,0)+IF($E33="红弩箭",$X33*0.025,0)+IF(AND($L33="LILYA_ULT",$X33&gt;=6),1,0))-DI33*Boss参数!$B$23</f>
        <v>0.42</v>
      </c>
      <c r="BE33" s="10">
        <f>IF($E33="","",IF($H33="洞知",IF($E33="红弩箭",$AO33*Boss参数!$B$15,0)+$AX33*Boss参数!$B$14,0))</f>
        <v>0</v>
      </c>
      <c r="BF33" s="10">
        <f t="shared" si="1"/>
        <v>0</v>
      </c>
      <c r="BG33" s="10">
        <f>IF($D33="",0,IF(AND($L33&lt;&gt;"LILYA_DIVE",$L33&lt;&gt;"LILYA_ULT",$L33&lt;&gt;"LILYA_INSIGHT",$L33&lt;&gt;"LILYA_FINISH",$L33&lt;&gt;"37_FOLLOW",$L33&lt;&gt;"RHI_ATTACK",$L33&lt;&gt;"RHI_BERRY",$L33&lt;&gt;"J_COUNTER",$L33&lt;&gt;"J_ULT"),$J33,0)+IF($L33="LILYA_DIVE",$J33+IF($U33=1,IF($G33=1,6,IF($G33=2,12,18)),IF($U33=2,IF($G33=1,12,IF($G33=2,24,36)),0)),0)+IF($L33="LILYA_ULT",$J33+IF($X33&gt;=6,18,0),0)+IF($L33="LILYA_INSIGHT",IF($Y33=1,IF(MOD($AA33+1,3)=0,32,15),0),0)+IF($L33="LILYA_FINISH",IF($Y33=1,50+2.5*$Z33,0),0)+IF($L33="37_FOLLOW",$J33,0)+IF($L33="RHI_ATTACK",$J33*IF($B33&lt;=$AJ33,2,1),0)+IF($L33="RHI_BERRY",15+1.5*$AV33,0)+IF($L33="J_COUNTER",$J33+$AD33*Boss参数!$B$39,0)+IF($L33="J_ULT",$J33+Boss参数!$B$45*MAX(0,$AE33+$AD33-Boss参数!$I$4),0)+$S33)</f>
        <v>4</v>
      </c>
      <c r="BH33" s="10">
        <f t="shared" si="2"/>
        <v>0</v>
      </c>
      <c r="BI33" s="10">
        <f>IF(E33="","",IF(DT33=1,1+Boss参数!$B$8+AV33*Boss参数!$B$19,1))</f>
        <v>1</v>
      </c>
      <c r="BJ33" s="9">
        <f>IF($I33="现实",Boss参数!$C$4,IF($I33="精神",Boss参数!$D$4,0))</f>
        <v>1200</v>
      </c>
      <c r="BK33" s="9">
        <f>IF($E33="","",MAX($AY33*Boss参数!$B$9,$AY33-$BJ33*(1-$BF33)))</f>
        <v>1825</v>
      </c>
      <c r="BL33" s="10">
        <f>MAX(0,Boss参数!$F$4+IF(DT33=0,Boss参数!$B$27,0)-EJ33)</f>
        <v>1.0999999999999999</v>
      </c>
      <c r="BM33" s="10">
        <f>Boss参数!$G$4+DU33-IF(Y33=1,Boss参数!$B$11,0)</f>
        <v>0.55000000000000004</v>
      </c>
      <c r="BN33" s="10">
        <f>IF($E33="","",MAX(Boss参数!$B$10,1+IFERROR(INDEX(角色面板!$I$18:$I$21,MATCH($E33,角色面板!$A$18:$A$21,0)),0)+$BB33+Boss参数!$H$4-$BM33))</f>
        <v>1.4549999999999998</v>
      </c>
      <c r="BO33" s="10">
        <f>IF(E33="","",IF(OR(L33="J_COUNTER",L33="J_HARD"),MAX(0,1+INDEX(角色面板!$K$18:$K$21,MATCH(E33,角色面板!$A$18:$A$21,0))-DI33*Boss参数!$B$23+IF(OR(Boss参数!$B$43=1,L33="J_HARD"),IF(B33&lt;=AH33,Boss参数!$B$46,0),0)),MAX(0,IF(OR(H33="术法",L33="RHI_BERRY",AND(L33="37_FOLLOW",Boss参数!$B$31=1)),1+BC33,IF(H33="仪式",1+BD33,IF(H33="洞知",EK33,1))))))</f>
        <v>0.89999999999999991</v>
      </c>
      <c r="BP33" s="10">
        <f t="shared" si="3"/>
        <v>1.1000000000000001</v>
      </c>
      <c r="BQ33" s="1">
        <f t="shared" si="4"/>
        <v>9559.3499999999967</v>
      </c>
      <c r="BR33" s="1">
        <f t="shared" si="5"/>
        <v>10515.284999999998</v>
      </c>
      <c r="BS33" s="1">
        <f>IF(BH33=0,0,ROUNDDOWN(AY33*BH33,0)*DV33*IF(Boss参数!$B$29=1,BN33,1)*IF(Boss参数!$B$33=1,BO33,1)*IF(Boss参数!$B$76=1,1-ES33,1))</f>
        <v>0</v>
      </c>
      <c r="BT33" s="1">
        <f t="shared" si="6"/>
        <v>0</v>
      </c>
      <c r="BU33" s="9">
        <f>IF(D33="",0,MIN(IF(Boss参数!$B$77=1,Boss参数!$B$63*Boss参数!$B$62,Boss参数!$B$61*Boss参数!$B$62),DW33+ROUNDDOWN(BS33,0)+ROUNDDOWN(DW33*Q33,0)))</f>
        <v>7647</v>
      </c>
      <c r="BV33" s="9">
        <f>IF(D33="",0,MIN(IF(Boss参数!$B$77=1,Boss参数!$B$63*Boss参数!$B$62,Boss参数!$B$61*Boss参数!$B$62),DX33+ROUNDDOWN(BT33,0)+ROUNDDOWN(DX33*Q33,0)))</f>
        <v>8412</v>
      </c>
      <c r="BW33" s="9">
        <f t="shared" si="7"/>
        <v>8157</v>
      </c>
      <c r="BX33" s="1" t="str">
        <f t="shared" si="8"/>
        <v/>
      </c>
      <c r="BY33" s="1">
        <f t="shared" si="9"/>
        <v>2</v>
      </c>
      <c r="BZ33" s="1">
        <f t="shared" si="10"/>
        <v>1</v>
      </c>
      <c r="CA33" s="1">
        <f>MIN(10,W33+IF(AND(L33="LILYA_COBRA",COUNTIF($L$3:L33,"LILYA_COBRA")=1),5,0)+IF(AND(L33="LILYA_DIVE",U33=1,COUNTIFS($DG$3:DG33,DG33,$L$3:L33,"LILYA_DIVE")=1),2,0)+IF(AND(FE33=1,U33=1),3,0))</f>
        <v>10</v>
      </c>
      <c r="CB33" s="1">
        <f>MIN(20,MAX(0,X33+IF(L33="LILYA_COBRA",IF(COUNTIF($L$3:L33,"LILYA_COBRA")=1,6,IF(U33=1,MAX(1,G33),IF(U33=2,2*MAX(1,G33),0))),0)+IF(AND(Y33=1,E33="红弩箭",L33&lt;&gt;"ENTER_INSIGHT"),1,0)-IF(AND(L33="LILYA_ULT",X33&gt;=6),6,0)))</f>
        <v>0</v>
      </c>
      <c r="CC33" s="1">
        <f t="shared" si="11"/>
        <v>0</v>
      </c>
      <c r="CD33" s="1">
        <f t="shared" si="12"/>
        <v>0</v>
      </c>
      <c r="CE33" s="1">
        <f t="shared" si="13"/>
        <v>0</v>
      </c>
      <c r="CF33" s="1">
        <f t="shared" si="14"/>
        <v>3</v>
      </c>
      <c r="CG33" s="1">
        <f t="shared" si="15"/>
        <v>0</v>
      </c>
      <c r="CH33" s="1">
        <f>MIN(35,AD33+IF(L33="J_HARD",6,0)+IF(L33="J_COUNTER",Boss参数!$B$30,0))</f>
        <v>22</v>
      </c>
      <c r="CI33" s="1">
        <f>MIN(Boss参数!$I$4,AE33+IF(L33="J_HARD",6,0)+IF(L33="J_ULT",AD33,0)+IF(L33="J_COUNTER",Boss参数!$B$30,0))</f>
        <v>28</v>
      </c>
      <c r="CJ33" s="10">
        <f>IF(L33="J_ULT",AD33*Boss参数!$B$41,IF(B33&lt;=AG33,AF33,0))</f>
        <v>0.4</v>
      </c>
      <c r="CK33" s="1">
        <f t="shared" si="16"/>
        <v>5</v>
      </c>
      <c r="CL33" s="1">
        <f t="shared" si="17"/>
        <v>5</v>
      </c>
      <c r="CM33" s="1">
        <f t="shared" si="18"/>
        <v>4</v>
      </c>
      <c r="CN33" s="1">
        <f t="shared" si="19"/>
        <v>5</v>
      </c>
      <c r="CO33" s="1">
        <f t="shared" si="20"/>
        <v>4</v>
      </c>
      <c r="CP33" s="1">
        <f t="shared" si="21"/>
        <v>3</v>
      </c>
      <c r="CQ33" s="1">
        <f t="shared" si="22"/>
        <v>20</v>
      </c>
      <c r="CR33" s="1">
        <f t="shared" si="23"/>
        <v>4</v>
      </c>
      <c r="CS33" s="1">
        <f t="shared" si="24"/>
        <v>0</v>
      </c>
      <c r="CT33" s="10">
        <f t="shared" si="25"/>
        <v>0.12</v>
      </c>
      <c r="CU33" s="1">
        <f t="shared" si="26"/>
        <v>5</v>
      </c>
      <c r="CV33" s="10">
        <f t="shared" si="27"/>
        <v>0.3</v>
      </c>
      <c r="CW33" s="1">
        <f t="shared" si="28"/>
        <v>5</v>
      </c>
      <c r="CX33" s="10">
        <f t="shared" si="29"/>
        <v>0.3</v>
      </c>
      <c r="CY33" s="1">
        <f t="shared" si="30"/>
        <v>5</v>
      </c>
      <c r="CZ33" s="1"/>
      <c r="DA33" s="1"/>
      <c r="DB33" s="1"/>
      <c r="DC33" s="1"/>
      <c r="DD33" s="1"/>
      <c r="DE33" s="1"/>
      <c r="DF33" s="1"/>
      <c r="DG33" s="1">
        <f>IF(D33="","",行动模拟!B39)</f>
        <v>3</v>
      </c>
      <c r="DH33" s="1" t="str">
        <f>IF(L33="END_TURN","回合结束",IF(D33="","",IF(INDEX(回合状态!$C$7:$C$17,MATCH(DG33,回合状态!$A$7:$A$17,0))="洞穿","洞穿",IF(OR(L33="J_COUNTER",L33="BOSS_ACTION",L33="BOSS_CONSERVATIVE"),"敌方",IF(AND(L33="37_FOLLOW",DG33=DG32,DH32="敌方"),"敌方",IF(INDEX(回合状态!$C$7:$C$17,MATCH(DG33,回合状态!$A$7:$A$17,0))="普通","出牌",INDEX(回合状态!$C$7:$C$17,MATCH(DG33,回合状态!$A$7:$A$17,0))))))))</f>
        <v>敌方</v>
      </c>
      <c r="DI33" s="1">
        <f t="shared" si="31"/>
        <v>0</v>
      </c>
      <c r="DJ33" s="1">
        <f>IF(D33="",0,MIN(Boss参数!$B$25,IF(OR(AND(DH33="敌方",OR(DH32&lt;&gt;"敌方",DG33&lt;&gt;DG32)),AND(L33="END_TURN",DH33&lt;&gt;"洞穿"),AND(DG33&lt;&gt;DG32,DH32&lt;&gt;"洞穿",L32&lt;&gt;"END_TURN",COUNTIFS($DG$3:DG32,DG32,$DH$3:DH32,"敌方")=0)),EW33,DN32)))</f>
        <v>2</v>
      </c>
      <c r="DK33" s="1">
        <f>IF(D33="",0,MIN(Boss参数!$B$25,IF(OR(AND(DH33="敌方",OR(DH32&lt;&gt;"敌方",DG33&lt;&gt;DG32)),AND(L33="END_TURN",DH33&lt;&gt;"洞穿"),AND(DG33&lt;&gt;DG32,DH32&lt;&gt;"洞穿",L32&lt;&gt;"END_TURN",COUNTIFS($DG$3:DG32,DG32,$DH$3:DH32,"敌方")=0)),EW33,DO32)))</f>
        <v>2</v>
      </c>
      <c r="DL33" s="1">
        <f>IF(D33="",0,MIN(Boss参数!$B$25,IF(OR(AND(DH33="敌方",OR(DH32&lt;&gt;"敌方",DG33&lt;&gt;DG32)),AND(L33="END_TURN",DH33&lt;&gt;"洞穿"),AND(DG33&lt;&gt;DG32,DH32&lt;&gt;"洞穿",L32&lt;&gt;"END_TURN",COUNTIFS($DG$3:DG32,DG32,$DH$3:DH32,"敌方")=0)),EW33,DP32)))</f>
        <v>2</v>
      </c>
      <c r="DM33" s="1">
        <f>IF(D33="",0,MIN(Boss参数!$B$25,IF(OR(AND(DH33="敌方",OR(DH32&lt;&gt;"敌方",DG33&lt;&gt;DG32)),AND(L33="END_TURN",DH33&lt;&gt;"洞穿"),AND(DG33&lt;&gt;DG32,DH32&lt;&gt;"洞穿",L32&lt;&gt;"END_TURN",COUNTIFS($DG$3:DG32,DG32,$DH$3:DH32,"敌方")=0)),EW33,DQ32)))</f>
        <v>0</v>
      </c>
      <c r="DN33" s="1">
        <f>MAX(0,MIN(Boss参数!$B$25,DJ33+DR33)-IF(E33="红弩箭",2*DR33,0))</f>
        <v>2</v>
      </c>
      <c r="DO33" s="1">
        <f>MAX(0,MIN(Boss参数!$B$25,DK33+DR33)-IF(E33="37",2*DR33,0))</f>
        <v>2</v>
      </c>
      <c r="DP33" s="1">
        <f>MAX(0,MIN(Boss参数!$B$25,DL33+DR33)-IF(E33="小瑞安侬",2*DR33,0))</f>
        <v>2</v>
      </c>
      <c r="DQ33" s="1">
        <f>MAX(0,MIN(Boss参数!$B$25,DM33+DR33)-IF(E33="J",2*DR33,0))</f>
        <v>0</v>
      </c>
      <c r="DR33" s="1">
        <f t="shared" si="32"/>
        <v>0</v>
      </c>
      <c r="DS33" s="1">
        <f t="shared" si="33"/>
        <v>0</v>
      </c>
      <c r="DT33" s="1">
        <f>IF(OR(E33="",E33="系统"),0,IF(OR(AND(DS33=1,Boss参数!$B$32=1),L33="RHI_BERRY",OR(AND(INDEX(角色面板!$B$18:$B$21,MATCH(E33,角色面板!$A$18:$A$21,0))="星",Boss参数!$B$4="岩"),AND(INDEX(角色面板!$B$18:$B$21,MATCH(E33,角色面板!$A$18:$A$21,0))="岩",Boss参数!$B$4="兽"),AND(INDEX(角色面板!$B$18:$B$21,MATCH(E33,角色面板!$A$18:$A$21,0))="兽",Boss参数!$B$4="木"),AND(INDEX(角色面板!$B$18:$B$21,MATCH(E33,角色面板!$A$18:$A$21,0))="木",Boss参数!$B$4="星"),AND(INDEX(角色面板!$B$18:$B$21,MATCH(E33,角色面板!$A$18:$A$21,0))="智",Boss参数!$B$4="灵"),AND(INDEX(角色面板!$B$18:$B$21,MATCH(E33,角色面板!$A$18:$A$21,0))="灵",Boss参数!$B$4="智"))),1,0))</f>
        <v>0</v>
      </c>
      <c r="DU33" s="1">
        <f>IF(D33="",0,INDEX(回合状态!$E$7:$E$17,MATCH(DG33,回合状态!$A$7:$A$17,0))+IF(AND(DH33="敌方",OR(INDEX(回合状态!$C$7:$C$17,MATCH(DG33,回合状态!$A$7:$A$17,0))="普通",INDEX(回合状态!$C$7:$C$17,MATCH(DG33,回合状态!$A$7:$A$17,0))="额外")),0.05,0))</f>
        <v>0.15000000000000002</v>
      </c>
      <c r="DV33" s="1">
        <f>MAX(Boss参数!$B$28,1+IF(AND(E33="37",AC33&gt;0,BH33&gt;0),Boss参数!$B$42,0)-DI33*Boss参数!$B$24+EA33-ER33)</f>
        <v>0.7</v>
      </c>
      <c r="DW33" s="1">
        <f>MIN(IF(Boss参数!$B$77=1,Boss参数!$B$63*Boss参数!$B$62,Boss参数!$B$61*Boss参数!$B$62),ROUNDDOWN(BQ33*(1-ES33),0))</f>
        <v>7647</v>
      </c>
      <c r="DX33" s="1">
        <f>MIN(IF(Boss参数!$B$77=1,Boss参数!$B$63*Boss参数!$B$62,Boss参数!$B$61*Boss参数!$B$62),ROUNDDOWN(BR33*(1-ES33),0))</f>
        <v>8412</v>
      </c>
      <c r="DY33" s="1">
        <f t="shared" si="65"/>
        <v>238</v>
      </c>
      <c r="DZ33" s="1">
        <f>IF(L33="RHI_ULT",MIN(Boss参数!$B$48,ROUNDDOWN(AY33*Boss参数!$B$47,0)),DY33)</f>
        <v>238</v>
      </c>
      <c r="EA33" s="11">
        <v>0</v>
      </c>
      <c r="EB33" s="1">
        <f t="shared" si="34"/>
        <v>0</v>
      </c>
      <c r="EC33" s="1">
        <f>SUMIFS($EB$3:EB33,$B$3:B33,"&gt;="&amp;MAX(1,B33-2),$B$3:B33,"&lt;="&amp;B33)*Boss参数!$B$51</f>
        <v>12</v>
      </c>
      <c r="ED33" s="1">
        <f>IF(D33="",EG32,IF(AND(DG33&lt;&gt;DG32,DH33&lt;&gt;"洞穿"),MIN(Boss参数!$B$55,EG32+2),EG32))</f>
        <v>0</v>
      </c>
      <c r="EE33" s="1">
        <f t="shared" si="35"/>
        <v>0</v>
      </c>
      <c r="EF33" s="1">
        <f>IF(AND(OR(L33="END_TURN",AND(DH33="敌方",OR(DH32&lt;&gt;"敌方",DG33&lt;&gt;DG32))),SUMIFS($EF$3:EF32,$DG$3:DG32,DG33)=0),MIN(1,MAX(0,ED33-EE33)),0)</f>
        <v>0</v>
      </c>
      <c r="EG33" s="1">
        <f t="shared" si="36"/>
        <v>0</v>
      </c>
      <c r="EH33" s="11">
        <f>Boss参数!$B$53-IF(Y33=1,Boss参数!$B$54,0)</f>
        <v>0</v>
      </c>
      <c r="EI33" s="11">
        <f t="shared" si="37"/>
        <v>0.3</v>
      </c>
      <c r="EJ33" s="11">
        <f t="shared" si="38"/>
        <v>0.3</v>
      </c>
      <c r="EK33" s="11">
        <f t="shared" si="39"/>
        <v>1</v>
      </c>
      <c r="EL33" s="1">
        <f t="shared" si="66"/>
        <v>0</v>
      </c>
      <c r="EM33" s="1">
        <f>IF(AND(DG33&lt;&gt;DG32,DH33="洞穿"),0,IF(L33="ENTER_INSIGHT",Boss参数!$B$57,EO32))</f>
        <v>0</v>
      </c>
      <c r="EN33" s="11">
        <f>IF(AND(Y33=1,H33="洞知",EM33&gt;0),Boss参数!$B$56,0)</f>
        <v>0</v>
      </c>
      <c r="EO33" s="1">
        <f t="shared" si="40"/>
        <v>0</v>
      </c>
      <c r="EP33" s="12">
        <f t="shared" si="67"/>
        <v>3430461</v>
      </c>
      <c r="EQ33" s="12">
        <f>ROUNDDOWN(EP33/Boss参数!$B$62,0)</f>
        <v>34</v>
      </c>
      <c r="ER33" s="11">
        <f>IF(EQ33&gt;=Boss参数!$B$66,Boss参数!$B$69,IF(EQ33&gt;=Boss参数!$B$65,Boss参数!$B$68,IF(EQ33&gt;=Boss参数!$B$64,Boss参数!$B$67,0)))</f>
        <v>0.3</v>
      </c>
      <c r="ES33" s="11">
        <f>MIN(1,IF(EQ33&gt;=Boss参数!$B$66,Boss参数!$B$72+ROUNDDOWN((EQ33-Boss参数!$B$66)/Boss参数!$B$73,0)*Boss参数!$B$74,IF(EQ33&gt;=Boss参数!$B$65,Boss参数!$B$71,IF(EQ33&gt;=Boss参数!$B$64,Boss参数!$B$70,0))))</f>
        <v>0.2</v>
      </c>
      <c r="ET33" s="12">
        <f>MIN(Boss参数!$B$61*Boss参数!$B$62,EP33+IF(AND(Boss参数!$B$60=1,ISNUMBER(验证表!H39)),验证表!H39,EU33))</f>
        <v>3438873</v>
      </c>
      <c r="EU33" s="12">
        <f>IF(D33="",0,IF(验证表!G39="是",BV33,IF(验证表!G39="否",BU33,BW33)))</f>
        <v>8412</v>
      </c>
      <c r="EV33" s="12">
        <f>IF(EQ33&gt;=Boss参数!$B$66,2,IF(EQ33&gt;=Boss参数!$B$65,1,0))</f>
        <v>0</v>
      </c>
      <c r="EW33" s="12">
        <f t="shared" si="41"/>
        <v>1</v>
      </c>
      <c r="EX33" s="1">
        <f>IF(D33="",0,INDEX(回合状态!$D$7:$D$17,MATCH(DG33,回合状态!$A$7:$A$17,0)))</f>
        <v>3</v>
      </c>
      <c r="EY33" s="1">
        <f>IF(OR(L33="RHI_ATTACK",L33="RHI_BUFF"),1,IF(L33="RHI_ULT",Boss参数!$B$52,0))</f>
        <v>0</v>
      </c>
      <c r="EZ33" s="1">
        <f>MIN(6,SUMIFS($EY$3:EY33,$EX$3:EX33,"&gt;="&amp;MAX(1,EX33-Boss参数!$B$87+1),$EX$3:EX33,"&lt;="&amp;EX33))</f>
        <v>5</v>
      </c>
      <c r="FA33" s="1">
        <f t="shared" si="68"/>
        <v>16</v>
      </c>
      <c r="FB33" s="17">
        <f>IF(L33="BOSS_CONSERVATIVE",B33+Boss参数!$B$91,FB32)</f>
        <v>0</v>
      </c>
      <c r="FC33" s="17">
        <f t="shared" si="69"/>
        <v>0</v>
      </c>
      <c r="FD33" s="17">
        <f>IF(D33="",FD32,FD32+IF(AND(DG33&lt;&gt;DG32,INDEX(回合状态!$C$7:$C$17,MATCH(DG33,回合状态!$A$7:$A$17,0))&lt;&gt;"洞穿"),1,0))</f>
        <v>3</v>
      </c>
      <c r="FE33" s="17">
        <f>IF(D33="",0,IF(AND(OR(L33="END_TURN",DH33="敌方"),INDEX(回合状态!$C$7:$C$17,MATCH(DG33,回合状态!$A$7:$A$17,0))&lt;&gt;"洞穿",SUMIFS($FE$3:FE32,$DG$3:DG32,DG33)=0),1,0))</f>
        <v>0</v>
      </c>
    </row>
    <row r="34" spans="1:161" ht="84.95" customHeight="1">
      <c r="A34" s="1">
        <f>行动模拟!A40</f>
        <v>32</v>
      </c>
      <c r="B34" s="1">
        <f>IF(D34="",0,INDEX(回合状态!$B$7:$B$17,MATCH(DG34,回合状态!$A$7:$A$17,0)))</f>
        <v>3</v>
      </c>
      <c r="C34" s="1">
        <f>行动模拟!C40</f>
        <v>13</v>
      </c>
      <c r="D34" s="1" t="str">
        <f>IF(行动模拟!D40="","",行动模拟!D40)</f>
        <v>J｜高温回火</v>
      </c>
      <c r="E34" s="1" t="str">
        <f>IF($D34="","",IFERROR(INDEX(技能数据库!$B$4:$B$38,MATCH($D34,技能数据库!$A$4:$A$38,0)),""))</f>
        <v>J</v>
      </c>
      <c r="F34" s="1" t="str">
        <f>IF($D34="","",IFERROR(INDEX(技能数据库!$C$4:$C$38,MATCH($D34,技能数据库!$A$4:$A$38,0)),""))</f>
        <v>高温回火</v>
      </c>
      <c r="G34" s="1">
        <f>IF($D34="","",IFERROR(INDEX(技能数据库!$D$4:$D$38,MATCH($D34,技能数据库!$A$4:$A$38,0)),""))</f>
        <v>0</v>
      </c>
      <c r="H34" s="1" t="str">
        <f>IF($D34="","",IFERROR(INDEX(技能数据库!$E$4:$E$38,MATCH($D34,技能数据库!$A$4:$A$38,0)),""))</f>
        <v>反击</v>
      </c>
      <c r="I34" s="1" t="str">
        <f>IF($D34="","",IFERROR(INDEX(技能数据库!$F$4:$F$38,MATCH($D34,技能数据库!$A$4:$A$38,0)),""))</f>
        <v>现实</v>
      </c>
      <c r="J34" s="1">
        <f>IF($D34="","",IFERROR(INDEX(技能数据库!$G$4:$G$38,MATCH($D34,技能数据库!$A$4:$A$38,0)),""))</f>
        <v>3</v>
      </c>
      <c r="K34" s="1">
        <f>IF($D34="","",IFERROR(INDEX(技能数据库!$H$4:$H$38,MATCH($D34,技能数据库!$A$4:$A$38,0)),""))</f>
        <v>0</v>
      </c>
      <c r="L34" s="1" t="str">
        <f>IF($D34="","",IFERROR(INDEX(技能数据库!$I$4:$I$38,MATCH($D34,技能数据库!$A$4:$A$38,0)),""))</f>
        <v>J_COUNTER</v>
      </c>
      <c r="M34" s="10">
        <v>1</v>
      </c>
      <c r="N34" s="1"/>
      <c r="O34" s="1"/>
      <c r="P34" s="1"/>
      <c r="Q34" s="10">
        <f t="shared" si="0"/>
        <v>0</v>
      </c>
      <c r="R34" s="10">
        <v>0</v>
      </c>
      <c r="S34" s="10">
        <v>0</v>
      </c>
      <c r="T34" s="1">
        <f>行动模拟!I40</f>
        <v>0</v>
      </c>
      <c r="U34" s="1">
        <f>IF(FD34&lt;&gt;FD33,IF(BY33=1,IF(MIN(10,CA33+IF(AND(DG34&lt;&gt;DG33,DH33&lt;&gt;"洞穿",SUMIFS($FE$3:FE33,$DG$3:DG33,DG33)=0,BY33=1),3,0))&gt;=10,2,1),IF(BY33=2,IF(BZ33&lt;=1,0,2),0)),BY33)</f>
        <v>2</v>
      </c>
      <c r="V34" s="1">
        <f>IF(FD34&lt;&gt;FD33,IF(BY33=1,IF(MIN(10,CA33+IF(AND(DG34&lt;&gt;DG33,DH33&lt;&gt;"洞穿",SUMIFS($FE$3:FE33,$DG$3:DG33,DG33)=0,BY33=1),3,0))&gt;=10,2,0),IF(BY33=2,MAX(0,BZ33-1),0)),BZ33)</f>
        <v>1</v>
      </c>
      <c r="W34" s="1">
        <f>IF(AND(FD34&lt;&gt;FD33,BY33=2,BZ33&lt;=1),0,MIN(10,CA33+IF(AND(DG34&lt;&gt;DG33,DH33&lt;&gt;"洞穿",SUMIFS($FE$3:FE33,$DG$3:DG33,DG33)=0,BY33=1),3,0)))</f>
        <v>10</v>
      </c>
      <c r="X34" s="1">
        <f t="shared" si="42"/>
        <v>0</v>
      </c>
      <c r="Y34" s="1">
        <f t="shared" si="43"/>
        <v>0</v>
      </c>
      <c r="Z34" s="1">
        <f t="shared" si="44"/>
        <v>0</v>
      </c>
      <c r="AA34" s="1">
        <f t="shared" si="45"/>
        <v>0</v>
      </c>
      <c r="AB34" s="1">
        <f t="shared" si="46"/>
        <v>3</v>
      </c>
      <c r="AC34" s="1">
        <f t="shared" si="47"/>
        <v>0</v>
      </c>
      <c r="AD34" s="1">
        <f t="shared" si="48"/>
        <v>22</v>
      </c>
      <c r="AE34" s="1">
        <f>IF(D34="",0,IF(DG34&lt;&gt;DG33,IFERROR(INDEX(回合状态!$F$7:$F$17,MATCH(DG34,回合状态!$A$7:$A$17,0)),0),CI33))</f>
        <v>28</v>
      </c>
      <c r="AF34" s="10">
        <f t="shared" si="49"/>
        <v>0.4</v>
      </c>
      <c r="AG34" s="1">
        <f t="shared" si="50"/>
        <v>5</v>
      </c>
      <c r="AH34" s="1">
        <f t="shared" si="51"/>
        <v>5</v>
      </c>
      <c r="AI34" s="1">
        <f t="shared" si="52"/>
        <v>4</v>
      </c>
      <c r="AJ34" s="1">
        <f t="shared" si="53"/>
        <v>5</v>
      </c>
      <c r="AK34" s="1">
        <f t="shared" si="54"/>
        <v>4</v>
      </c>
      <c r="AL34" s="1">
        <f t="shared" si="55"/>
        <v>3</v>
      </c>
      <c r="AM34" s="1">
        <f t="shared" si="56"/>
        <v>20</v>
      </c>
      <c r="AN34" s="1">
        <f t="shared" si="57"/>
        <v>4</v>
      </c>
      <c r="AO34" s="1">
        <f t="shared" si="58"/>
        <v>0</v>
      </c>
      <c r="AP34" s="10">
        <f t="shared" si="59"/>
        <v>0.12</v>
      </c>
      <c r="AQ34" s="1">
        <f t="shared" si="60"/>
        <v>5</v>
      </c>
      <c r="AR34" s="10">
        <f t="shared" si="61"/>
        <v>0.3</v>
      </c>
      <c r="AS34" s="1">
        <f t="shared" si="62"/>
        <v>5</v>
      </c>
      <c r="AT34" s="10">
        <f t="shared" si="63"/>
        <v>0.3</v>
      </c>
      <c r="AU34" s="1">
        <f t="shared" si="64"/>
        <v>5</v>
      </c>
      <c r="AV34" s="1">
        <f>MIN(5,SUMIFS($EL$3:EL34,$B$3:B34,"&gt;="&amp;MAX(1,B34-2),$B$3:B34,"&lt;="&amp;B34)+EC34)</f>
        <v>5</v>
      </c>
      <c r="AW34" s="1">
        <f>MIN(6,SUMIFS($EY$3:EY33,$EX$3:EX33,"&gt;="&amp;MAX(1,EX34-Boss参数!$B$87+1),$EX$3:EX33,"&lt;="&amp;EX34))</f>
        <v>5</v>
      </c>
      <c r="AX34" s="1">
        <f>MIN(4,COUNTIFS($B$3:$B$33,"&gt;="&amp;MAX(1,$B34-2),$B$3:$B$33,"&lt;="&amp;$B34,$L$3:$L$33,"37_FOLLOW"))</f>
        <v>4</v>
      </c>
      <c r="AY34" s="9">
        <f>IF($E34="","",IF($E34="系统",0,ROUNDDOWN(INDEX(角色面板!$C$4:$C$7,MATCH($E34,角色面板!$A$4:$A$7,0))*(1+INDEX(角色面板!$C$11:$C$14,MATCH($E34,角色面板!$A$11:$A$14,0))+IF($E34="小瑞安侬",MAX(IF($B34&lt;=$AQ34,$AP34,0),IF(AND($L34="RHI_ATTACK",$EE34&gt;0),0.11+0.01*$G34,0)),0)+IF($E34="J",$AD34*Boss参数!$B$18,0))+IF(FD34&lt;=$AN34,MIN(Boss参数!$B$21,ROUNDDOWN(角色面板!$C$19*Boss参数!$B$20,0)),0)+IF(AND($B34&lt;=$AK34,$E34&lt;&gt;"小瑞安侬"),$DY34,0),0)))</f>
        <v>3063</v>
      </c>
      <c r="AZ34" s="10">
        <f>IF($E34="","",MAX(0,MIN(1,IFERROR(INDEX(角色面板!$G$18:$G$21,MATCH($E34,角色面板!$A$18:$A$21,0)),0)-FC34*Boss参数!$B$89-Boss参数!$E$4)))</f>
        <v>0.66700000000000004</v>
      </c>
      <c r="BA34" s="10">
        <f>IF(E34="","",(IF($E34="","",IF($E34="红弩箭",Boss参数!$B$80,IF($E34="J",Boss参数!$B$81,IFERROR(INDEX(角色面板!$H$18:$H$21,MATCH($E34,角色面板!$A$18:$A$21,0)),0)))+IF($B34&lt;=$AI34,Boss参数!$B$13,0)+MIN(30,$AM34)*Boss参数!$B$17+IF(AND($L34="LILYA_ULT",$X34&gt;=6),1,0)+IF(AND($Y34=1,$L34="LILYA_INSIGHT"),IF(MOD($AA34+1,3)=0,Boss参数!$B$83,Boss参数!$B$82),IF(AND($Y34=1,$L34="LILYA_FINISH"),Boss参数!$B$84,0))))-FC34*Boss参数!$B$90)</f>
        <v>1.9570000000000001</v>
      </c>
      <c r="BB34" s="10">
        <f>IF($E34="","",IFERROR(INDEX(角色面板!$M$18:$M$21,MATCH($E34,角色面板!$A$18:$A$21,0)),0)+$AW34*Boss参数!$B$12+IF($B34&lt;=$AG34,$AF34,0)+$EI34+IF($L34="LILYA_DIVE",IF($U34=1,IF($G34=1,0.3,IF($G34=2,0.4,0.5)),IF($U34=2,IF($G34=1,0.6,IF($G34=2,0.8,1)),0)),0)+$R34+IF(AND($E34="J",OR($L34="J_COUNTER",$L34="J_HARD")),Boss参数!$B$79,0)+IF(AND(OR(L34="J_COUNTER",L34="J_HARD"),FA34&gt;=Boss参数!$B$59),FA34*Boss参数!$B$40,0))</f>
        <v>0.98000000000000009</v>
      </c>
      <c r="BC34" s="10">
        <f>IF($E34="","",IFERROR(INDEX(角色面板!$K$18:$K$21,MATCH($E34,角色面板!$A$18:$A$21,0)),0)+IF($B34&lt;=$AH34,Boss参数!$B$46,0)+IF($E34="红弩箭",IF($U34=1,0.6,IF($U34=2,1.2,0))+$W34*0.06,0))-DI34*Boss参数!$B$23</f>
        <v>-0.10000000000000003</v>
      </c>
      <c r="BD34" s="10">
        <f>IF($E34="","",IFERROR(INDEX(角色面板!$L$18:$L$21,MATCH($E34,角色面板!$A$18:$A$21,0)),0)+IF($B34&lt;=$AH34,Boss参数!$B$46,0)+IF($E34="J",$AL34*Boss参数!$B$16,0)+IF($E34="红弩箭",$X34*0.025,0)+IF(AND($L34="LILYA_ULT",$X34&gt;=6),1,0))-DI34*Boss参数!$B$23</f>
        <v>0.42</v>
      </c>
      <c r="BE34" s="10">
        <f>IF($E34="","",IF($H34="洞知",IF($E34="红弩箭",$AO34*Boss参数!$B$15,0)+$AX34*Boss参数!$B$14,0))</f>
        <v>0</v>
      </c>
      <c r="BF34" s="10">
        <f t="shared" si="1"/>
        <v>0</v>
      </c>
      <c r="BG34" s="10">
        <f>IF($D34="",0,IF(AND($L34&lt;&gt;"LILYA_DIVE",$L34&lt;&gt;"LILYA_ULT",$L34&lt;&gt;"LILYA_INSIGHT",$L34&lt;&gt;"LILYA_FINISH",$L34&lt;&gt;"37_FOLLOW",$L34&lt;&gt;"RHI_ATTACK",$L34&lt;&gt;"RHI_BERRY",$L34&lt;&gt;"J_COUNTER",$L34&lt;&gt;"J_ULT"),$J34,0)+IF($L34="LILYA_DIVE",$J34+IF($U34=1,IF($G34=1,6,IF($G34=2,12,18)),IF($U34=2,IF($G34=1,12,IF($G34=2,24,36)),0)),0)+IF($L34="LILYA_ULT",$J34+IF($X34&gt;=6,18,0),0)+IF($L34="LILYA_INSIGHT",IF($Y34=1,IF(MOD($AA34+1,3)=0,32,15),0),0)+IF($L34="LILYA_FINISH",IF($Y34=1,50+2.5*$Z34,0),0)+IF($L34="37_FOLLOW",$J34,0)+IF($L34="RHI_ATTACK",$J34*IF($B34&lt;=$AJ34,2,1),0)+IF($L34="RHI_BERRY",15+1.5*$AV34,0)+IF($L34="J_COUNTER",$J34+$AD34*Boss参数!$B$39,0)+IF($L34="J_ULT",$J34+Boss参数!$B$45*MAX(0,$AE34+$AD34-Boss参数!$I$4),0)+$S34)</f>
        <v>4.0999999999999996</v>
      </c>
      <c r="BH34" s="10">
        <f t="shared" si="2"/>
        <v>0</v>
      </c>
      <c r="BI34" s="10">
        <f>IF(E34="","",IF(DT34=1,1+Boss参数!$B$8+AV34*Boss参数!$B$19,1))</f>
        <v>1</v>
      </c>
      <c r="BJ34" s="9">
        <f>IF($I34="现实",Boss参数!$C$4,IF($I34="精神",Boss参数!$D$4,0))</f>
        <v>1200</v>
      </c>
      <c r="BK34" s="9">
        <f>IF($E34="","",MAX($AY34*Boss参数!$B$9,$AY34-$BJ34*(1-$BF34)))</f>
        <v>1863</v>
      </c>
      <c r="BL34" s="10">
        <f>MAX(0,Boss参数!$F$4+IF(DT34=0,Boss参数!$B$27,0)-EJ34)</f>
        <v>1.0999999999999999</v>
      </c>
      <c r="BM34" s="10">
        <f>Boss参数!$G$4+DU34-IF(Y34=1,Boss参数!$B$11,0)</f>
        <v>0.55000000000000004</v>
      </c>
      <c r="BN34" s="10">
        <f>IF($E34="","",MAX(Boss参数!$B$10,1+IFERROR(INDEX(角色面板!$I$18:$I$21,MATCH($E34,角色面板!$A$18:$A$21,0)),0)+$BB34+Boss参数!$H$4-$BM34))</f>
        <v>1.4549999999999998</v>
      </c>
      <c r="BO34" s="10">
        <f>IF(E34="","",IF(OR(L34="J_COUNTER",L34="J_HARD"),MAX(0,1+INDEX(角色面板!$K$18:$K$21,MATCH(E34,角色面板!$A$18:$A$21,0))-DI34*Boss参数!$B$23+IF(OR(Boss参数!$B$43=1,L34="J_HARD"),IF(B34&lt;=AH34,Boss参数!$B$46,0),0)),MAX(0,IF(OR(H34="术法",L34="RHI_BERRY",AND(L34="37_FOLLOW",Boss参数!$B$31=1)),1+BC34,IF(H34="仪式",1+BD34,IF(H34="洞知",EK34,1))))))</f>
        <v>0.89999999999999991</v>
      </c>
      <c r="BP34" s="10">
        <f t="shared" si="3"/>
        <v>1.1000000000000001</v>
      </c>
      <c r="BQ34" s="1">
        <f t="shared" si="4"/>
        <v>10002.353849999996</v>
      </c>
      <c r="BR34" s="1">
        <f t="shared" si="5"/>
        <v>11002.589234999996</v>
      </c>
      <c r="BS34" s="1">
        <f>IF(BH34=0,0,ROUNDDOWN(AY34*BH34,0)*DV34*IF(Boss参数!$B$29=1,BN34,1)*IF(Boss参数!$B$33=1,BO34,1)*IF(Boss参数!$B$76=1,1-ES34,1))</f>
        <v>0</v>
      </c>
      <c r="BT34" s="1">
        <f t="shared" si="6"/>
        <v>0</v>
      </c>
      <c r="BU34" s="9">
        <f>IF(D34="",0,MIN(IF(Boss参数!$B$77=1,Boss参数!$B$63*Boss参数!$B$62,Boss参数!$B$61*Boss参数!$B$62),DW34+ROUNDDOWN(BS34,0)+ROUNDDOWN(DW34*Q34,0)))</f>
        <v>8001</v>
      </c>
      <c r="BV34" s="9">
        <f>IF(D34="",0,MIN(IF(Boss参数!$B$77=1,Boss参数!$B$63*Boss参数!$B$62,Boss参数!$B$61*Boss参数!$B$62),DX34+ROUNDDOWN(BT34,0)+ROUNDDOWN(DX34*Q34,0)))</f>
        <v>8802</v>
      </c>
      <c r="BW34" s="9">
        <f t="shared" si="7"/>
        <v>8535</v>
      </c>
      <c r="BX34" s="1" t="str">
        <f t="shared" si="8"/>
        <v/>
      </c>
      <c r="BY34" s="1">
        <f t="shared" si="9"/>
        <v>2</v>
      </c>
      <c r="BZ34" s="1">
        <f t="shared" si="10"/>
        <v>1</v>
      </c>
      <c r="CA34" s="1">
        <f>MIN(10,W34+IF(AND(L34="LILYA_COBRA",COUNTIF($L$3:L34,"LILYA_COBRA")=1),5,0)+IF(AND(L34="LILYA_DIVE",U34=1,COUNTIFS($DG$3:DG34,DG34,$L$3:L34,"LILYA_DIVE")=1),2,0)+IF(AND(FE34=1,U34=1),3,0))</f>
        <v>10</v>
      </c>
      <c r="CB34" s="1">
        <f>MIN(20,MAX(0,X34+IF(L34="LILYA_COBRA",IF(COUNTIF($L$3:L34,"LILYA_COBRA")=1,6,IF(U34=1,MAX(1,G34),IF(U34=2,2*MAX(1,G34),0))),0)+IF(AND(Y34=1,E34="红弩箭",L34&lt;&gt;"ENTER_INSIGHT"),1,0)-IF(AND(L34="LILYA_ULT",X34&gt;=6),6,0)))</f>
        <v>0</v>
      </c>
      <c r="CC34" s="1">
        <f t="shared" si="11"/>
        <v>0</v>
      </c>
      <c r="CD34" s="1">
        <f t="shared" si="12"/>
        <v>0</v>
      </c>
      <c r="CE34" s="1">
        <f t="shared" si="13"/>
        <v>0</v>
      </c>
      <c r="CF34" s="1">
        <f t="shared" si="14"/>
        <v>4</v>
      </c>
      <c r="CG34" s="1">
        <f t="shared" si="15"/>
        <v>0</v>
      </c>
      <c r="CH34" s="1">
        <f>MIN(35,AD34+IF(L34="J_HARD",6,0)+IF(L34="J_COUNTER",Boss参数!$B$30,0))</f>
        <v>24</v>
      </c>
      <c r="CI34" s="1">
        <f>MIN(Boss参数!$I$4,AE34+IF(L34="J_HARD",6,0)+IF(L34="J_ULT",AD34,0)+IF(L34="J_COUNTER",Boss参数!$B$30,0))</f>
        <v>30</v>
      </c>
      <c r="CJ34" s="10">
        <f>IF(L34="J_ULT",AD34*Boss参数!$B$41,IF(B34&lt;=AG34,AF34,0))</f>
        <v>0.4</v>
      </c>
      <c r="CK34" s="1">
        <f t="shared" si="16"/>
        <v>5</v>
      </c>
      <c r="CL34" s="1">
        <f t="shared" si="17"/>
        <v>5</v>
      </c>
      <c r="CM34" s="1">
        <f t="shared" si="18"/>
        <v>4</v>
      </c>
      <c r="CN34" s="1">
        <f t="shared" si="19"/>
        <v>5</v>
      </c>
      <c r="CO34" s="1">
        <f t="shared" si="20"/>
        <v>4</v>
      </c>
      <c r="CP34" s="1">
        <f t="shared" si="21"/>
        <v>3</v>
      </c>
      <c r="CQ34" s="1">
        <f t="shared" si="22"/>
        <v>20</v>
      </c>
      <c r="CR34" s="1">
        <f t="shared" si="23"/>
        <v>4</v>
      </c>
      <c r="CS34" s="1">
        <f t="shared" si="24"/>
        <v>0</v>
      </c>
      <c r="CT34" s="10">
        <f t="shared" si="25"/>
        <v>0.12</v>
      </c>
      <c r="CU34" s="1">
        <f t="shared" si="26"/>
        <v>5</v>
      </c>
      <c r="CV34" s="10">
        <f t="shared" si="27"/>
        <v>0.3</v>
      </c>
      <c r="CW34" s="1">
        <f t="shared" si="28"/>
        <v>5</v>
      </c>
      <c r="CX34" s="10">
        <f t="shared" si="29"/>
        <v>0.3</v>
      </c>
      <c r="CY34" s="1">
        <f t="shared" si="30"/>
        <v>5</v>
      </c>
      <c r="CZ34" s="1"/>
      <c r="DA34" s="1"/>
      <c r="DB34" s="1"/>
      <c r="DC34" s="1"/>
      <c r="DD34" s="1"/>
      <c r="DE34" s="1"/>
      <c r="DF34" s="1"/>
      <c r="DG34" s="1">
        <f>IF(D34="","",行动模拟!B40)</f>
        <v>3</v>
      </c>
      <c r="DH34" s="1" t="str">
        <f>IF(L34="END_TURN","回合结束",IF(D34="","",IF(INDEX(回合状态!$C$7:$C$17,MATCH(DG34,回合状态!$A$7:$A$17,0))="洞穿","洞穿",IF(OR(L34="J_COUNTER",L34="BOSS_ACTION",L34="BOSS_CONSERVATIVE"),"敌方",IF(AND(L34="37_FOLLOW",DG34=DG33,DH33="敌方"),"敌方",IF(INDEX(回合状态!$C$7:$C$17,MATCH(DG34,回合状态!$A$7:$A$17,0))="普通","出牌",INDEX(回合状态!$C$7:$C$17,MATCH(DG34,回合状态!$A$7:$A$17,0))))))))</f>
        <v>敌方</v>
      </c>
      <c r="DI34" s="1">
        <f t="shared" si="31"/>
        <v>0</v>
      </c>
      <c r="DJ34" s="1">
        <f>IF(D34="",0,MIN(Boss参数!$B$25,IF(OR(AND(DH34="敌方",OR(DH33&lt;&gt;"敌方",DG34&lt;&gt;DG33)),AND(L34="END_TURN",DH34&lt;&gt;"洞穿"),AND(DG34&lt;&gt;DG33,DH33&lt;&gt;"洞穿",L33&lt;&gt;"END_TURN",COUNTIFS($DG$3:DG33,DG33,$DH$3:DH33,"敌方")=0)),EW34,DN33)))</f>
        <v>2</v>
      </c>
      <c r="DK34" s="1">
        <f>IF(D34="",0,MIN(Boss参数!$B$25,IF(OR(AND(DH34="敌方",OR(DH33&lt;&gt;"敌方",DG34&lt;&gt;DG33)),AND(L34="END_TURN",DH34&lt;&gt;"洞穿"),AND(DG34&lt;&gt;DG33,DH33&lt;&gt;"洞穿",L33&lt;&gt;"END_TURN",COUNTIFS($DG$3:DG33,DG33,$DH$3:DH33,"敌方")=0)),EW34,DO33)))</f>
        <v>2</v>
      </c>
      <c r="DL34" s="1">
        <f>IF(D34="",0,MIN(Boss参数!$B$25,IF(OR(AND(DH34="敌方",OR(DH33&lt;&gt;"敌方",DG34&lt;&gt;DG33)),AND(L34="END_TURN",DH34&lt;&gt;"洞穿"),AND(DG34&lt;&gt;DG33,DH33&lt;&gt;"洞穿",L33&lt;&gt;"END_TURN",COUNTIFS($DG$3:DG33,DG33,$DH$3:DH33,"敌方")=0)),EW34,DP33)))</f>
        <v>2</v>
      </c>
      <c r="DM34" s="1">
        <f>IF(D34="",0,MIN(Boss参数!$B$25,IF(OR(AND(DH34="敌方",OR(DH33&lt;&gt;"敌方",DG34&lt;&gt;DG33)),AND(L34="END_TURN",DH34&lt;&gt;"洞穿"),AND(DG34&lt;&gt;DG33,DH33&lt;&gt;"洞穿",L33&lt;&gt;"END_TURN",COUNTIFS($DG$3:DG33,DG33,$DH$3:DH33,"敌方")=0)),EW34,DQ33)))</f>
        <v>0</v>
      </c>
      <c r="DN34" s="1">
        <f>MAX(0,MIN(Boss参数!$B$25,DJ34+DR34)-IF(E34="红弩箭",2*DR34,0))</f>
        <v>2</v>
      </c>
      <c r="DO34" s="1">
        <f>MAX(0,MIN(Boss参数!$B$25,DK34+DR34)-IF(E34="37",2*DR34,0))</f>
        <v>2</v>
      </c>
      <c r="DP34" s="1">
        <f>MAX(0,MIN(Boss参数!$B$25,DL34+DR34)-IF(E34="小瑞安侬",2*DR34,0))</f>
        <v>2</v>
      </c>
      <c r="DQ34" s="1">
        <f>MAX(0,MIN(Boss参数!$B$25,DM34+DR34)-IF(E34="J",2*DR34,0))</f>
        <v>0</v>
      </c>
      <c r="DR34" s="1">
        <f t="shared" si="32"/>
        <v>0</v>
      </c>
      <c r="DS34" s="1">
        <f t="shared" si="33"/>
        <v>0</v>
      </c>
      <c r="DT34" s="1">
        <f>IF(OR(E34="",E34="系统"),0,IF(OR(AND(DS34=1,Boss参数!$B$32=1),L34="RHI_BERRY",OR(AND(INDEX(角色面板!$B$18:$B$21,MATCH(E34,角色面板!$A$18:$A$21,0))="星",Boss参数!$B$4="岩"),AND(INDEX(角色面板!$B$18:$B$21,MATCH(E34,角色面板!$A$18:$A$21,0))="岩",Boss参数!$B$4="兽"),AND(INDEX(角色面板!$B$18:$B$21,MATCH(E34,角色面板!$A$18:$A$21,0))="兽",Boss参数!$B$4="木"),AND(INDEX(角色面板!$B$18:$B$21,MATCH(E34,角色面板!$A$18:$A$21,0))="木",Boss参数!$B$4="星"),AND(INDEX(角色面板!$B$18:$B$21,MATCH(E34,角色面板!$A$18:$A$21,0))="智",Boss参数!$B$4="灵"),AND(INDEX(角色面板!$B$18:$B$21,MATCH(E34,角色面板!$A$18:$A$21,0))="灵",Boss参数!$B$4="智"))),1,0))</f>
        <v>0</v>
      </c>
      <c r="DU34" s="1">
        <f>IF(D34="",0,INDEX(回合状态!$E$7:$E$17,MATCH(DG34,回合状态!$A$7:$A$17,0))+IF(AND(DH34="敌方",OR(INDEX(回合状态!$C$7:$C$17,MATCH(DG34,回合状态!$A$7:$A$17,0))="普通",INDEX(回合状态!$C$7:$C$17,MATCH(DG34,回合状态!$A$7:$A$17,0))="额外")),0.05,0))</f>
        <v>0.15000000000000002</v>
      </c>
      <c r="DV34" s="1">
        <f>MAX(Boss参数!$B$28,1+IF(AND(E34="37",AC34&gt;0,BH34&gt;0),Boss参数!$B$42,0)-DI34*Boss参数!$B$24+EA34-ER34)</f>
        <v>0.7</v>
      </c>
      <c r="DW34" s="1">
        <f>MIN(IF(Boss参数!$B$77=1,Boss参数!$B$63*Boss参数!$B$62,Boss参数!$B$61*Boss参数!$B$62),ROUNDDOWN(BQ34*(1-ES34),0))</f>
        <v>8001</v>
      </c>
      <c r="DX34" s="1">
        <f>MIN(IF(Boss参数!$B$77=1,Boss参数!$B$63*Boss参数!$B$62,Boss参数!$B$61*Boss参数!$B$62),ROUNDDOWN(BR34*(1-ES34),0))</f>
        <v>8802</v>
      </c>
      <c r="DY34" s="1">
        <f t="shared" si="65"/>
        <v>238</v>
      </c>
      <c r="DZ34" s="1">
        <f>IF(L34="RHI_ULT",MIN(Boss参数!$B$48,ROUNDDOWN(AY34*Boss参数!$B$47,0)),DY34)</f>
        <v>238</v>
      </c>
      <c r="EA34" s="11">
        <v>0</v>
      </c>
      <c r="EB34" s="1">
        <f t="shared" si="34"/>
        <v>0</v>
      </c>
      <c r="EC34" s="1">
        <f>SUMIFS($EB$3:EB34,$B$3:B34,"&gt;="&amp;MAX(1,B34-2),$B$3:B34,"&lt;="&amp;B34)*Boss参数!$B$51</f>
        <v>12</v>
      </c>
      <c r="ED34" s="1">
        <f>IF(D34="",EG33,IF(AND(DG34&lt;&gt;DG33,DH34&lt;&gt;"洞穿"),MIN(Boss参数!$B$55,EG33+2),EG33))</f>
        <v>0</v>
      </c>
      <c r="EE34" s="1">
        <f t="shared" si="35"/>
        <v>0</v>
      </c>
      <c r="EF34" s="1">
        <f>IF(AND(OR(L34="END_TURN",AND(DH34="敌方",OR(DH33&lt;&gt;"敌方",DG34&lt;&gt;DG33))),SUMIFS($EF$3:EF33,$DG$3:DG33,DG34)=0),MIN(1,MAX(0,ED34-EE34)),0)</f>
        <v>0</v>
      </c>
      <c r="EG34" s="1">
        <f t="shared" si="36"/>
        <v>0</v>
      </c>
      <c r="EH34" s="11">
        <f>Boss参数!$B$53-IF(Y34=1,Boss参数!$B$54,0)</f>
        <v>0</v>
      </c>
      <c r="EI34" s="11">
        <f t="shared" si="37"/>
        <v>0.3</v>
      </c>
      <c r="EJ34" s="11">
        <f t="shared" si="38"/>
        <v>0.3</v>
      </c>
      <c r="EK34" s="11">
        <f t="shared" si="39"/>
        <v>1</v>
      </c>
      <c r="EL34" s="1">
        <f t="shared" si="66"/>
        <v>0</v>
      </c>
      <c r="EM34" s="1">
        <f>IF(AND(DG34&lt;&gt;DG33,DH34="洞穿"),0,IF(L34="ENTER_INSIGHT",Boss参数!$B$57,EO33))</f>
        <v>0</v>
      </c>
      <c r="EN34" s="11">
        <f>IF(AND(Y34=1,H34="洞知",EM34&gt;0),Boss参数!$B$56,0)</f>
        <v>0</v>
      </c>
      <c r="EO34" s="1">
        <f t="shared" si="40"/>
        <v>0</v>
      </c>
      <c r="EP34" s="12">
        <f t="shared" si="67"/>
        <v>3438873</v>
      </c>
      <c r="EQ34" s="12">
        <f>ROUNDDOWN(EP34/Boss参数!$B$62,0)</f>
        <v>34</v>
      </c>
      <c r="ER34" s="11">
        <f>IF(EQ34&gt;=Boss参数!$B$66,Boss参数!$B$69,IF(EQ34&gt;=Boss参数!$B$65,Boss参数!$B$68,IF(EQ34&gt;=Boss参数!$B$64,Boss参数!$B$67,0)))</f>
        <v>0.3</v>
      </c>
      <c r="ES34" s="11">
        <f>MIN(1,IF(EQ34&gt;=Boss参数!$B$66,Boss参数!$B$72+ROUNDDOWN((EQ34-Boss参数!$B$66)/Boss参数!$B$73,0)*Boss参数!$B$74,IF(EQ34&gt;=Boss参数!$B$65,Boss参数!$B$71,IF(EQ34&gt;=Boss参数!$B$64,Boss参数!$B$70,0))))</f>
        <v>0.2</v>
      </c>
      <c r="ET34" s="12">
        <f>MIN(Boss参数!$B$61*Boss参数!$B$62,EP34+IF(AND(Boss参数!$B$60=1,ISNUMBER(验证表!H40)),验证表!H40,EU34))</f>
        <v>3446874</v>
      </c>
      <c r="EU34" s="12">
        <f>IF(D34="",0,IF(验证表!G40="是",BV34,IF(验证表!G40="否",BU34,BW34)))</f>
        <v>8001</v>
      </c>
      <c r="EV34" s="12">
        <f>IF(EQ34&gt;=Boss参数!$B$66,2,IF(EQ34&gt;=Boss参数!$B$65,1,0))</f>
        <v>0</v>
      </c>
      <c r="EW34" s="12">
        <f t="shared" si="41"/>
        <v>1</v>
      </c>
      <c r="EX34" s="1">
        <f>IF(D34="",0,INDEX(回合状态!$D$7:$D$17,MATCH(DG34,回合状态!$A$7:$A$17,0)))</f>
        <v>3</v>
      </c>
      <c r="EY34" s="1">
        <f>IF(OR(L34="RHI_ATTACK",L34="RHI_BUFF"),1,IF(L34="RHI_ULT",Boss参数!$B$52,0))</f>
        <v>0</v>
      </c>
      <c r="EZ34" s="1">
        <f>MIN(6,SUMIFS($EY$3:EY34,$EX$3:EX34,"&gt;="&amp;MAX(1,EX34-Boss参数!$B$87+1),$EX$3:EX34,"&lt;="&amp;EX34))</f>
        <v>5</v>
      </c>
      <c r="FA34" s="1">
        <f t="shared" si="68"/>
        <v>16</v>
      </c>
      <c r="FB34" s="17">
        <f>IF(L34="BOSS_CONSERVATIVE",B34+Boss参数!$B$91,FB33)</f>
        <v>0</v>
      </c>
      <c r="FC34" s="17">
        <f t="shared" si="69"/>
        <v>0</v>
      </c>
      <c r="FD34" s="17">
        <f>IF(D34="",FD33,FD33+IF(AND(DG34&lt;&gt;DG33,INDEX(回合状态!$C$7:$C$17,MATCH(DG34,回合状态!$A$7:$A$17,0))&lt;&gt;"洞穿"),1,0))</f>
        <v>3</v>
      </c>
      <c r="FE34" s="17">
        <f>IF(D34="",0,IF(AND(OR(L34="END_TURN",DH34="敌方"),INDEX(回合状态!$C$7:$C$17,MATCH(DG34,回合状态!$A$7:$A$17,0))&lt;&gt;"洞穿",SUMIFS($FE$3:FE33,$DG$3:DG33,DG34)=0),1,0))</f>
        <v>0</v>
      </c>
    </row>
    <row r="35" spans="1:161" ht="84.95" customHeight="1">
      <c r="A35" s="1">
        <f>行动模拟!A41</f>
        <v>33</v>
      </c>
      <c r="B35" s="1">
        <f>IF(D35="",0,INDEX(回合状态!$B$7:$B$17,MATCH(DG35,回合状态!$A$7:$A$17,0)))</f>
        <v>3</v>
      </c>
      <c r="C35" s="1">
        <f>行动模拟!C41</f>
        <v>1</v>
      </c>
      <c r="D35" s="1" t="str">
        <f>IF(行动模拟!D41="","",行动模拟!D41)</f>
        <v>系统｜进入弱点洞穿</v>
      </c>
      <c r="E35" s="1" t="str">
        <f>IF($D35="","",IFERROR(INDEX(技能数据库!$B$4:$B$38,MATCH($D35,技能数据库!$A$4:$A$38,0)),""))</f>
        <v>系统</v>
      </c>
      <c r="F35" s="1" t="str">
        <f>IF($D35="","",IFERROR(INDEX(技能数据库!$C$4:$C$38,MATCH($D35,技能数据库!$A$4:$A$38,0)),""))</f>
        <v>进入弱点洞穿</v>
      </c>
      <c r="G35" s="1">
        <f>IF($D35="","",IFERROR(INDEX(技能数据库!$D$4:$D$38,MATCH($D35,技能数据库!$A$4:$A$38,0)),""))</f>
        <v>0</v>
      </c>
      <c r="H35" s="1" t="str">
        <f>IF($D35="","",IFERROR(INDEX(技能数据库!$E$4:$E$38,MATCH($D35,技能数据库!$A$4:$A$38,0)),""))</f>
        <v>系统</v>
      </c>
      <c r="I35" s="1" t="str">
        <f>IF($D35="","",IFERROR(INDEX(技能数据库!$F$4:$F$38,MATCH($D35,技能数据库!$A$4:$A$38,0)),""))</f>
        <v>无</v>
      </c>
      <c r="J35" s="1">
        <f>IF($D35="","",IFERROR(INDEX(技能数据库!$G$4:$G$38,MATCH($D35,技能数据库!$A$4:$A$38,0)),""))</f>
        <v>0</v>
      </c>
      <c r="K35" s="1">
        <f>IF($D35="","",IFERROR(INDEX(技能数据库!$H$4:$H$38,MATCH($D35,技能数据库!$A$4:$A$38,0)),""))</f>
        <v>0</v>
      </c>
      <c r="L35" s="1" t="str">
        <f>IF($D35="","",IFERROR(INDEX(技能数据库!$I$4:$I$38,MATCH($D35,技能数据库!$A$4:$A$38,0)),""))</f>
        <v>ENTER_INSIGHT</v>
      </c>
      <c r="M35" s="10">
        <v>1</v>
      </c>
      <c r="N35" s="1"/>
      <c r="O35" s="1"/>
      <c r="P35" s="1"/>
      <c r="Q35" s="10">
        <f t="shared" si="0"/>
        <v>0</v>
      </c>
      <c r="R35" s="10">
        <v>0</v>
      </c>
      <c r="S35" s="10">
        <v>0</v>
      </c>
      <c r="T35" s="1">
        <f>行动模拟!I41</f>
        <v>0</v>
      </c>
      <c r="U35" s="1">
        <f>IF(FD35&lt;&gt;FD34,IF(BY34=1,IF(MIN(10,CA34+IF(AND(DG35&lt;&gt;DG34,DH34&lt;&gt;"洞穿",SUMIFS($FE$3:FE34,$DG$3:DG34,DG34)=0,BY34=1),3,0))&gt;=10,2,1),IF(BY34=2,IF(BZ34&lt;=1,0,2),0)),BY34)</f>
        <v>2</v>
      </c>
      <c r="V35" s="1">
        <f>IF(FD35&lt;&gt;FD34,IF(BY34=1,IF(MIN(10,CA34+IF(AND(DG35&lt;&gt;DG34,DH34&lt;&gt;"洞穿",SUMIFS($FE$3:FE34,$DG$3:DG34,DG34)=0,BY34=1),3,0))&gt;=10,2,0),IF(BY34=2,MAX(0,BZ34-1),0)),BZ34)</f>
        <v>1</v>
      </c>
      <c r="W35" s="1">
        <f>IF(AND(FD35&lt;&gt;FD34,BY34=2,BZ34&lt;=1),0,MIN(10,CA34+IF(AND(DG35&lt;&gt;DG34,DH34&lt;&gt;"洞穿",SUMIFS($FE$3:FE34,$DG$3:DG34,DG34)=0,BY34=1),3,0)))</f>
        <v>10</v>
      </c>
      <c r="X35" s="1">
        <f t="shared" si="42"/>
        <v>0</v>
      </c>
      <c r="Y35" s="1">
        <f t="shared" si="43"/>
        <v>1</v>
      </c>
      <c r="Z35" s="1">
        <f t="shared" si="44"/>
        <v>0</v>
      </c>
      <c r="AA35" s="1">
        <f t="shared" si="45"/>
        <v>0</v>
      </c>
      <c r="AB35" s="1">
        <f t="shared" si="46"/>
        <v>4</v>
      </c>
      <c r="AC35" s="1">
        <f t="shared" si="47"/>
        <v>0</v>
      </c>
      <c r="AD35" s="1">
        <f t="shared" si="48"/>
        <v>24</v>
      </c>
      <c r="AE35" s="1">
        <f>IF(D35="",0,IF(DG35&lt;&gt;DG34,IFERROR(INDEX(回合状态!$F$7:$F$17,MATCH(DG35,回合状态!$A$7:$A$17,0)),0),CI34))</f>
        <v>15</v>
      </c>
      <c r="AF35" s="10">
        <f t="shared" si="49"/>
        <v>0.4</v>
      </c>
      <c r="AG35" s="1">
        <f t="shared" si="50"/>
        <v>5</v>
      </c>
      <c r="AH35" s="1">
        <f t="shared" si="51"/>
        <v>5</v>
      </c>
      <c r="AI35" s="1">
        <f t="shared" si="52"/>
        <v>4</v>
      </c>
      <c r="AJ35" s="1">
        <f t="shared" si="53"/>
        <v>5</v>
      </c>
      <c r="AK35" s="1">
        <f t="shared" si="54"/>
        <v>4</v>
      </c>
      <c r="AL35" s="1">
        <f t="shared" si="55"/>
        <v>3</v>
      </c>
      <c r="AM35" s="1">
        <f t="shared" si="56"/>
        <v>20</v>
      </c>
      <c r="AN35" s="1">
        <f t="shared" si="57"/>
        <v>4</v>
      </c>
      <c r="AO35" s="1">
        <f t="shared" si="58"/>
        <v>0</v>
      </c>
      <c r="AP35" s="10">
        <f t="shared" si="59"/>
        <v>0.12</v>
      </c>
      <c r="AQ35" s="1">
        <f t="shared" si="60"/>
        <v>5</v>
      </c>
      <c r="AR35" s="10">
        <f t="shared" si="61"/>
        <v>0.3</v>
      </c>
      <c r="AS35" s="1">
        <f t="shared" si="62"/>
        <v>5</v>
      </c>
      <c r="AT35" s="10">
        <f t="shared" si="63"/>
        <v>0.3</v>
      </c>
      <c r="AU35" s="1">
        <f t="shared" si="64"/>
        <v>5</v>
      </c>
      <c r="AV35" s="1">
        <f>MIN(5,SUMIFS($EL$3:EL35,$B$3:B35,"&gt;="&amp;MAX(1,B35-2),$B$3:B35,"&lt;="&amp;B35)+EC35)</f>
        <v>5</v>
      </c>
      <c r="AW35" s="1">
        <f>MIN(6,SUMIFS($EY$3:EY34,$EX$3:EX34,"&gt;="&amp;MAX(1,EX35-Boss参数!$B$87+1),$EX$3:EX34,"&lt;="&amp;EX35))</f>
        <v>4</v>
      </c>
      <c r="AX35" s="1">
        <f>MIN(4,COUNTIFS($B$3:$B$34,"&gt;="&amp;MAX(1,$B35-2),$B$3:$B$34,"&lt;="&amp;$B35,$L$3:$L$34,"37_FOLLOW"))</f>
        <v>4</v>
      </c>
      <c r="AY35" s="9">
        <f>IF($E35="","",IF($E35="系统",0,ROUNDDOWN(INDEX(角色面板!$C$4:$C$7,MATCH($E35,角色面板!$A$4:$A$7,0))*(1+INDEX(角色面板!$C$11:$C$14,MATCH($E35,角色面板!$A$11:$A$14,0))+IF($E35="小瑞安侬",MAX(IF($B35&lt;=$AQ35,$AP35,0),IF(AND($L35="RHI_ATTACK",$EE35&gt;0),0.11+0.01*$G35,0)),0)+IF($E35="J",$AD35*Boss参数!$B$18,0))+IF(FD35&lt;=$AN35,MIN(Boss参数!$B$21,ROUNDDOWN(角色面板!$C$19*Boss参数!$B$20,0)),0)+IF(AND($B35&lt;=$AK35,$E35&lt;&gt;"小瑞安侬"),$DY35,0),0)))</f>
        <v>0</v>
      </c>
      <c r="AZ35" s="10">
        <f>IF($E35="","",MAX(0,MIN(1,IFERROR(INDEX(角色面板!$G$18:$G$21,MATCH($E35,角色面板!$A$18:$A$21,0)),0)-FC35*Boss参数!$B$89-Boss参数!$E$4)))</f>
        <v>0</v>
      </c>
      <c r="BA35" s="10">
        <f>IF(E35="","",(IF($E35="","",IF($E35="红弩箭",Boss参数!$B$80,IF($E35="J",Boss参数!$B$81,IFERROR(INDEX(角色面板!$H$18:$H$21,MATCH($E35,角色面板!$A$18:$A$21,0)),0)))+IF($B35&lt;=$AI35,Boss参数!$B$13,0)+MIN(30,$AM35)*Boss参数!$B$17+IF(AND($L35="LILYA_ULT",$X35&gt;=6),1,0)+IF(AND($Y35=1,$L35="LILYA_INSIGHT"),IF(MOD($AA35+1,3)=0,Boss参数!$B$83,Boss参数!$B$82),IF(AND($Y35=1,$L35="LILYA_FINISH"),Boss参数!$B$84,0))))-FC35*Boss参数!$B$90)</f>
        <v>0.24</v>
      </c>
      <c r="BB35" s="10">
        <f>IF($E35="","",IFERROR(INDEX(角色面板!$M$18:$M$21,MATCH($E35,角色面板!$A$18:$A$21,0)),0)+$AW35*Boss参数!$B$12+IF($B35&lt;=$AG35,$AF35,0)+$EI35+IF($L35="LILYA_DIVE",IF($U35=1,IF($G35=1,0.3,IF($G35=2,0.4,0.5)),IF($U35=2,IF($G35=1,0.6,IF($G35=2,0.8,1)),0)),0)+$R35+IF(AND($E35="J",OR($L35="J_COUNTER",$L35="J_HARD")),Boss参数!$B$79,0)+IF(AND(OR(L35="J_COUNTER",L35="J_HARD"),FA35&gt;=Boss参数!$B$59),FA35*Boss参数!$B$40,0))</f>
        <v>0.78</v>
      </c>
      <c r="BC35" s="10">
        <f>IF($E35="","",IFERROR(INDEX(角色面板!$K$18:$K$21,MATCH($E35,角色面板!$A$18:$A$21,0)),0)+IF($B35&lt;=$AH35,Boss参数!$B$46,0)+IF($E35="红弩箭",IF($U35=1,0.6,IF($U35=2,1.2,0))+$W35*0.06,0))-DI35*Boss参数!$B$23</f>
        <v>0.3</v>
      </c>
      <c r="BD35" s="10">
        <f>IF($E35="","",IFERROR(INDEX(角色面板!$L$18:$L$21,MATCH($E35,角色面板!$A$18:$A$21,0)),0)+IF($B35&lt;=$AH35,Boss参数!$B$46,0)+IF($E35="J",$AL35*Boss参数!$B$16,0)+IF($E35="红弩箭",$X35*0.025,0)+IF(AND($L35="LILYA_ULT",$X35&gt;=6),1,0))-DI35*Boss参数!$B$23</f>
        <v>0.3</v>
      </c>
      <c r="BE35" s="10">
        <f>IF($E35="","",IF($H35="洞知",IF($E35="红弩箭",$AO35*Boss参数!$B$15,0)+$AX35*Boss参数!$B$14,0))</f>
        <v>0</v>
      </c>
      <c r="BF35" s="10">
        <f t="shared" si="1"/>
        <v>0</v>
      </c>
      <c r="BG35" s="10">
        <f>IF($D35="",0,IF(AND($L35&lt;&gt;"LILYA_DIVE",$L35&lt;&gt;"LILYA_ULT",$L35&lt;&gt;"LILYA_INSIGHT",$L35&lt;&gt;"LILYA_FINISH",$L35&lt;&gt;"37_FOLLOW",$L35&lt;&gt;"RHI_ATTACK",$L35&lt;&gt;"RHI_BERRY",$L35&lt;&gt;"J_COUNTER",$L35&lt;&gt;"J_ULT"),$J35,0)+IF($L35="LILYA_DIVE",$J35+IF($U35=1,IF($G35=1,6,IF($G35=2,12,18)),IF($U35=2,IF($G35=1,12,IF($G35=2,24,36)),0)),0)+IF($L35="LILYA_ULT",$J35+IF($X35&gt;=6,18,0),0)+IF($L35="LILYA_INSIGHT",IF($Y35=1,IF(MOD($AA35+1,3)=0,32,15),0),0)+IF($L35="LILYA_FINISH",IF($Y35=1,50+2.5*$Z35,0),0)+IF($L35="37_FOLLOW",$J35,0)+IF($L35="RHI_ATTACK",$J35*IF($B35&lt;=$AJ35,2,1),0)+IF($L35="RHI_BERRY",15+1.5*$AV35,0)+IF($L35="J_COUNTER",$J35+$AD35*Boss参数!$B$39,0)+IF($L35="J_ULT",$J35+Boss参数!$B$45*MAX(0,$AE35+$AD35-Boss参数!$I$4),0)+$S35)</f>
        <v>0</v>
      </c>
      <c r="BH35" s="10">
        <f t="shared" si="2"/>
        <v>0</v>
      </c>
      <c r="BI35" s="10">
        <f>IF(E35="","",IF(DT35=1,1+Boss参数!$B$8+AV35*Boss参数!$B$19,1))</f>
        <v>1</v>
      </c>
      <c r="BJ35" s="9">
        <f>IF($I35="现实",Boss参数!$C$4,IF($I35="精神",Boss参数!$D$4,0))</f>
        <v>0</v>
      </c>
      <c r="BK35" s="9">
        <f>IF($E35="","",MAX($AY35*Boss参数!$B$9,$AY35-$BJ35*(1-$BF35)))</f>
        <v>0</v>
      </c>
      <c r="BL35" s="10">
        <f>MAX(0,Boss参数!$F$4+IF(DT35=0,Boss参数!$B$27,0)-EJ35)</f>
        <v>1.0999999999999999</v>
      </c>
      <c r="BM35" s="10">
        <f>Boss参数!$G$4+DU35-IF(Y35=1,Boss参数!$B$11,0)</f>
        <v>0.15000000000000002</v>
      </c>
      <c r="BN35" s="10">
        <f>IF($E35="","",MAX(Boss参数!$B$10,1+IFERROR(INDEX(角色面板!$I$18:$I$21,MATCH($E35,角色面板!$A$18:$A$21,0)),0)+$BB35+Boss参数!$H$4-$BM35))</f>
        <v>1.63</v>
      </c>
      <c r="BO35" s="10">
        <f>IF(E35="","",IF(OR(L35="J_COUNTER",L35="J_HARD"),MAX(0,1+INDEX(角色面板!$K$18:$K$21,MATCH(E35,角色面板!$A$18:$A$21,0))-DI35*Boss参数!$B$23+IF(OR(Boss参数!$B$43=1,L35="J_HARD"),IF(B35&lt;=AH35,Boss参数!$B$46,0),0)),MAX(0,IF(OR(H35="术法",L35="RHI_BERRY",AND(L35="37_FOLLOW",Boss参数!$B$31=1)),1+BC35,IF(H35="仪式",1+BD35,IF(H35="洞知",EK35,1))))))</f>
        <v>1</v>
      </c>
      <c r="BP35" s="10">
        <f t="shared" si="3"/>
        <v>1.1000000000000001</v>
      </c>
      <c r="BQ35" s="1">
        <f t="shared" si="4"/>
        <v>0</v>
      </c>
      <c r="BR35" s="1">
        <f t="shared" si="5"/>
        <v>0</v>
      </c>
      <c r="BS35" s="1">
        <f>IF(BH35=0,0,ROUNDDOWN(AY35*BH35,0)*DV35*IF(Boss参数!$B$29=1,BN35,1)*IF(Boss参数!$B$33=1,BO35,1)*IF(Boss参数!$B$76=1,1-ES35,1))</f>
        <v>0</v>
      </c>
      <c r="BT35" s="1">
        <f t="shared" si="6"/>
        <v>0</v>
      </c>
      <c r="BU35" s="9">
        <f>IF(D35="",0,MIN(IF(Boss参数!$B$77=1,Boss参数!$B$63*Boss参数!$B$62,Boss参数!$B$61*Boss参数!$B$62),DW35+ROUNDDOWN(BS35,0)+ROUNDDOWN(DW35*Q35,0)))</f>
        <v>0</v>
      </c>
      <c r="BV35" s="9">
        <f>IF(D35="",0,MIN(IF(Boss参数!$B$77=1,Boss参数!$B$63*Boss参数!$B$62,Boss参数!$B$61*Boss参数!$B$62),DX35+ROUNDDOWN(BT35,0)+ROUNDDOWN(DX35*Q35,0)))</f>
        <v>0</v>
      </c>
      <c r="BW35" s="9">
        <f t="shared" si="7"/>
        <v>0</v>
      </c>
      <c r="BX35" s="1" t="str">
        <f t="shared" si="8"/>
        <v/>
      </c>
      <c r="BY35" s="1">
        <f t="shared" si="9"/>
        <v>2</v>
      </c>
      <c r="BZ35" s="1">
        <f t="shared" si="10"/>
        <v>1</v>
      </c>
      <c r="CA35" s="1">
        <f>MIN(10,W35+IF(AND(L35="LILYA_COBRA",COUNTIF($L$3:L35,"LILYA_COBRA")=1),5,0)+IF(AND(L35="LILYA_DIVE",U35=1,COUNTIFS($DG$3:DG35,DG35,$L$3:L35,"LILYA_DIVE")=1),2,0)+IF(AND(FE35=1,U35=1),3,0))</f>
        <v>10</v>
      </c>
      <c r="CB35" s="1">
        <f>MIN(20,MAX(0,X35+IF(L35="LILYA_COBRA",IF(COUNTIF($L$3:L35,"LILYA_COBRA")=1,6,IF(U35=1,MAX(1,G35),IF(U35=2,2*MAX(1,G35),0))),0)+IF(AND(Y35=1,E35="红弩箭",L35&lt;&gt;"ENTER_INSIGHT"),1,0)-IF(AND(L35="LILYA_ULT",X35&gt;=6),6,0)))</f>
        <v>0</v>
      </c>
      <c r="CC35" s="1">
        <f t="shared" si="11"/>
        <v>1</v>
      </c>
      <c r="CD35" s="1">
        <f t="shared" si="12"/>
        <v>0</v>
      </c>
      <c r="CE35" s="1">
        <f t="shared" si="13"/>
        <v>0</v>
      </c>
      <c r="CF35" s="1">
        <f t="shared" si="14"/>
        <v>4</v>
      </c>
      <c r="CG35" s="1">
        <f t="shared" si="15"/>
        <v>0</v>
      </c>
      <c r="CH35" s="1">
        <f>MIN(35,AD35+IF(L35="J_HARD",6,0)+IF(L35="J_COUNTER",Boss参数!$B$30,0))</f>
        <v>24</v>
      </c>
      <c r="CI35" s="1">
        <f>MIN(Boss参数!$I$4,AE35+IF(L35="J_HARD",6,0)+IF(L35="J_ULT",AD35,0)+IF(L35="J_COUNTER",Boss参数!$B$30,0))</f>
        <v>15</v>
      </c>
      <c r="CJ35" s="10">
        <f>IF(L35="J_ULT",AD35*Boss参数!$B$41,IF(B35&lt;=AG35,AF35,0))</f>
        <v>0.4</v>
      </c>
      <c r="CK35" s="1">
        <f t="shared" si="16"/>
        <v>5</v>
      </c>
      <c r="CL35" s="1">
        <f t="shared" si="17"/>
        <v>5</v>
      </c>
      <c r="CM35" s="1">
        <f t="shared" si="18"/>
        <v>4</v>
      </c>
      <c r="CN35" s="1">
        <f t="shared" si="19"/>
        <v>5</v>
      </c>
      <c r="CO35" s="1">
        <f t="shared" si="20"/>
        <v>4</v>
      </c>
      <c r="CP35" s="1">
        <f t="shared" si="21"/>
        <v>3</v>
      </c>
      <c r="CQ35" s="1">
        <f t="shared" si="22"/>
        <v>20</v>
      </c>
      <c r="CR35" s="1">
        <f t="shared" si="23"/>
        <v>4</v>
      </c>
      <c r="CS35" s="1">
        <f t="shared" si="24"/>
        <v>0</v>
      </c>
      <c r="CT35" s="10">
        <f t="shared" si="25"/>
        <v>0.12</v>
      </c>
      <c r="CU35" s="1">
        <f t="shared" si="26"/>
        <v>5</v>
      </c>
      <c r="CV35" s="10">
        <f t="shared" si="27"/>
        <v>0.3</v>
      </c>
      <c r="CW35" s="1">
        <f t="shared" si="28"/>
        <v>5</v>
      </c>
      <c r="CX35" s="10">
        <f t="shared" si="29"/>
        <v>0.3</v>
      </c>
      <c r="CY35" s="1">
        <f t="shared" si="30"/>
        <v>5</v>
      </c>
      <c r="CZ35" s="1"/>
      <c r="DA35" s="1"/>
      <c r="DB35" s="1"/>
      <c r="DC35" s="1"/>
      <c r="DD35" s="1"/>
      <c r="DE35" s="1"/>
      <c r="DF35" s="1"/>
      <c r="DG35" s="1" t="str">
        <f>IF(D35="","",行动模拟!B41)</f>
        <v>洞知</v>
      </c>
      <c r="DH35" s="1" t="str">
        <f>IF(L35="END_TURN","回合结束",IF(D35="","",IF(INDEX(回合状态!$C$7:$C$17,MATCH(DG35,回合状态!$A$7:$A$17,0))="洞穿","洞穿",IF(OR(L35="J_COUNTER",L35="BOSS_ACTION",L35="BOSS_CONSERVATIVE"),"敌方",IF(AND(L35="37_FOLLOW",DG35=DG34,DH34="敌方"),"敌方",IF(INDEX(回合状态!$C$7:$C$17,MATCH(DG35,回合状态!$A$7:$A$17,0))="普通","出牌",INDEX(回合状态!$C$7:$C$17,MATCH(DG35,回合状态!$A$7:$A$17,0))))))))</f>
        <v>洞穿</v>
      </c>
      <c r="DI35" s="1">
        <f t="shared" si="31"/>
        <v>0</v>
      </c>
      <c r="DJ35" s="1">
        <f>IF(D35="",0,MIN(Boss参数!$B$25,IF(OR(AND(DH35="敌方",OR(DH34&lt;&gt;"敌方",DG35&lt;&gt;DG34)),AND(L35="END_TURN",DH35&lt;&gt;"洞穿"),AND(DG35&lt;&gt;DG34,DH34&lt;&gt;"洞穿",L34&lt;&gt;"END_TURN",COUNTIFS($DG$3:DG34,DG34,$DH$3:DH34,"敌方")=0)),EW35,DN34)))</f>
        <v>2</v>
      </c>
      <c r="DK35" s="1">
        <f>IF(D35="",0,MIN(Boss参数!$B$25,IF(OR(AND(DH35="敌方",OR(DH34&lt;&gt;"敌方",DG35&lt;&gt;DG34)),AND(L35="END_TURN",DH35&lt;&gt;"洞穿"),AND(DG35&lt;&gt;DG34,DH34&lt;&gt;"洞穿",L34&lt;&gt;"END_TURN",COUNTIFS($DG$3:DG34,DG34,$DH$3:DH34,"敌方")=0)),EW35,DO34)))</f>
        <v>2</v>
      </c>
      <c r="DL35" s="1">
        <f>IF(D35="",0,MIN(Boss参数!$B$25,IF(OR(AND(DH35="敌方",OR(DH34&lt;&gt;"敌方",DG35&lt;&gt;DG34)),AND(L35="END_TURN",DH35&lt;&gt;"洞穿"),AND(DG35&lt;&gt;DG34,DH34&lt;&gt;"洞穿",L34&lt;&gt;"END_TURN",COUNTIFS($DG$3:DG34,DG34,$DH$3:DH34,"敌方")=0)),EW35,DP34)))</f>
        <v>2</v>
      </c>
      <c r="DM35" s="1">
        <f>IF(D35="",0,MIN(Boss参数!$B$25,IF(OR(AND(DH35="敌方",OR(DH34&lt;&gt;"敌方",DG35&lt;&gt;DG34)),AND(L35="END_TURN",DH35&lt;&gt;"洞穿"),AND(DG35&lt;&gt;DG34,DH34&lt;&gt;"洞穿",L34&lt;&gt;"END_TURN",COUNTIFS($DG$3:DG34,DG34,$DH$3:DH34,"敌方")=0)),EW35,DQ34)))</f>
        <v>0</v>
      </c>
      <c r="DN35" s="1">
        <f>MAX(0,MIN(Boss参数!$B$25,DJ35+DR35)-IF(E35="红弩箭",2*DR35,0))</f>
        <v>2</v>
      </c>
      <c r="DO35" s="1">
        <f>MAX(0,MIN(Boss参数!$B$25,DK35+DR35)-IF(E35="37",2*DR35,0))</f>
        <v>2</v>
      </c>
      <c r="DP35" s="1">
        <f>MAX(0,MIN(Boss参数!$B$25,DL35+DR35)-IF(E35="小瑞安侬",2*DR35,0))</f>
        <v>2</v>
      </c>
      <c r="DQ35" s="1">
        <f>MAX(0,MIN(Boss参数!$B$25,DM35+DR35)-IF(E35="J",2*DR35,0))</f>
        <v>0</v>
      </c>
      <c r="DR35" s="1">
        <f t="shared" si="32"/>
        <v>0</v>
      </c>
      <c r="DS35" s="1">
        <f t="shared" si="33"/>
        <v>0</v>
      </c>
      <c r="DT35" s="1">
        <f>IF(OR(E35="",E35="系统"),0,IF(OR(AND(DS35=1,Boss参数!$B$32=1),L35="RHI_BERRY",OR(AND(INDEX(角色面板!$B$18:$B$21,MATCH(E35,角色面板!$A$18:$A$21,0))="星",Boss参数!$B$4="岩"),AND(INDEX(角色面板!$B$18:$B$21,MATCH(E35,角色面板!$A$18:$A$21,0))="岩",Boss参数!$B$4="兽"),AND(INDEX(角色面板!$B$18:$B$21,MATCH(E35,角色面板!$A$18:$A$21,0))="兽",Boss参数!$B$4="木"),AND(INDEX(角色面板!$B$18:$B$21,MATCH(E35,角色面板!$A$18:$A$21,0))="木",Boss参数!$B$4="星"),AND(INDEX(角色面板!$B$18:$B$21,MATCH(E35,角色面板!$A$18:$A$21,0))="智",Boss参数!$B$4="灵"),AND(INDEX(角色面板!$B$18:$B$21,MATCH(E35,角色面板!$A$18:$A$21,0))="灵",Boss参数!$B$4="智"))),1,0))</f>
        <v>0</v>
      </c>
      <c r="DU35" s="1">
        <f>IF(D35="",0,INDEX(回合状态!$E$7:$E$17,MATCH(DG35,回合状态!$A$7:$A$17,0))+IF(AND(DH35="敌方",OR(INDEX(回合状态!$C$7:$C$17,MATCH(DG35,回合状态!$A$7:$A$17,0))="普通",INDEX(回合状态!$C$7:$C$17,MATCH(DG35,回合状态!$A$7:$A$17,0))="额外")),0.05,0))</f>
        <v>0.15000000000000002</v>
      </c>
      <c r="DV35" s="1">
        <f>MAX(Boss参数!$B$28,1+IF(AND(E35="37",AC35&gt;0,BH35&gt;0),Boss参数!$B$42,0)-DI35*Boss参数!$B$24+EA35-ER35)</f>
        <v>0.7</v>
      </c>
      <c r="DW35" s="1">
        <f>MIN(IF(Boss参数!$B$77=1,Boss参数!$B$63*Boss参数!$B$62,Boss参数!$B$61*Boss参数!$B$62),ROUNDDOWN(BQ35*(1-ES35),0))</f>
        <v>0</v>
      </c>
      <c r="DX35" s="1">
        <f>MIN(IF(Boss参数!$B$77=1,Boss参数!$B$63*Boss参数!$B$62,Boss参数!$B$61*Boss参数!$B$62),ROUNDDOWN(BR35*(1-ES35),0))</f>
        <v>0</v>
      </c>
      <c r="DY35" s="1">
        <f t="shared" si="65"/>
        <v>238</v>
      </c>
      <c r="DZ35" s="1">
        <f>IF(L35="RHI_ULT",MIN(Boss参数!$B$48,ROUNDDOWN(AY35*Boss参数!$B$47,0)),DY35)</f>
        <v>238</v>
      </c>
      <c r="EA35" s="11">
        <v>0</v>
      </c>
      <c r="EB35" s="1">
        <f t="shared" si="34"/>
        <v>0</v>
      </c>
      <c r="EC35" s="1">
        <f>SUMIFS($EB$3:EB35,$B$3:B35,"&gt;="&amp;MAX(1,B35-2),$B$3:B35,"&lt;="&amp;B35)*Boss参数!$B$51</f>
        <v>12</v>
      </c>
      <c r="ED35" s="1">
        <f>IF(D35="",EG34,IF(AND(DG35&lt;&gt;DG34,DH35&lt;&gt;"洞穿"),MIN(Boss参数!$B$55,EG34+2),EG34))</f>
        <v>0</v>
      </c>
      <c r="EE35" s="1">
        <f t="shared" si="35"/>
        <v>0</v>
      </c>
      <c r="EF35" s="1">
        <f>IF(AND(OR(L35="END_TURN",AND(DH35="敌方",OR(DH34&lt;&gt;"敌方",DG35&lt;&gt;DG34))),SUMIFS($EF$3:EF34,$DG$3:DG34,DG35)=0),MIN(1,MAX(0,ED35-EE35)),0)</f>
        <v>0</v>
      </c>
      <c r="EG35" s="1">
        <f t="shared" si="36"/>
        <v>0</v>
      </c>
      <c r="EH35" s="11">
        <f>Boss参数!$B$53-IF(Y35=1,Boss参数!$B$54,0)</f>
        <v>-0.4</v>
      </c>
      <c r="EI35" s="11">
        <f t="shared" si="37"/>
        <v>0.3</v>
      </c>
      <c r="EJ35" s="11">
        <f t="shared" si="38"/>
        <v>0.3</v>
      </c>
      <c r="EK35" s="11">
        <f t="shared" si="39"/>
        <v>1.4</v>
      </c>
      <c r="EL35" s="1">
        <f t="shared" si="66"/>
        <v>0</v>
      </c>
      <c r="EM35" s="1">
        <f>IF(AND(DG35&lt;&gt;DG34,DH35="洞穿"),0,IF(L35="ENTER_INSIGHT",Boss参数!$B$57,EO34))</f>
        <v>0</v>
      </c>
      <c r="EN35" s="11">
        <f>IF(AND(Y35=1,H35="洞知",EM35&gt;0),Boss参数!$B$56,0)</f>
        <v>0</v>
      </c>
      <c r="EO35" s="1">
        <f t="shared" si="40"/>
        <v>0</v>
      </c>
      <c r="EP35" s="12">
        <f t="shared" si="67"/>
        <v>3446874</v>
      </c>
      <c r="EQ35" s="12">
        <f>ROUNDDOWN(EP35/Boss参数!$B$62,0)</f>
        <v>34</v>
      </c>
      <c r="ER35" s="11">
        <f>IF(EQ35&gt;=Boss参数!$B$66,Boss参数!$B$69,IF(EQ35&gt;=Boss参数!$B$65,Boss参数!$B$68,IF(EQ35&gt;=Boss参数!$B$64,Boss参数!$B$67,0)))</f>
        <v>0.3</v>
      </c>
      <c r="ES35" s="11">
        <f>MIN(1,IF(EQ35&gt;=Boss参数!$B$66,Boss参数!$B$72+ROUNDDOWN((EQ35-Boss参数!$B$66)/Boss参数!$B$73,0)*Boss参数!$B$74,IF(EQ35&gt;=Boss参数!$B$65,Boss参数!$B$71,IF(EQ35&gt;=Boss参数!$B$64,Boss参数!$B$70,0))))</f>
        <v>0.2</v>
      </c>
      <c r="ET35" s="12">
        <f>MIN(Boss参数!$B$61*Boss参数!$B$62,EP35+IF(AND(Boss参数!$B$60=1,ISNUMBER(验证表!H41)),验证表!H41,EU35))</f>
        <v>3446874</v>
      </c>
      <c r="EU35" s="12">
        <f>IF(D35="",0,IF(验证表!G41="是",BV35,IF(验证表!G41="否",BU35,BW35)))</f>
        <v>0</v>
      </c>
      <c r="EV35" s="12">
        <f>IF(EQ35&gt;=Boss参数!$B$66,2,IF(EQ35&gt;=Boss参数!$B$65,1,0))</f>
        <v>0</v>
      </c>
      <c r="EW35" s="12">
        <f t="shared" si="41"/>
        <v>1</v>
      </c>
      <c r="EX35" s="1">
        <f>IF(D35="",0,INDEX(回合状态!$D$7:$D$17,MATCH(DG35,回合状态!$A$7:$A$17,0)))</f>
        <v>4</v>
      </c>
      <c r="EY35" s="1">
        <f>IF(OR(L35="RHI_ATTACK",L35="RHI_BUFF"),1,IF(L35="RHI_ULT",Boss参数!$B$52,0))</f>
        <v>0</v>
      </c>
      <c r="EZ35" s="1">
        <f>MIN(6,SUMIFS($EY$3:EY35,$EX$3:EX35,"&gt;="&amp;MAX(1,EX35-Boss参数!$B$87+1),$EX$3:EX35,"&lt;="&amp;EX35))</f>
        <v>4</v>
      </c>
      <c r="FA35" s="1">
        <f t="shared" si="68"/>
        <v>24</v>
      </c>
      <c r="FB35" s="17">
        <f>IF(L35="BOSS_CONSERVATIVE",B35+Boss参数!$B$91,FB34)</f>
        <v>0</v>
      </c>
      <c r="FC35" s="17">
        <f t="shared" si="69"/>
        <v>0</v>
      </c>
      <c r="FD35" s="17">
        <f>IF(D35="",FD34,FD34+IF(AND(DG35&lt;&gt;DG34,INDEX(回合状态!$C$7:$C$17,MATCH(DG35,回合状态!$A$7:$A$17,0))&lt;&gt;"洞穿"),1,0))</f>
        <v>3</v>
      </c>
      <c r="FE35" s="17">
        <f>IF(D35="",0,IF(AND(OR(L35="END_TURN",DH35="敌方"),INDEX(回合状态!$C$7:$C$17,MATCH(DG35,回合状态!$A$7:$A$17,0))&lt;&gt;"洞穿",SUMIFS($FE$3:FE34,$DG$3:DG34,DG35)=0),1,0))</f>
        <v>0</v>
      </c>
    </row>
    <row r="36" spans="1:161" ht="84.95" customHeight="1">
      <c r="A36" s="1">
        <f>行动模拟!A42</f>
        <v>34</v>
      </c>
      <c r="B36" s="1">
        <f>IF(D36="",0,INDEX(回合状态!$B$7:$B$17,MATCH(DG36,回合状态!$A$7:$A$17,0)))</f>
        <v>3</v>
      </c>
      <c r="C36" s="1">
        <f>行动模拟!C42</f>
        <v>2</v>
      </c>
      <c r="D36" s="1" t="str">
        <f>IF(行动模拟!D42="","",行动模拟!D42)</f>
        <v>红弩箭｜洞知咒语</v>
      </c>
      <c r="E36" s="1" t="str">
        <f>IF($D36="","",IFERROR(INDEX(技能数据库!$B$4:$B$38,MATCH($D36,技能数据库!$A$4:$A$38,0)),""))</f>
        <v>红弩箭</v>
      </c>
      <c r="F36" s="1" t="str">
        <f>IF($D36="","",IFERROR(INDEX(技能数据库!$C$4:$C$38,MATCH($D36,技能数据库!$A$4:$A$38,0)),""))</f>
        <v>洞知咒语</v>
      </c>
      <c r="G36" s="1">
        <f>IF($D36="","",IFERROR(INDEX(技能数据库!$D$4:$D$38,MATCH($D36,技能数据库!$A$4:$A$38,0)),""))</f>
        <v>0</v>
      </c>
      <c r="H36" s="1" t="str">
        <f>IF($D36="","",IFERROR(INDEX(技能数据库!$E$4:$E$38,MATCH($D36,技能数据库!$A$4:$A$38,0)),""))</f>
        <v>洞知</v>
      </c>
      <c r="I36" s="1" t="str">
        <f>IF($D36="","",IFERROR(INDEX(技能数据库!$F$4:$F$38,MATCH($D36,技能数据库!$A$4:$A$38,0)),""))</f>
        <v>现实</v>
      </c>
      <c r="J36" s="1">
        <f>IF($D36="","",IFERROR(INDEX(技能数据库!$G$4:$G$38,MATCH($D36,技能数据库!$A$4:$A$38,0)),""))</f>
        <v>15</v>
      </c>
      <c r="K36" s="1">
        <f>IF($D36="","",IFERROR(INDEX(技能数据库!$H$4:$H$38,MATCH($D36,技能数据库!$A$4:$A$38,0)),""))</f>
        <v>0</v>
      </c>
      <c r="L36" s="1" t="str">
        <f>IF($D36="","",IFERROR(INDEX(技能数据库!$I$4:$I$38,MATCH($D36,技能数据库!$A$4:$A$38,0)),""))</f>
        <v>LILYA_INSIGHT</v>
      </c>
      <c r="M36" s="10">
        <v>1</v>
      </c>
      <c r="N36" s="1"/>
      <c r="O36" s="1"/>
      <c r="P36" s="1"/>
      <c r="Q36" s="10">
        <f t="shared" si="0"/>
        <v>0</v>
      </c>
      <c r="R36" s="10">
        <v>0</v>
      </c>
      <c r="S36" s="10">
        <v>0</v>
      </c>
      <c r="T36" s="1">
        <f>行动模拟!I42</f>
        <v>0</v>
      </c>
      <c r="U36" s="1">
        <f>IF(FD36&lt;&gt;FD35,IF(BY35=1,IF(MIN(10,CA35+IF(AND(DG36&lt;&gt;DG35,DH35&lt;&gt;"洞穿",SUMIFS($FE$3:FE35,$DG$3:DG35,DG35)=0,BY35=1),3,0))&gt;=10,2,1),IF(BY35=2,IF(BZ35&lt;=1,0,2),0)),BY35)</f>
        <v>2</v>
      </c>
      <c r="V36" s="1">
        <f>IF(FD36&lt;&gt;FD35,IF(BY35=1,IF(MIN(10,CA35+IF(AND(DG36&lt;&gt;DG35,DH35&lt;&gt;"洞穿",SUMIFS($FE$3:FE35,$DG$3:DG35,DG35)=0,BY35=1),3,0))&gt;=10,2,0),IF(BY35=2,MAX(0,BZ35-1),0)),BZ35)</f>
        <v>1</v>
      </c>
      <c r="W36" s="1">
        <f>IF(AND(FD36&lt;&gt;FD35,BY35=2,BZ35&lt;=1),0,MIN(10,CA35+IF(AND(DG36&lt;&gt;DG35,DH35&lt;&gt;"洞穿",SUMIFS($FE$3:FE35,$DG$3:DG35,DG35)=0,BY35=1),3,0)))</f>
        <v>10</v>
      </c>
      <c r="X36" s="1">
        <f t="shared" si="42"/>
        <v>0</v>
      </c>
      <c r="Y36" s="1">
        <f t="shared" si="43"/>
        <v>1</v>
      </c>
      <c r="Z36" s="1">
        <f t="shared" si="44"/>
        <v>0</v>
      </c>
      <c r="AA36" s="1">
        <f t="shared" si="45"/>
        <v>0</v>
      </c>
      <c r="AB36" s="1">
        <f t="shared" si="46"/>
        <v>4</v>
      </c>
      <c r="AC36" s="1">
        <f t="shared" si="47"/>
        <v>0</v>
      </c>
      <c r="AD36" s="1">
        <f t="shared" si="48"/>
        <v>24</v>
      </c>
      <c r="AE36" s="1">
        <f>IF(D36="",0,IF(DG36&lt;&gt;DG35,IFERROR(INDEX(回合状态!$F$7:$F$17,MATCH(DG36,回合状态!$A$7:$A$17,0)),0),CI35))</f>
        <v>15</v>
      </c>
      <c r="AF36" s="10">
        <f t="shared" si="49"/>
        <v>0.4</v>
      </c>
      <c r="AG36" s="1">
        <f t="shared" si="50"/>
        <v>5</v>
      </c>
      <c r="AH36" s="1">
        <f t="shared" si="51"/>
        <v>5</v>
      </c>
      <c r="AI36" s="1">
        <f t="shared" si="52"/>
        <v>4</v>
      </c>
      <c r="AJ36" s="1">
        <f t="shared" si="53"/>
        <v>5</v>
      </c>
      <c r="AK36" s="1">
        <f t="shared" si="54"/>
        <v>4</v>
      </c>
      <c r="AL36" s="1">
        <f t="shared" si="55"/>
        <v>3</v>
      </c>
      <c r="AM36" s="1">
        <f t="shared" si="56"/>
        <v>20</v>
      </c>
      <c r="AN36" s="1">
        <f t="shared" si="57"/>
        <v>4</v>
      </c>
      <c r="AO36" s="1">
        <f t="shared" si="58"/>
        <v>0</v>
      </c>
      <c r="AP36" s="10">
        <f t="shared" si="59"/>
        <v>0.12</v>
      </c>
      <c r="AQ36" s="1">
        <f t="shared" si="60"/>
        <v>5</v>
      </c>
      <c r="AR36" s="10">
        <f t="shared" si="61"/>
        <v>0.3</v>
      </c>
      <c r="AS36" s="1">
        <f t="shared" si="62"/>
        <v>5</v>
      </c>
      <c r="AT36" s="10">
        <f t="shared" si="63"/>
        <v>0.3</v>
      </c>
      <c r="AU36" s="1">
        <f t="shared" si="64"/>
        <v>5</v>
      </c>
      <c r="AV36" s="1">
        <f>MIN(5,SUMIFS($EL$3:EL36,$B$3:B36,"&gt;="&amp;MAX(1,B36-2),$B$3:B36,"&lt;="&amp;B36)+EC36)</f>
        <v>5</v>
      </c>
      <c r="AW36" s="1">
        <f>MIN(6,SUMIFS($EY$3:EY35,$EX$3:EX35,"&gt;="&amp;MAX(1,EX36-Boss参数!$B$87+1),$EX$3:EX35,"&lt;="&amp;EX36))</f>
        <v>4</v>
      </c>
      <c r="AX36" s="1">
        <f>MIN(4,COUNTIFS($B$3:$B$35,"&gt;="&amp;MAX(1,$B36-2),$B$3:$B$35,"&lt;="&amp;$B36,$L$3:$L$35,"37_FOLLOW"))</f>
        <v>4</v>
      </c>
      <c r="AY36" s="9">
        <f>IF($E36="","",IF($E36="系统",0,ROUNDDOWN(INDEX(角色面板!$C$4:$C$7,MATCH($E36,角色面板!$A$4:$A$7,0))*(1+INDEX(角色面板!$C$11:$C$14,MATCH($E36,角色面板!$A$11:$A$14,0))+IF($E36="小瑞安侬",MAX(IF($B36&lt;=$AQ36,$AP36,0),IF(AND($L36="RHI_ATTACK",$EE36&gt;0),0.11+0.01*$G36,0)),0)+IF($E36="J",$AD36*Boss参数!$B$18,0))+IF(FD36&lt;=$AN36,MIN(Boss参数!$B$21,ROUNDDOWN(角色面板!$C$19*Boss参数!$B$20,0)),0)+IF(AND($B36&lt;=$AK36,$E36&lt;&gt;"小瑞安侬"),$DY36,0),0)))</f>
        <v>3493</v>
      </c>
      <c r="AZ36" s="10">
        <f>IF($E36="","",MAX(0,MIN(1,IFERROR(INDEX(角色面板!$G$18:$G$21,MATCH($E36,角色面板!$A$18:$A$21,0)),0)-FC36*Boss参数!$B$89-Boss参数!$E$4)))</f>
        <v>1</v>
      </c>
      <c r="BA36" s="10">
        <f>IF(E36="","",(IF($E36="","",IF($E36="红弩箭",Boss参数!$B$80,IF($E36="J",Boss参数!$B$81,IFERROR(INDEX(角色面板!$H$18:$H$21,MATCH($E36,角色面板!$A$18:$A$21,0)),0)))+IF($B36&lt;=$AI36,Boss参数!$B$13,0)+MIN(30,$AM36)*Boss参数!$B$17+IF(AND($L36="LILYA_ULT",$X36&gt;=6),1,0)+IF(AND($Y36=1,$L36="LILYA_INSIGHT"),IF(MOD($AA36+1,3)=0,Boss参数!$B$83,Boss参数!$B$82),IF(AND($Y36=1,$L36="LILYA_FINISH"),Boss参数!$B$84,0))))-FC36*Boss参数!$B$90)</f>
        <v>2.8650000000000002</v>
      </c>
      <c r="BB36" s="10">
        <f>IF($E36="","",IFERROR(INDEX(角色面板!$M$18:$M$21,MATCH($E36,角色面板!$A$18:$A$21,0)),0)+$AW36*Boss参数!$B$12+IF($B36&lt;=$AG36,$AF36,0)+$EI36+IF($L36="LILYA_DIVE",IF($U36=1,IF($G36=1,0.3,IF($G36=2,0.4,0.5)),IF($U36=2,IF($G36=1,0.6,IF($G36=2,0.8,1)),0)),0)+$R36+IF(AND($E36="J",OR($L36="J_COUNTER",$L36="J_HARD")),Boss参数!$B$79,0)+IF(AND(OR(L36="J_COUNTER",L36="J_HARD"),FA36&gt;=Boss参数!$B$59),FA36*Boss参数!$B$40,0))</f>
        <v>1.02</v>
      </c>
      <c r="BC36" s="10">
        <f>IF($E36="","",IFERROR(INDEX(角色面板!$K$18:$K$21,MATCH($E36,角色面板!$A$18:$A$21,0)),0)+IF($B36&lt;=$AH36,Boss参数!$B$46,0)+IF($E36="红弩箭",IF($U36=1,0.6,IF($U36=2,1.2,0))+$W36*0.06,0))-DI36*Boss参数!$B$23</f>
        <v>1.3999999999999997</v>
      </c>
      <c r="BD36" s="10">
        <f>IF($E36="","",IFERROR(INDEX(角色面板!$L$18:$L$21,MATCH($E36,角色面板!$A$18:$A$21,0)),0)+IF($B36&lt;=$AH36,Boss参数!$B$46,0)+IF($E36="J",$AL36*Boss参数!$B$16,0)+IF($E36="红弩箭",$X36*0.025,0)+IF(AND($L36="LILYA_ULT",$X36&gt;=6),1,0))-DI36*Boss参数!$B$23</f>
        <v>0</v>
      </c>
      <c r="BE36" s="10">
        <f>IF($E36="","",IF($H36="洞知",IF($E36="红弩箭",$AO36*Boss参数!$B$15,0)+$AX36*Boss参数!$B$14,0))</f>
        <v>0.16</v>
      </c>
      <c r="BF36" s="10">
        <f t="shared" si="1"/>
        <v>0</v>
      </c>
      <c r="BG36" s="10">
        <f>IF($D36="",0,IF(AND($L36&lt;&gt;"LILYA_DIVE",$L36&lt;&gt;"LILYA_ULT",$L36&lt;&gt;"LILYA_INSIGHT",$L36&lt;&gt;"LILYA_FINISH",$L36&lt;&gt;"37_FOLLOW",$L36&lt;&gt;"RHI_ATTACK",$L36&lt;&gt;"RHI_BERRY",$L36&lt;&gt;"J_COUNTER",$L36&lt;&gt;"J_ULT"),$J36,0)+IF($L36="LILYA_DIVE",$J36+IF($U36=1,IF($G36=1,6,IF($G36=2,12,18)),IF($U36=2,IF($G36=1,12,IF($G36=2,24,36)),0)),0)+IF($L36="LILYA_ULT",$J36+IF($X36&gt;=6,18,0),0)+IF($L36="LILYA_INSIGHT",IF($Y36=1,IF(MOD($AA36+1,3)=0,32,15),0),0)+IF($L36="LILYA_FINISH",IF($Y36=1,50+2.5*$Z36,0),0)+IF($L36="37_FOLLOW",$J36,0)+IF($L36="RHI_ATTACK",$J36*IF($B36&lt;=$AJ36,2,1),0)+IF($L36="RHI_BERRY",15+1.5*$AV36,0)+IF($L36="J_COUNTER",$J36+$AD36*Boss参数!$B$39,0)+IF($L36="J_ULT",$J36+Boss参数!$B$45*MAX(0,$AE36+$AD36-Boss参数!$I$4),0)+$S36)</f>
        <v>15</v>
      </c>
      <c r="BH36" s="10">
        <f t="shared" si="2"/>
        <v>0</v>
      </c>
      <c r="BI36" s="10">
        <f>IF(E36="","",IF(DT36=1,1+Boss参数!$B$8+AV36*Boss参数!$B$19,1))</f>
        <v>1.5</v>
      </c>
      <c r="BJ36" s="9">
        <f>IF($I36="现实",Boss参数!$C$4,IF($I36="精神",Boss参数!$D$4,0))</f>
        <v>1200</v>
      </c>
      <c r="BK36" s="9">
        <f>IF($E36="","",MAX($AY36*Boss参数!$B$9,$AY36-$BJ36*(1-$BF36)))</f>
        <v>2293</v>
      </c>
      <c r="BL36" s="10">
        <f>MAX(0,Boss参数!$F$4+IF(DT36=0,Boss参数!$B$27,0)-EJ36)</f>
        <v>0.10000000000000003</v>
      </c>
      <c r="BM36" s="10">
        <f>Boss参数!$G$4+DU36-IF(Y36=1,Boss参数!$B$11,0)</f>
        <v>0.15000000000000002</v>
      </c>
      <c r="BN36" s="10">
        <f>IF($E36="","",MAX(Boss参数!$B$10,1+IFERROR(INDEX(角色面板!$I$18:$I$21,MATCH($E36,角色面板!$A$18:$A$21,0)),0)+$BB36+Boss参数!$H$4-$BM36))</f>
        <v>1.9700000000000002</v>
      </c>
      <c r="BO36" s="10">
        <f>IF(E36="","",IF(OR(L36="J_COUNTER",L36="J_HARD"),MAX(0,1+INDEX(角色面板!$K$18:$K$21,MATCH(E36,角色面板!$A$18:$A$21,0))-DI36*Boss参数!$B$23+IF(OR(Boss参数!$B$43=1,L36="J_HARD"),IF(B36&lt;=AH36,Boss参数!$B$46,0),0)),MAX(0,IF(OR(H36="术法",L36="RHI_BERRY",AND(L36="37_FOLLOW",Boss参数!$B$31=1)),1+BC36,IF(H36="仪式",1+BD36,IF(H36="洞知",EK36,1))))))</f>
        <v>1.56</v>
      </c>
      <c r="BP36" s="10">
        <f t="shared" si="3"/>
        <v>2.7650000000000001</v>
      </c>
      <c r="BQ36" s="1">
        <f t="shared" si="4"/>
        <v>158554.07100000003</v>
      </c>
      <c r="BR36" s="1">
        <f t="shared" si="5"/>
        <v>438402.00631500006</v>
      </c>
      <c r="BS36" s="1">
        <f>IF(BH36=0,0,ROUNDDOWN(AY36*BH36,0)*DV36*IF(Boss参数!$B$29=1,BN36,1)*IF(Boss参数!$B$33=1,BO36,1)*IF(Boss参数!$B$76=1,1-ES36,1))</f>
        <v>0</v>
      </c>
      <c r="BT36" s="1">
        <f t="shared" si="6"/>
        <v>0</v>
      </c>
      <c r="BU36" s="9">
        <f>IF(D36="",0,MIN(IF(Boss参数!$B$77=1,Boss参数!$B$63*Boss参数!$B$62,Boss参数!$B$61*Boss参数!$B$62),DW36+ROUNDDOWN(BS36,0)+ROUNDDOWN(DW36*Q36,0)))</f>
        <v>126843</v>
      </c>
      <c r="BV36" s="9">
        <f>IF(D36="",0,MIN(IF(Boss参数!$B$77=1,Boss参数!$B$63*Boss参数!$B$62,Boss参数!$B$61*Boss参数!$B$62),DX36+ROUNDDOWN(BT36,0)+ROUNDDOWN(DX36*Q36,0)))</f>
        <v>350721</v>
      </c>
      <c r="BW36" s="9">
        <f t="shared" si="7"/>
        <v>350721</v>
      </c>
      <c r="BX36" s="1" t="str">
        <f t="shared" si="8"/>
        <v/>
      </c>
      <c r="BY36" s="1">
        <f t="shared" si="9"/>
        <v>2</v>
      </c>
      <c r="BZ36" s="1">
        <f t="shared" si="10"/>
        <v>1</v>
      </c>
      <c r="CA36" s="1">
        <f>MIN(10,W36+IF(AND(L36="LILYA_COBRA",COUNTIF($L$3:L36,"LILYA_COBRA")=1),5,0)+IF(AND(L36="LILYA_DIVE",U36=1,COUNTIFS($DG$3:DG36,DG36,$L$3:L36,"LILYA_DIVE")=1),2,0)+IF(AND(FE36=1,U36=1),3,0))</f>
        <v>10</v>
      </c>
      <c r="CB36" s="1">
        <f>MIN(20,MAX(0,X36+IF(L36="LILYA_COBRA",IF(COUNTIF($L$3:L36,"LILYA_COBRA")=1,6,IF(U36=1,MAX(1,G36),IF(U36=2,2*MAX(1,G36),0))),0)+IF(AND(Y36=1,E36="红弩箭",L36&lt;&gt;"ENTER_INSIGHT"),1,0)-IF(AND(L36="LILYA_ULT",X36&gt;=6),6,0)))</f>
        <v>1</v>
      </c>
      <c r="CC36" s="1">
        <f t="shared" si="11"/>
        <v>1</v>
      </c>
      <c r="CD36" s="1">
        <f t="shared" si="12"/>
        <v>1</v>
      </c>
      <c r="CE36" s="1">
        <f t="shared" si="13"/>
        <v>1</v>
      </c>
      <c r="CF36" s="1">
        <f t="shared" si="14"/>
        <v>5</v>
      </c>
      <c r="CG36" s="1">
        <f t="shared" si="15"/>
        <v>0</v>
      </c>
      <c r="CH36" s="1">
        <f>MIN(35,AD36+IF(L36="J_HARD",6,0)+IF(L36="J_COUNTER",Boss参数!$B$30,0))</f>
        <v>24</v>
      </c>
      <c r="CI36" s="1">
        <f>MIN(Boss参数!$I$4,AE36+IF(L36="J_HARD",6,0)+IF(L36="J_ULT",AD36,0)+IF(L36="J_COUNTER",Boss参数!$B$30,0))</f>
        <v>15</v>
      </c>
      <c r="CJ36" s="10">
        <f>IF(L36="J_ULT",AD36*Boss参数!$B$41,IF(B36&lt;=AG36,AF36,0))</f>
        <v>0.4</v>
      </c>
      <c r="CK36" s="1">
        <f t="shared" si="16"/>
        <v>5</v>
      </c>
      <c r="CL36" s="1">
        <f t="shared" si="17"/>
        <v>5</v>
      </c>
      <c r="CM36" s="1">
        <f t="shared" si="18"/>
        <v>4</v>
      </c>
      <c r="CN36" s="1">
        <f t="shared" si="19"/>
        <v>5</v>
      </c>
      <c r="CO36" s="1">
        <f t="shared" si="20"/>
        <v>4</v>
      </c>
      <c r="CP36" s="1">
        <f t="shared" si="21"/>
        <v>3</v>
      </c>
      <c r="CQ36" s="1">
        <f t="shared" si="22"/>
        <v>20</v>
      </c>
      <c r="CR36" s="1">
        <f t="shared" si="23"/>
        <v>4</v>
      </c>
      <c r="CS36" s="1">
        <f t="shared" si="24"/>
        <v>1</v>
      </c>
      <c r="CT36" s="10">
        <f t="shared" si="25"/>
        <v>0.12</v>
      </c>
      <c r="CU36" s="1">
        <f t="shared" si="26"/>
        <v>5</v>
      </c>
      <c r="CV36" s="10">
        <f t="shared" si="27"/>
        <v>0.3</v>
      </c>
      <c r="CW36" s="1">
        <f t="shared" si="28"/>
        <v>5</v>
      </c>
      <c r="CX36" s="10">
        <f t="shared" si="29"/>
        <v>0.3</v>
      </c>
      <c r="CY36" s="1">
        <f t="shared" si="30"/>
        <v>5</v>
      </c>
      <c r="CZ36" s="1"/>
      <c r="DA36" s="1"/>
      <c r="DB36" s="1"/>
      <c r="DC36" s="1"/>
      <c r="DD36" s="1"/>
      <c r="DE36" s="1"/>
      <c r="DF36" s="1"/>
      <c r="DG36" s="1" t="str">
        <f>IF(D36="","",行动模拟!B42)</f>
        <v>洞知</v>
      </c>
      <c r="DH36" s="1" t="str">
        <f>IF(L36="END_TURN","回合结束",IF(D36="","",IF(INDEX(回合状态!$C$7:$C$17,MATCH(DG36,回合状态!$A$7:$A$17,0))="洞穿","洞穿",IF(OR(L36="J_COUNTER",L36="BOSS_ACTION",L36="BOSS_CONSERVATIVE"),"敌方",IF(AND(L36="37_FOLLOW",DG36=DG35,DH35="敌方"),"敌方",IF(INDEX(回合状态!$C$7:$C$17,MATCH(DG36,回合状态!$A$7:$A$17,0))="普通","出牌",INDEX(回合状态!$C$7:$C$17,MATCH(DG36,回合状态!$A$7:$A$17,0))))))))</f>
        <v>洞穿</v>
      </c>
      <c r="DI36" s="1">
        <f t="shared" si="31"/>
        <v>2</v>
      </c>
      <c r="DJ36" s="1">
        <f>IF(D36="",0,MIN(Boss参数!$B$25,IF(OR(AND(DH36="敌方",OR(DH35&lt;&gt;"敌方",DG36&lt;&gt;DG35)),AND(L36="END_TURN",DH36&lt;&gt;"洞穿"),AND(DG36&lt;&gt;DG35,DH35&lt;&gt;"洞穿",L35&lt;&gt;"END_TURN",COUNTIFS($DG$3:DG35,DG35,$DH$3:DH35,"敌方")=0)),EW36,DN35)))</f>
        <v>2</v>
      </c>
      <c r="DK36" s="1">
        <f>IF(D36="",0,MIN(Boss参数!$B$25,IF(OR(AND(DH36="敌方",OR(DH35&lt;&gt;"敌方",DG36&lt;&gt;DG35)),AND(L36="END_TURN",DH36&lt;&gt;"洞穿"),AND(DG36&lt;&gt;DG35,DH35&lt;&gt;"洞穿",L35&lt;&gt;"END_TURN",COUNTIFS($DG$3:DG35,DG35,$DH$3:DH35,"敌方")=0)),EW36,DO35)))</f>
        <v>2</v>
      </c>
      <c r="DL36" s="1">
        <f>IF(D36="",0,MIN(Boss参数!$B$25,IF(OR(AND(DH36="敌方",OR(DH35&lt;&gt;"敌方",DG36&lt;&gt;DG35)),AND(L36="END_TURN",DH36&lt;&gt;"洞穿"),AND(DG36&lt;&gt;DG35,DH35&lt;&gt;"洞穿",L35&lt;&gt;"END_TURN",COUNTIFS($DG$3:DG35,DG35,$DH$3:DH35,"敌方")=0)),EW36,DP35)))</f>
        <v>2</v>
      </c>
      <c r="DM36" s="1">
        <f>IF(D36="",0,MIN(Boss参数!$B$25,IF(OR(AND(DH36="敌方",OR(DH35&lt;&gt;"敌方",DG36&lt;&gt;DG35)),AND(L36="END_TURN",DH36&lt;&gt;"洞穿"),AND(DG36&lt;&gt;DG35,DH35&lt;&gt;"洞穿",L35&lt;&gt;"END_TURN",COUNTIFS($DG$3:DG35,DG35,$DH$3:DH35,"敌方")=0)),EW36,DQ35)))</f>
        <v>0</v>
      </c>
      <c r="DN36" s="1">
        <f>MAX(0,MIN(Boss参数!$B$25,DJ36+DR36)-IF(E36="红弩箭",2*DR36,0))</f>
        <v>1</v>
      </c>
      <c r="DO36" s="1">
        <f>MAX(0,MIN(Boss参数!$B$25,DK36+DR36)-IF(E36="37",2*DR36,0))</f>
        <v>3</v>
      </c>
      <c r="DP36" s="1">
        <f>MAX(0,MIN(Boss参数!$B$25,DL36+DR36)-IF(E36="小瑞安侬",2*DR36,0))</f>
        <v>3</v>
      </c>
      <c r="DQ36" s="1">
        <f>MAX(0,MIN(Boss参数!$B$25,DM36+DR36)-IF(E36="J",2*DR36,0))</f>
        <v>1</v>
      </c>
      <c r="DR36" s="1">
        <f t="shared" si="32"/>
        <v>1</v>
      </c>
      <c r="DS36" s="1">
        <f t="shared" si="33"/>
        <v>1</v>
      </c>
      <c r="DT36" s="1">
        <f>IF(OR(E36="",E36="系统"),0,IF(OR(AND(DS36=1,Boss参数!$B$32=1),L36="RHI_BERRY",OR(AND(INDEX(角色面板!$B$18:$B$21,MATCH(E36,角色面板!$A$18:$A$21,0))="星",Boss参数!$B$4="岩"),AND(INDEX(角色面板!$B$18:$B$21,MATCH(E36,角色面板!$A$18:$A$21,0))="岩",Boss参数!$B$4="兽"),AND(INDEX(角色面板!$B$18:$B$21,MATCH(E36,角色面板!$A$18:$A$21,0))="兽",Boss参数!$B$4="木"),AND(INDEX(角色面板!$B$18:$B$21,MATCH(E36,角色面板!$A$18:$A$21,0))="木",Boss参数!$B$4="星"),AND(INDEX(角色面板!$B$18:$B$21,MATCH(E36,角色面板!$A$18:$A$21,0))="智",Boss参数!$B$4="灵"),AND(INDEX(角色面板!$B$18:$B$21,MATCH(E36,角色面板!$A$18:$A$21,0))="灵",Boss参数!$B$4="智"))),1,0))</f>
        <v>1</v>
      </c>
      <c r="DU36" s="1">
        <f>IF(D36="",0,INDEX(回合状态!$E$7:$E$17,MATCH(DG36,回合状态!$A$7:$A$17,0))+IF(AND(DH36="敌方",OR(INDEX(回合状态!$C$7:$C$17,MATCH(DG36,回合状态!$A$7:$A$17,0))="普通",INDEX(回合状态!$C$7:$C$17,MATCH(DG36,回合状态!$A$7:$A$17,0))="额外")),0.05,0))</f>
        <v>0.15000000000000002</v>
      </c>
      <c r="DV36" s="1">
        <f>MAX(Boss参数!$B$28,1+IF(AND(E36="37",AC36&gt;0,BH36&gt;0),Boss参数!$B$42,0)-DI36*Boss参数!$B$24+EA36-ER36)</f>
        <v>0.39999999999999997</v>
      </c>
      <c r="DW36" s="1">
        <f>MIN(IF(Boss参数!$B$77=1,Boss参数!$B$63*Boss参数!$B$62,Boss参数!$B$61*Boss参数!$B$62),ROUNDDOWN(BQ36*(1-ES36),0))</f>
        <v>126843</v>
      </c>
      <c r="DX36" s="1">
        <f>MIN(IF(Boss参数!$B$77=1,Boss参数!$B$63*Boss参数!$B$62,Boss参数!$B$61*Boss参数!$B$62),ROUNDDOWN(BR36*(1-ES36),0))</f>
        <v>350721</v>
      </c>
      <c r="DY36" s="1">
        <f t="shared" si="65"/>
        <v>238</v>
      </c>
      <c r="DZ36" s="1">
        <f>IF(L36="RHI_ULT",MIN(Boss参数!$B$48,ROUNDDOWN(AY36*Boss参数!$B$47,0)),DY36)</f>
        <v>238</v>
      </c>
      <c r="EA36" s="11">
        <v>0</v>
      </c>
      <c r="EB36" s="1">
        <f t="shared" si="34"/>
        <v>0</v>
      </c>
      <c r="EC36" s="1">
        <f>SUMIFS($EB$3:EB36,$B$3:B36,"&gt;="&amp;MAX(1,B36-2),$B$3:B36,"&lt;="&amp;B36)*Boss参数!$B$51</f>
        <v>12</v>
      </c>
      <c r="ED36" s="1">
        <f>IF(D36="",EG35,IF(AND(DG36&lt;&gt;DG35,DH36&lt;&gt;"洞穿"),MIN(Boss参数!$B$55,EG35+2),EG35))</f>
        <v>0</v>
      </c>
      <c r="EE36" s="1">
        <f t="shared" si="35"/>
        <v>0</v>
      </c>
      <c r="EF36" s="1">
        <f>IF(AND(OR(L36="END_TURN",AND(DH36="敌方",OR(DH35&lt;&gt;"敌方",DG36&lt;&gt;DG35))),SUMIFS($EF$3:EF35,$DG$3:DG35,DG36)=0),MIN(1,MAX(0,ED36-EE36)),0)</f>
        <v>0</v>
      </c>
      <c r="EG36" s="1">
        <f t="shared" si="36"/>
        <v>0</v>
      </c>
      <c r="EH36" s="11">
        <f>Boss参数!$B$53-IF(Y36=1,Boss参数!$B$54,0)</f>
        <v>-0.4</v>
      </c>
      <c r="EI36" s="11">
        <f t="shared" si="37"/>
        <v>0.3</v>
      </c>
      <c r="EJ36" s="11">
        <f t="shared" si="38"/>
        <v>0.3</v>
      </c>
      <c r="EK36" s="11">
        <f t="shared" si="39"/>
        <v>1.56</v>
      </c>
      <c r="EL36" s="1">
        <f t="shared" si="66"/>
        <v>0</v>
      </c>
      <c r="EM36" s="1">
        <f>IF(AND(DG36&lt;&gt;DG35,DH36="洞穿"),0,IF(L36="ENTER_INSIGHT",Boss参数!$B$57,EO35))</f>
        <v>0</v>
      </c>
      <c r="EN36" s="11">
        <f>IF(AND(Y36=1,H36="洞知",EM36&gt;0),Boss参数!$B$56,0)</f>
        <v>0</v>
      </c>
      <c r="EO36" s="1">
        <f t="shared" si="40"/>
        <v>0</v>
      </c>
      <c r="EP36" s="12">
        <f t="shared" si="67"/>
        <v>3446874</v>
      </c>
      <c r="EQ36" s="12">
        <f>ROUNDDOWN(EP36/Boss参数!$B$62,0)</f>
        <v>34</v>
      </c>
      <c r="ER36" s="11">
        <f>IF(EQ36&gt;=Boss参数!$B$66,Boss参数!$B$69,IF(EQ36&gt;=Boss参数!$B$65,Boss参数!$B$68,IF(EQ36&gt;=Boss参数!$B$64,Boss参数!$B$67,0)))</f>
        <v>0.3</v>
      </c>
      <c r="ES36" s="11">
        <f>MIN(1,IF(EQ36&gt;=Boss参数!$B$66,Boss参数!$B$72+ROUNDDOWN((EQ36-Boss参数!$B$66)/Boss参数!$B$73,0)*Boss参数!$B$74,IF(EQ36&gt;=Boss参数!$B$65,Boss参数!$B$71,IF(EQ36&gt;=Boss参数!$B$64,Boss参数!$B$70,0))))</f>
        <v>0.2</v>
      </c>
      <c r="ET36" s="12">
        <f>MIN(Boss参数!$B$61*Boss参数!$B$62,EP36+IF(AND(Boss参数!$B$60=1,ISNUMBER(验证表!H42)),验证表!H42,EU36))</f>
        <v>3797595</v>
      </c>
      <c r="EU36" s="12">
        <f>IF(D36="",0,IF(验证表!G42="是",BV36,IF(验证表!G42="否",BU36,BW36)))</f>
        <v>350721</v>
      </c>
      <c r="EV36" s="12">
        <f>IF(EQ36&gt;=Boss参数!$B$66,2,IF(EQ36&gt;=Boss参数!$B$65,1,0))</f>
        <v>0</v>
      </c>
      <c r="EW36" s="12">
        <f t="shared" si="41"/>
        <v>1</v>
      </c>
      <c r="EX36" s="1">
        <f>IF(D36="",0,INDEX(回合状态!$D$7:$D$17,MATCH(DG36,回合状态!$A$7:$A$17,0)))</f>
        <v>4</v>
      </c>
      <c r="EY36" s="1">
        <f>IF(OR(L36="RHI_ATTACK",L36="RHI_BUFF"),1,IF(L36="RHI_ULT",Boss参数!$B$52,0))</f>
        <v>0</v>
      </c>
      <c r="EZ36" s="1">
        <f>MIN(6,SUMIFS($EY$3:EY36,$EX$3:EX36,"&gt;="&amp;MAX(1,EX36-Boss参数!$B$87+1),$EX$3:EX36,"&lt;="&amp;EX36))</f>
        <v>4</v>
      </c>
      <c r="FA36" s="1">
        <f t="shared" si="68"/>
        <v>24</v>
      </c>
      <c r="FB36" s="17">
        <f>IF(L36="BOSS_CONSERVATIVE",B36+Boss参数!$B$91,FB35)</f>
        <v>0</v>
      </c>
      <c r="FC36" s="17">
        <f t="shared" si="69"/>
        <v>0</v>
      </c>
      <c r="FD36" s="17">
        <f>IF(D36="",FD35,FD35+IF(AND(DG36&lt;&gt;DG35,INDEX(回合状态!$C$7:$C$17,MATCH(DG36,回合状态!$A$7:$A$17,0))&lt;&gt;"洞穿"),1,0))</f>
        <v>3</v>
      </c>
      <c r="FE36" s="17">
        <f>IF(D36="",0,IF(AND(OR(L36="END_TURN",DH36="敌方"),INDEX(回合状态!$C$7:$C$17,MATCH(DG36,回合状态!$A$7:$A$17,0))&lt;&gt;"洞穿",SUMIFS($FE$3:FE35,$DG$3:DG35,DG36)=0),1,0))</f>
        <v>0</v>
      </c>
    </row>
    <row r="37" spans="1:161" ht="84.95" customHeight="1">
      <c r="A37" s="1">
        <f>行动模拟!A43</f>
        <v>35</v>
      </c>
      <c r="B37" s="1">
        <f>IF(D37="",0,INDEX(回合状态!$B$7:$B$17,MATCH(DG37,回合状态!$A$7:$A$17,0)))</f>
        <v>3</v>
      </c>
      <c r="C37" s="1">
        <f>行动模拟!C43</f>
        <v>3</v>
      </c>
      <c r="D37" s="1" t="str">
        <f>IF(行动模拟!D43="","",行动模拟!D43)</f>
        <v>红弩箭｜洞知咒语</v>
      </c>
      <c r="E37" s="1" t="str">
        <f>IF($D37="","",IFERROR(INDEX(技能数据库!$B$4:$B$38,MATCH($D37,技能数据库!$A$4:$A$38,0)),""))</f>
        <v>红弩箭</v>
      </c>
      <c r="F37" s="1" t="str">
        <f>IF($D37="","",IFERROR(INDEX(技能数据库!$C$4:$C$38,MATCH($D37,技能数据库!$A$4:$A$38,0)),""))</f>
        <v>洞知咒语</v>
      </c>
      <c r="G37" s="1">
        <f>IF($D37="","",IFERROR(INDEX(技能数据库!$D$4:$D$38,MATCH($D37,技能数据库!$A$4:$A$38,0)),""))</f>
        <v>0</v>
      </c>
      <c r="H37" s="1" t="str">
        <f>IF($D37="","",IFERROR(INDEX(技能数据库!$E$4:$E$38,MATCH($D37,技能数据库!$A$4:$A$38,0)),""))</f>
        <v>洞知</v>
      </c>
      <c r="I37" s="1" t="str">
        <f>IF($D37="","",IFERROR(INDEX(技能数据库!$F$4:$F$38,MATCH($D37,技能数据库!$A$4:$A$38,0)),""))</f>
        <v>现实</v>
      </c>
      <c r="J37" s="1">
        <f>IF($D37="","",IFERROR(INDEX(技能数据库!$G$4:$G$38,MATCH($D37,技能数据库!$A$4:$A$38,0)),""))</f>
        <v>15</v>
      </c>
      <c r="K37" s="1">
        <f>IF($D37="","",IFERROR(INDEX(技能数据库!$H$4:$H$38,MATCH($D37,技能数据库!$A$4:$A$38,0)),""))</f>
        <v>0</v>
      </c>
      <c r="L37" s="1" t="str">
        <f>IF($D37="","",IFERROR(INDEX(技能数据库!$I$4:$I$38,MATCH($D37,技能数据库!$A$4:$A$38,0)),""))</f>
        <v>LILYA_INSIGHT</v>
      </c>
      <c r="M37" s="10">
        <v>1</v>
      </c>
      <c r="N37" s="1"/>
      <c r="O37" s="1"/>
      <c r="P37" s="1"/>
      <c r="Q37" s="10">
        <f t="shared" si="0"/>
        <v>0</v>
      </c>
      <c r="R37" s="10">
        <v>0</v>
      </c>
      <c r="S37" s="10">
        <v>0</v>
      </c>
      <c r="T37" s="1">
        <f>行动模拟!I43</f>
        <v>0</v>
      </c>
      <c r="U37" s="1">
        <f>IF(FD37&lt;&gt;FD36,IF(BY36=1,IF(MIN(10,CA36+IF(AND(DG37&lt;&gt;DG36,DH36&lt;&gt;"洞穿",SUMIFS($FE$3:FE36,$DG$3:DG36,DG36)=0,BY36=1),3,0))&gt;=10,2,1),IF(BY36=2,IF(BZ36&lt;=1,0,2),0)),BY36)</f>
        <v>2</v>
      </c>
      <c r="V37" s="1">
        <f>IF(FD37&lt;&gt;FD36,IF(BY36=1,IF(MIN(10,CA36+IF(AND(DG37&lt;&gt;DG36,DH36&lt;&gt;"洞穿",SUMIFS($FE$3:FE36,$DG$3:DG36,DG36)=0,BY36=1),3,0))&gt;=10,2,0),IF(BY36=2,MAX(0,BZ36-1),0)),BZ36)</f>
        <v>1</v>
      </c>
      <c r="W37" s="1">
        <f>IF(AND(FD37&lt;&gt;FD36,BY36=2,BZ36&lt;=1),0,MIN(10,CA36+IF(AND(DG37&lt;&gt;DG36,DH36&lt;&gt;"洞穿",SUMIFS($FE$3:FE36,$DG$3:DG36,DG36)=0,BY36=1),3,0)))</f>
        <v>10</v>
      </c>
      <c r="X37" s="1">
        <f t="shared" si="42"/>
        <v>1</v>
      </c>
      <c r="Y37" s="1">
        <f t="shared" si="43"/>
        <v>1</v>
      </c>
      <c r="Z37" s="1">
        <f t="shared" si="44"/>
        <v>1</v>
      </c>
      <c r="AA37" s="1">
        <f t="shared" si="45"/>
        <v>1</v>
      </c>
      <c r="AB37" s="1">
        <f t="shared" si="46"/>
        <v>5</v>
      </c>
      <c r="AC37" s="1">
        <f t="shared" si="47"/>
        <v>0</v>
      </c>
      <c r="AD37" s="1">
        <f t="shared" si="48"/>
        <v>24</v>
      </c>
      <c r="AE37" s="1">
        <f>IF(D37="",0,IF(DG37&lt;&gt;DG36,IFERROR(INDEX(回合状态!$F$7:$F$17,MATCH(DG37,回合状态!$A$7:$A$17,0)),0),CI36))</f>
        <v>15</v>
      </c>
      <c r="AF37" s="10">
        <f t="shared" si="49"/>
        <v>0.4</v>
      </c>
      <c r="AG37" s="1">
        <f t="shared" si="50"/>
        <v>5</v>
      </c>
      <c r="AH37" s="1">
        <f t="shared" si="51"/>
        <v>5</v>
      </c>
      <c r="AI37" s="1">
        <f t="shared" si="52"/>
        <v>4</v>
      </c>
      <c r="AJ37" s="1">
        <f t="shared" si="53"/>
        <v>5</v>
      </c>
      <c r="AK37" s="1">
        <f t="shared" si="54"/>
        <v>4</v>
      </c>
      <c r="AL37" s="1">
        <f t="shared" si="55"/>
        <v>3</v>
      </c>
      <c r="AM37" s="1">
        <f t="shared" si="56"/>
        <v>20</v>
      </c>
      <c r="AN37" s="1">
        <f t="shared" si="57"/>
        <v>4</v>
      </c>
      <c r="AO37" s="1">
        <f t="shared" si="58"/>
        <v>1</v>
      </c>
      <c r="AP37" s="10">
        <f t="shared" si="59"/>
        <v>0.12</v>
      </c>
      <c r="AQ37" s="1">
        <f t="shared" si="60"/>
        <v>5</v>
      </c>
      <c r="AR37" s="10">
        <f t="shared" si="61"/>
        <v>0.3</v>
      </c>
      <c r="AS37" s="1">
        <f t="shared" si="62"/>
        <v>5</v>
      </c>
      <c r="AT37" s="10">
        <f t="shared" si="63"/>
        <v>0.3</v>
      </c>
      <c r="AU37" s="1">
        <f t="shared" si="64"/>
        <v>5</v>
      </c>
      <c r="AV37" s="1">
        <f>MIN(5,SUMIFS($EL$3:EL37,$B$3:B37,"&gt;="&amp;MAX(1,B37-2),$B$3:B37,"&lt;="&amp;B37)+EC37)</f>
        <v>5</v>
      </c>
      <c r="AW37" s="1">
        <f>MIN(6,SUMIFS($EY$3:EY36,$EX$3:EX36,"&gt;="&amp;MAX(1,EX37-Boss参数!$B$87+1),$EX$3:EX36,"&lt;="&amp;EX37))</f>
        <v>4</v>
      </c>
      <c r="AX37" s="1">
        <f>MIN(4,COUNTIFS($B$3:$B$36,"&gt;="&amp;MAX(1,$B37-2),$B$3:$B$36,"&lt;="&amp;$B37,$L$3:$L$36,"37_FOLLOW"))</f>
        <v>4</v>
      </c>
      <c r="AY37" s="9">
        <f>IF($E37="","",IF($E37="系统",0,ROUNDDOWN(INDEX(角色面板!$C$4:$C$7,MATCH($E37,角色面板!$A$4:$A$7,0))*(1+INDEX(角色面板!$C$11:$C$14,MATCH($E37,角色面板!$A$11:$A$14,0))+IF($E37="小瑞安侬",MAX(IF($B37&lt;=$AQ37,$AP37,0),IF(AND($L37="RHI_ATTACK",$EE37&gt;0),0.11+0.01*$G37,0)),0)+IF($E37="J",$AD37*Boss参数!$B$18,0))+IF(FD37&lt;=$AN37,MIN(Boss参数!$B$21,ROUNDDOWN(角色面板!$C$19*Boss参数!$B$20,0)),0)+IF(AND($B37&lt;=$AK37,$E37&lt;&gt;"小瑞安侬"),$DY37,0),0)))</f>
        <v>3493</v>
      </c>
      <c r="AZ37" s="10">
        <f>IF($E37="","",MAX(0,MIN(1,IFERROR(INDEX(角色面板!$G$18:$G$21,MATCH($E37,角色面板!$A$18:$A$21,0)),0)-FC37*Boss参数!$B$89-Boss参数!$E$4)))</f>
        <v>1</v>
      </c>
      <c r="BA37" s="10">
        <f>IF(E37="","",(IF($E37="","",IF($E37="红弩箭",Boss参数!$B$80,IF($E37="J",Boss参数!$B$81,IFERROR(INDEX(角色面板!$H$18:$H$21,MATCH($E37,角色面板!$A$18:$A$21,0)),0)))+IF($B37&lt;=$AI37,Boss参数!$B$13,0)+MIN(30,$AM37)*Boss参数!$B$17+IF(AND($L37="LILYA_ULT",$X37&gt;=6),1,0)+IF(AND($Y37=1,$L37="LILYA_INSIGHT"),IF(MOD($AA37+1,3)=0,Boss参数!$B$83,Boss参数!$B$82),IF(AND($Y37=1,$L37="LILYA_FINISH"),Boss参数!$B$84,0))))-FC37*Boss参数!$B$90)</f>
        <v>2.8650000000000002</v>
      </c>
      <c r="BB37" s="10">
        <f>IF($E37="","",IFERROR(INDEX(角色面板!$M$18:$M$21,MATCH($E37,角色面板!$A$18:$A$21,0)),0)+$AW37*Boss参数!$B$12+IF($B37&lt;=$AG37,$AF37,0)+$EI37+IF($L37="LILYA_DIVE",IF($U37=1,IF($G37=1,0.3,IF($G37=2,0.4,0.5)),IF($U37=2,IF($G37=1,0.6,IF($G37=2,0.8,1)),0)),0)+$R37+IF(AND($E37="J",OR($L37="J_COUNTER",$L37="J_HARD")),Boss参数!$B$79,0)+IF(AND(OR(L37="J_COUNTER",L37="J_HARD"),FA37&gt;=Boss参数!$B$59),FA37*Boss参数!$B$40,0))</f>
        <v>1.02</v>
      </c>
      <c r="BC37" s="10">
        <f>IF($E37="","",IFERROR(INDEX(角色面板!$K$18:$K$21,MATCH($E37,角色面板!$A$18:$A$21,0)),0)+IF($B37&lt;=$AH37,Boss参数!$B$46,0)+IF($E37="红弩箭",IF($U37=1,0.6,IF($U37=2,1.2,0))+$W37*0.06,0))-DI37*Boss参数!$B$23</f>
        <v>1.5499999999999998</v>
      </c>
      <c r="BD37" s="10">
        <f>IF($E37="","",IFERROR(INDEX(角色面板!$L$18:$L$21,MATCH($E37,角色面板!$A$18:$A$21,0)),0)+IF($B37&lt;=$AH37,Boss参数!$B$46,0)+IF($E37="J",$AL37*Boss参数!$B$16,0)+IF($E37="红弩箭",$X37*0.025,0)+IF(AND($L37="LILYA_ULT",$X37&gt;=6),1,0))-DI37*Boss参数!$B$23</f>
        <v>0.17500000000000002</v>
      </c>
      <c r="BE37" s="10">
        <f>IF($E37="","",IF($H37="洞知",IF($E37="红弩箭",$AO37*Boss参数!$B$15,0)+$AX37*Boss参数!$B$14,0))</f>
        <v>0.22</v>
      </c>
      <c r="BF37" s="10">
        <f t="shared" si="1"/>
        <v>0</v>
      </c>
      <c r="BG37" s="10">
        <f>IF($D37="",0,IF(AND($L37&lt;&gt;"LILYA_DIVE",$L37&lt;&gt;"LILYA_ULT",$L37&lt;&gt;"LILYA_INSIGHT",$L37&lt;&gt;"LILYA_FINISH",$L37&lt;&gt;"37_FOLLOW",$L37&lt;&gt;"RHI_ATTACK",$L37&lt;&gt;"RHI_BERRY",$L37&lt;&gt;"J_COUNTER",$L37&lt;&gt;"J_ULT"),$J37,0)+IF($L37="LILYA_DIVE",$J37+IF($U37=1,IF($G37=1,6,IF($G37=2,12,18)),IF($U37=2,IF($G37=1,12,IF($G37=2,24,36)),0)),0)+IF($L37="LILYA_ULT",$J37+IF($X37&gt;=6,18,0),0)+IF($L37="LILYA_INSIGHT",IF($Y37=1,IF(MOD($AA37+1,3)=0,32,15),0),0)+IF($L37="LILYA_FINISH",IF($Y37=1,50+2.5*$Z37,0),0)+IF($L37="37_FOLLOW",$J37,0)+IF($L37="RHI_ATTACK",$J37*IF($B37&lt;=$AJ37,2,1),0)+IF($L37="RHI_BERRY",15+1.5*$AV37,0)+IF($L37="J_COUNTER",$J37+$AD37*Boss参数!$B$39,0)+IF($L37="J_ULT",$J37+Boss参数!$B$45*MAX(0,$AE37+$AD37-Boss参数!$I$4),0)+$S37)</f>
        <v>15</v>
      </c>
      <c r="BH37" s="10">
        <f t="shared" si="2"/>
        <v>0</v>
      </c>
      <c r="BI37" s="10">
        <f>IF(E37="","",IF(DT37=1,1+Boss参数!$B$8+AV37*Boss参数!$B$19,1))</f>
        <v>1.5</v>
      </c>
      <c r="BJ37" s="9">
        <f>IF($I37="现实",Boss参数!$C$4,IF($I37="精神",Boss参数!$D$4,0))</f>
        <v>1200</v>
      </c>
      <c r="BK37" s="9">
        <f>IF($E37="","",MAX($AY37*Boss参数!$B$9,$AY37-$BJ37*(1-$BF37)))</f>
        <v>2293</v>
      </c>
      <c r="BL37" s="10">
        <f>MAX(0,Boss参数!$F$4+IF(DT37=0,Boss参数!$B$27,0)-EJ37)</f>
        <v>0.10000000000000003</v>
      </c>
      <c r="BM37" s="10">
        <f>Boss参数!$G$4+DU37-IF(Y37=1,Boss参数!$B$11,0)</f>
        <v>0.15000000000000002</v>
      </c>
      <c r="BN37" s="10">
        <f>IF($E37="","",MAX(Boss参数!$B$10,1+IFERROR(INDEX(角色面板!$I$18:$I$21,MATCH($E37,角色面板!$A$18:$A$21,0)),0)+$BB37+Boss参数!$H$4-$BM37))</f>
        <v>1.9700000000000002</v>
      </c>
      <c r="BO37" s="10">
        <f>IF(E37="","",IF(OR(L37="J_COUNTER",L37="J_HARD"),MAX(0,1+INDEX(角色面板!$K$18:$K$21,MATCH(E37,角色面板!$A$18:$A$21,0))-DI37*Boss参数!$B$23+IF(OR(Boss参数!$B$43=1,L37="J_HARD"),IF(B37&lt;=AH37,Boss参数!$B$46,0),0)),MAX(0,IF(OR(H37="术法",L37="RHI_BERRY",AND(L37="37_FOLLOW",Boss参数!$B$31=1)),1+BC37,IF(H37="仪式",1+BD37,IF(H37="洞知",EK37,1))))))</f>
        <v>1.62</v>
      </c>
      <c r="BP37" s="10">
        <f t="shared" si="3"/>
        <v>2.7650000000000001</v>
      </c>
      <c r="BQ37" s="1">
        <f t="shared" si="4"/>
        <v>164652.30450000003</v>
      </c>
      <c r="BR37" s="1">
        <f t="shared" si="5"/>
        <v>455263.62194250012</v>
      </c>
      <c r="BS37" s="1">
        <f>IF(BH37=0,0,ROUNDDOWN(AY37*BH37,0)*DV37*IF(Boss参数!$B$29=1,BN37,1)*IF(Boss参数!$B$33=1,BO37,1)*IF(Boss参数!$B$76=1,1-ES37,1))</f>
        <v>0</v>
      </c>
      <c r="BT37" s="1">
        <f t="shared" si="6"/>
        <v>0</v>
      </c>
      <c r="BU37" s="9">
        <f>IF(D37="",0,MIN(IF(Boss参数!$B$77=1,Boss参数!$B$63*Boss参数!$B$62,Boss参数!$B$61*Boss参数!$B$62),DW37+ROUNDDOWN(BS37,0)+ROUNDDOWN(DW37*Q37,0)))</f>
        <v>131721</v>
      </c>
      <c r="BV37" s="9">
        <f>IF(D37="",0,MIN(IF(Boss参数!$B$77=1,Boss参数!$B$63*Boss参数!$B$62,Boss参数!$B$61*Boss参数!$B$62),DX37+ROUNDDOWN(BT37,0)+ROUNDDOWN(DX37*Q37,0)))</f>
        <v>364210</v>
      </c>
      <c r="BW37" s="9">
        <f t="shared" si="7"/>
        <v>364210</v>
      </c>
      <c r="BX37" s="1" t="str">
        <f t="shared" si="8"/>
        <v/>
      </c>
      <c r="BY37" s="1">
        <f t="shared" si="9"/>
        <v>2</v>
      </c>
      <c r="BZ37" s="1">
        <f t="shared" si="10"/>
        <v>1</v>
      </c>
      <c r="CA37" s="1">
        <f>MIN(10,W37+IF(AND(L37="LILYA_COBRA",COUNTIF($L$3:L37,"LILYA_COBRA")=1),5,0)+IF(AND(L37="LILYA_DIVE",U37=1,COUNTIFS($DG$3:DG37,DG37,$L$3:L37,"LILYA_DIVE")=1),2,0)+IF(AND(FE37=1,U37=1),3,0))</f>
        <v>10</v>
      </c>
      <c r="CB37" s="1">
        <f>MIN(20,MAX(0,X37+IF(L37="LILYA_COBRA",IF(COUNTIF($L$3:L37,"LILYA_COBRA")=1,6,IF(U37=1,MAX(1,G37),IF(U37=2,2*MAX(1,G37),0))),0)+IF(AND(Y37=1,E37="红弩箭",L37&lt;&gt;"ENTER_INSIGHT"),1,0)-IF(AND(L37="LILYA_ULT",X37&gt;=6),6,0)))</f>
        <v>2</v>
      </c>
      <c r="CC37" s="1">
        <f t="shared" si="11"/>
        <v>1</v>
      </c>
      <c r="CD37" s="1">
        <f t="shared" si="12"/>
        <v>2</v>
      </c>
      <c r="CE37" s="1">
        <f t="shared" si="13"/>
        <v>2</v>
      </c>
      <c r="CF37" s="1">
        <f t="shared" si="14"/>
        <v>6</v>
      </c>
      <c r="CG37" s="1">
        <f t="shared" si="15"/>
        <v>0</v>
      </c>
      <c r="CH37" s="1">
        <f>MIN(35,AD37+IF(L37="J_HARD",6,0)+IF(L37="J_COUNTER",Boss参数!$B$30,0))</f>
        <v>24</v>
      </c>
      <c r="CI37" s="1">
        <f>MIN(Boss参数!$I$4,AE37+IF(L37="J_HARD",6,0)+IF(L37="J_ULT",AD37,0)+IF(L37="J_COUNTER",Boss参数!$B$30,0))</f>
        <v>15</v>
      </c>
      <c r="CJ37" s="10">
        <f>IF(L37="J_ULT",AD37*Boss参数!$B$41,IF(B37&lt;=AG37,AF37,0))</f>
        <v>0.4</v>
      </c>
      <c r="CK37" s="1">
        <f t="shared" si="16"/>
        <v>5</v>
      </c>
      <c r="CL37" s="1">
        <f t="shared" si="17"/>
        <v>5</v>
      </c>
      <c r="CM37" s="1">
        <f t="shared" si="18"/>
        <v>4</v>
      </c>
      <c r="CN37" s="1">
        <f t="shared" si="19"/>
        <v>5</v>
      </c>
      <c r="CO37" s="1">
        <f t="shared" si="20"/>
        <v>4</v>
      </c>
      <c r="CP37" s="1">
        <f t="shared" si="21"/>
        <v>3</v>
      </c>
      <c r="CQ37" s="1">
        <f t="shared" si="22"/>
        <v>20</v>
      </c>
      <c r="CR37" s="1">
        <f t="shared" si="23"/>
        <v>4</v>
      </c>
      <c r="CS37" s="1">
        <f t="shared" si="24"/>
        <v>2</v>
      </c>
      <c r="CT37" s="10">
        <f t="shared" si="25"/>
        <v>0.12</v>
      </c>
      <c r="CU37" s="1">
        <f t="shared" si="26"/>
        <v>5</v>
      </c>
      <c r="CV37" s="10">
        <f t="shared" si="27"/>
        <v>0.3</v>
      </c>
      <c r="CW37" s="1">
        <f t="shared" si="28"/>
        <v>5</v>
      </c>
      <c r="CX37" s="10">
        <f t="shared" si="29"/>
        <v>0.3</v>
      </c>
      <c r="CY37" s="1">
        <f t="shared" si="30"/>
        <v>5</v>
      </c>
      <c r="CZ37" s="1"/>
      <c r="DA37" s="1"/>
      <c r="DB37" s="1"/>
      <c r="DC37" s="1"/>
      <c r="DD37" s="1"/>
      <c r="DE37" s="1"/>
      <c r="DF37" s="1"/>
      <c r="DG37" s="1" t="str">
        <f>IF(D37="","",行动模拟!B43)</f>
        <v>洞知</v>
      </c>
      <c r="DH37" s="1" t="str">
        <f>IF(L37="END_TURN","回合结束",IF(D37="","",IF(INDEX(回合状态!$C$7:$C$17,MATCH(DG37,回合状态!$A$7:$A$17,0))="洞穿","洞穿",IF(OR(L37="J_COUNTER",L37="BOSS_ACTION",L37="BOSS_CONSERVATIVE"),"敌方",IF(AND(L37="37_FOLLOW",DG37=DG36,DH36="敌方"),"敌方",IF(INDEX(回合状态!$C$7:$C$17,MATCH(DG37,回合状态!$A$7:$A$17,0))="普通","出牌",INDEX(回合状态!$C$7:$C$17,MATCH(DG37,回合状态!$A$7:$A$17,0))))))))</f>
        <v>洞穿</v>
      </c>
      <c r="DI37" s="1">
        <f t="shared" si="31"/>
        <v>1</v>
      </c>
      <c r="DJ37" s="1">
        <f>IF(D37="",0,MIN(Boss参数!$B$25,IF(OR(AND(DH37="敌方",OR(DH36&lt;&gt;"敌方",DG37&lt;&gt;DG36)),AND(L37="END_TURN",DH37&lt;&gt;"洞穿"),AND(DG37&lt;&gt;DG36,DH36&lt;&gt;"洞穿",L36&lt;&gt;"END_TURN",COUNTIFS($DG$3:DG36,DG36,$DH$3:DH36,"敌方")=0)),EW37,DN36)))</f>
        <v>1</v>
      </c>
      <c r="DK37" s="1">
        <f>IF(D37="",0,MIN(Boss参数!$B$25,IF(OR(AND(DH37="敌方",OR(DH36&lt;&gt;"敌方",DG37&lt;&gt;DG36)),AND(L37="END_TURN",DH37&lt;&gt;"洞穿"),AND(DG37&lt;&gt;DG36,DH36&lt;&gt;"洞穿",L36&lt;&gt;"END_TURN",COUNTIFS($DG$3:DG36,DG36,$DH$3:DH36,"敌方")=0)),EW37,DO36)))</f>
        <v>3</v>
      </c>
      <c r="DL37" s="1">
        <f>IF(D37="",0,MIN(Boss参数!$B$25,IF(OR(AND(DH37="敌方",OR(DH36&lt;&gt;"敌方",DG37&lt;&gt;DG36)),AND(L37="END_TURN",DH37&lt;&gt;"洞穿"),AND(DG37&lt;&gt;DG36,DH36&lt;&gt;"洞穿",L36&lt;&gt;"END_TURN",COUNTIFS($DG$3:DG36,DG36,$DH$3:DH36,"敌方")=0)),EW37,DP36)))</f>
        <v>3</v>
      </c>
      <c r="DM37" s="1">
        <f>IF(D37="",0,MIN(Boss参数!$B$25,IF(OR(AND(DH37="敌方",OR(DH36&lt;&gt;"敌方",DG37&lt;&gt;DG36)),AND(L37="END_TURN",DH37&lt;&gt;"洞穿"),AND(DG37&lt;&gt;DG36,DH36&lt;&gt;"洞穿",L36&lt;&gt;"END_TURN",COUNTIFS($DG$3:DG36,DG36,$DH$3:DH36,"敌方")=0)),EW37,DQ36)))</f>
        <v>1</v>
      </c>
      <c r="DN37" s="1">
        <f>MAX(0,MIN(Boss参数!$B$25,DJ37+DR37)-IF(E37="红弩箭",2*DR37,0))</f>
        <v>0</v>
      </c>
      <c r="DO37" s="1">
        <f>MAX(0,MIN(Boss参数!$B$25,DK37+DR37)-IF(E37="37",2*DR37,0))</f>
        <v>4</v>
      </c>
      <c r="DP37" s="1">
        <f>MAX(0,MIN(Boss参数!$B$25,DL37+DR37)-IF(E37="小瑞安侬",2*DR37,0))</f>
        <v>4</v>
      </c>
      <c r="DQ37" s="1">
        <f>MAX(0,MIN(Boss参数!$B$25,DM37+DR37)-IF(E37="J",2*DR37,0))</f>
        <v>2</v>
      </c>
      <c r="DR37" s="1">
        <f t="shared" si="32"/>
        <v>1</v>
      </c>
      <c r="DS37" s="1">
        <f t="shared" si="33"/>
        <v>1</v>
      </c>
      <c r="DT37" s="1">
        <f>IF(OR(E37="",E37="系统"),0,IF(OR(AND(DS37=1,Boss参数!$B$32=1),L37="RHI_BERRY",OR(AND(INDEX(角色面板!$B$18:$B$21,MATCH(E37,角色面板!$A$18:$A$21,0))="星",Boss参数!$B$4="岩"),AND(INDEX(角色面板!$B$18:$B$21,MATCH(E37,角色面板!$A$18:$A$21,0))="岩",Boss参数!$B$4="兽"),AND(INDEX(角色面板!$B$18:$B$21,MATCH(E37,角色面板!$A$18:$A$21,0))="兽",Boss参数!$B$4="木"),AND(INDEX(角色面板!$B$18:$B$21,MATCH(E37,角色面板!$A$18:$A$21,0))="木",Boss参数!$B$4="星"),AND(INDEX(角色面板!$B$18:$B$21,MATCH(E37,角色面板!$A$18:$A$21,0))="智",Boss参数!$B$4="灵"),AND(INDEX(角色面板!$B$18:$B$21,MATCH(E37,角色面板!$A$18:$A$21,0))="灵",Boss参数!$B$4="智"))),1,0))</f>
        <v>1</v>
      </c>
      <c r="DU37" s="1">
        <f>IF(D37="",0,INDEX(回合状态!$E$7:$E$17,MATCH(DG37,回合状态!$A$7:$A$17,0))+IF(AND(DH37="敌方",OR(INDEX(回合状态!$C$7:$C$17,MATCH(DG37,回合状态!$A$7:$A$17,0))="普通",INDEX(回合状态!$C$7:$C$17,MATCH(DG37,回合状态!$A$7:$A$17,0))="额外")),0.05,0))</f>
        <v>0.15000000000000002</v>
      </c>
      <c r="DV37" s="1">
        <f>MAX(Boss参数!$B$28,1+IF(AND(E37="37",AC37&gt;0,BH37&gt;0),Boss参数!$B$42,0)-DI37*Boss参数!$B$24+EA37-ER37)</f>
        <v>0.55000000000000004</v>
      </c>
      <c r="DW37" s="1">
        <f>MIN(IF(Boss参数!$B$77=1,Boss参数!$B$63*Boss参数!$B$62,Boss参数!$B$61*Boss参数!$B$62),ROUNDDOWN(BQ37*(1-ES37),0))</f>
        <v>131721</v>
      </c>
      <c r="DX37" s="1">
        <f>MIN(IF(Boss参数!$B$77=1,Boss参数!$B$63*Boss参数!$B$62,Boss参数!$B$61*Boss参数!$B$62),ROUNDDOWN(BR37*(1-ES37),0))</f>
        <v>364210</v>
      </c>
      <c r="DY37" s="1">
        <f t="shared" si="65"/>
        <v>238</v>
      </c>
      <c r="DZ37" s="1">
        <f>IF(L37="RHI_ULT",MIN(Boss参数!$B$48,ROUNDDOWN(AY37*Boss参数!$B$47,0)),DY37)</f>
        <v>238</v>
      </c>
      <c r="EA37" s="11">
        <v>0</v>
      </c>
      <c r="EB37" s="1">
        <f t="shared" si="34"/>
        <v>0</v>
      </c>
      <c r="EC37" s="1">
        <f>SUMIFS($EB$3:EB37,$B$3:B37,"&gt;="&amp;MAX(1,B37-2),$B$3:B37,"&lt;="&amp;B37)*Boss参数!$B$51</f>
        <v>12</v>
      </c>
      <c r="ED37" s="1">
        <f>IF(D37="",EG36,IF(AND(DG37&lt;&gt;DG36,DH37&lt;&gt;"洞穿"),MIN(Boss参数!$B$55,EG36+2),EG36))</f>
        <v>0</v>
      </c>
      <c r="EE37" s="1">
        <f t="shared" si="35"/>
        <v>0</v>
      </c>
      <c r="EF37" s="1">
        <f>IF(AND(OR(L37="END_TURN",AND(DH37="敌方",OR(DH36&lt;&gt;"敌方",DG37&lt;&gt;DG36))),SUMIFS($EF$3:EF36,$DG$3:DG36,DG37)=0),MIN(1,MAX(0,ED37-EE37)),0)</f>
        <v>0</v>
      </c>
      <c r="EG37" s="1">
        <f t="shared" si="36"/>
        <v>0</v>
      </c>
      <c r="EH37" s="11">
        <f>Boss参数!$B$53-IF(Y37=1,Boss参数!$B$54,0)</f>
        <v>-0.4</v>
      </c>
      <c r="EI37" s="11">
        <f t="shared" si="37"/>
        <v>0.3</v>
      </c>
      <c r="EJ37" s="11">
        <f t="shared" si="38"/>
        <v>0.3</v>
      </c>
      <c r="EK37" s="11">
        <f t="shared" si="39"/>
        <v>1.62</v>
      </c>
      <c r="EL37" s="1">
        <f t="shared" si="66"/>
        <v>0</v>
      </c>
      <c r="EM37" s="1">
        <f>IF(AND(DG37&lt;&gt;DG36,DH37="洞穿"),0,IF(L37="ENTER_INSIGHT",Boss参数!$B$57,EO36))</f>
        <v>0</v>
      </c>
      <c r="EN37" s="11">
        <f>IF(AND(Y37=1,H37="洞知",EM37&gt;0),Boss参数!$B$56,0)</f>
        <v>0</v>
      </c>
      <c r="EO37" s="1">
        <f t="shared" si="40"/>
        <v>0</v>
      </c>
      <c r="EP37" s="12">
        <f t="shared" si="67"/>
        <v>3797595</v>
      </c>
      <c r="EQ37" s="12">
        <f>ROUNDDOWN(EP37/Boss参数!$B$62,0)</f>
        <v>37</v>
      </c>
      <c r="ER37" s="11">
        <f>IF(EQ37&gt;=Boss参数!$B$66,Boss参数!$B$69,IF(EQ37&gt;=Boss参数!$B$65,Boss参数!$B$68,IF(EQ37&gt;=Boss参数!$B$64,Boss参数!$B$67,0)))</f>
        <v>0.3</v>
      </c>
      <c r="ES37" s="11">
        <f>MIN(1,IF(EQ37&gt;=Boss参数!$B$66,Boss参数!$B$72+ROUNDDOWN((EQ37-Boss参数!$B$66)/Boss参数!$B$73,0)*Boss参数!$B$74,IF(EQ37&gt;=Boss参数!$B$65,Boss参数!$B$71,IF(EQ37&gt;=Boss参数!$B$64,Boss参数!$B$70,0))))</f>
        <v>0.2</v>
      </c>
      <c r="ET37" s="12">
        <f>MIN(Boss参数!$B$61*Boss参数!$B$62,EP37+IF(AND(Boss参数!$B$60=1,ISNUMBER(验证表!H43)),验证表!H43,EU37))</f>
        <v>4161805</v>
      </c>
      <c r="EU37" s="12">
        <f>IF(D37="",0,IF(验证表!G43="是",BV37,IF(验证表!G43="否",BU37,BW37)))</f>
        <v>364210</v>
      </c>
      <c r="EV37" s="12">
        <f>IF(EQ37&gt;=Boss参数!$B$66,2,IF(EQ37&gt;=Boss参数!$B$65,1,0))</f>
        <v>0</v>
      </c>
      <c r="EW37" s="12">
        <f t="shared" si="41"/>
        <v>1</v>
      </c>
      <c r="EX37" s="1">
        <f>IF(D37="",0,INDEX(回合状态!$D$7:$D$17,MATCH(DG37,回合状态!$A$7:$A$17,0)))</f>
        <v>4</v>
      </c>
      <c r="EY37" s="1">
        <f>IF(OR(L37="RHI_ATTACK",L37="RHI_BUFF"),1,IF(L37="RHI_ULT",Boss参数!$B$52,0))</f>
        <v>0</v>
      </c>
      <c r="EZ37" s="1">
        <f>MIN(6,SUMIFS($EY$3:EY37,$EX$3:EX37,"&gt;="&amp;MAX(1,EX37-Boss参数!$B$87+1),$EX$3:EX37,"&lt;="&amp;EX37))</f>
        <v>4</v>
      </c>
      <c r="FA37" s="1">
        <f t="shared" si="68"/>
        <v>24</v>
      </c>
      <c r="FB37" s="17">
        <f>IF(L37="BOSS_CONSERVATIVE",B37+Boss参数!$B$91,FB36)</f>
        <v>0</v>
      </c>
      <c r="FC37" s="17">
        <f t="shared" si="69"/>
        <v>0</v>
      </c>
      <c r="FD37" s="17">
        <f>IF(D37="",FD36,FD36+IF(AND(DG37&lt;&gt;DG36,INDEX(回合状态!$C$7:$C$17,MATCH(DG37,回合状态!$A$7:$A$17,0))&lt;&gt;"洞穿"),1,0))</f>
        <v>3</v>
      </c>
      <c r="FE37" s="17">
        <f>IF(D37="",0,IF(AND(OR(L37="END_TURN",DH37="敌方"),INDEX(回合状态!$C$7:$C$17,MATCH(DG37,回合状态!$A$7:$A$17,0))&lt;&gt;"洞穿",SUMIFS($FE$3:FE36,$DG$3:DG36,DG37)=0),1,0))</f>
        <v>0</v>
      </c>
    </row>
    <row r="38" spans="1:161" ht="84.95" customHeight="1">
      <c r="A38" s="1">
        <f>行动模拟!A44</f>
        <v>36</v>
      </c>
      <c r="B38" s="1">
        <f>IF(D38="",0,INDEX(回合状态!$B$7:$B$17,MATCH(DG38,回合状态!$A$7:$A$17,0)))</f>
        <v>3</v>
      </c>
      <c r="C38" s="1">
        <f>行动模拟!C44</f>
        <v>4</v>
      </c>
      <c r="D38" s="1" t="str">
        <f>IF(行动模拟!D44="","",行动模拟!D44)</f>
        <v>37｜洞知咒语</v>
      </c>
      <c r="E38" s="1" t="str">
        <f>IF($D38="","",IFERROR(INDEX(技能数据库!$B$4:$B$38,MATCH($D38,技能数据库!$A$4:$A$38,0)),""))</f>
        <v>37</v>
      </c>
      <c r="F38" s="1" t="str">
        <f>IF($D38="","",IFERROR(INDEX(技能数据库!$C$4:$C$38,MATCH($D38,技能数据库!$A$4:$A$38,0)),""))</f>
        <v>洞知咒语</v>
      </c>
      <c r="G38" s="1">
        <f>IF($D38="","",IFERROR(INDEX(技能数据库!$D$4:$D$38,MATCH($D38,技能数据库!$A$4:$A$38,0)),""))</f>
        <v>0</v>
      </c>
      <c r="H38" s="1" t="str">
        <f>IF($D38="","",IFERROR(INDEX(技能数据库!$E$4:$E$38,MATCH($D38,技能数据库!$A$4:$A$38,0)),""))</f>
        <v>洞知</v>
      </c>
      <c r="I38" s="1" t="str">
        <f>IF($D38="","",IFERROR(INDEX(技能数据库!$F$4:$F$38,MATCH($D38,技能数据库!$A$4:$A$38,0)),""))</f>
        <v>精神</v>
      </c>
      <c r="J38" s="1">
        <f>IF($D38="","",IFERROR(INDEX(技能数据库!$G$4:$G$38,MATCH($D38,技能数据库!$A$4:$A$38,0)),""))</f>
        <v>8</v>
      </c>
      <c r="K38" s="1">
        <f>IF($D38="","",IFERROR(INDEX(技能数据库!$H$4:$H$38,MATCH($D38,技能数据库!$A$4:$A$38,0)),""))</f>
        <v>0</v>
      </c>
      <c r="L38" s="1" t="str">
        <f>IF($D38="","",IFERROR(INDEX(技能数据库!$I$4:$I$38,MATCH($D38,技能数据库!$A$4:$A$38,0)),""))</f>
        <v>37_INSIGHT</v>
      </c>
      <c r="M38" s="10">
        <v>1</v>
      </c>
      <c r="N38" s="1"/>
      <c r="O38" s="1"/>
      <c r="P38" s="1"/>
      <c r="Q38" s="10">
        <f t="shared" si="0"/>
        <v>0</v>
      </c>
      <c r="R38" s="10">
        <v>0</v>
      </c>
      <c r="S38" s="10">
        <v>0</v>
      </c>
      <c r="T38" s="1">
        <f>行动模拟!I44</f>
        <v>0</v>
      </c>
      <c r="U38" s="1">
        <f>IF(FD38&lt;&gt;FD37,IF(BY37=1,IF(MIN(10,CA37+IF(AND(DG38&lt;&gt;DG37,DH37&lt;&gt;"洞穿",SUMIFS($FE$3:FE37,$DG$3:DG37,DG37)=0,BY37=1),3,0))&gt;=10,2,1),IF(BY37=2,IF(BZ37&lt;=1,0,2),0)),BY37)</f>
        <v>2</v>
      </c>
      <c r="V38" s="1">
        <f>IF(FD38&lt;&gt;FD37,IF(BY37=1,IF(MIN(10,CA37+IF(AND(DG38&lt;&gt;DG37,DH37&lt;&gt;"洞穿",SUMIFS($FE$3:FE37,$DG$3:DG37,DG37)=0,BY37=1),3,0))&gt;=10,2,0),IF(BY37=2,MAX(0,BZ37-1),0)),BZ37)</f>
        <v>1</v>
      </c>
      <c r="W38" s="1">
        <f>IF(AND(FD38&lt;&gt;FD37,BY37=2,BZ37&lt;=1),0,MIN(10,CA37+IF(AND(DG38&lt;&gt;DG37,DH37&lt;&gt;"洞穿",SUMIFS($FE$3:FE37,$DG$3:DG37,DG37)=0,BY37=1),3,0)))</f>
        <v>10</v>
      </c>
      <c r="X38" s="1">
        <f t="shared" si="42"/>
        <v>2</v>
      </c>
      <c r="Y38" s="1">
        <f t="shared" si="43"/>
        <v>1</v>
      </c>
      <c r="Z38" s="1">
        <f t="shared" si="44"/>
        <v>2</v>
      </c>
      <c r="AA38" s="1">
        <f t="shared" si="45"/>
        <v>2</v>
      </c>
      <c r="AB38" s="1">
        <f t="shared" si="46"/>
        <v>6</v>
      </c>
      <c r="AC38" s="1">
        <f t="shared" si="47"/>
        <v>0</v>
      </c>
      <c r="AD38" s="1">
        <f t="shared" si="48"/>
        <v>24</v>
      </c>
      <c r="AE38" s="1">
        <f>IF(D38="",0,IF(DG38&lt;&gt;DG37,IFERROR(INDEX(回合状态!$F$7:$F$17,MATCH(DG38,回合状态!$A$7:$A$17,0)),0),CI37))</f>
        <v>15</v>
      </c>
      <c r="AF38" s="10">
        <f t="shared" si="49"/>
        <v>0.4</v>
      </c>
      <c r="AG38" s="1">
        <f t="shared" si="50"/>
        <v>5</v>
      </c>
      <c r="AH38" s="1">
        <f t="shared" si="51"/>
        <v>5</v>
      </c>
      <c r="AI38" s="1">
        <f t="shared" si="52"/>
        <v>4</v>
      </c>
      <c r="AJ38" s="1">
        <f t="shared" si="53"/>
        <v>5</v>
      </c>
      <c r="AK38" s="1">
        <f t="shared" si="54"/>
        <v>4</v>
      </c>
      <c r="AL38" s="1">
        <f t="shared" si="55"/>
        <v>3</v>
      </c>
      <c r="AM38" s="1">
        <f t="shared" si="56"/>
        <v>20</v>
      </c>
      <c r="AN38" s="1">
        <f t="shared" si="57"/>
        <v>4</v>
      </c>
      <c r="AO38" s="1">
        <f t="shared" si="58"/>
        <v>2</v>
      </c>
      <c r="AP38" s="10">
        <f t="shared" si="59"/>
        <v>0.12</v>
      </c>
      <c r="AQ38" s="1">
        <f t="shared" si="60"/>
        <v>5</v>
      </c>
      <c r="AR38" s="10">
        <f t="shared" si="61"/>
        <v>0.3</v>
      </c>
      <c r="AS38" s="1">
        <f t="shared" si="62"/>
        <v>5</v>
      </c>
      <c r="AT38" s="10">
        <f t="shared" si="63"/>
        <v>0.3</v>
      </c>
      <c r="AU38" s="1">
        <f t="shared" si="64"/>
        <v>5</v>
      </c>
      <c r="AV38" s="1">
        <f>MIN(5,SUMIFS($EL$3:EL38,$B$3:B38,"&gt;="&amp;MAX(1,B38-2),$B$3:B38,"&lt;="&amp;B38)+EC38)</f>
        <v>5</v>
      </c>
      <c r="AW38" s="1">
        <f>MIN(6,SUMIFS($EY$3:EY37,$EX$3:EX37,"&gt;="&amp;MAX(1,EX38-Boss参数!$B$87+1),$EX$3:EX37,"&lt;="&amp;EX38))</f>
        <v>4</v>
      </c>
      <c r="AX38" s="1">
        <f>MIN(4,COUNTIFS($B$3:$B$37,"&gt;="&amp;MAX(1,$B38-2),$B$3:$B$37,"&lt;="&amp;$B38,$L$3:$L$37,"37_FOLLOW"))</f>
        <v>4</v>
      </c>
      <c r="AY38" s="9">
        <f>IF($E38="","",IF($E38="系统",0,ROUNDDOWN(INDEX(角色面板!$C$4:$C$7,MATCH($E38,角色面板!$A$4:$A$7,0))*(1+INDEX(角色面板!$C$11:$C$14,MATCH($E38,角色面板!$A$11:$A$14,0))+IF($E38="小瑞安侬",MAX(IF($B38&lt;=$AQ38,$AP38,0),IF(AND($L38="RHI_ATTACK",$EE38&gt;0),0.11+0.01*$G38,0)),0)+IF($E38="J",$AD38*Boss参数!$B$18,0))+IF(FD38&lt;=$AN38,MIN(Boss参数!$B$21,ROUNDDOWN(角色面板!$C$19*Boss参数!$B$20,0)),0)+IF(AND($B38&lt;=$AK38,$E38&lt;&gt;"小瑞安侬"),$DY38,0),0)))</f>
        <v>3505</v>
      </c>
      <c r="AZ38" s="10">
        <f>IF($E38="","",MAX(0,MIN(1,IFERROR(INDEX(角色面板!$G$18:$G$21,MATCH($E38,角色面板!$A$18:$A$21,0)),0)-FC38*Boss参数!$B$89-Boss参数!$E$4)))</f>
        <v>0.76</v>
      </c>
      <c r="BA38" s="10">
        <f>IF(E38="","",(IF($E38="","",IF($E38="红弩箭",Boss参数!$B$80,IF($E38="J",Boss参数!$B$81,IFERROR(INDEX(角色面板!$H$18:$H$21,MATCH($E38,角色面板!$A$18:$A$21,0)),0)))+IF($B38&lt;=$AI38,Boss参数!$B$13,0)+MIN(30,$AM38)*Boss参数!$B$17+IF(AND($L38="LILYA_ULT",$X38&gt;=6),1,0)+IF(AND($Y38=1,$L38="LILYA_INSIGHT"),IF(MOD($AA38+1,3)=0,Boss参数!$B$83,Boss参数!$B$82),IF(AND($Y38=1,$L38="LILYA_FINISH"),Boss参数!$B$84,0))))-FC38*Boss参数!$B$90)</f>
        <v>2.4380000000000002</v>
      </c>
      <c r="BB38" s="10">
        <f>IF($E38="","",IFERROR(INDEX(角色面板!$M$18:$M$21,MATCH($E38,角色面板!$A$18:$A$21,0)),0)+$AW38*Boss参数!$B$12+IF($B38&lt;=$AG38,$AF38,0)+$EI38+IF($L38="LILYA_DIVE",IF($U38=1,IF($G38=1,0.3,IF($G38=2,0.4,0.5)),IF($U38=2,IF($G38=1,0.6,IF($G38=2,0.8,1)),0)),0)+$R38+IF(AND($E38="J",OR($L38="J_COUNTER",$L38="J_HARD")),Boss参数!$B$79,0)+IF(AND(OR(L38="J_COUNTER",L38="J_HARD"),FA38&gt;=Boss参数!$B$59),FA38*Boss参数!$B$40,0))</f>
        <v>0.78</v>
      </c>
      <c r="BC38" s="10">
        <f>IF($E38="","",IFERROR(INDEX(角色面板!$K$18:$K$21,MATCH($E38,角色面板!$A$18:$A$21,0)),0)+IF($B38&lt;=$AH38,Boss参数!$B$46,0)+IF($E38="红弩箭",IF($U38=1,0.6,IF($U38=2,1.2,0))+$W38*0.06,0))-DI38*Boss参数!$B$23</f>
        <v>-0.7</v>
      </c>
      <c r="BD38" s="10">
        <f>IF($E38="","",IFERROR(INDEX(角色面板!$L$18:$L$21,MATCH($E38,角色面板!$A$18:$A$21,0)),0)+IF($B38&lt;=$AH38,Boss参数!$B$46,0)+IF($E38="J",$AL38*Boss参数!$B$16,0)+IF($E38="红弩箭",$X38*0.025,0)+IF(AND($L38="LILYA_ULT",$X38&gt;=6),1,0))-DI38*Boss参数!$B$23</f>
        <v>-0.3</v>
      </c>
      <c r="BE38" s="10">
        <f>IF($E38="","",IF($H38="洞知",IF($E38="红弩箭",$AO38*Boss参数!$B$15,0)+$AX38*Boss参数!$B$14,0))</f>
        <v>0.16</v>
      </c>
      <c r="BF38" s="10">
        <f t="shared" si="1"/>
        <v>0</v>
      </c>
      <c r="BG38" s="10">
        <f>IF($D38="",0,IF(AND($L38&lt;&gt;"LILYA_DIVE",$L38&lt;&gt;"LILYA_ULT",$L38&lt;&gt;"LILYA_INSIGHT",$L38&lt;&gt;"LILYA_FINISH",$L38&lt;&gt;"37_FOLLOW",$L38&lt;&gt;"RHI_ATTACK",$L38&lt;&gt;"RHI_BERRY",$L38&lt;&gt;"J_COUNTER",$L38&lt;&gt;"J_ULT"),$J38,0)+IF($L38="LILYA_DIVE",$J38+IF($U38=1,IF($G38=1,6,IF($G38=2,12,18)),IF($U38=2,IF($G38=1,12,IF($G38=2,24,36)),0)),0)+IF($L38="LILYA_ULT",$J38+IF($X38&gt;=6,18,0),0)+IF($L38="LILYA_INSIGHT",IF($Y38=1,IF(MOD($AA38+1,3)=0,32,15),0),0)+IF($L38="LILYA_FINISH",IF($Y38=1,50+2.5*$Z38,0),0)+IF($L38="37_FOLLOW",$J38,0)+IF($L38="RHI_ATTACK",$J38*IF($B38&lt;=$AJ38,2,1),0)+IF($L38="RHI_BERRY",15+1.5*$AV38,0)+IF($L38="J_COUNTER",$J38+$AD38*Boss参数!$B$39,0)+IF($L38="J_ULT",$J38+Boss参数!$B$45*MAX(0,$AE38+$AD38-Boss参数!$I$4),0)+$S38)</f>
        <v>8</v>
      </c>
      <c r="BH38" s="10">
        <f t="shared" si="2"/>
        <v>0</v>
      </c>
      <c r="BI38" s="10">
        <f>IF(E38="","",IF(DT38=1,1+Boss参数!$B$8+AV38*Boss参数!$B$19,1))</f>
        <v>1.5</v>
      </c>
      <c r="BJ38" s="9">
        <f>IF($I38="现实",Boss参数!$C$4,IF($I38="精神",Boss参数!$D$4,0))</f>
        <v>1000</v>
      </c>
      <c r="BK38" s="9">
        <f>IF($E38="","",MAX($AY38*Boss参数!$B$9,$AY38-$BJ38*(1-$BF38)))</f>
        <v>2505</v>
      </c>
      <c r="BL38" s="10">
        <f>MAX(0,Boss参数!$F$4+IF(DT38=0,Boss参数!$B$27,0)-EJ38)</f>
        <v>0.10000000000000003</v>
      </c>
      <c r="BM38" s="10">
        <f>Boss参数!$G$4+DU38-IF(Y38=1,Boss参数!$B$11,0)</f>
        <v>0.15000000000000002</v>
      </c>
      <c r="BN38" s="10">
        <f>IF($E38="","",MAX(Boss参数!$B$10,1+IFERROR(INDEX(角色面板!$I$18:$I$21,MATCH($E38,角色面板!$A$18:$A$21,0)),0)+$BB38+Boss参数!$H$4-$BM38))</f>
        <v>1.6349999999999998</v>
      </c>
      <c r="BO38" s="10">
        <f>IF(E38="","",IF(OR(L38="J_COUNTER",L38="J_HARD"),MAX(0,1+INDEX(角色面板!$K$18:$K$21,MATCH(E38,角色面板!$A$18:$A$21,0))-DI38*Boss参数!$B$23+IF(OR(Boss参数!$B$43=1,L38="J_HARD"),IF(B38&lt;=AH38,Boss参数!$B$46,0),0)),MAX(0,IF(OR(H38="术法",L38="RHI_BERRY",AND(L38="37_FOLLOW",Boss参数!$B$31=1)),1+BC38,IF(H38="仪式",1+BD38,IF(H38="洞知",EK38,1))))))</f>
        <v>1.56</v>
      </c>
      <c r="BP38" s="10">
        <f t="shared" si="3"/>
        <v>2.3380000000000001</v>
      </c>
      <c r="BQ38" s="1">
        <f t="shared" si="4"/>
        <v>76671.035999999993</v>
      </c>
      <c r="BR38" s="1">
        <f t="shared" si="5"/>
        <v>179256.88216799998</v>
      </c>
      <c r="BS38" s="1">
        <f>IF(BH38=0,0,ROUNDDOWN(AY38*BH38,0)*DV38*IF(Boss参数!$B$29=1,BN38,1)*IF(Boss参数!$B$33=1,BO38,1)*IF(Boss参数!$B$76=1,1-ES38,1))</f>
        <v>0</v>
      </c>
      <c r="BT38" s="1">
        <f t="shared" si="6"/>
        <v>0</v>
      </c>
      <c r="BU38" s="9">
        <f>IF(D38="",0,MIN(IF(Boss参数!$B$77=1,Boss参数!$B$63*Boss参数!$B$62,Boss参数!$B$61*Boss参数!$B$62),DW38+ROUNDDOWN(BS38,0)+ROUNDDOWN(DW38*Q38,0)))</f>
        <v>46002</v>
      </c>
      <c r="BV38" s="9">
        <f>IF(D38="",0,MIN(IF(Boss参数!$B$77=1,Boss参数!$B$63*Boss参数!$B$62,Boss参数!$B$61*Boss参数!$B$62),DX38+ROUNDDOWN(BT38,0)+ROUNDDOWN(DX38*Q38,0)))</f>
        <v>107554</v>
      </c>
      <c r="BW38" s="9">
        <f t="shared" si="7"/>
        <v>92781</v>
      </c>
      <c r="BX38" s="1" t="str">
        <f t="shared" si="8"/>
        <v/>
      </c>
      <c r="BY38" s="1">
        <f t="shared" si="9"/>
        <v>2</v>
      </c>
      <c r="BZ38" s="1">
        <f t="shared" si="10"/>
        <v>1</v>
      </c>
      <c r="CA38" s="1">
        <f>MIN(10,W38+IF(AND(L38="LILYA_COBRA",COUNTIF($L$3:L38,"LILYA_COBRA")=1),5,0)+IF(AND(L38="LILYA_DIVE",U38=1,COUNTIFS($DG$3:DG38,DG38,$L$3:L38,"LILYA_DIVE")=1),2,0)+IF(AND(FE38=1,U38=1),3,0))</f>
        <v>10</v>
      </c>
      <c r="CB38" s="1">
        <f>MIN(20,MAX(0,X38+IF(L38="LILYA_COBRA",IF(COUNTIF($L$3:L38,"LILYA_COBRA")=1,6,IF(U38=1,MAX(1,G38),IF(U38=2,2*MAX(1,G38),0))),0)+IF(AND(Y38=1,E38="红弩箭",L38&lt;&gt;"ENTER_INSIGHT"),1,0)-IF(AND(L38="LILYA_ULT",X38&gt;=6),6,0)))</f>
        <v>2</v>
      </c>
      <c r="CC38" s="1">
        <f t="shared" si="11"/>
        <v>1</v>
      </c>
      <c r="CD38" s="1">
        <f t="shared" si="12"/>
        <v>3</v>
      </c>
      <c r="CE38" s="1">
        <f t="shared" si="13"/>
        <v>2</v>
      </c>
      <c r="CF38" s="1">
        <f t="shared" si="14"/>
        <v>7</v>
      </c>
      <c r="CG38" s="1">
        <f t="shared" si="15"/>
        <v>0</v>
      </c>
      <c r="CH38" s="1">
        <f>MIN(35,AD38+IF(L38="J_HARD",6,0)+IF(L38="J_COUNTER",Boss参数!$B$30,0))</f>
        <v>24</v>
      </c>
      <c r="CI38" s="1">
        <f>MIN(Boss参数!$I$4,AE38+IF(L38="J_HARD",6,0)+IF(L38="J_ULT",AD38,0)+IF(L38="J_COUNTER",Boss参数!$B$30,0))</f>
        <v>15</v>
      </c>
      <c r="CJ38" s="10">
        <f>IF(L38="J_ULT",AD38*Boss参数!$B$41,IF(B38&lt;=AG38,AF38,0))</f>
        <v>0.4</v>
      </c>
      <c r="CK38" s="1">
        <f t="shared" si="16"/>
        <v>5</v>
      </c>
      <c r="CL38" s="1">
        <f t="shared" si="17"/>
        <v>5</v>
      </c>
      <c r="CM38" s="1">
        <f t="shared" si="18"/>
        <v>4</v>
      </c>
      <c r="CN38" s="1">
        <f t="shared" si="19"/>
        <v>5</v>
      </c>
      <c r="CO38" s="1">
        <f t="shared" si="20"/>
        <v>4</v>
      </c>
      <c r="CP38" s="1">
        <f t="shared" si="21"/>
        <v>3</v>
      </c>
      <c r="CQ38" s="1">
        <f t="shared" si="22"/>
        <v>20</v>
      </c>
      <c r="CR38" s="1">
        <f t="shared" si="23"/>
        <v>4</v>
      </c>
      <c r="CS38" s="1">
        <f t="shared" si="24"/>
        <v>3</v>
      </c>
      <c r="CT38" s="10">
        <f t="shared" si="25"/>
        <v>0.12</v>
      </c>
      <c r="CU38" s="1">
        <f t="shared" si="26"/>
        <v>5</v>
      </c>
      <c r="CV38" s="10">
        <f t="shared" si="27"/>
        <v>0.3</v>
      </c>
      <c r="CW38" s="1">
        <f t="shared" si="28"/>
        <v>5</v>
      </c>
      <c r="CX38" s="10">
        <f t="shared" si="29"/>
        <v>0.3</v>
      </c>
      <c r="CY38" s="1">
        <f t="shared" si="30"/>
        <v>5</v>
      </c>
      <c r="CZ38" s="1"/>
      <c r="DA38" s="1"/>
      <c r="DB38" s="1"/>
      <c r="DC38" s="1"/>
      <c r="DD38" s="1"/>
      <c r="DE38" s="1"/>
      <c r="DF38" s="1"/>
      <c r="DG38" s="1" t="str">
        <f>IF(D38="","",行动模拟!B44)</f>
        <v>洞知</v>
      </c>
      <c r="DH38" s="1" t="str">
        <f>IF(L38="END_TURN","回合结束",IF(D38="","",IF(INDEX(回合状态!$C$7:$C$17,MATCH(DG38,回合状态!$A$7:$A$17,0))="洞穿","洞穿",IF(OR(L38="J_COUNTER",L38="BOSS_ACTION",L38="BOSS_CONSERVATIVE"),"敌方",IF(AND(L38="37_FOLLOW",DG38=DG37,DH37="敌方"),"敌方",IF(INDEX(回合状态!$C$7:$C$17,MATCH(DG38,回合状态!$A$7:$A$17,0))="普通","出牌",INDEX(回合状态!$C$7:$C$17,MATCH(DG38,回合状态!$A$7:$A$17,0))))))))</f>
        <v>洞穿</v>
      </c>
      <c r="DI38" s="1">
        <f t="shared" si="31"/>
        <v>4</v>
      </c>
      <c r="DJ38" s="1">
        <f>IF(D38="",0,MIN(Boss参数!$B$25,IF(OR(AND(DH38="敌方",OR(DH37&lt;&gt;"敌方",DG38&lt;&gt;DG37)),AND(L38="END_TURN",DH38&lt;&gt;"洞穿"),AND(DG38&lt;&gt;DG37,DH37&lt;&gt;"洞穿",L37&lt;&gt;"END_TURN",COUNTIFS($DG$3:DG37,DG37,$DH$3:DH37,"敌方")=0)),EW38,DN37)))</f>
        <v>0</v>
      </c>
      <c r="DK38" s="1">
        <f>IF(D38="",0,MIN(Boss参数!$B$25,IF(OR(AND(DH38="敌方",OR(DH37&lt;&gt;"敌方",DG38&lt;&gt;DG37)),AND(L38="END_TURN",DH38&lt;&gt;"洞穿"),AND(DG38&lt;&gt;DG37,DH37&lt;&gt;"洞穿",L37&lt;&gt;"END_TURN",COUNTIFS($DG$3:DG37,DG37,$DH$3:DH37,"敌方")=0)),EW38,DO37)))</f>
        <v>4</v>
      </c>
      <c r="DL38" s="1">
        <f>IF(D38="",0,MIN(Boss参数!$B$25,IF(OR(AND(DH38="敌方",OR(DH37&lt;&gt;"敌方",DG38&lt;&gt;DG37)),AND(L38="END_TURN",DH38&lt;&gt;"洞穿"),AND(DG38&lt;&gt;DG37,DH37&lt;&gt;"洞穿",L37&lt;&gt;"END_TURN",COUNTIFS($DG$3:DG37,DG37,$DH$3:DH37,"敌方")=0)),EW38,DP37)))</f>
        <v>4</v>
      </c>
      <c r="DM38" s="1">
        <f>IF(D38="",0,MIN(Boss参数!$B$25,IF(OR(AND(DH38="敌方",OR(DH37&lt;&gt;"敌方",DG38&lt;&gt;DG37)),AND(L38="END_TURN",DH38&lt;&gt;"洞穿"),AND(DG38&lt;&gt;DG37,DH37&lt;&gt;"洞穿",L37&lt;&gt;"END_TURN",COUNTIFS($DG$3:DG37,DG37,$DH$3:DH37,"敌方")=0)),EW38,DQ37)))</f>
        <v>2</v>
      </c>
      <c r="DN38" s="1">
        <f>MAX(0,MIN(Boss参数!$B$25,DJ38+DR38)-IF(E38="红弩箭",2*DR38,0))</f>
        <v>1</v>
      </c>
      <c r="DO38" s="1">
        <f>MAX(0,MIN(Boss参数!$B$25,DK38+DR38)-IF(E38="37",2*DR38,0))</f>
        <v>3</v>
      </c>
      <c r="DP38" s="1">
        <f>MAX(0,MIN(Boss参数!$B$25,DL38+DR38)-IF(E38="小瑞安侬",2*DR38,0))</f>
        <v>5</v>
      </c>
      <c r="DQ38" s="1">
        <f>MAX(0,MIN(Boss参数!$B$25,DM38+DR38)-IF(E38="J",2*DR38,0))</f>
        <v>3</v>
      </c>
      <c r="DR38" s="1">
        <f t="shared" si="32"/>
        <v>1</v>
      </c>
      <c r="DS38" s="1">
        <f t="shared" si="33"/>
        <v>1</v>
      </c>
      <c r="DT38" s="1">
        <f>IF(OR(E38="",E38="系统"),0,IF(OR(AND(DS38=1,Boss参数!$B$32=1),L38="RHI_BERRY",OR(AND(INDEX(角色面板!$B$18:$B$21,MATCH(E38,角色面板!$A$18:$A$21,0))="星",Boss参数!$B$4="岩"),AND(INDEX(角色面板!$B$18:$B$21,MATCH(E38,角色面板!$A$18:$A$21,0))="岩",Boss参数!$B$4="兽"),AND(INDEX(角色面板!$B$18:$B$21,MATCH(E38,角色面板!$A$18:$A$21,0))="兽",Boss参数!$B$4="木"),AND(INDEX(角色面板!$B$18:$B$21,MATCH(E38,角色面板!$A$18:$A$21,0))="木",Boss参数!$B$4="星"),AND(INDEX(角色面板!$B$18:$B$21,MATCH(E38,角色面板!$A$18:$A$21,0))="智",Boss参数!$B$4="灵"),AND(INDEX(角色面板!$B$18:$B$21,MATCH(E38,角色面板!$A$18:$A$21,0))="灵",Boss参数!$B$4="智"))),1,0))</f>
        <v>1</v>
      </c>
      <c r="DU38" s="1">
        <f>IF(D38="",0,INDEX(回合状态!$E$7:$E$17,MATCH(DG38,回合状态!$A$7:$A$17,0))+IF(AND(DH38="敌方",OR(INDEX(回合状态!$C$7:$C$17,MATCH(DG38,回合状态!$A$7:$A$17,0))="普通",INDEX(回合状态!$C$7:$C$17,MATCH(DG38,回合状态!$A$7:$A$17,0))="额外")),0.05,0))</f>
        <v>0.15000000000000002</v>
      </c>
      <c r="DV38" s="1">
        <f>MAX(Boss参数!$B$28,1+IF(AND(E38="37",AC38&gt;0,BH38&gt;0),Boss参数!$B$42,0)-DI38*Boss参数!$B$24+EA38-ER38)</f>
        <v>0</v>
      </c>
      <c r="DW38" s="1">
        <f>MIN(IF(Boss参数!$B$77=1,Boss参数!$B$63*Boss参数!$B$62,Boss参数!$B$61*Boss参数!$B$62),ROUNDDOWN(BQ38*(1-ES38),0))</f>
        <v>46002</v>
      </c>
      <c r="DX38" s="1">
        <f>MIN(IF(Boss参数!$B$77=1,Boss参数!$B$63*Boss参数!$B$62,Boss参数!$B$61*Boss参数!$B$62),ROUNDDOWN(BR38*(1-ES38),0))</f>
        <v>107554</v>
      </c>
      <c r="DY38" s="1">
        <f t="shared" si="65"/>
        <v>238</v>
      </c>
      <c r="DZ38" s="1">
        <f>IF(L38="RHI_ULT",MIN(Boss参数!$B$48,ROUNDDOWN(AY38*Boss参数!$B$47,0)),DY38)</f>
        <v>238</v>
      </c>
      <c r="EA38" s="11">
        <v>0</v>
      </c>
      <c r="EB38" s="1">
        <f t="shared" si="34"/>
        <v>0</v>
      </c>
      <c r="EC38" s="1">
        <f>SUMIFS($EB$3:EB38,$B$3:B38,"&gt;="&amp;MAX(1,B38-2),$B$3:B38,"&lt;="&amp;B38)*Boss参数!$B$51</f>
        <v>12</v>
      </c>
      <c r="ED38" s="1">
        <f>IF(D38="",EG37,IF(AND(DG38&lt;&gt;DG37,DH38&lt;&gt;"洞穿"),MIN(Boss参数!$B$55,EG37+2),EG37))</f>
        <v>0</v>
      </c>
      <c r="EE38" s="1">
        <f t="shared" si="35"/>
        <v>0</v>
      </c>
      <c r="EF38" s="1">
        <f>IF(AND(OR(L38="END_TURN",AND(DH38="敌方",OR(DH37&lt;&gt;"敌方",DG38&lt;&gt;DG37))),SUMIFS($EF$3:EF37,$DG$3:DG37,DG38)=0),MIN(1,MAX(0,ED38-EE38)),0)</f>
        <v>0</v>
      </c>
      <c r="EG38" s="1">
        <f t="shared" si="36"/>
        <v>0</v>
      </c>
      <c r="EH38" s="11">
        <f>Boss参数!$B$53-IF(Y38=1,Boss参数!$B$54,0)</f>
        <v>-0.4</v>
      </c>
      <c r="EI38" s="11">
        <f t="shared" si="37"/>
        <v>0.3</v>
      </c>
      <c r="EJ38" s="11">
        <f t="shared" si="38"/>
        <v>0.3</v>
      </c>
      <c r="EK38" s="11">
        <f t="shared" si="39"/>
        <v>1.56</v>
      </c>
      <c r="EL38" s="1">
        <f t="shared" si="66"/>
        <v>0</v>
      </c>
      <c r="EM38" s="1">
        <f>IF(AND(DG38&lt;&gt;DG37,DH38="洞穿"),0,IF(L38="ENTER_INSIGHT",Boss参数!$B$57,EO37))</f>
        <v>0</v>
      </c>
      <c r="EN38" s="11">
        <f>IF(AND(Y38=1,H38="洞知",EM38&gt;0),Boss参数!$B$56,0)</f>
        <v>0</v>
      </c>
      <c r="EO38" s="1">
        <f t="shared" si="40"/>
        <v>1</v>
      </c>
      <c r="EP38" s="12">
        <f t="shared" si="67"/>
        <v>4161805</v>
      </c>
      <c r="EQ38" s="12">
        <f>ROUNDDOWN(EP38/Boss参数!$B$62,0)</f>
        <v>41</v>
      </c>
      <c r="ER38" s="11">
        <f>IF(EQ38&gt;=Boss参数!$B$66,Boss参数!$B$69,IF(EQ38&gt;=Boss参数!$B$65,Boss参数!$B$68,IF(EQ38&gt;=Boss参数!$B$64,Boss参数!$B$67,0)))</f>
        <v>0.6</v>
      </c>
      <c r="ES38" s="11">
        <f>MIN(1,IF(EQ38&gt;=Boss参数!$B$66,Boss参数!$B$72+ROUNDDOWN((EQ38-Boss参数!$B$66)/Boss参数!$B$73,0)*Boss参数!$B$74,IF(EQ38&gt;=Boss参数!$B$65,Boss参数!$B$71,IF(EQ38&gt;=Boss参数!$B$64,Boss参数!$B$70,0))))</f>
        <v>0.4</v>
      </c>
      <c r="ET38" s="12">
        <f>MIN(Boss参数!$B$61*Boss参数!$B$62,EP38+IF(AND(Boss参数!$B$60=1,ISNUMBER(验证表!H44)),验证表!H44,EU38))</f>
        <v>4207807</v>
      </c>
      <c r="EU38" s="12">
        <f>IF(D38="",0,IF(验证表!G44="是",BV38,IF(验证表!G44="否",BU38,BW38)))</f>
        <v>46002</v>
      </c>
      <c r="EV38" s="12">
        <f>IF(EQ38&gt;=Boss参数!$B$66,2,IF(EQ38&gt;=Boss参数!$B$65,1,0))</f>
        <v>1</v>
      </c>
      <c r="EW38" s="12">
        <f t="shared" si="41"/>
        <v>2</v>
      </c>
      <c r="EX38" s="1">
        <f>IF(D38="",0,INDEX(回合状态!$D$7:$D$17,MATCH(DG38,回合状态!$A$7:$A$17,0)))</f>
        <v>4</v>
      </c>
      <c r="EY38" s="1">
        <f>IF(OR(L38="RHI_ATTACK",L38="RHI_BUFF"),1,IF(L38="RHI_ULT",Boss参数!$B$52,0))</f>
        <v>0</v>
      </c>
      <c r="EZ38" s="1">
        <f>MIN(6,SUMIFS($EY$3:EY38,$EX$3:EX38,"&gt;="&amp;MAX(1,EX38-Boss参数!$B$87+1),$EX$3:EX38,"&lt;="&amp;EX38))</f>
        <v>4</v>
      </c>
      <c r="FA38" s="1">
        <f t="shared" si="68"/>
        <v>24</v>
      </c>
      <c r="FB38" s="17">
        <f>IF(L38="BOSS_CONSERVATIVE",B38+Boss参数!$B$91,FB37)</f>
        <v>0</v>
      </c>
      <c r="FC38" s="17">
        <f t="shared" si="69"/>
        <v>0</v>
      </c>
      <c r="FD38" s="17">
        <f>IF(D38="",FD37,FD37+IF(AND(DG38&lt;&gt;DG37,INDEX(回合状态!$C$7:$C$17,MATCH(DG38,回合状态!$A$7:$A$17,0))&lt;&gt;"洞穿"),1,0))</f>
        <v>3</v>
      </c>
      <c r="FE38" s="17">
        <f>IF(D38="",0,IF(AND(OR(L38="END_TURN",DH38="敌方"),INDEX(回合状态!$C$7:$C$17,MATCH(DG38,回合状态!$A$7:$A$17,0))&lt;&gt;"洞穿",SUMIFS($FE$3:FE37,$DG$3:DG37,DG38)=0),1,0))</f>
        <v>0</v>
      </c>
    </row>
    <row r="39" spans="1:161" ht="84.95" customHeight="1">
      <c r="A39" s="1">
        <f>行动模拟!A45</f>
        <v>37</v>
      </c>
      <c r="B39" s="1">
        <f>IF(D39="",0,INDEX(回合状态!$B$7:$B$17,MATCH(DG39,回合状态!$A$7:$A$17,0)))</f>
        <v>3</v>
      </c>
      <c r="C39" s="1">
        <f>行动模拟!C45</f>
        <v>5</v>
      </c>
      <c r="D39" s="1" t="str">
        <f>IF(行动模拟!D45="","",行动模拟!D45)</f>
        <v>红弩箭｜洞知咒语</v>
      </c>
      <c r="E39" s="1" t="str">
        <f>IF($D39="","",IFERROR(INDEX(技能数据库!$B$4:$B$38,MATCH($D39,技能数据库!$A$4:$A$38,0)),""))</f>
        <v>红弩箭</v>
      </c>
      <c r="F39" s="1" t="str">
        <f>IF($D39="","",IFERROR(INDEX(技能数据库!$C$4:$C$38,MATCH($D39,技能数据库!$A$4:$A$38,0)),""))</f>
        <v>洞知咒语</v>
      </c>
      <c r="G39" s="1">
        <f>IF($D39="","",IFERROR(INDEX(技能数据库!$D$4:$D$38,MATCH($D39,技能数据库!$A$4:$A$38,0)),""))</f>
        <v>0</v>
      </c>
      <c r="H39" s="1" t="str">
        <f>IF($D39="","",IFERROR(INDEX(技能数据库!$E$4:$E$38,MATCH($D39,技能数据库!$A$4:$A$38,0)),""))</f>
        <v>洞知</v>
      </c>
      <c r="I39" s="1" t="str">
        <f>IF($D39="","",IFERROR(INDEX(技能数据库!$F$4:$F$38,MATCH($D39,技能数据库!$A$4:$A$38,0)),""))</f>
        <v>现实</v>
      </c>
      <c r="J39" s="1">
        <f>IF($D39="","",IFERROR(INDEX(技能数据库!$G$4:$G$38,MATCH($D39,技能数据库!$A$4:$A$38,0)),""))</f>
        <v>15</v>
      </c>
      <c r="K39" s="1">
        <f>IF($D39="","",IFERROR(INDEX(技能数据库!$H$4:$H$38,MATCH($D39,技能数据库!$A$4:$A$38,0)),""))</f>
        <v>0</v>
      </c>
      <c r="L39" s="1" t="str">
        <f>IF($D39="","",IFERROR(INDEX(技能数据库!$I$4:$I$38,MATCH($D39,技能数据库!$A$4:$A$38,0)),""))</f>
        <v>LILYA_INSIGHT</v>
      </c>
      <c r="M39" s="10">
        <v>1</v>
      </c>
      <c r="N39" s="1"/>
      <c r="O39" s="1"/>
      <c r="P39" s="1"/>
      <c r="Q39" s="10">
        <f t="shared" si="0"/>
        <v>0.4</v>
      </c>
      <c r="R39" s="10">
        <v>0</v>
      </c>
      <c r="S39" s="10">
        <v>0</v>
      </c>
      <c r="T39" s="1" t="str">
        <f>行动模拟!I45</f>
        <v>稳态本源自动：先消耗已有两分悖论；37攻击后再获得1层。</v>
      </c>
      <c r="U39" s="1">
        <f>IF(FD39&lt;&gt;FD38,IF(BY38=1,IF(MIN(10,CA38+IF(AND(DG39&lt;&gt;DG38,DH38&lt;&gt;"洞穿",SUMIFS($FE$3:FE38,$DG$3:DG38,DG38)=0,BY38=1),3,0))&gt;=10,2,1),IF(BY38=2,IF(BZ38&lt;=1,0,2),0)),BY38)</f>
        <v>2</v>
      </c>
      <c r="V39" s="1">
        <f>IF(FD39&lt;&gt;FD38,IF(BY38=1,IF(MIN(10,CA38+IF(AND(DG39&lt;&gt;DG38,DH38&lt;&gt;"洞穿",SUMIFS($FE$3:FE38,$DG$3:DG38,DG38)=0,BY38=1),3,0))&gt;=10,2,0),IF(BY38=2,MAX(0,BZ38-1),0)),BZ38)</f>
        <v>1</v>
      </c>
      <c r="W39" s="1">
        <f>IF(AND(FD39&lt;&gt;FD38,BY38=2,BZ38&lt;=1),0,MIN(10,CA38+IF(AND(DG39&lt;&gt;DG38,DH38&lt;&gt;"洞穿",SUMIFS($FE$3:FE38,$DG$3:DG38,DG38)=0,BY38=1),3,0)))</f>
        <v>10</v>
      </c>
      <c r="X39" s="1">
        <f t="shared" si="42"/>
        <v>2</v>
      </c>
      <c r="Y39" s="1">
        <f t="shared" si="43"/>
        <v>1</v>
      </c>
      <c r="Z39" s="1">
        <f t="shared" si="44"/>
        <v>3</v>
      </c>
      <c r="AA39" s="1">
        <f t="shared" si="45"/>
        <v>2</v>
      </c>
      <c r="AB39" s="1">
        <f t="shared" si="46"/>
        <v>7</v>
      </c>
      <c r="AC39" s="1">
        <f t="shared" si="47"/>
        <v>0</v>
      </c>
      <c r="AD39" s="1">
        <f t="shared" si="48"/>
        <v>24</v>
      </c>
      <c r="AE39" s="1">
        <f>IF(D39="",0,IF(DG39&lt;&gt;DG38,IFERROR(INDEX(回合状态!$F$7:$F$17,MATCH(DG39,回合状态!$A$7:$A$17,0)),0),CI38))</f>
        <v>15</v>
      </c>
      <c r="AF39" s="10">
        <f t="shared" si="49"/>
        <v>0.4</v>
      </c>
      <c r="AG39" s="1">
        <f t="shared" si="50"/>
        <v>5</v>
      </c>
      <c r="AH39" s="1">
        <f t="shared" si="51"/>
        <v>5</v>
      </c>
      <c r="AI39" s="1">
        <f t="shared" si="52"/>
        <v>4</v>
      </c>
      <c r="AJ39" s="1">
        <f t="shared" si="53"/>
        <v>5</v>
      </c>
      <c r="AK39" s="1">
        <f t="shared" si="54"/>
        <v>4</v>
      </c>
      <c r="AL39" s="1">
        <f t="shared" si="55"/>
        <v>3</v>
      </c>
      <c r="AM39" s="1">
        <f t="shared" si="56"/>
        <v>20</v>
      </c>
      <c r="AN39" s="1">
        <f t="shared" si="57"/>
        <v>4</v>
      </c>
      <c r="AO39" s="1">
        <f t="shared" si="58"/>
        <v>3</v>
      </c>
      <c r="AP39" s="10">
        <f t="shared" si="59"/>
        <v>0.12</v>
      </c>
      <c r="AQ39" s="1">
        <f t="shared" si="60"/>
        <v>5</v>
      </c>
      <c r="AR39" s="10">
        <f t="shared" si="61"/>
        <v>0.3</v>
      </c>
      <c r="AS39" s="1">
        <f t="shared" si="62"/>
        <v>5</v>
      </c>
      <c r="AT39" s="10">
        <f t="shared" si="63"/>
        <v>0.3</v>
      </c>
      <c r="AU39" s="1">
        <f t="shared" si="64"/>
        <v>5</v>
      </c>
      <c r="AV39" s="1">
        <f>MIN(5,SUMIFS($EL$3:EL39,$B$3:B39,"&gt;="&amp;MAX(1,B39-2),$B$3:B39,"&lt;="&amp;B39)+EC39)</f>
        <v>5</v>
      </c>
      <c r="AW39" s="1">
        <f>MIN(6,SUMIFS($EY$3:EY38,$EX$3:EX38,"&gt;="&amp;MAX(1,EX39-Boss参数!$B$87+1),$EX$3:EX38,"&lt;="&amp;EX39))</f>
        <v>4</v>
      </c>
      <c r="AX39" s="1">
        <f>MIN(4,COUNTIFS($B$3:$B$38,"&gt;="&amp;MAX(1,$B39-2),$B$3:$B$38,"&lt;="&amp;$B39,$L$3:$L$38,"37_FOLLOW"))</f>
        <v>4</v>
      </c>
      <c r="AY39" s="9">
        <f>IF($E39="","",IF($E39="系统",0,ROUNDDOWN(INDEX(角色面板!$C$4:$C$7,MATCH($E39,角色面板!$A$4:$A$7,0))*(1+INDEX(角色面板!$C$11:$C$14,MATCH($E39,角色面板!$A$11:$A$14,0))+IF($E39="小瑞安侬",MAX(IF($B39&lt;=$AQ39,$AP39,0),IF(AND($L39="RHI_ATTACK",$EE39&gt;0),0.11+0.01*$G39,0)),0)+IF($E39="J",$AD39*Boss参数!$B$18,0))+IF(FD39&lt;=$AN39,MIN(Boss参数!$B$21,ROUNDDOWN(角色面板!$C$19*Boss参数!$B$20,0)),0)+IF(AND($B39&lt;=$AK39,$E39&lt;&gt;"小瑞安侬"),$DY39,0),0)))</f>
        <v>3493</v>
      </c>
      <c r="AZ39" s="10">
        <f>IF($E39="","",MAX(0,MIN(1,IFERROR(INDEX(角色面板!$G$18:$G$21,MATCH($E39,角色面板!$A$18:$A$21,0)),0)-FC39*Boss参数!$B$89-Boss参数!$E$4)))</f>
        <v>1</v>
      </c>
      <c r="BA39" s="10">
        <f>IF(E39="","",(IF($E39="","",IF($E39="红弩箭",Boss参数!$B$80,IF($E39="J",Boss参数!$B$81,IFERROR(INDEX(角色面板!$H$18:$H$21,MATCH($E39,角色面板!$A$18:$A$21,0)),0)))+IF($B39&lt;=$AI39,Boss参数!$B$13,0)+MIN(30,$AM39)*Boss参数!$B$17+IF(AND($L39="LILYA_ULT",$X39&gt;=6),1,0)+IF(AND($Y39=1,$L39="LILYA_INSIGHT"),IF(MOD($AA39+1,3)=0,Boss参数!$B$83,Boss参数!$B$82),IF(AND($Y39=1,$L39="LILYA_FINISH"),Boss参数!$B$84,0))))-FC39*Boss参数!$B$90)</f>
        <v>3.0650000000000004</v>
      </c>
      <c r="BB39" s="10">
        <f>IF($E39="","",IFERROR(INDEX(角色面板!$M$18:$M$21,MATCH($E39,角色面板!$A$18:$A$21,0)),0)+$AW39*Boss参数!$B$12+IF($B39&lt;=$AG39,$AF39,0)+$EI39+IF($L39="LILYA_DIVE",IF($U39=1,IF($G39=1,0.3,IF($G39=2,0.4,0.5)),IF($U39=2,IF($G39=1,0.6,IF($G39=2,0.8,1)),0)),0)+$R39+IF(AND($E39="J",OR($L39="J_COUNTER",$L39="J_HARD")),Boss参数!$B$79,0)+IF(AND(OR(L39="J_COUNTER",L39="J_HARD"),FA39&gt;=Boss参数!$B$59),FA39*Boss参数!$B$40,0))</f>
        <v>1.02</v>
      </c>
      <c r="BC39" s="10">
        <f>IF($E39="","",IFERROR(INDEX(角色面板!$K$18:$K$21,MATCH($E39,角色面板!$A$18:$A$21,0)),0)+IF($B39&lt;=$AH39,Boss参数!$B$46,0)+IF($E39="红弩箭",IF($U39=1,0.6,IF($U39=2,1.2,0))+$W39*0.06,0))-DI39*Boss参数!$B$23</f>
        <v>1.5499999999999998</v>
      </c>
      <c r="BD39" s="10">
        <f>IF($E39="","",IFERROR(INDEX(角色面板!$L$18:$L$21,MATCH($E39,角色面板!$A$18:$A$21,0)),0)+IF($B39&lt;=$AH39,Boss参数!$B$46,0)+IF($E39="J",$AL39*Boss参数!$B$16,0)+IF($E39="红弩箭",$X39*0.025,0)+IF(AND($L39="LILYA_ULT",$X39&gt;=6),1,0))-DI39*Boss参数!$B$23</f>
        <v>0.19999999999999998</v>
      </c>
      <c r="BE39" s="10">
        <f>IF($E39="","",IF($H39="洞知",IF($E39="红弩箭",$AO39*Boss参数!$B$15,0)+$AX39*Boss参数!$B$14,0))</f>
        <v>0.33999999999999997</v>
      </c>
      <c r="BF39" s="10">
        <f t="shared" si="1"/>
        <v>0</v>
      </c>
      <c r="BG39" s="10">
        <f>IF($D39="",0,IF(AND($L39&lt;&gt;"LILYA_DIVE",$L39&lt;&gt;"LILYA_ULT",$L39&lt;&gt;"LILYA_INSIGHT",$L39&lt;&gt;"LILYA_FINISH",$L39&lt;&gt;"37_FOLLOW",$L39&lt;&gt;"RHI_ATTACK",$L39&lt;&gt;"RHI_BERRY",$L39&lt;&gt;"J_COUNTER",$L39&lt;&gt;"J_ULT"),$J39,0)+IF($L39="LILYA_DIVE",$J39+IF($U39=1,IF($G39=1,6,IF($G39=2,12,18)),IF($U39=2,IF($G39=1,12,IF($G39=2,24,36)),0)),0)+IF($L39="LILYA_ULT",$J39+IF($X39&gt;=6,18,0),0)+IF($L39="LILYA_INSIGHT",IF($Y39=1,IF(MOD($AA39+1,3)=0,32,15),0),0)+IF($L39="LILYA_FINISH",IF($Y39=1,50+2.5*$Z39,0),0)+IF($L39="37_FOLLOW",$J39,0)+IF($L39="RHI_ATTACK",$J39*IF($B39&lt;=$AJ39,2,1),0)+IF($L39="RHI_BERRY",15+1.5*$AV39,0)+IF($L39="J_COUNTER",$J39+$AD39*Boss参数!$B$39,0)+IF($L39="J_ULT",$J39+Boss参数!$B$45*MAX(0,$AE39+$AD39-Boss参数!$I$4),0)+$S39)</f>
        <v>32</v>
      </c>
      <c r="BH39" s="10">
        <f t="shared" si="2"/>
        <v>0</v>
      </c>
      <c r="BI39" s="10">
        <f>IF(E39="","",IF(DT39=1,1+Boss参数!$B$8+AV39*Boss参数!$B$19,1))</f>
        <v>1.5</v>
      </c>
      <c r="BJ39" s="9">
        <f>IF($I39="现实",Boss参数!$C$4,IF($I39="精神",Boss参数!$D$4,0))</f>
        <v>1200</v>
      </c>
      <c r="BK39" s="9">
        <f>IF($E39="","",MAX($AY39*Boss参数!$B$9,$AY39-$BJ39*(1-$BF39)))</f>
        <v>2293</v>
      </c>
      <c r="BL39" s="10">
        <f>MAX(0,Boss参数!$F$4+IF(DT39=0,Boss参数!$B$27,0)-EJ39)</f>
        <v>0.10000000000000003</v>
      </c>
      <c r="BM39" s="10">
        <f>Boss参数!$G$4+DU39-IF(Y39=1,Boss参数!$B$11,0)</f>
        <v>0.15000000000000002</v>
      </c>
      <c r="BN39" s="10">
        <f>IF($E39="","",MAX(Boss参数!$B$10,1+IFERROR(INDEX(角色面板!$I$18:$I$21,MATCH($E39,角色面板!$A$18:$A$21,0)),0)+$BB39+Boss参数!$H$4-$BM39))</f>
        <v>1.9700000000000002</v>
      </c>
      <c r="BO39" s="10">
        <f>IF(E39="","",IF(OR(L39="J_COUNTER",L39="J_HARD"),MAX(0,1+INDEX(角色面板!$K$18:$K$21,MATCH(E39,角色面板!$A$18:$A$21,0))-DI39*Boss参数!$B$23+IF(OR(Boss参数!$B$43=1,L39="J_HARD"),IF(B39&lt;=AH39,Boss参数!$B$46,0),0)),MAX(0,IF(OR(H39="术法",L39="RHI_BERRY",AND(L39="37_FOLLOW",Boss参数!$B$31=1)),1+BC39,IF(H39="仪式",1+BD39,IF(H39="洞知",EK39,1))))))</f>
        <v>1.7399999999999998</v>
      </c>
      <c r="BP39" s="10">
        <f t="shared" si="3"/>
        <v>2.9650000000000003</v>
      </c>
      <c r="BQ39" s="1">
        <f t="shared" si="4"/>
        <v>377277.37919999997</v>
      </c>
      <c r="BR39" s="1">
        <f t="shared" si="5"/>
        <v>1118627.4293279999</v>
      </c>
      <c r="BS39" s="1">
        <f>IF(BH39=0,0,ROUNDDOWN(AY39*BH39,0)*DV39*IF(Boss参数!$B$29=1,BN39,1)*IF(Boss参数!$B$33=1,BO39,1)*IF(Boss参数!$B$76=1,1-ES39,1))</f>
        <v>0</v>
      </c>
      <c r="BT39" s="1">
        <f t="shared" si="6"/>
        <v>0</v>
      </c>
      <c r="BU39" s="9">
        <f>IF(D39="",0,MIN(IF(Boss参数!$B$77=1,Boss参数!$B$63*Boss参数!$B$62,Boss参数!$B$61*Boss参数!$B$62),DW39+ROUNDDOWN(BS39,0)+ROUNDDOWN(DW39*Q39,0)))</f>
        <v>316912</v>
      </c>
      <c r="BV39" s="9">
        <f>IF(D39="",0,MIN(IF(Boss参数!$B$77=1,Boss参数!$B$63*Boss参数!$B$62,Boss参数!$B$61*Boss参数!$B$62),DX39+ROUNDDOWN(BT39,0)+ROUNDDOWN(DX39*Q39,0)))</f>
        <v>939646</v>
      </c>
      <c r="BW39" s="9">
        <f t="shared" si="7"/>
        <v>939646</v>
      </c>
      <c r="BX39" s="1" t="str">
        <f t="shared" si="8"/>
        <v/>
      </c>
      <c r="BY39" s="1">
        <f t="shared" si="9"/>
        <v>2</v>
      </c>
      <c r="BZ39" s="1">
        <f t="shared" si="10"/>
        <v>1</v>
      </c>
      <c r="CA39" s="1">
        <f>MIN(10,W39+IF(AND(L39="LILYA_COBRA",COUNTIF($L$3:L39,"LILYA_COBRA")=1),5,0)+IF(AND(L39="LILYA_DIVE",U39=1,COUNTIFS($DG$3:DG39,DG39,$L$3:L39,"LILYA_DIVE")=1),2,0)+IF(AND(FE39=1,U39=1),3,0))</f>
        <v>10</v>
      </c>
      <c r="CB39" s="1">
        <f>MIN(20,MAX(0,X39+IF(L39="LILYA_COBRA",IF(COUNTIF($L$3:L39,"LILYA_COBRA")=1,6,IF(U39=1,MAX(1,G39),IF(U39=2,2*MAX(1,G39),0))),0)+IF(AND(Y39=1,E39="红弩箭",L39&lt;&gt;"ENTER_INSIGHT"),1,0)-IF(AND(L39="LILYA_ULT",X39&gt;=6),6,0)))</f>
        <v>3</v>
      </c>
      <c r="CC39" s="1">
        <f t="shared" si="11"/>
        <v>1</v>
      </c>
      <c r="CD39" s="1">
        <f t="shared" si="12"/>
        <v>4</v>
      </c>
      <c r="CE39" s="1">
        <f t="shared" si="13"/>
        <v>3</v>
      </c>
      <c r="CF39" s="1">
        <f t="shared" si="14"/>
        <v>8</v>
      </c>
      <c r="CG39" s="1">
        <f t="shared" si="15"/>
        <v>0</v>
      </c>
      <c r="CH39" s="1">
        <f>MIN(35,AD39+IF(L39="J_HARD",6,0)+IF(L39="J_COUNTER",Boss参数!$B$30,0))</f>
        <v>24</v>
      </c>
      <c r="CI39" s="1">
        <f>MIN(Boss参数!$I$4,AE39+IF(L39="J_HARD",6,0)+IF(L39="J_ULT",AD39,0)+IF(L39="J_COUNTER",Boss参数!$B$30,0))</f>
        <v>15</v>
      </c>
      <c r="CJ39" s="10">
        <f>IF(L39="J_ULT",AD39*Boss参数!$B$41,IF(B39&lt;=AG39,AF39,0))</f>
        <v>0.4</v>
      </c>
      <c r="CK39" s="1">
        <f t="shared" si="16"/>
        <v>5</v>
      </c>
      <c r="CL39" s="1">
        <f t="shared" si="17"/>
        <v>5</v>
      </c>
      <c r="CM39" s="1">
        <f t="shared" si="18"/>
        <v>4</v>
      </c>
      <c r="CN39" s="1">
        <f t="shared" si="19"/>
        <v>5</v>
      </c>
      <c r="CO39" s="1">
        <f t="shared" si="20"/>
        <v>4</v>
      </c>
      <c r="CP39" s="1">
        <f t="shared" si="21"/>
        <v>3</v>
      </c>
      <c r="CQ39" s="1">
        <f t="shared" si="22"/>
        <v>20</v>
      </c>
      <c r="CR39" s="1">
        <f t="shared" si="23"/>
        <v>4</v>
      </c>
      <c r="CS39" s="1">
        <f t="shared" si="24"/>
        <v>4</v>
      </c>
      <c r="CT39" s="10">
        <f t="shared" si="25"/>
        <v>0.12</v>
      </c>
      <c r="CU39" s="1">
        <f t="shared" si="26"/>
        <v>5</v>
      </c>
      <c r="CV39" s="10">
        <f t="shared" si="27"/>
        <v>0.3</v>
      </c>
      <c r="CW39" s="1">
        <f t="shared" si="28"/>
        <v>5</v>
      </c>
      <c r="CX39" s="10">
        <f t="shared" si="29"/>
        <v>0.3</v>
      </c>
      <c r="CY39" s="1">
        <f t="shared" si="30"/>
        <v>5</v>
      </c>
      <c r="CZ39" s="1"/>
      <c r="DA39" s="1"/>
      <c r="DB39" s="1"/>
      <c r="DC39" s="1"/>
      <c r="DD39" s="1"/>
      <c r="DE39" s="1"/>
      <c r="DF39" s="1"/>
      <c r="DG39" s="1" t="str">
        <f>IF(D39="","",行动模拟!B45)</f>
        <v>洞知</v>
      </c>
      <c r="DH39" s="1" t="str">
        <f>IF(L39="END_TURN","回合结束",IF(D39="","",IF(INDEX(回合状态!$C$7:$C$17,MATCH(DG39,回合状态!$A$7:$A$17,0))="洞穿","洞穿",IF(OR(L39="J_COUNTER",L39="BOSS_ACTION",L39="BOSS_CONSERVATIVE"),"敌方",IF(AND(L39="37_FOLLOW",DG39=DG38,DH38="敌方"),"敌方",IF(INDEX(回合状态!$C$7:$C$17,MATCH(DG39,回合状态!$A$7:$A$17,0))="普通","出牌",INDEX(回合状态!$C$7:$C$17,MATCH(DG39,回合状态!$A$7:$A$17,0))))))))</f>
        <v>洞穿</v>
      </c>
      <c r="DI39" s="1">
        <f t="shared" si="31"/>
        <v>1</v>
      </c>
      <c r="DJ39" s="1">
        <f>IF(D39="",0,MIN(Boss参数!$B$25,IF(OR(AND(DH39="敌方",OR(DH38&lt;&gt;"敌方",DG39&lt;&gt;DG38)),AND(L39="END_TURN",DH39&lt;&gt;"洞穿"),AND(DG39&lt;&gt;DG38,DH38&lt;&gt;"洞穿",L38&lt;&gt;"END_TURN",COUNTIFS($DG$3:DG38,DG38,$DH$3:DH38,"敌方")=0)),EW39,DN38)))</f>
        <v>1</v>
      </c>
      <c r="DK39" s="1">
        <f>IF(D39="",0,MIN(Boss参数!$B$25,IF(OR(AND(DH39="敌方",OR(DH38&lt;&gt;"敌方",DG39&lt;&gt;DG38)),AND(L39="END_TURN",DH39&lt;&gt;"洞穿"),AND(DG39&lt;&gt;DG38,DH38&lt;&gt;"洞穿",L38&lt;&gt;"END_TURN",COUNTIFS($DG$3:DG38,DG38,$DH$3:DH38,"敌方")=0)),EW39,DO38)))</f>
        <v>3</v>
      </c>
      <c r="DL39" s="1">
        <f>IF(D39="",0,MIN(Boss参数!$B$25,IF(OR(AND(DH39="敌方",OR(DH38&lt;&gt;"敌方",DG39&lt;&gt;DG38)),AND(L39="END_TURN",DH39&lt;&gt;"洞穿"),AND(DG39&lt;&gt;DG38,DH38&lt;&gt;"洞穿",L38&lt;&gt;"END_TURN",COUNTIFS($DG$3:DG38,DG38,$DH$3:DH38,"敌方")=0)),EW39,DP38)))</f>
        <v>5</v>
      </c>
      <c r="DM39" s="1">
        <f>IF(D39="",0,MIN(Boss参数!$B$25,IF(OR(AND(DH39="敌方",OR(DH38&lt;&gt;"敌方",DG39&lt;&gt;DG38)),AND(L39="END_TURN",DH39&lt;&gt;"洞穿"),AND(DG39&lt;&gt;DG38,DH38&lt;&gt;"洞穿",L38&lt;&gt;"END_TURN",COUNTIFS($DG$3:DG38,DG38,$DH$3:DH38,"敌方")=0)),EW39,DQ38)))</f>
        <v>3</v>
      </c>
      <c r="DN39" s="1">
        <f>MAX(0,MIN(Boss参数!$B$25,DJ39+DR39)-IF(E39="红弩箭",2*DR39,0))</f>
        <v>0</v>
      </c>
      <c r="DO39" s="1">
        <f>MAX(0,MIN(Boss参数!$B$25,DK39+DR39)-IF(E39="37",2*DR39,0))</f>
        <v>4</v>
      </c>
      <c r="DP39" s="1">
        <f>MAX(0,MIN(Boss参数!$B$25,DL39+DR39)-IF(E39="小瑞安侬",2*DR39,0))</f>
        <v>5</v>
      </c>
      <c r="DQ39" s="1">
        <f>MAX(0,MIN(Boss参数!$B$25,DM39+DR39)-IF(E39="J",2*DR39,0))</f>
        <v>4</v>
      </c>
      <c r="DR39" s="1">
        <f t="shared" si="32"/>
        <v>1</v>
      </c>
      <c r="DS39" s="1">
        <f t="shared" si="33"/>
        <v>1</v>
      </c>
      <c r="DT39" s="1">
        <f>IF(OR(E39="",E39="系统"),0,IF(OR(AND(DS39=1,Boss参数!$B$32=1),L39="RHI_BERRY",OR(AND(INDEX(角色面板!$B$18:$B$21,MATCH(E39,角色面板!$A$18:$A$21,0))="星",Boss参数!$B$4="岩"),AND(INDEX(角色面板!$B$18:$B$21,MATCH(E39,角色面板!$A$18:$A$21,0))="岩",Boss参数!$B$4="兽"),AND(INDEX(角色面板!$B$18:$B$21,MATCH(E39,角色面板!$A$18:$A$21,0))="兽",Boss参数!$B$4="木"),AND(INDEX(角色面板!$B$18:$B$21,MATCH(E39,角色面板!$A$18:$A$21,0))="木",Boss参数!$B$4="星"),AND(INDEX(角色面板!$B$18:$B$21,MATCH(E39,角色面板!$A$18:$A$21,0))="智",Boss参数!$B$4="灵"),AND(INDEX(角色面板!$B$18:$B$21,MATCH(E39,角色面板!$A$18:$A$21,0))="灵",Boss参数!$B$4="智"))),1,0))</f>
        <v>1</v>
      </c>
      <c r="DU39" s="1">
        <f>IF(D39="",0,INDEX(回合状态!$E$7:$E$17,MATCH(DG39,回合状态!$A$7:$A$17,0))+IF(AND(DH39="敌方",OR(INDEX(回合状态!$C$7:$C$17,MATCH(DG39,回合状态!$A$7:$A$17,0))="普通",INDEX(回合状态!$C$7:$C$17,MATCH(DG39,回合状态!$A$7:$A$17,0))="额外")),0.05,0))</f>
        <v>0.15000000000000002</v>
      </c>
      <c r="DV39" s="1">
        <f>MAX(Boss参数!$B$28,1+IF(AND(E39="37",AC39&gt;0,BH39&gt;0),Boss参数!$B$42,0)-DI39*Boss参数!$B$24+EA39-ER39)</f>
        <v>0.25</v>
      </c>
      <c r="DW39" s="1">
        <f>MIN(IF(Boss参数!$B$77=1,Boss参数!$B$63*Boss参数!$B$62,Boss参数!$B$61*Boss参数!$B$62),ROUNDDOWN(BQ39*(1-ES39),0))</f>
        <v>226366</v>
      </c>
      <c r="DX39" s="1">
        <f>MIN(IF(Boss参数!$B$77=1,Boss参数!$B$63*Boss参数!$B$62,Boss参数!$B$61*Boss参数!$B$62),ROUNDDOWN(BR39*(1-ES39),0))</f>
        <v>671176</v>
      </c>
      <c r="DY39" s="1">
        <f t="shared" si="65"/>
        <v>238</v>
      </c>
      <c r="DZ39" s="1">
        <f>IF(L39="RHI_ULT",MIN(Boss参数!$B$48,ROUNDDOWN(AY39*Boss参数!$B$47,0)),DY39)</f>
        <v>238</v>
      </c>
      <c r="EA39" s="11">
        <v>0</v>
      </c>
      <c r="EB39" s="1">
        <f t="shared" si="34"/>
        <v>0</v>
      </c>
      <c r="EC39" s="1">
        <f>SUMIFS($EB$3:EB39,$B$3:B39,"&gt;="&amp;MAX(1,B39-2),$B$3:B39,"&lt;="&amp;B39)*Boss参数!$B$51</f>
        <v>12</v>
      </c>
      <c r="ED39" s="1">
        <f>IF(D39="",EG38,IF(AND(DG39&lt;&gt;DG38,DH39&lt;&gt;"洞穿"),MIN(Boss参数!$B$55,EG38+2),EG38))</f>
        <v>0</v>
      </c>
      <c r="EE39" s="1">
        <f t="shared" si="35"/>
        <v>0</v>
      </c>
      <c r="EF39" s="1">
        <f>IF(AND(OR(L39="END_TURN",AND(DH39="敌方",OR(DH38&lt;&gt;"敌方",DG39&lt;&gt;DG38))),SUMIFS($EF$3:EF38,$DG$3:DG38,DG39)=0),MIN(1,MAX(0,ED39-EE39)),0)</f>
        <v>0</v>
      </c>
      <c r="EG39" s="1">
        <f t="shared" si="36"/>
        <v>0</v>
      </c>
      <c r="EH39" s="11">
        <f>Boss参数!$B$53-IF(Y39=1,Boss参数!$B$54,0)</f>
        <v>-0.4</v>
      </c>
      <c r="EI39" s="11">
        <f t="shared" si="37"/>
        <v>0.3</v>
      </c>
      <c r="EJ39" s="11">
        <f t="shared" si="38"/>
        <v>0.3</v>
      </c>
      <c r="EK39" s="11">
        <f t="shared" si="39"/>
        <v>1.7399999999999998</v>
      </c>
      <c r="EL39" s="1">
        <f t="shared" si="66"/>
        <v>0</v>
      </c>
      <c r="EM39" s="1">
        <f>IF(AND(DG39&lt;&gt;DG38,DH39="洞穿"),0,IF(L39="ENTER_INSIGHT",Boss参数!$B$57,EO38))</f>
        <v>1</v>
      </c>
      <c r="EN39" s="11">
        <f>IF(AND(Y39=1,H39="洞知",EM39&gt;0),Boss参数!$B$56,0)</f>
        <v>0.4</v>
      </c>
      <c r="EO39" s="1">
        <f t="shared" si="40"/>
        <v>0</v>
      </c>
      <c r="EP39" s="12">
        <f t="shared" si="67"/>
        <v>4207807</v>
      </c>
      <c r="EQ39" s="12">
        <f>ROUNDDOWN(EP39/Boss参数!$B$62,0)</f>
        <v>42</v>
      </c>
      <c r="ER39" s="11">
        <f>IF(EQ39&gt;=Boss参数!$B$66,Boss参数!$B$69,IF(EQ39&gt;=Boss参数!$B$65,Boss参数!$B$68,IF(EQ39&gt;=Boss参数!$B$64,Boss参数!$B$67,0)))</f>
        <v>0.6</v>
      </c>
      <c r="ES39" s="11">
        <f>MIN(1,IF(EQ39&gt;=Boss参数!$B$66,Boss参数!$B$72+ROUNDDOWN((EQ39-Boss参数!$B$66)/Boss参数!$B$73,0)*Boss参数!$B$74,IF(EQ39&gt;=Boss参数!$B$65,Boss参数!$B$71,IF(EQ39&gt;=Boss参数!$B$64,Boss参数!$B$70,0))))</f>
        <v>0.4</v>
      </c>
      <c r="ET39" s="12">
        <f>MIN(Boss参数!$B$61*Boss参数!$B$62,EP39+IF(AND(Boss参数!$B$60=1,ISNUMBER(验证表!H45)),验证表!H45,EU39))</f>
        <v>5147453</v>
      </c>
      <c r="EU39" s="12">
        <f>IF(D39="",0,IF(验证表!G45="是",BV39,IF(验证表!G45="否",BU39,BW39)))</f>
        <v>939646</v>
      </c>
      <c r="EV39" s="12">
        <f>IF(EQ39&gt;=Boss参数!$B$66,2,IF(EQ39&gt;=Boss参数!$B$65,1,0))</f>
        <v>1</v>
      </c>
      <c r="EW39" s="12">
        <f t="shared" si="41"/>
        <v>2</v>
      </c>
      <c r="EX39" s="1">
        <f>IF(D39="",0,INDEX(回合状态!$D$7:$D$17,MATCH(DG39,回合状态!$A$7:$A$17,0)))</f>
        <v>4</v>
      </c>
      <c r="EY39" s="1">
        <f>IF(OR(L39="RHI_ATTACK",L39="RHI_BUFF"),1,IF(L39="RHI_ULT",Boss参数!$B$52,0))</f>
        <v>0</v>
      </c>
      <c r="EZ39" s="1">
        <f>MIN(6,SUMIFS($EY$3:EY39,$EX$3:EX39,"&gt;="&amp;MAX(1,EX39-Boss参数!$B$87+1),$EX$3:EX39,"&lt;="&amp;EX39))</f>
        <v>4</v>
      </c>
      <c r="FA39" s="1">
        <f t="shared" si="68"/>
        <v>24</v>
      </c>
      <c r="FB39" s="17">
        <f>IF(L39="BOSS_CONSERVATIVE",B39+Boss参数!$B$91,FB38)</f>
        <v>0</v>
      </c>
      <c r="FC39" s="17">
        <f t="shared" si="69"/>
        <v>0</v>
      </c>
      <c r="FD39" s="17">
        <f>IF(D39="",FD38,FD38+IF(AND(DG39&lt;&gt;DG38,INDEX(回合状态!$C$7:$C$17,MATCH(DG39,回合状态!$A$7:$A$17,0))&lt;&gt;"洞穿"),1,0))</f>
        <v>3</v>
      </c>
      <c r="FE39" s="17">
        <f>IF(D39="",0,IF(AND(OR(L39="END_TURN",DH39="敌方"),INDEX(回合状态!$C$7:$C$17,MATCH(DG39,回合状态!$A$7:$A$17,0))&lt;&gt;"洞穿",SUMIFS($FE$3:FE38,$DG$3:DG38,DG39)=0),1,0))</f>
        <v>0</v>
      </c>
    </row>
    <row r="40" spans="1:161" ht="84.95" customHeight="1">
      <c r="A40" s="1">
        <f>行动模拟!A46</f>
        <v>38</v>
      </c>
      <c r="B40" s="1">
        <f>IF(D40="",0,INDEX(回合状态!$B$7:$B$17,MATCH(DG40,回合状态!$A$7:$A$17,0)))</f>
        <v>3</v>
      </c>
      <c r="C40" s="1">
        <f>行动模拟!C46</f>
        <v>6</v>
      </c>
      <c r="D40" s="1" t="str">
        <f>IF(行动模拟!D46="","",行动模拟!D46)</f>
        <v>红弩箭｜洞知咒语</v>
      </c>
      <c r="E40" s="1" t="str">
        <f>IF($D40="","",IFERROR(INDEX(技能数据库!$B$4:$B$38,MATCH($D40,技能数据库!$A$4:$A$38,0)),""))</f>
        <v>红弩箭</v>
      </c>
      <c r="F40" s="1" t="str">
        <f>IF($D40="","",IFERROR(INDEX(技能数据库!$C$4:$C$38,MATCH($D40,技能数据库!$A$4:$A$38,0)),""))</f>
        <v>洞知咒语</v>
      </c>
      <c r="G40" s="1">
        <f>IF($D40="","",IFERROR(INDEX(技能数据库!$D$4:$D$38,MATCH($D40,技能数据库!$A$4:$A$38,0)),""))</f>
        <v>0</v>
      </c>
      <c r="H40" s="1" t="str">
        <f>IF($D40="","",IFERROR(INDEX(技能数据库!$E$4:$E$38,MATCH($D40,技能数据库!$A$4:$A$38,0)),""))</f>
        <v>洞知</v>
      </c>
      <c r="I40" s="1" t="str">
        <f>IF($D40="","",IFERROR(INDEX(技能数据库!$F$4:$F$38,MATCH($D40,技能数据库!$A$4:$A$38,0)),""))</f>
        <v>现实</v>
      </c>
      <c r="J40" s="1">
        <f>IF($D40="","",IFERROR(INDEX(技能数据库!$G$4:$G$38,MATCH($D40,技能数据库!$A$4:$A$38,0)),""))</f>
        <v>15</v>
      </c>
      <c r="K40" s="1">
        <f>IF($D40="","",IFERROR(INDEX(技能数据库!$H$4:$H$38,MATCH($D40,技能数据库!$A$4:$A$38,0)),""))</f>
        <v>0</v>
      </c>
      <c r="L40" s="1" t="str">
        <f>IF($D40="","",IFERROR(INDEX(技能数据库!$I$4:$I$38,MATCH($D40,技能数据库!$A$4:$A$38,0)),""))</f>
        <v>LILYA_INSIGHT</v>
      </c>
      <c r="M40" s="10">
        <v>1</v>
      </c>
      <c r="N40" s="1"/>
      <c r="O40" s="1"/>
      <c r="P40" s="1"/>
      <c r="Q40" s="10">
        <f t="shared" si="0"/>
        <v>0</v>
      </c>
      <c r="R40" s="10">
        <v>0</v>
      </c>
      <c r="S40" s="10">
        <v>0</v>
      </c>
      <c r="T40" s="1">
        <f>行动模拟!I46</f>
        <v>0</v>
      </c>
      <c r="U40" s="1">
        <f>IF(FD40&lt;&gt;FD39,IF(BY39=1,IF(MIN(10,CA39+IF(AND(DG40&lt;&gt;DG39,DH39&lt;&gt;"洞穿",SUMIFS($FE$3:FE39,$DG$3:DG39,DG39)=0,BY39=1),3,0))&gt;=10,2,1),IF(BY39=2,IF(BZ39&lt;=1,0,2),0)),BY39)</f>
        <v>2</v>
      </c>
      <c r="V40" s="1">
        <f>IF(FD40&lt;&gt;FD39,IF(BY39=1,IF(MIN(10,CA39+IF(AND(DG40&lt;&gt;DG39,DH39&lt;&gt;"洞穿",SUMIFS($FE$3:FE39,$DG$3:DG39,DG39)=0,BY39=1),3,0))&gt;=10,2,0),IF(BY39=2,MAX(0,BZ39-1),0)),BZ39)</f>
        <v>1</v>
      </c>
      <c r="W40" s="1">
        <f>IF(AND(FD40&lt;&gt;FD39,BY39=2,BZ39&lt;=1),0,MIN(10,CA39+IF(AND(DG40&lt;&gt;DG39,DH39&lt;&gt;"洞穿",SUMIFS($FE$3:FE39,$DG$3:DG39,DG39)=0,BY39=1),3,0)))</f>
        <v>10</v>
      </c>
      <c r="X40" s="1">
        <f t="shared" si="42"/>
        <v>3</v>
      </c>
      <c r="Y40" s="1">
        <f t="shared" si="43"/>
        <v>1</v>
      </c>
      <c r="Z40" s="1">
        <f t="shared" si="44"/>
        <v>4</v>
      </c>
      <c r="AA40" s="1">
        <f t="shared" si="45"/>
        <v>3</v>
      </c>
      <c r="AB40" s="1">
        <f t="shared" si="46"/>
        <v>8</v>
      </c>
      <c r="AC40" s="1">
        <f t="shared" si="47"/>
        <v>0</v>
      </c>
      <c r="AD40" s="1">
        <f t="shared" si="48"/>
        <v>24</v>
      </c>
      <c r="AE40" s="1">
        <f>IF(D40="",0,IF(DG40&lt;&gt;DG39,IFERROR(INDEX(回合状态!$F$7:$F$17,MATCH(DG40,回合状态!$A$7:$A$17,0)),0),CI39))</f>
        <v>15</v>
      </c>
      <c r="AF40" s="10">
        <f t="shared" si="49"/>
        <v>0.4</v>
      </c>
      <c r="AG40" s="1">
        <f t="shared" si="50"/>
        <v>5</v>
      </c>
      <c r="AH40" s="1">
        <f t="shared" si="51"/>
        <v>5</v>
      </c>
      <c r="AI40" s="1">
        <f t="shared" si="52"/>
        <v>4</v>
      </c>
      <c r="AJ40" s="1">
        <f t="shared" si="53"/>
        <v>5</v>
      </c>
      <c r="AK40" s="1">
        <f t="shared" si="54"/>
        <v>4</v>
      </c>
      <c r="AL40" s="1">
        <f t="shared" si="55"/>
        <v>3</v>
      </c>
      <c r="AM40" s="1">
        <f t="shared" si="56"/>
        <v>20</v>
      </c>
      <c r="AN40" s="1">
        <f t="shared" si="57"/>
        <v>4</v>
      </c>
      <c r="AO40" s="1">
        <f t="shared" si="58"/>
        <v>4</v>
      </c>
      <c r="AP40" s="10">
        <f t="shared" si="59"/>
        <v>0.12</v>
      </c>
      <c r="AQ40" s="1">
        <f t="shared" si="60"/>
        <v>5</v>
      </c>
      <c r="AR40" s="10">
        <f t="shared" si="61"/>
        <v>0.3</v>
      </c>
      <c r="AS40" s="1">
        <f t="shared" si="62"/>
        <v>5</v>
      </c>
      <c r="AT40" s="10">
        <f t="shared" si="63"/>
        <v>0.3</v>
      </c>
      <c r="AU40" s="1">
        <f t="shared" si="64"/>
        <v>5</v>
      </c>
      <c r="AV40" s="1">
        <f>MIN(5,SUMIFS($EL$3:EL40,$B$3:B40,"&gt;="&amp;MAX(1,B40-2),$B$3:B40,"&lt;="&amp;B40)+EC40)</f>
        <v>5</v>
      </c>
      <c r="AW40" s="1">
        <f>MIN(6,SUMIFS($EY$3:EY39,$EX$3:EX39,"&gt;="&amp;MAX(1,EX40-Boss参数!$B$87+1),$EX$3:EX39,"&lt;="&amp;EX40))</f>
        <v>4</v>
      </c>
      <c r="AX40" s="1">
        <f>MIN(4,COUNTIFS($B$3:$B$39,"&gt;="&amp;MAX(1,$B40-2),$B$3:$B$39,"&lt;="&amp;$B40,$L$3:$L$39,"37_FOLLOW"))</f>
        <v>4</v>
      </c>
      <c r="AY40" s="9">
        <f>IF($E40="","",IF($E40="系统",0,ROUNDDOWN(INDEX(角色面板!$C$4:$C$7,MATCH($E40,角色面板!$A$4:$A$7,0))*(1+INDEX(角色面板!$C$11:$C$14,MATCH($E40,角色面板!$A$11:$A$14,0))+IF($E40="小瑞安侬",MAX(IF($B40&lt;=$AQ40,$AP40,0),IF(AND($L40="RHI_ATTACK",$EE40&gt;0),0.11+0.01*$G40,0)),0)+IF($E40="J",$AD40*Boss参数!$B$18,0))+IF(FD40&lt;=$AN40,MIN(Boss参数!$B$21,ROUNDDOWN(角色面板!$C$19*Boss参数!$B$20,0)),0)+IF(AND($B40&lt;=$AK40,$E40&lt;&gt;"小瑞安侬"),$DY40,0),0)))</f>
        <v>3493</v>
      </c>
      <c r="AZ40" s="10">
        <f>IF($E40="","",MAX(0,MIN(1,IFERROR(INDEX(角色面板!$G$18:$G$21,MATCH($E40,角色面板!$A$18:$A$21,0)),0)-FC40*Boss参数!$B$89-Boss参数!$E$4)))</f>
        <v>1</v>
      </c>
      <c r="BA40" s="10">
        <f>IF(E40="","",(IF($E40="","",IF($E40="红弩箭",Boss参数!$B$80,IF($E40="J",Boss参数!$B$81,IFERROR(INDEX(角色面板!$H$18:$H$21,MATCH($E40,角色面板!$A$18:$A$21,0)),0)))+IF($B40&lt;=$AI40,Boss参数!$B$13,0)+MIN(30,$AM40)*Boss参数!$B$17+IF(AND($L40="LILYA_ULT",$X40&gt;=6),1,0)+IF(AND($Y40=1,$L40="LILYA_INSIGHT"),IF(MOD($AA40+1,3)=0,Boss参数!$B$83,Boss参数!$B$82),IF(AND($Y40=1,$L40="LILYA_FINISH"),Boss参数!$B$84,0))))-FC40*Boss参数!$B$90)</f>
        <v>2.8650000000000002</v>
      </c>
      <c r="BB40" s="10">
        <f>IF($E40="","",IFERROR(INDEX(角色面板!$M$18:$M$21,MATCH($E40,角色面板!$A$18:$A$21,0)),0)+$AW40*Boss参数!$B$12+IF($B40&lt;=$AG40,$AF40,0)+$EI40+IF($L40="LILYA_DIVE",IF($U40=1,IF($G40=1,0.3,IF($G40=2,0.4,0.5)),IF($U40=2,IF($G40=1,0.6,IF($G40=2,0.8,1)),0)),0)+$R40+IF(AND($E40="J",OR($L40="J_COUNTER",$L40="J_HARD")),Boss参数!$B$79,0)+IF(AND(OR(L40="J_COUNTER",L40="J_HARD"),FA40&gt;=Boss参数!$B$59),FA40*Boss参数!$B$40,0))</f>
        <v>1.02</v>
      </c>
      <c r="BC40" s="10">
        <f>IF($E40="","",IFERROR(INDEX(角色面板!$K$18:$K$21,MATCH($E40,角色面板!$A$18:$A$21,0)),0)+IF($B40&lt;=$AH40,Boss参数!$B$46,0)+IF($E40="红弩箭",IF($U40=1,0.6,IF($U40=2,1.2,0))+$W40*0.06,0))-DI40*Boss参数!$B$23</f>
        <v>1.6999999999999997</v>
      </c>
      <c r="BD40" s="10">
        <f>IF($E40="","",IFERROR(INDEX(角色面板!$L$18:$L$21,MATCH($E40,角色面板!$A$18:$A$21,0)),0)+IF($B40&lt;=$AH40,Boss参数!$B$46,0)+IF($E40="J",$AL40*Boss参数!$B$16,0)+IF($E40="红弩箭",$X40*0.025,0)+IF(AND($L40="LILYA_ULT",$X40&gt;=6),1,0))-DI40*Boss参数!$B$23</f>
        <v>0.375</v>
      </c>
      <c r="BE40" s="10">
        <f>IF($E40="","",IF($H40="洞知",IF($E40="红弩箭",$AO40*Boss参数!$B$15,0)+$AX40*Boss参数!$B$14,0))</f>
        <v>0.4</v>
      </c>
      <c r="BF40" s="10">
        <f t="shared" si="1"/>
        <v>0</v>
      </c>
      <c r="BG40" s="10">
        <f>IF($D40="",0,IF(AND($L40&lt;&gt;"LILYA_DIVE",$L40&lt;&gt;"LILYA_ULT",$L40&lt;&gt;"LILYA_INSIGHT",$L40&lt;&gt;"LILYA_FINISH",$L40&lt;&gt;"37_FOLLOW",$L40&lt;&gt;"RHI_ATTACK",$L40&lt;&gt;"RHI_BERRY",$L40&lt;&gt;"J_COUNTER",$L40&lt;&gt;"J_ULT"),$J40,0)+IF($L40="LILYA_DIVE",$J40+IF($U40=1,IF($G40=1,6,IF($G40=2,12,18)),IF($U40=2,IF($G40=1,12,IF($G40=2,24,36)),0)),0)+IF($L40="LILYA_ULT",$J40+IF($X40&gt;=6,18,0),0)+IF($L40="LILYA_INSIGHT",IF($Y40=1,IF(MOD($AA40+1,3)=0,32,15),0),0)+IF($L40="LILYA_FINISH",IF($Y40=1,50+2.5*$Z40,0),0)+IF($L40="37_FOLLOW",$J40,0)+IF($L40="RHI_ATTACK",$J40*IF($B40&lt;=$AJ40,2,1),0)+IF($L40="RHI_BERRY",15+1.5*$AV40,0)+IF($L40="J_COUNTER",$J40+$AD40*Boss参数!$B$39,0)+IF($L40="J_ULT",$J40+Boss参数!$B$45*MAX(0,$AE40+$AD40-Boss参数!$I$4),0)+$S40)</f>
        <v>15</v>
      </c>
      <c r="BH40" s="10">
        <f t="shared" si="2"/>
        <v>0</v>
      </c>
      <c r="BI40" s="10">
        <f>IF(E40="","",IF(DT40=1,1+Boss参数!$B$8+AV40*Boss参数!$B$19,1))</f>
        <v>1.5</v>
      </c>
      <c r="BJ40" s="9">
        <f>IF($I40="现实",Boss参数!$C$4,IF($I40="精神",Boss参数!$D$4,0))</f>
        <v>1200</v>
      </c>
      <c r="BK40" s="9">
        <f>IF($E40="","",MAX($AY40*Boss参数!$B$9,$AY40-$BJ40*(1-$BF40)))</f>
        <v>2293</v>
      </c>
      <c r="BL40" s="10">
        <f>MAX(0,Boss参数!$F$4+IF(DT40=0,Boss参数!$B$27,0)-EJ40)</f>
        <v>0.10000000000000003</v>
      </c>
      <c r="BM40" s="10">
        <f>Boss参数!$G$4+DU40-IF(Y40=1,Boss参数!$B$11,0)</f>
        <v>0.15000000000000002</v>
      </c>
      <c r="BN40" s="10">
        <f>IF($E40="","",MAX(Boss参数!$B$10,1+IFERROR(INDEX(角色面板!$I$18:$I$21,MATCH($E40,角色面板!$A$18:$A$21,0)),0)+$BB40+Boss参数!$H$4-$BM40))</f>
        <v>1.9700000000000002</v>
      </c>
      <c r="BO40" s="10">
        <f>IF(E40="","",IF(OR(L40="J_COUNTER",L40="J_HARD"),MAX(0,1+INDEX(角色面板!$K$18:$K$21,MATCH(E40,角色面板!$A$18:$A$21,0))-DI40*Boss参数!$B$23+IF(OR(Boss参数!$B$43=1,L40="J_HARD"),IF(B40&lt;=AH40,Boss参数!$B$46,0),0)),MAX(0,IF(OR(H40="术法",L40="RHI_BERRY",AND(L40="37_FOLLOW",Boss参数!$B$31=1)),1+BC40,IF(H40="仪式",1+BD40,IF(H40="洞知",EK40,1))))))</f>
        <v>1.7999999999999998</v>
      </c>
      <c r="BP40" s="10">
        <f t="shared" si="3"/>
        <v>2.7650000000000001</v>
      </c>
      <c r="BQ40" s="1">
        <f t="shared" si="4"/>
        <v>182947.005</v>
      </c>
      <c r="BR40" s="1">
        <f t="shared" si="5"/>
        <v>505848.46882500005</v>
      </c>
      <c r="BS40" s="1">
        <f>IF(BH40=0,0,ROUNDDOWN(AY40*BH40,0)*DV40*IF(Boss参数!$B$29=1,BN40,1)*IF(Boss参数!$B$33=1,BO40,1)*IF(Boss参数!$B$76=1,1-ES40,1))</f>
        <v>0</v>
      </c>
      <c r="BT40" s="1">
        <f t="shared" si="6"/>
        <v>0</v>
      </c>
      <c r="BU40" s="9">
        <f>IF(D40="",0,MIN(IF(Boss参数!$B$77=1,Boss参数!$B$63*Boss参数!$B$62,Boss参数!$B$61*Boss参数!$B$62),DW40+ROUNDDOWN(BS40,0)+ROUNDDOWN(DW40*Q40,0)))</f>
        <v>109768</v>
      </c>
      <c r="BV40" s="9">
        <f>IF(D40="",0,MIN(IF(Boss参数!$B$77=1,Boss参数!$B$63*Boss参数!$B$62,Boss参数!$B$61*Boss参数!$B$62),DX40+ROUNDDOWN(BT40,0)+ROUNDDOWN(DX40*Q40,0)))</f>
        <v>303509</v>
      </c>
      <c r="BW40" s="9">
        <f t="shared" si="7"/>
        <v>303509</v>
      </c>
      <c r="BX40" s="1" t="str">
        <f t="shared" si="8"/>
        <v/>
      </c>
      <c r="BY40" s="1">
        <f t="shared" si="9"/>
        <v>2</v>
      </c>
      <c r="BZ40" s="1">
        <f t="shared" si="10"/>
        <v>1</v>
      </c>
      <c r="CA40" s="1">
        <f>MIN(10,W40+IF(AND(L40="LILYA_COBRA",COUNTIF($L$3:L40,"LILYA_COBRA")=1),5,0)+IF(AND(L40="LILYA_DIVE",U40=1,COUNTIFS($DG$3:DG40,DG40,$L$3:L40,"LILYA_DIVE")=1),2,0)+IF(AND(FE40=1,U40=1),3,0))</f>
        <v>10</v>
      </c>
      <c r="CB40" s="1">
        <f>MIN(20,MAX(0,X40+IF(L40="LILYA_COBRA",IF(COUNTIF($L$3:L40,"LILYA_COBRA")=1,6,IF(U40=1,MAX(1,G40),IF(U40=2,2*MAX(1,G40),0))),0)+IF(AND(Y40=1,E40="红弩箭",L40&lt;&gt;"ENTER_INSIGHT"),1,0)-IF(AND(L40="LILYA_ULT",X40&gt;=6),6,0)))</f>
        <v>4</v>
      </c>
      <c r="CC40" s="1">
        <f t="shared" si="11"/>
        <v>1</v>
      </c>
      <c r="CD40" s="1">
        <f t="shared" si="12"/>
        <v>5</v>
      </c>
      <c r="CE40" s="1">
        <f t="shared" si="13"/>
        <v>4</v>
      </c>
      <c r="CF40" s="1">
        <f t="shared" si="14"/>
        <v>9</v>
      </c>
      <c r="CG40" s="1">
        <f t="shared" si="15"/>
        <v>0</v>
      </c>
      <c r="CH40" s="1">
        <f>MIN(35,AD40+IF(L40="J_HARD",6,0)+IF(L40="J_COUNTER",Boss参数!$B$30,0))</f>
        <v>24</v>
      </c>
      <c r="CI40" s="1">
        <f>MIN(Boss参数!$I$4,AE40+IF(L40="J_HARD",6,0)+IF(L40="J_ULT",AD40,0)+IF(L40="J_COUNTER",Boss参数!$B$30,0))</f>
        <v>15</v>
      </c>
      <c r="CJ40" s="10">
        <f>IF(L40="J_ULT",AD40*Boss参数!$B$41,IF(B40&lt;=AG40,AF40,0))</f>
        <v>0.4</v>
      </c>
      <c r="CK40" s="1">
        <f t="shared" si="16"/>
        <v>5</v>
      </c>
      <c r="CL40" s="1">
        <f t="shared" si="17"/>
        <v>5</v>
      </c>
      <c r="CM40" s="1">
        <f t="shared" si="18"/>
        <v>4</v>
      </c>
      <c r="CN40" s="1">
        <f t="shared" si="19"/>
        <v>5</v>
      </c>
      <c r="CO40" s="1">
        <f t="shared" si="20"/>
        <v>4</v>
      </c>
      <c r="CP40" s="1">
        <f t="shared" si="21"/>
        <v>3</v>
      </c>
      <c r="CQ40" s="1">
        <f t="shared" si="22"/>
        <v>20</v>
      </c>
      <c r="CR40" s="1">
        <f t="shared" si="23"/>
        <v>4</v>
      </c>
      <c r="CS40" s="1">
        <f t="shared" si="24"/>
        <v>5</v>
      </c>
      <c r="CT40" s="10">
        <f t="shared" si="25"/>
        <v>0.12</v>
      </c>
      <c r="CU40" s="1">
        <f t="shared" si="26"/>
        <v>5</v>
      </c>
      <c r="CV40" s="10">
        <f t="shared" si="27"/>
        <v>0.3</v>
      </c>
      <c r="CW40" s="1">
        <f t="shared" si="28"/>
        <v>5</v>
      </c>
      <c r="CX40" s="10">
        <f t="shared" si="29"/>
        <v>0.3</v>
      </c>
      <c r="CY40" s="1">
        <f t="shared" si="30"/>
        <v>5</v>
      </c>
      <c r="CZ40" s="1"/>
      <c r="DA40" s="1"/>
      <c r="DB40" s="1"/>
      <c r="DC40" s="1"/>
      <c r="DD40" s="1"/>
      <c r="DE40" s="1"/>
      <c r="DF40" s="1"/>
      <c r="DG40" s="1" t="str">
        <f>IF(D40="","",行动模拟!B46)</f>
        <v>洞知</v>
      </c>
      <c r="DH40" s="1" t="str">
        <f>IF(L40="END_TURN","回合结束",IF(D40="","",IF(INDEX(回合状态!$C$7:$C$17,MATCH(DG40,回合状态!$A$7:$A$17,0))="洞穿","洞穿",IF(OR(L40="J_COUNTER",L40="BOSS_ACTION",L40="BOSS_CONSERVATIVE"),"敌方",IF(AND(L40="37_FOLLOW",DG40=DG39,DH39="敌方"),"敌方",IF(INDEX(回合状态!$C$7:$C$17,MATCH(DG40,回合状态!$A$7:$A$17,0))="普通","出牌",INDEX(回合状态!$C$7:$C$17,MATCH(DG40,回合状态!$A$7:$A$17,0))))))))</f>
        <v>洞穿</v>
      </c>
      <c r="DI40" s="1">
        <f t="shared" si="31"/>
        <v>0</v>
      </c>
      <c r="DJ40" s="1">
        <f>IF(D40="",0,MIN(Boss参数!$B$25,IF(OR(AND(DH40="敌方",OR(DH39&lt;&gt;"敌方",DG40&lt;&gt;DG39)),AND(L40="END_TURN",DH40&lt;&gt;"洞穿"),AND(DG40&lt;&gt;DG39,DH39&lt;&gt;"洞穿",L39&lt;&gt;"END_TURN",COUNTIFS($DG$3:DG39,DG39,$DH$3:DH39,"敌方")=0)),EW40,DN39)))</f>
        <v>0</v>
      </c>
      <c r="DK40" s="1">
        <f>IF(D40="",0,MIN(Boss参数!$B$25,IF(OR(AND(DH40="敌方",OR(DH39&lt;&gt;"敌方",DG40&lt;&gt;DG39)),AND(L40="END_TURN",DH40&lt;&gt;"洞穿"),AND(DG40&lt;&gt;DG39,DH39&lt;&gt;"洞穿",L39&lt;&gt;"END_TURN",COUNTIFS($DG$3:DG39,DG39,$DH$3:DH39,"敌方")=0)),EW40,DO39)))</f>
        <v>4</v>
      </c>
      <c r="DL40" s="1">
        <f>IF(D40="",0,MIN(Boss参数!$B$25,IF(OR(AND(DH40="敌方",OR(DH39&lt;&gt;"敌方",DG40&lt;&gt;DG39)),AND(L40="END_TURN",DH40&lt;&gt;"洞穿"),AND(DG40&lt;&gt;DG39,DH39&lt;&gt;"洞穿",L39&lt;&gt;"END_TURN",COUNTIFS($DG$3:DG39,DG39,$DH$3:DH39,"敌方")=0)),EW40,DP39)))</f>
        <v>5</v>
      </c>
      <c r="DM40" s="1">
        <f>IF(D40="",0,MIN(Boss参数!$B$25,IF(OR(AND(DH40="敌方",OR(DH39&lt;&gt;"敌方",DG40&lt;&gt;DG39)),AND(L40="END_TURN",DH40&lt;&gt;"洞穿"),AND(DG40&lt;&gt;DG39,DH39&lt;&gt;"洞穿",L39&lt;&gt;"END_TURN",COUNTIFS($DG$3:DG39,DG39,$DH$3:DH39,"敌方")=0)),EW40,DQ39)))</f>
        <v>4</v>
      </c>
      <c r="DN40" s="1">
        <f>MAX(0,MIN(Boss参数!$B$25,DJ40+DR40)-IF(E40="红弩箭",2*DR40,0))</f>
        <v>0</v>
      </c>
      <c r="DO40" s="1">
        <f>MAX(0,MIN(Boss参数!$B$25,DK40+DR40)-IF(E40="37",2*DR40,0))</f>
        <v>4</v>
      </c>
      <c r="DP40" s="1">
        <f>MAX(0,MIN(Boss参数!$B$25,DL40+DR40)-IF(E40="小瑞安侬",2*DR40,0))</f>
        <v>5</v>
      </c>
      <c r="DQ40" s="1">
        <f>MAX(0,MIN(Boss参数!$B$25,DM40+DR40)-IF(E40="J",2*DR40,0))</f>
        <v>4</v>
      </c>
      <c r="DR40" s="1">
        <f t="shared" si="32"/>
        <v>0</v>
      </c>
      <c r="DS40" s="1">
        <f t="shared" si="33"/>
        <v>1</v>
      </c>
      <c r="DT40" s="1">
        <f>IF(OR(E40="",E40="系统"),0,IF(OR(AND(DS40=1,Boss参数!$B$32=1),L40="RHI_BERRY",OR(AND(INDEX(角色面板!$B$18:$B$21,MATCH(E40,角色面板!$A$18:$A$21,0))="星",Boss参数!$B$4="岩"),AND(INDEX(角色面板!$B$18:$B$21,MATCH(E40,角色面板!$A$18:$A$21,0))="岩",Boss参数!$B$4="兽"),AND(INDEX(角色面板!$B$18:$B$21,MATCH(E40,角色面板!$A$18:$A$21,0))="兽",Boss参数!$B$4="木"),AND(INDEX(角色面板!$B$18:$B$21,MATCH(E40,角色面板!$A$18:$A$21,0))="木",Boss参数!$B$4="星"),AND(INDEX(角色面板!$B$18:$B$21,MATCH(E40,角色面板!$A$18:$A$21,0))="智",Boss参数!$B$4="灵"),AND(INDEX(角色面板!$B$18:$B$21,MATCH(E40,角色面板!$A$18:$A$21,0))="灵",Boss参数!$B$4="智"))),1,0))</f>
        <v>1</v>
      </c>
      <c r="DU40" s="1">
        <f>IF(D40="",0,INDEX(回合状态!$E$7:$E$17,MATCH(DG40,回合状态!$A$7:$A$17,0))+IF(AND(DH40="敌方",OR(INDEX(回合状态!$C$7:$C$17,MATCH(DG40,回合状态!$A$7:$A$17,0))="普通",INDEX(回合状态!$C$7:$C$17,MATCH(DG40,回合状态!$A$7:$A$17,0))="额外")),0.05,0))</f>
        <v>0.15000000000000002</v>
      </c>
      <c r="DV40" s="1">
        <f>MAX(Boss参数!$B$28,1+IF(AND(E40="37",AC40&gt;0,BH40&gt;0),Boss参数!$B$42,0)-DI40*Boss参数!$B$24+EA40-ER40)</f>
        <v>0.4</v>
      </c>
      <c r="DW40" s="1">
        <f>MIN(IF(Boss参数!$B$77=1,Boss参数!$B$63*Boss参数!$B$62,Boss参数!$B$61*Boss参数!$B$62),ROUNDDOWN(BQ40*(1-ES40),0))</f>
        <v>109768</v>
      </c>
      <c r="DX40" s="1">
        <f>MIN(IF(Boss参数!$B$77=1,Boss参数!$B$63*Boss参数!$B$62,Boss参数!$B$61*Boss参数!$B$62),ROUNDDOWN(BR40*(1-ES40),0))</f>
        <v>303509</v>
      </c>
      <c r="DY40" s="1">
        <f t="shared" si="65"/>
        <v>238</v>
      </c>
      <c r="DZ40" s="1">
        <f>IF(L40="RHI_ULT",MIN(Boss参数!$B$48,ROUNDDOWN(AY40*Boss参数!$B$47,0)),DY40)</f>
        <v>238</v>
      </c>
      <c r="EA40" s="11">
        <v>0</v>
      </c>
      <c r="EB40" s="1">
        <f t="shared" si="34"/>
        <v>0</v>
      </c>
      <c r="EC40" s="1">
        <f>SUMIFS($EB$3:EB40,$B$3:B40,"&gt;="&amp;MAX(1,B40-2),$B$3:B40,"&lt;="&amp;B40)*Boss参数!$B$51</f>
        <v>12</v>
      </c>
      <c r="ED40" s="1">
        <f>IF(D40="",EG39,IF(AND(DG40&lt;&gt;DG39,DH40&lt;&gt;"洞穿"),MIN(Boss参数!$B$55,EG39+2),EG39))</f>
        <v>0</v>
      </c>
      <c r="EE40" s="1">
        <f t="shared" si="35"/>
        <v>0</v>
      </c>
      <c r="EF40" s="1">
        <f>IF(AND(OR(L40="END_TURN",AND(DH40="敌方",OR(DH39&lt;&gt;"敌方",DG40&lt;&gt;DG39))),SUMIFS($EF$3:EF39,$DG$3:DG39,DG40)=0),MIN(1,MAX(0,ED40-EE40)),0)</f>
        <v>0</v>
      </c>
      <c r="EG40" s="1">
        <f t="shared" si="36"/>
        <v>0</v>
      </c>
      <c r="EH40" s="11">
        <f>Boss参数!$B$53-IF(Y40=1,Boss参数!$B$54,0)</f>
        <v>-0.4</v>
      </c>
      <c r="EI40" s="11">
        <f t="shared" si="37"/>
        <v>0.3</v>
      </c>
      <c r="EJ40" s="11">
        <f t="shared" si="38"/>
        <v>0.3</v>
      </c>
      <c r="EK40" s="11">
        <f t="shared" si="39"/>
        <v>1.7999999999999998</v>
      </c>
      <c r="EL40" s="1">
        <f t="shared" si="66"/>
        <v>0</v>
      </c>
      <c r="EM40" s="1">
        <f>IF(AND(DG40&lt;&gt;DG39,DH40="洞穿"),0,IF(L40="ENTER_INSIGHT",Boss参数!$B$57,EO39))</f>
        <v>0</v>
      </c>
      <c r="EN40" s="11">
        <f>IF(AND(Y40=1,H40="洞知",EM40&gt;0),Boss参数!$B$56,0)</f>
        <v>0</v>
      </c>
      <c r="EO40" s="1">
        <f t="shared" si="40"/>
        <v>0</v>
      </c>
      <c r="EP40" s="12">
        <f t="shared" si="67"/>
        <v>5147453</v>
      </c>
      <c r="EQ40" s="12">
        <f>ROUNDDOWN(EP40/Boss参数!$B$62,0)</f>
        <v>51</v>
      </c>
      <c r="ER40" s="11">
        <f>IF(EQ40&gt;=Boss参数!$B$66,Boss参数!$B$69,IF(EQ40&gt;=Boss参数!$B$65,Boss参数!$B$68,IF(EQ40&gt;=Boss参数!$B$64,Boss参数!$B$67,0)))</f>
        <v>0.6</v>
      </c>
      <c r="ES40" s="11">
        <f>MIN(1,IF(EQ40&gt;=Boss参数!$B$66,Boss参数!$B$72+ROUNDDOWN((EQ40-Boss参数!$B$66)/Boss参数!$B$73,0)*Boss参数!$B$74,IF(EQ40&gt;=Boss参数!$B$65,Boss参数!$B$71,IF(EQ40&gt;=Boss参数!$B$64,Boss参数!$B$70,0))))</f>
        <v>0.4</v>
      </c>
      <c r="ET40" s="12">
        <f>MIN(Boss参数!$B$61*Boss参数!$B$62,EP40+IF(AND(Boss参数!$B$60=1,ISNUMBER(验证表!H46)),验证表!H46,EU40))</f>
        <v>5450962</v>
      </c>
      <c r="EU40" s="12">
        <f>IF(D40="",0,IF(验证表!G46="是",BV40,IF(验证表!G46="否",BU40,BW40)))</f>
        <v>303509</v>
      </c>
      <c r="EV40" s="12">
        <f>IF(EQ40&gt;=Boss参数!$B$66,2,IF(EQ40&gt;=Boss参数!$B$65,1,0))</f>
        <v>1</v>
      </c>
      <c r="EW40" s="12">
        <f t="shared" si="41"/>
        <v>2</v>
      </c>
      <c r="EX40" s="1">
        <f>IF(D40="",0,INDEX(回合状态!$D$7:$D$17,MATCH(DG40,回合状态!$A$7:$A$17,0)))</f>
        <v>4</v>
      </c>
      <c r="EY40" s="1">
        <f>IF(OR(L40="RHI_ATTACK",L40="RHI_BUFF"),1,IF(L40="RHI_ULT",Boss参数!$B$52,0))</f>
        <v>0</v>
      </c>
      <c r="EZ40" s="1">
        <f>MIN(6,SUMIFS($EY$3:EY40,$EX$3:EX40,"&gt;="&amp;MAX(1,EX40-Boss参数!$B$87+1),$EX$3:EX40,"&lt;="&amp;EX40))</f>
        <v>4</v>
      </c>
      <c r="FA40" s="1">
        <f t="shared" si="68"/>
        <v>24</v>
      </c>
      <c r="FB40" s="17">
        <f>IF(L40="BOSS_CONSERVATIVE",B40+Boss参数!$B$91,FB39)</f>
        <v>0</v>
      </c>
      <c r="FC40" s="17">
        <f t="shared" si="69"/>
        <v>0</v>
      </c>
      <c r="FD40" s="17">
        <f>IF(D40="",FD39,FD39+IF(AND(DG40&lt;&gt;DG39,INDEX(回合状态!$C$7:$C$17,MATCH(DG40,回合状态!$A$7:$A$17,0))&lt;&gt;"洞穿"),1,0))</f>
        <v>3</v>
      </c>
      <c r="FE40" s="17">
        <f>IF(D40="",0,IF(AND(OR(L40="END_TURN",DH40="敌方"),INDEX(回合状态!$C$7:$C$17,MATCH(DG40,回合状态!$A$7:$A$17,0))&lt;&gt;"洞穿",SUMIFS($FE$3:FE39,$DG$3:DG39,DG40)=0),1,0))</f>
        <v>0</v>
      </c>
    </row>
    <row r="41" spans="1:161" ht="84.95" customHeight="1">
      <c r="A41" s="1">
        <f>行动模拟!A47</f>
        <v>39</v>
      </c>
      <c r="B41" s="1">
        <f>IF(D41="",0,INDEX(回合状态!$B$7:$B$17,MATCH(DG41,回合状态!$A$7:$A$17,0)))</f>
        <v>3</v>
      </c>
      <c r="C41" s="1">
        <f>行动模拟!C47</f>
        <v>7</v>
      </c>
      <c r="D41" s="1" t="str">
        <f>IF(行动模拟!D47="","",行动模拟!D47)</f>
        <v>红弩箭｜洞知咒语</v>
      </c>
      <c r="E41" s="1" t="str">
        <f>IF($D41="","",IFERROR(INDEX(技能数据库!$B$4:$B$38,MATCH($D41,技能数据库!$A$4:$A$38,0)),""))</f>
        <v>红弩箭</v>
      </c>
      <c r="F41" s="1" t="str">
        <f>IF($D41="","",IFERROR(INDEX(技能数据库!$C$4:$C$38,MATCH($D41,技能数据库!$A$4:$A$38,0)),""))</f>
        <v>洞知咒语</v>
      </c>
      <c r="G41" s="1">
        <f>IF($D41="","",IFERROR(INDEX(技能数据库!$D$4:$D$38,MATCH($D41,技能数据库!$A$4:$A$38,0)),""))</f>
        <v>0</v>
      </c>
      <c r="H41" s="1" t="str">
        <f>IF($D41="","",IFERROR(INDEX(技能数据库!$E$4:$E$38,MATCH($D41,技能数据库!$A$4:$A$38,0)),""))</f>
        <v>洞知</v>
      </c>
      <c r="I41" s="1" t="str">
        <f>IF($D41="","",IFERROR(INDEX(技能数据库!$F$4:$F$38,MATCH($D41,技能数据库!$A$4:$A$38,0)),""))</f>
        <v>现实</v>
      </c>
      <c r="J41" s="1">
        <f>IF($D41="","",IFERROR(INDEX(技能数据库!$G$4:$G$38,MATCH($D41,技能数据库!$A$4:$A$38,0)),""))</f>
        <v>15</v>
      </c>
      <c r="K41" s="1">
        <f>IF($D41="","",IFERROR(INDEX(技能数据库!$H$4:$H$38,MATCH($D41,技能数据库!$A$4:$A$38,0)),""))</f>
        <v>0</v>
      </c>
      <c r="L41" s="1" t="str">
        <f>IF($D41="","",IFERROR(INDEX(技能数据库!$I$4:$I$38,MATCH($D41,技能数据库!$A$4:$A$38,0)),""))</f>
        <v>LILYA_INSIGHT</v>
      </c>
      <c r="M41" s="10">
        <v>1</v>
      </c>
      <c r="N41" s="1"/>
      <c r="O41" s="1"/>
      <c r="P41" s="1"/>
      <c r="Q41" s="10">
        <f t="shared" si="0"/>
        <v>0</v>
      </c>
      <c r="R41" s="10">
        <v>0</v>
      </c>
      <c r="S41" s="10">
        <v>0</v>
      </c>
      <c r="T41" s="1">
        <f>行动模拟!I47</f>
        <v>0</v>
      </c>
      <c r="U41" s="1">
        <f>IF(FD41&lt;&gt;FD40,IF(BY40=1,IF(MIN(10,CA40+IF(AND(DG41&lt;&gt;DG40,DH40&lt;&gt;"洞穿",SUMIFS($FE$3:FE40,$DG$3:DG40,DG40)=0,BY40=1),3,0))&gt;=10,2,1),IF(BY40=2,IF(BZ40&lt;=1,0,2),0)),BY40)</f>
        <v>2</v>
      </c>
      <c r="V41" s="1">
        <f>IF(FD41&lt;&gt;FD40,IF(BY40=1,IF(MIN(10,CA40+IF(AND(DG41&lt;&gt;DG40,DH40&lt;&gt;"洞穿",SUMIFS($FE$3:FE40,$DG$3:DG40,DG40)=0,BY40=1),3,0))&gt;=10,2,0),IF(BY40=2,MAX(0,BZ40-1),0)),BZ40)</f>
        <v>1</v>
      </c>
      <c r="W41" s="1">
        <f>IF(AND(FD41&lt;&gt;FD40,BY40=2,BZ40&lt;=1),0,MIN(10,CA40+IF(AND(DG41&lt;&gt;DG40,DH40&lt;&gt;"洞穿",SUMIFS($FE$3:FE40,$DG$3:DG40,DG40)=0,BY40=1),3,0)))</f>
        <v>10</v>
      </c>
      <c r="X41" s="1">
        <f t="shared" si="42"/>
        <v>4</v>
      </c>
      <c r="Y41" s="1">
        <f t="shared" si="43"/>
        <v>1</v>
      </c>
      <c r="Z41" s="1">
        <f t="shared" si="44"/>
        <v>5</v>
      </c>
      <c r="AA41" s="1">
        <f t="shared" si="45"/>
        <v>4</v>
      </c>
      <c r="AB41" s="1">
        <f t="shared" si="46"/>
        <v>9</v>
      </c>
      <c r="AC41" s="1">
        <f t="shared" si="47"/>
        <v>0</v>
      </c>
      <c r="AD41" s="1">
        <f t="shared" si="48"/>
        <v>24</v>
      </c>
      <c r="AE41" s="1">
        <f>IF(D41="",0,IF(DG41&lt;&gt;DG40,IFERROR(INDEX(回合状态!$F$7:$F$17,MATCH(DG41,回合状态!$A$7:$A$17,0)),0),CI40))</f>
        <v>15</v>
      </c>
      <c r="AF41" s="10">
        <f t="shared" si="49"/>
        <v>0.4</v>
      </c>
      <c r="AG41" s="1">
        <f t="shared" si="50"/>
        <v>5</v>
      </c>
      <c r="AH41" s="1">
        <f t="shared" si="51"/>
        <v>5</v>
      </c>
      <c r="AI41" s="1">
        <f t="shared" si="52"/>
        <v>4</v>
      </c>
      <c r="AJ41" s="1">
        <f t="shared" si="53"/>
        <v>5</v>
      </c>
      <c r="AK41" s="1">
        <f t="shared" si="54"/>
        <v>4</v>
      </c>
      <c r="AL41" s="1">
        <f t="shared" si="55"/>
        <v>3</v>
      </c>
      <c r="AM41" s="1">
        <f t="shared" si="56"/>
        <v>20</v>
      </c>
      <c r="AN41" s="1">
        <f t="shared" si="57"/>
        <v>4</v>
      </c>
      <c r="AO41" s="1">
        <f t="shared" si="58"/>
        <v>5</v>
      </c>
      <c r="AP41" s="10">
        <f t="shared" si="59"/>
        <v>0.12</v>
      </c>
      <c r="AQ41" s="1">
        <f t="shared" si="60"/>
        <v>5</v>
      </c>
      <c r="AR41" s="10">
        <f t="shared" si="61"/>
        <v>0.3</v>
      </c>
      <c r="AS41" s="1">
        <f t="shared" si="62"/>
        <v>5</v>
      </c>
      <c r="AT41" s="10">
        <f t="shared" si="63"/>
        <v>0.3</v>
      </c>
      <c r="AU41" s="1">
        <f t="shared" si="64"/>
        <v>5</v>
      </c>
      <c r="AV41" s="1">
        <f>MIN(5,SUMIFS($EL$3:EL41,$B$3:B41,"&gt;="&amp;MAX(1,B41-2),$B$3:B41,"&lt;="&amp;B41)+EC41)</f>
        <v>5</v>
      </c>
      <c r="AW41" s="1">
        <f>MIN(6,SUMIFS($EY$3:EY40,$EX$3:EX40,"&gt;="&amp;MAX(1,EX41-Boss参数!$B$87+1),$EX$3:EX40,"&lt;="&amp;EX41))</f>
        <v>4</v>
      </c>
      <c r="AX41" s="1">
        <f>MIN(4,COUNTIFS($B$3:$B$40,"&gt;="&amp;MAX(1,$B41-2),$B$3:$B$40,"&lt;="&amp;$B41,$L$3:$L$40,"37_FOLLOW"))</f>
        <v>4</v>
      </c>
      <c r="AY41" s="9">
        <f>IF($E41="","",IF($E41="系统",0,ROUNDDOWN(INDEX(角色面板!$C$4:$C$7,MATCH($E41,角色面板!$A$4:$A$7,0))*(1+INDEX(角色面板!$C$11:$C$14,MATCH($E41,角色面板!$A$11:$A$14,0))+IF($E41="小瑞安侬",MAX(IF($B41&lt;=$AQ41,$AP41,0),IF(AND($L41="RHI_ATTACK",$EE41&gt;0),0.11+0.01*$G41,0)),0)+IF($E41="J",$AD41*Boss参数!$B$18,0))+IF(FD41&lt;=$AN41,MIN(Boss参数!$B$21,ROUNDDOWN(角色面板!$C$19*Boss参数!$B$20,0)),0)+IF(AND($B41&lt;=$AK41,$E41&lt;&gt;"小瑞安侬"),$DY41,0),0)))</f>
        <v>3493</v>
      </c>
      <c r="AZ41" s="10">
        <f>IF($E41="","",MAX(0,MIN(1,IFERROR(INDEX(角色面板!$G$18:$G$21,MATCH($E41,角色面板!$A$18:$A$21,0)),0)-FC41*Boss参数!$B$89-Boss参数!$E$4)))</f>
        <v>1</v>
      </c>
      <c r="BA41" s="10">
        <f>IF(E41="","",(IF($E41="","",IF($E41="红弩箭",Boss参数!$B$80,IF($E41="J",Boss参数!$B$81,IFERROR(INDEX(角色面板!$H$18:$H$21,MATCH($E41,角色面板!$A$18:$A$21,0)),0)))+IF($B41&lt;=$AI41,Boss参数!$B$13,0)+MIN(30,$AM41)*Boss参数!$B$17+IF(AND($L41="LILYA_ULT",$X41&gt;=6),1,0)+IF(AND($Y41=1,$L41="LILYA_INSIGHT"),IF(MOD($AA41+1,3)=0,Boss参数!$B$83,Boss参数!$B$82),IF(AND($Y41=1,$L41="LILYA_FINISH"),Boss参数!$B$84,0))))-FC41*Boss参数!$B$90)</f>
        <v>2.8650000000000002</v>
      </c>
      <c r="BB41" s="10">
        <f>IF($E41="","",IFERROR(INDEX(角色面板!$M$18:$M$21,MATCH($E41,角色面板!$A$18:$A$21,0)),0)+$AW41*Boss参数!$B$12+IF($B41&lt;=$AG41,$AF41,0)+$EI41+IF($L41="LILYA_DIVE",IF($U41=1,IF($G41=1,0.3,IF($G41=2,0.4,0.5)),IF($U41=2,IF($G41=1,0.6,IF($G41=2,0.8,1)),0)),0)+$R41+IF(AND($E41="J",OR($L41="J_COUNTER",$L41="J_HARD")),Boss参数!$B$79,0)+IF(AND(OR(L41="J_COUNTER",L41="J_HARD"),FA41&gt;=Boss参数!$B$59),FA41*Boss参数!$B$40,0))</f>
        <v>1.02</v>
      </c>
      <c r="BC41" s="10">
        <f>IF($E41="","",IFERROR(INDEX(角色面板!$K$18:$K$21,MATCH($E41,角色面板!$A$18:$A$21,0)),0)+IF($B41&lt;=$AH41,Boss参数!$B$46,0)+IF($E41="红弩箭",IF($U41=1,0.6,IF($U41=2,1.2,0))+$W41*0.06,0))-DI41*Boss参数!$B$23</f>
        <v>1.6999999999999997</v>
      </c>
      <c r="BD41" s="10">
        <f>IF($E41="","",IFERROR(INDEX(角色面板!$L$18:$L$21,MATCH($E41,角色面板!$A$18:$A$21,0)),0)+IF($B41&lt;=$AH41,Boss参数!$B$46,0)+IF($E41="J",$AL41*Boss参数!$B$16,0)+IF($E41="红弩箭",$X41*0.025,0)+IF(AND($L41="LILYA_ULT",$X41&gt;=6),1,0))-DI41*Boss参数!$B$23</f>
        <v>0.4</v>
      </c>
      <c r="BE41" s="10">
        <f>IF($E41="","",IF($H41="洞知",IF($E41="红弩箭",$AO41*Boss参数!$B$15,0)+$AX41*Boss参数!$B$14,0))</f>
        <v>0.45999999999999996</v>
      </c>
      <c r="BF41" s="10">
        <f t="shared" si="1"/>
        <v>0</v>
      </c>
      <c r="BG41" s="10">
        <f>IF($D41="",0,IF(AND($L41&lt;&gt;"LILYA_DIVE",$L41&lt;&gt;"LILYA_ULT",$L41&lt;&gt;"LILYA_INSIGHT",$L41&lt;&gt;"LILYA_FINISH",$L41&lt;&gt;"37_FOLLOW",$L41&lt;&gt;"RHI_ATTACK",$L41&lt;&gt;"RHI_BERRY",$L41&lt;&gt;"J_COUNTER",$L41&lt;&gt;"J_ULT"),$J41,0)+IF($L41="LILYA_DIVE",$J41+IF($U41=1,IF($G41=1,6,IF($G41=2,12,18)),IF($U41=2,IF($G41=1,12,IF($G41=2,24,36)),0)),0)+IF($L41="LILYA_ULT",$J41+IF($X41&gt;=6,18,0),0)+IF($L41="LILYA_INSIGHT",IF($Y41=1,IF(MOD($AA41+1,3)=0,32,15),0),0)+IF($L41="LILYA_FINISH",IF($Y41=1,50+2.5*$Z41,0),0)+IF($L41="37_FOLLOW",$J41,0)+IF($L41="RHI_ATTACK",$J41*IF($B41&lt;=$AJ41,2,1),0)+IF($L41="RHI_BERRY",15+1.5*$AV41,0)+IF($L41="J_COUNTER",$J41+$AD41*Boss参数!$B$39,0)+IF($L41="J_ULT",$J41+Boss参数!$B$45*MAX(0,$AE41+$AD41-Boss参数!$I$4),0)+$S41)</f>
        <v>15</v>
      </c>
      <c r="BH41" s="10">
        <f t="shared" si="2"/>
        <v>0</v>
      </c>
      <c r="BI41" s="10">
        <f>IF(E41="","",IF(DT41=1,1+Boss参数!$B$8+AV41*Boss参数!$B$19,1))</f>
        <v>1.5</v>
      </c>
      <c r="BJ41" s="9">
        <f>IF($I41="现实",Boss参数!$C$4,IF($I41="精神",Boss参数!$D$4,0))</f>
        <v>1200</v>
      </c>
      <c r="BK41" s="9">
        <f>IF($E41="","",MAX($AY41*Boss参数!$B$9,$AY41-$BJ41*(1-$BF41)))</f>
        <v>2293</v>
      </c>
      <c r="BL41" s="10">
        <f>MAX(0,Boss参数!$F$4+IF(DT41=0,Boss参数!$B$27,0)-EJ41)</f>
        <v>0.10000000000000003</v>
      </c>
      <c r="BM41" s="10">
        <f>Boss参数!$G$4+DU41-IF(Y41=1,Boss参数!$B$11,0)</f>
        <v>0.15000000000000002</v>
      </c>
      <c r="BN41" s="10">
        <f>IF($E41="","",MAX(Boss参数!$B$10,1+IFERROR(INDEX(角色面板!$I$18:$I$21,MATCH($E41,角色面板!$A$18:$A$21,0)),0)+$BB41+Boss参数!$H$4-$BM41))</f>
        <v>1.9700000000000002</v>
      </c>
      <c r="BO41" s="10">
        <f>IF(E41="","",IF(OR(L41="J_COUNTER",L41="J_HARD"),MAX(0,1+INDEX(角色面板!$K$18:$K$21,MATCH(E41,角色面板!$A$18:$A$21,0))-DI41*Boss参数!$B$23+IF(OR(Boss参数!$B$43=1,L41="J_HARD"),IF(B41&lt;=AH41,Boss参数!$B$46,0),0)),MAX(0,IF(OR(H41="术法",L41="RHI_BERRY",AND(L41="37_FOLLOW",Boss参数!$B$31=1)),1+BC41,IF(H41="仪式",1+BD41,IF(H41="洞知",EK41,1))))))</f>
        <v>1.8599999999999999</v>
      </c>
      <c r="BP41" s="10">
        <f t="shared" si="3"/>
        <v>2.7650000000000001</v>
      </c>
      <c r="BQ41" s="1">
        <f t="shared" si="4"/>
        <v>189045.23850000004</v>
      </c>
      <c r="BR41" s="1">
        <f t="shared" si="5"/>
        <v>522710.0844525001</v>
      </c>
      <c r="BS41" s="1">
        <f>IF(BH41=0,0,ROUNDDOWN(AY41*BH41,0)*DV41*IF(Boss参数!$B$29=1,BN41,1)*IF(Boss参数!$B$33=1,BO41,1)*IF(Boss参数!$B$76=1,1-ES41,1))</f>
        <v>0</v>
      </c>
      <c r="BT41" s="1">
        <f t="shared" si="6"/>
        <v>0</v>
      </c>
      <c r="BU41" s="9">
        <f>IF(D41="",0,MIN(IF(Boss参数!$B$77=1,Boss参数!$B$63*Boss参数!$B$62,Boss参数!$B$61*Boss参数!$B$62),DW41+ROUNDDOWN(BS41,0)+ROUNDDOWN(DW41*Q41,0)))</f>
        <v>113427</v>
      </c>
      <c r="BV41" s="9">
        <f>IF(D41="",0,MIN(IF(Boss参数!$B$77=1,Boss参数!$B$63*Boss参数!$B$62,Boss参数!$B$61*Boss参数!$B$62),DX41+ROUNDDOWN(BT41,0)+ROUNDDOWN(DX41*Q41,0)))</f>
        <v>313626</v>
      </c>
      <c r="BW41" s="9">
        <f t="shared" si="7"/>
        <v>313626</v>
      </c>
      <c r="BX41" s="1" t="str">
        <f t="shared" si="8"/>
        <v/>
      </c>
      <c r="BY41" s="1">
        <f t="shared" si="9"/>
        <v>2</v>
      </c>
      <c r="BZ41" s="1">
        <f t="shared" si="10"/>
        <v>1</v>
      </c>
      <c r="CA41" s="1">
        <f>MIN(10,W41+IF(AND(L41="LILYA_COBRA",COUNTIF($L$3:L41,"LILYA_COBRA")=1),5,0)+IF(AND(L41="LILYA_DIVE",U41=1,COUNTIFS($DG$3:DG41,DG41,$L$3:L41,"LILYA_DIVE")=1),2,0)+IF(AND(FE41=1,U41=1),3,0))</f>
        <v>10</v>
      </c>
      <c r="CB41" s="1">
        <f>MIN(20,MAX(0,X41+IF(L41="LILYA_COBRA",IF(COUNTIF($L$3:L41,"LILYA_COBRA")=1,6,IF(U41=1,MAX(1,G41),IF(U41=2,2*MAX(1,G41),0))),0)+IF(AND(Y41=1,E41="红弩箭",L41&lt;&gt;"ENTER_INSIGHT"),1,0)-IF(AND(L41="LILYA_ULT",X41&gt;=6),6,0)))</f>
        <v>5</v>
      </c>
      <c r="CC41" s="1">
        <f t="shared" si="11"/>
        <v>1</v>
      </c>
      <c r="CD41" s="1">
        <f t="shared" si="12"/>
        <v>6</v>
      </c>
      <c r="CE41" s="1">
        <f t="shared" si="13"/>
        <v>5</v>
      </c>
      <c r="CF41" s="1">
        <f t="shared" si="14"/>
        <v>10</v>
      </c>
      <c r="CG41" s="1">
        <f t="shared" si="15"/>
        <v>0</v>
      </c>
      <c r="CH41" s="1">
        <f>MIN(35,AD41+IF(L41="J_HARD",6,0)+IF(L41="J_COUNTER",Boss参数!$B$30,0))</f>
        <v>24</v>
      </c>
      <c r="CI41" s="1">
        <f>MIN(Boss参数!$I$4,AE41+IF(L41="J_HARD",6,0)+IF(L41="J_ULT",AD41,0)+IF(L41="J_COUNTER",Boss参数!$B$30,0))</f>
        <v>15</v>
      </c>
      <c r="CJ41" s="10">
        <f>IF(L41="J_ULT",AD41*Boss参数!$B$41,IF(B41&lt;=AG41,AF41,0))</f>
        <v>0.4</v>
      </c>
      <c r="CK41" s="1">
        <f t="shared" si="16"/>
        <v>5</v>
      </c>
      <c r="CL41" s="1">
        <f t="shared" si="17"/>
        <v>5</v>
      </c>
      <c r="CM41" s="1">
        <f t="shared" si="18"/>
        <v>4</v>
      </c>
      <c r="CN41" s="1">
        <f t="shared" si="19"/>
        <v>5</v>
      </c>
      <c r="CO41" s="1">
        <f t="shared" si="20"/>
        <v>4</v>
      </c>
      <c r="CP41" s="1">
        <f t="shared" si="21"/>
        <v>3</v>
      </c>
      <c r="CQ41" s="1">
        <f t="shared" si="22"/>
        <v>20</v>
      </c>
      <c r="CR41" s="1">
        <f t="shared" si="23"/>
        <v>4</v>
      </c>
      <c r="CS41" s="1">
        <f t="shared" si="24"/>
        <v>6</v>
      </c>
      <c r="CT41" s="10">
        <f t="shared" si="25"/>
        <v>0.12</v>
      </c>
      <c r="CU41" s="1">
        <f t="shared" si="26"/>
        <v>5</v>
      </c>
      <c r="CV41" s="10">
        <f t="shared" si="27"/>
        <v>0.3</v>
      </c>
      <c r="CW41" s="1">
        <f t="shared" si="28"/>
        <v>5</v>
      </c>
      <c r="CX41" s="10">
        <f t="shared" si="29"/>
        <v>0.3</v>
      </c>
      <c r="CY41" s="1">
        <f t="shared" si="30"/>
        <v>5</v>
      </c>
      <c r="CZ41" s="1"/>
      <c r="DA41" s="1"/>
      <c r="DB41" s="1"/>
      <c r="DC41" s="1"/>
      <c r="DD41" s="1"/>
      <c r="DE41" s="1"/>
      <c r="DF41" s="1"/>
      <c r="DG41" s="1" t="str">
        <f>IF(D41="","",行动模拟!B47)</f>
        <v>洞知</v>
      </c>
      <c r="DH41" s="1" t="str">
        <f>IF(L41="END_TURN","回合结束",IF(D41="","",IF(INDEX(回合状态!$C$7:$C$17,MATCH(DG41,回合状态!$A$7:$A$17,0))="洞穿","洞穿",IF(OR(L41="J_COUNTER",L41="BOSS_ACTION",L41="BOSS_CONSERVATIVE"),"敌方",IF(AND(L41="37_FOLLOW",DG41=DG40,DH40="敌方"),"敌方",IF(INDEX(回合状态!$C$7:$C$17,MATCH(DG41,回合状态!$A$7:$A$17,0))="普通","出牌",INDEX(回合状态!$C$7:$C$17,MATCH(DG41,回合状态!$A$7:$A$17,0))))))))</f>
        <v>洞穿</v>
      </c>
      <c r="DI41" s="1">
        <f t="shared" si="31"/>
        <v>0</v>
      </c>
      <c r="DJ41" s="1">
        <f>IF(D41="",0,MIN(Boss参数!$B$25,IF(OR(AND(DH41="敌方",OR(DH40&lt;&gt;"敌方",DG41&lt;&gt;DG40)),AND(L41="END_TURN",DH41&lt;&gt;"洞穿"),AND(DG41&lt;&gt;DG40,DH40&lt;&gt;"洞穿",L40&lt;&gt;"END_TURN",COUNTIFS($DG$3:DG40,DG40,$DH$3:DH40,"敌方")=0)),EW41,DN40)))</f>
        <v>0</v>
      </c>
      <c r="DK41" s="1">
        <f>IF(D41="",0,MIN(Boss参数!$B$25,IF(OR(AND(DH41="敌方",OR(DH40&lt;&gt;"敌方",DG41&lt;&gt;DG40)),AND(L41="END_TURN",DH41&lt;&gt;"洞穿"),AND(DG41&lt;&gt;DG40,DH40&lt;&gt;"洞穿",L40&lt;&gt;"END_TURN",COUNTIFS($DG$3:DG40,DG40,$DH$3:DH40,"敌方")=0)),EW41,DO40)))</f>
        <v>4</v>
      </c>
      <c r="DL41" s="1">
        <f>IF(D41="",0,MIN(Boss参数!$B$25,IF(OR(AND(DH41="敌方",OR(DH40&lt;&gt;"敌方",DG41&lt;&gt;DG40)),AND(L41="END_TURN",DH41&lt;&gt;"洞穿"),AND(DG41&lt;&gt;DG40,DH40&lt;&gt;"洞穿",L40&lt;&gt;"END_TURN",COUNTIFS($DG$3:DG40,DG40,$DH$3:DH40,"敌方")=0)),EW41,DP40)))</f>
        <v>5</v>
      </c>
      <c r="DM41" s="1">
        <f>IF(D41="",0,MIN(Boss参数!$B$25,IF(OR(AND(DH41="敌方",OR(DH40&lt;&gt;"敌方",DG41&lt;&gt;DG40)),AND(L41="END_TURN",DH41&lt;&gt;"洞穿"),AND(DG41&lt;&gt;DG40,DH40&lt;&gt;"洞穿",L40&lt;&gt;"END_TURN",COUNTIFS($DG$3:DG40,DG40,$DH$3:DH40,"敌方")=0)),EW41,DQ40)))</f>
        <v>4</v>
      </c>
      <c r="DN41" s="1">
        <f>MAX(0,MIN(Boss参数!$B$25,DJ41+DR41)-IF(E41="红弩箭",2*DR41,0))</f>
        <v>0</v>
      </c>
      <c r="DO41" s="1">
        <f>MAX(0,MIN(Boss参数!$B$25,DK41+DR41)-IF(E41="37",2*DR41,0))</f>
        <v>4</v>
      </c>
      <c r="DP41" s="1">
        <f>MAX(0,MIN(Boss参数!$B$25,DL41+DR41)-IF(E41="小瑞安侬",2*DR41,0))</f>
        <v>5</v>
      </c>
      <c r="DQ41" s="1">
        <f>MAX(0,MIN(Boss参数!$B$25,DM41+DR41)-IF(E41="J",2*DR41,0))</f>
        <v>4</v>
      </c>
      <c r="DR41" s="1">
        <f t="shared" si="32"/>
        <v>0</v>
      </c>
      <c r="DS41" s="1">
        <f t="shared" si="33"/>
        <v>1</v>
      </c>
      <c r="DT41" s="1">
        <f>IF(OR(E41="",E41="系统"),0,IF(OR(AND(DS41=1,Boss参数!$B$32=1),L41="RHI_BERRY",OR(AND(INDEX(角色面板!$B$18:$B$21,MATCH(E41,角色面板!$A$18:$A$21,0))="星",Boss参数!$B$4="岩"),AND(INDEX(角色面板!$B$18:$B$21,MATCH(E41,角色面板!$A$18:$A$21,0))="岩",Boss参数!$B$4="兽"),AND(INDEX(角色面板!$B$18:$B$21,MATCH(E41,角色面板!$A$18:$A$21,0))="兽",Boss参数!$B$4="木"),AND(INDEX(角色面板!$B$18:$B$21,MATCH(E41,角色面板!$A$18:$A$21,0))="木",Boss参数!$B$4="星"),AND(INDEX(角色面板!$B$18:$B$21,MATCH(E41,角色面板!$A$18:$A$21,0))="智",Boss参数!$B$4="灵"),AND(INDEX(角色面板!$B$18:$B$21,MATCH(E41,角色面板!$A$18:$A$21,0))="灵",Boss参数!$B$4="智"))),1,0))</f>
        <v>1</v>
      </c>
      <c r="DU41" s="1">
        <f>IF(D41="",0,INDEX(回合状态!$E$7:$E$17,MATCH(DG41,回合状态!$A$7:$A$17,0))+IF(AND(DH41="敌方",OR(INDEX(回合状态!$C$7:$C$17,MATCH(DG41,回合状态!$A$7:$A$17,0))="普通",INDEX(回合状态!$C$7:$C$17,MATCH(DG41,回合状态!$A$7:$A$17,0))="额外")),0.05,0))</f>
        <v>0.15000000000000002</v>
      </c>
      <c r="DV41" s="1">
        <f>MAX(Boss参数!$B$28,1+IF(AND(E41="37",AC41&gt;0,BH41&gt;0),Boss参数!$B$42,0)-DI41*Boss参数!$B$24+EA41-ER41)</f>
        <v>0.4</v>
      </c>
      <c r="DW41" s="1">
        <f>MIN(IF(Boss参数!$B$77=1,Boss参数!$B$63*Boss参数!$B$62,Boss参数!$B$61*Boss参数!$B$62),ROUNDDOWN(BQ41*(1-ES41),0))</f>
        <v>113427</v>
      </c>
      <c r="DX41" s="1">
        <f>MIN(IF(Boss参数!$B$77=1,Boss参数!$B$63*Boss参数!$B$62,Boss参数!$B$61*Boss参数!$B$62),ROUNDDOWN(BR41*(1-ES41),0))</f>
        <v>313626</v>
      </c>
      <c r="DY41" s="1">
        <f t="shared" si="65"/>
        <v>238</v>
      </c>
      <c r="DZ41" s="1">
        <f>IF(L41="RHI_ULT",MIN(Boss参数!$B$48,ROUNDDOWN(AY41*Boss参数!$B$47,0)),DY41)</f>
        <v>238</v>
      </c>
      <c r="EA41" s="11">
        <v>0</v>
      </c>
      <c r="EB41" s="1">
        <f t="shared" si="34"/>
        <v>0</v>
      </c>
      <c r="EC41" s="1">
        <f>SUMIFS($EB$3:EB41,$B$3:B41,"&gt;="&amp;MAX(1,B41-2),$B$3:B41,"&lt;="&amp;B41)*Boss参数!$B$51</f>
        <v>12</v>
      </c>
      <c r="ED41" s="1">
        <f>IF(D41="",EG40,IF(AND(DG41&lt;&gt;DG40,DH41&lt;&gt;"洞穿"),MIN(Boss参数!$B$55,EG40+2),EG40))</f>
        <v>0</v>
      </c>
      <c r="EE41" s="1">
        <f t="shared" si="35"/>
        <v>0</v>
      </c>
      <c r="EF41" s="1">
        <f>IF(AND(OR(L41="END_TURN",AND(DH41="敌方",OR(DH40&lt;&gt;"敌方",DG41&lt;&gt;DG40))),SUMIFS($EF$3:EF40,$DG$3:DG40,DG41)=0),MIN(1,MAX(0,ED41-EE41)),0)</f>
        <v>0</v>
      </c>
      <c r="EG41" s="1">
        <f t="shared" si="36"/>
        <v>0</v>
      </c>
      <c r="EH41" s="11">
        <f>Boss参数!$B$53-IF(Y41=1,Boss参数!$B$54,0)</f>
        <v>-0.4</v>
      </c>
      <c r="EI41" s="11">
        <f t="shared" si="37"/>
        <v>0.3</v>
      </c>
      <c r="EJ41" s="11">
        <f t="shared" si="38"/>
        <v>0.3</v>
      </c>
      <c r="EK41" s="11">
        <f t="shared" si="39"/>
        <v>1.8599999999999999</v>
      </c>
      <c r="EL41" s="1">
        <f t="shared" si="66"/>
        <v>0</v>
      </c>
      <c r="EM41" s="1">
        <f>IF(AND(DG41&lt;&gt;DG40,DH41="洞穿"),0,IF(L41="ENTER_INSIGHT",Boss参数!$B$57,EO40))</f>
        <v>0</v>
      </c>
      <c r="EN41" s="11">
        <f>IF(AND(Y41=1,H41="洞知",EM41&gt;0),Boss参数!$B$56,0)</f>
        <v>0</v>
      </c>
      <c r="EO41" s="1">
        <f t="shared" si="40"/>
        <v>0</v>
      </c>
      <c r="EP41" s="12">
        <f t="shared" si="67"/>
        <v>5450962</v>
      </c>
      <c r="EQ41" s="12">
        <f>ROUNDDOWN(EP41/Boss参数!$B$62,0)</f>
        <v>54</v>
      </c>
      <c r="ER41" s="11">
        <f>IF(EQ41&gt;=Boss参数!$B$66,Boss参数!$B$69,IF(EQ41&gt;=Boss参数!$B$65,Boss参数!$B$68,IF(EQ41&gt;=Boss参数!$B$64,Boss参数!$B$67,0)))</f>
        <v>0.6</v>
      </c>
      <c r="ES41" s="11">
        <f>MIN(1,IF(EQ41&gt;=Boss参数!$B$66,Boss参数!$B$72+ROUNDDOWN((EQ41-Boss参数!$B$66)/Boss参数!$B$73,0)*Boss参数!$B$74,IF(EQ41&gt;=Boss参数!$B$65,Boss参数!$B$71,IF(EQ41&gt;=Boss参数!$B$64,Boss参数!$B$70,0))))</f>
        <v>0.4</v>
      </c>
      <c r="ET41" s="12">
        <f>MIN(Boss参数!$B$61*Boss参数!$B$62,EP41+IF(AND(Boss参数!$B$60=1,ISNUMBER(验证表!H47)),验证表!H47,EU41))</f>
        <v>5764588</v>
      </c>
      <c r="EU41" s="12">
        <f>IF(D41="",0,IF(验证表!G47="是",BV41,IF(验证表!G47="否",BU41,BW41)))</f>
        <v>313626</v>
      </c>
      <c r="EV41" s="12">
        <f>IF(EQ41&gt;=Boss参数!$B$66,2,IF(EQ41&gt;=Boss参数!$B$65,1,0))</f>
        <v>1</v>
      </c>
      <c r="EW41" s="12">
        <f t="shared" si="41"/>
        <v>2</v>
      </c>
      <c r="EX41" s="1">
        <f>IF(D41="",0,INDEX(回合状态!$D$7:$D$17,MATCH(DG41,回合状态!$A$7:$A$17,0)))</f>
        <v>4</v>
      </c>
      <c r="EY41" s="1">
        <f>IF(OR(L41="RHI_ATTACK",L41="RHI_BUFF"),1,IF(L41="RHI_ULT",Boss参数!$B$52,0))</f>
        <v>0</v>
      </c>
      <c r="EZ41" s="1">
        <f>MIN(6,SUMIFS($EY$3:EY41,$EX$3:EX41,"&gt;="&amp;MAX(1,EX41-Boss参数!$B$87+1),$EX$3:EX41,"&lt;="&amp;EX41))</f>
        <v>4</v>
      </c>
      <c r="FA41" s="1">
        <f t="shared" si="68"/>
        <v>24</v>
      </c>
      <c r="FB41" s="17">
        <f>IF(L41="BOSS_CONSERVATIVE",B41+Boss参数!$B$91,FB40)</f>
        <v>0</v>
      </c>
      <c r="FC41" s="17">
        <f t="shared" si="69"/>
        <v>0</v>
      </c>
      <c r="FD41" s="17">
        <f>IF(D41="",FD40,FD40+IF(AND(DG41&lt;&gt;DG40,INDEX(回合状态!$C$7:$C$17,MATCH(DG41,回合状态!$A$7:$A$17,0))&lt;&gt;"洞穿"),1,0))</f>
        <v>3</v>
      </c>
      <c r="FE41" s="17">
        <f>IF(D41="",0,IF(AND(OR(L41="END_TURN",DH41="敌方"),INDEX(回合状态!$C$7:$C$17,MATCH(DG41,回合状态!$A$7:$A$17,0))&lt;&gt;"洞穿",SUMIFS($FE$3:FE40,$DG$3:DG40,DG41)=0),1,0))</f>
        <v>0</v>
      </c>
    </row>
    <row r="42" spans="1:161" ht="84.95" customHeight="1">
      <c r="A42" s="1">
        <f>行动模拟!A48</f>
        <v>40</v>
      </c>
      <c r="B42" s="1">
        <f>IF(D42="",0,INDEX(回合状态!$B$7:$B$17,MATCH(DG42,回合状态!$A$7:$A$17,0)))</f>
        <v>3</v>
      </c>
      <c r="C42" s="1">
        <f>行动模拟!C48</f>
        <v>8</v>
      </c>
      <c r="D42" s="1" t="str">
        <f>IF(行动模拟!D48="","",行动模拟!D48)</f>
        <v>37｜洞知咒语</v>
      </c>
      <c r="E42" s="1" t="str">
        <f>IF($D42="","",IFERROR(INDEX(技能数据库!$B$4:$B$38,MATCH($D42,技能数据库!$A$4:$A$38,0)),""))</f>
        <v>37</v>
      </c>
      <c r="F42" s="1" t="str">
        <f>IF($D42="","",IFERROR(INDEX(技能数据库!$C$4:$C$38,MATCH($D42,技能数据库!$A$4:$A$38,0)),""))</f>
        <v>洞知咒语</v>
      </c>
      <c r="G42" s="1">
        <f>IF($D42="","",IFERROR(INDEX(技能数据库!$D$4:$D$38,MATCH($D42,技能数据库!$A$4:$A$38,0)),""))</f>
        <v>0</v>
      </c>
      <c r="H42" s="1" t="str">
        <f>IF($D42="","",IFERROR(INDEX(技能数据库!$E$4:$E$38,MATCH($D42,技能数据库!$A$4:$A$38,0)),""))</f>
        <v>洞知</v>
      </c>
      <c r="I42" s="1" t="str">
        <f>IF($D42="","",IFERROR(INDEX(技能数据库!$F$4:$F$38,MATCH($D42,技能数据库!$A$4:$A$38,0)),""))</f>
        <v>精神</v>
      </c>
      <c r="J42" s="1">
        <f>IF($D42="","",IFERROR(INDEX(技能数据库!$G$4:$G$38,MATCH($D42,技能数据库!$A$4:$A$38,0)),""))</f>
        <v>8</v>
      </c>
      <c r="K42" s="1">
        <f>IF($D42="","",IFERROR(INDEX(技能数据库!$H$4:$H$38,MATCH($D42,技能数据库!$A$4:$A$38,0)),""))</f>
        <v>0</v>
      </c>
      <c r="L42" s="1" t="str">
        <f>IF($D42="","",IFERROR(INDEX(技能数据库!$I$4:$I$38,MATCH($D42,技能数据库!$A$4:$A$38,0)),""))</f>
        <v>37_INSIGHT</v>
      </c>
      <c r="M42" s="10">
        <v>1</v>
      </c>
      <c r="N42" s="1"/>
      <c r="O42" s="1"/>
      <c r="P42" s="1"/>
      <c r="Q42" s="10">
        <f t="shared" si="0"/>
        <v>0</v>
      </c>
      <c r="R42" s="10">
        <v>0</v>
      </c>
      <c r="S42" s="10">
        <v>0</v>
      </c>
      <c r="T42" s="1">
        <f>行动模拟!I48</f>
        <v>0</v>
      </c>
      <c r="U42" s="1">
        <f>IF(FD42&lt;&gt;FD41,IF(BY41=1,IF(MIN(10,CA41+IF(AND(DG42&lt;&gt;DG41,DH41&lt;&gt;"洞穿",SUMIFS($FE$3:FE41,$DG$3:DG41,DG41)=0,BY41=1),3,0))&gt;=10,2,1),IF(BY41=2,IF(BZ41&lt;=1,0,2),0)),BY41)</f>
        <v>2</v>
      </c>
      <c r="V42" s="1">
        <f>IF(FD42&lt;&gt;FD41,IF(BY41=1,IF(MIN(10,CA41+IF(AND(DG42&lt;&gt;DG41,DH41&lt;&gt;"洞穿",SUMIFS($FE$3:FE41,$DG$3:DG41,DG41)=0,BY41=1),3,0))&gt;=10,2,0),IF(BY41=2,MAX(0,BZ41-1),0)),BZ41)</f>
        <v>1</v>
      </c>
      <c r="W42" s="1">
        <f>IF(AND(FD42&lt;&gt;FD41,BY41=2,BZ41&lt;=1),0,MIN(10,CA41+IF(AND(DG42&lt;&gt;DG41,DH41&lt;&gt;"洞穿",SUMIFS($FE$3:FE41,$DG$3:DG41,DG41)=0,BY41=1),3,0)))</f>
        <v>10</v>
      </c>
      <c r="X42" s="1">
        <f t="shared" si="42"/>
        <v>5</v>
      </c>
      <c r="Y42" s="1">
        <f t="shared" si="43"/>
        <v>1</v>
      </c>
      <c r="Z42" s="1">
        <f t="shared" si="44"/>
        <v>6</v>
      </c>
      <c r="AA42" s="1">
        <f t="shared" si="45"/>
        <v>5</v>
      </c>
      <c r="AB42" s="1">
        <f t="shared" si="46"/>
        <v>10</v>
      </c>
      <c r="AC42" s="1">
        <f t="shared" si="47"/>
        <v>0</v>
      </c>
      <c r="AD42" s="1">
        <f t="shared" si="48"/>
        <v>24</v>
      </c>
      <c r="AE42" s="1">
        <f>IF(D42="",0,IF(DG42&lt;&gt;DG41,IFERROR(INDEX(回合状态!$F$7:$F$17,MATCH(DG42,回合状态!$A$7:$A$17,0)),0),CI41))</f>
        <v>15</v>
      </c>
      <c r="AF42" s="10">
        <f t="shared" si="49"/>
        <v>0.4</v>
      </c>
      <c r="AG42" s="1">
        <f t="shared" si="50"/>
        <v>5</v>
      </c>
      <c r="AH42" s="1">
        <f t="shared" si="51"/>
        <v>5</v>
      </c>
      <c r="AI42" s="1">
        <f t="shared" si="52"/>
        <v>4</v>
      </c>
      <c r="AJ42" s="1">
        <f t="shared" si="53"/>
        <v>5</v>
      </c>
      <c r="AK42" s="1">
        <f t="shared" si="54"/>
        <v>4</v>
      </c>
      <c r="AL42" s="1">
        <f t="shared" si="55"/>
        <v>3</v>
      </c>
      <c r="AM42" s="1">
        <f t="shared" si="56"/>
        <v>20</v>
      </c>
      <c r="AN42" s="1">
        <f t="shared" si="57"/>
        <v>4</v>
      </c>
      <c r="AO42" s="1">
        <f t="shared" si="58"/>
        <v>6</v>
      </c>
      <c r="AP42" s="10">
        <f t="shared" si="59"/>
        <v>0.12</v>
      </c>
      <c r="AQ42" s="1">
        <f t="shared" si="60"/>
        <v>5</v>
      </c>
      <c r="AR42" s="10">
        <f t="shared" si="61"/>
        <v>0.3</v>
      </c>
      <c r="AS42" s="1">
        <f t="shared" si="62"/>
        <v>5</v>
      </c>
      <c r="AT42" s="10">
        <f t="shared" si="63"/>
        <v>0.3</v>
      </c>
      <c r="AU42" s="1">
        <f t="shared" si="64"/>
        <v>5</v>
      </c>
      <c r="AV42" s="1">
        <f>MIN(5,SUMIFS($EL$3:EL42,$B$3:B42,"&gt;="&amp;MAX(1,B42-2),$B$3:B42,"&lt;="&amp;B42)+EC42)</f>
        <v>5</v>
      </c>
      <c r="AW42" s="1">
        <f>MIN(6,SUMIFS($EY$3:EY41,$EX$3:EX41,"&gt;="&amp;MAX(1,EX42-Boss参数!$B$87+1),$EX$3:EX41,"&lt;="&amp;EX42))</f>
        <v>4</v>
      </c>
      <c r="AX42" s="1">
        <f>MIN(4,COUNTIFS($B$3:$B$41,"&gt;="&amp;MAX(1,$B42-2),$B$3:$B$41,"&lt;="&amp;$B42,$L$3:$L$41,"37_FOLLOW"))</f>
        <v>4</v>
      </c>
      <c r="AY42" s="9">
        <f>IF($E42="","",IF($E42="系统",0,ROUNDDOWN(INDEX(角色面板!$C$4:$C$7,MATCH($E42,角色面板!$A$4:$A$7,0))*(1+INDEX(角色面板!$C$11:$C$14,MATCH($E42,角色面板!$A$11:$A$14,0))+IF($E42="小瑞安侬",MAX(IF($B42&lt;=$AQ42,$AP42,0),IF(AND($L42="RHI_ATTACK",$EE42&gt;0),0.11+0.01*$G42,0)),0)+IF($E42="J",$AD42*Boss参数!$B$18,0))+IF(FD42&lt;=$AN42,MIN(Boss参数!$B$21,ROUNDDOWN(角色面板!$C$19*Boss参数!$B$20,0)),0)+IF(AND($B42&lt;=$AK42,$E42&lt;&gt;"小瑞安侬"),$DY42,0),0)))</f>
        <v>3505</v>
      </c>
      <c r="AZ42" s="10">
        <f>IF($E42="","",MAX(0,MIN(1,IFERROR(INDEX(角色面板!$G$18:$G$21,MATCH($E42,角色面板!$A$18:$A$21,0)),0)-FC42*Boss参数!$B$89-Boss参数!$E$4)))</f>
        <v>0.76</v>
      </c>
      <c r="BA42" s="10">
        <f>IF(E42="","",(IF($E42="","",IF($E42="红弩箭",Boss参数!$B$80,IF($E42="J",Boss参数!$B$81,IFERROR(INDEX(角色面板!$H$18:$H$21,MATCH($E42,角色面板!$A$18:$A$21,0)),0)))+IF($B42&lt;=$AI42,Boss参数!$B$13,0)+MIN(30,$AM42)*Boss参数!$B$17+IF(AND($L42="LILYA_ULT",$X42&gt;=6),1,0)+IF(AND($Y42=1,$L42="LILYA_INSIGHT"),IF(MOD($AA42+1,3)=0,Boss参数!$B$83,Boss参数!$B$82),IF(AND($Y42=1,$L42="LILYA_FINISH"),Boss参数!$B$84,0))))-FC42*Boss参数!$B$90)</f>
        <v>2.4380000000000002</v>
      </c>
      <c r="BB42" s="10">
        <f>IF($E42="","",IFERROR(INDEX(角色面板!$M$18:$M$21,MATCH($E42,角色面板!$A$18:$A$21,0)),0)+$AW42*Boss参数!$B$12+IF($B42&lt;=$AG42,$AF42,0)+$EI42+IF($L42="LILYA_DIVE",IF($U42=1,IF($G42=1,0.3,IF($G42=2,0.4,0.5)),IF($U42=2,IF($G42=1,0.6,IF($G42=2,0.8,1)),0)),0)+$R42+IF(AND($E42="J",OR($L42="J_COUNTER",$L42="J_HARD")),Boss参数!$B$79,0)+IF(AND(OR(L42="J_COUNTER",L42="J_HARD"),FA42&gt;=Boss参数!$B$59),FA42*Boss参数!$B$40,0))</f>
        <v>0.78</v>
      </c>
      <c r="BC42" s="10">
        <f>IF($E42="","",IFERROR(INDEX(角色面板!$K$18:$K$21,MATCH($E42,角色面板!$A$18:$A$21,0)),0)+IF($B42&lt;=$AH42,Boss参数!$B$46,0)+IF($E42="红弩箭",IF($U42=1,0.6,IF($U42=2,1.2,0))+$W42*0.06,0))-DI42*Boss参数!$B$23</f>
        <v>-0.7</v>
      </c>
      <c r="BD42" s="10">
        <f>IF($E42="","",IFERROR(INDEX(角色面板!$L$18:$L$21,MATCH($E42,角色面板!$A$18:$A$21,0)),0)+IF($B42&lt;=$AH42,Boss参数!$B$46,0)+IF($E42="J",$AL42*Boss参数!$B$16,0)+IF($E42="红弩箭",$X42*0.025,0)+IF(AND($L42="LILYA_ULT",$X42&gt;=6),1,0))-DI42*Boss参数!$B$23</f>
        <v>-0.3</v>
      </c>
      <c r="BE42" s="10">
        <f>IF($E42="","",IF($H42="洞知",IF($E42="红弩箭",$AO42*Boss参数!$B$15,0)+$AX42*Boss参数!$B$14,0))</f>
        <v>0.16</v>
      </c>
      <c r="BF42" s="10">
        <f t="shared" si="1"/>
        <v>0</v>
      </c>
      <c r="BG42" s="10">
        <f>IF($D42="",0,IF(AND($L42&lt;&gt;"LILYA_DIVE",$L42&lt;&gt;"LILYA_ULT",$L42&lt;&gt;"LILYA_INSIGHT",$L42&lt;&gt;"LILYA_FINISH",$L42&lt;&gt;"37_FOLLOW",$L42&lt;&gt;"RHI_ATTACK",$L42&lt;&gt;"RHI_BERRY",$L42&lt;&gt;"J_COUNTER",$L42&lt;&gt;"J_ULT"),$J42,0)+IF($L42="LILYA_DIVE",$J42+IF($U42=1,IF($G42=1,6,IF($G42=2,12,18)),IF($U42=2,IF($G42=1,12,IF($G42=2,24,36)),0)),0)+IF($L42="LILYA_ULT",$J42+IF($X42&gt;=6,18,0),0)+IF($L42="LILYA_INSIGHT",IF($Y42=1,IF(MOD($AA42+1,3)=0,32,15),0),0)+IF($L42="LILYA_FINISH",IF($Y42=1,50+2.5*$Z42,0),0)+IF($L42="37_FOLLOW",$J42,0)+IF($L42="RHI_ATTACK",$J42*IF($B42&lt;=$AJ42,2,1),0)+IF($L42="RHI_BERRY",15+1.5*$AV42,0)+IF($L42="J_COUNTER",$J42+$AD42*Boss参数!$B$39,0)+IF($L42="J_ULT",$J42+Boss参数!$B$45*MAX(0,$AE42+$AD42-Boss参数!$I$4),0)+$S42)</f>
        <v>8</v>
      </c>
      <c r="BH42" s="10">
        <f t="shared" si="2"/>
        <v>0</v>
      </c>
      <c r="BI42" s="10">
        <f>IF(E42="","",IF(DT42=1,1+Boss参数!$B$8+AV42*Boss参数!$B$19,1))</f>
        <v>1.5</v>
      </c>
      <c r="BJ42" s="9">
        <f>IF($I42="现实",Boss参数!$C$4,IF($I42="精神",Boss参数!$D$4,0))</f>
        <v>1000</v>
      </c>
      <c r="BK42" s="9">
        <f>IF($E42="","",MAX($AY42*Boss参数!$B$9,$AY42-$BJ42*(1-$BF42)))</f>
        <v>2505</v>
      </c>
      <c r="BL42" s="10">
        <f>MAX(0,Boss参数!$F$4+IF(DT42=0,Boss参数!$B$27,0)-EJ42)</f>
        <v>0.10000000000000003</v>
      </c>
      <c r="BM42" s="10">
        <f>Boss参数!$G$4+DU42-IF(Y42=1,Boss参数!$B$11,0)</f>
        <v>0.15000000000000002</v>
      </c>
      <c r="BN42" s="10">
        <f>IF($E42="","",MAX(Boss参数!$B$10,1+IFERROR(INDEX(角色面板!$I$18:$I$21,MATCH($E42,角色面板!$A$18:$A$21,0)),0)+$BB42+Boss参数!$H$4-$BM42))</f>
        <v>1.6349999999999998</v>
      </c>
      <c r="BO42" s="10">
        <f>IF(E42="","",IF(OR(L42="J_COUNTER",L42="J_HARD"),MAX(0,1+INDEX(角色面板!$K$18:$K$21,MATCH(E42,角色面板!$A$18:$A$21,0))-DI42*Boss参数!$B$23+IF(OR(Boss参数!$B$43=1,L42="J_HARD"),IF(B42&lt;=AH42,Boss参数!$B$46,0),0)),MAX(0,IF(OR(H42="术法",L42="RHI_BERRY",AND(L42="37_FOLLOW",Boss参数!$B$31=1)),1+BC42,IF(H42="仪式",1+BD42,IF(H42="洞知",EK42,1))))))</f>
        <v>1.56</v>
      </c>
      <c r="BP42" s="10">
        <f t="shared" si="3"/>
        <v>2.3380000000000001</v>
      </c>
      <c r="BQ42" s="1">
        <f t="shared" si="4"/>
        <v>76671.035999999993</v>
      </c>
      <c r="BR42" s="1">
        <f t="shared" si="5"/>
        <v>179256.88216799998</v>
      </c>
      <c r="BS42" s="1">
        <f>IF(BH42=0,0,ROUNDDOWN(AY42*BH42,0)*DV42*IF(Boss参数!$B$29=1,BN42,1)*IF(Boss参数!$B$33=1,BO42,1)*IF(Boss参数!$B$76=1,1-ES42,1))</f>
        <v>0</v>
      </c>
      <c r="BT42" s="1">
        <f t="shared" si="6"/>
        <v>0</v>
      </c>
      <c r="BU42" s="9">
        <f>IF(D42="",0,MIN(IF(Boss参数!$B$77=1,Boss参数!$B$63*Boss参数!$B$62,Boss参数!$B$61*Boss参数!$B$62),DW42+ROUNDDOWN(BS42,0)+ROUNDDOWN(DW42*Q42,0)))</f>
        <v>46002</v>
      </c>
      <c r="BV42" s="9">
        <f>IF(D42="",0,MIN(IF(Boss参数!$B$77=1,Boss参数!$B$63*Boss参数!$B$62,Boss参数!$B$61*Boss参数!$B$62),DX42+ROUNDDOWN(BT42,0)+ROUNDDOWN(DX42*Q42,0)))</f>
        <v>107554</v>
      </c>
      <c r="BW42" s="9">
        <f t="shared" si="7"/>
        <v>92781</v>
      </c>
      <c r="BX42" s="1" t="str">
        <f t="shared" si="8"/>
        <v/>
      </c>
      <c r="BY42" s="1">
        <f t="shared" si="9"/>
        <v>2</v>
      </c>
      <c r="BZ42" s="1">
        <f t="shared" si="10"/>
        <v>1</v>
      </c>
      <c r="CA42" s="1">
        <f>MIN(10,W42+IF(AND(L42="LILYA_COBRA",COUNTIF($L$3:L42,"LILYA_COBRA")=1),5,0)+IF(AND(L42="LILYA_DIVE",U42=1,COUNTIFS($DG$3:DG42,DG42,$L$3:L42,"LILYA_DIVE")=1),2,0)+IF(AND(FE42=1,U42=1),3,0))</f>
        <v>10</v>
      </c>
      <c r="CB42" s="1">
        <f>MIN(20,MAX(0,X42+IF(L42="LILYA_COBRA",IF(COUNTIF($L$3:L42,"LILYA_COBRA")=1,6,IF(U42=1,MAX(1,G42),IF(U42=2,2*MAX(1,G42),0))),0)+IF(AND(Y42=1,E42="红弩箭",L42&lt;&gt;"ENTER_INSIGHT"),1,0)-IF(AND(L42="LILYA_ULT",X42&gt;=6),6,0)))</f>
        <v>5</v>
      </c>
      <c r="CC42" s="1">
        <f t="shared" si="11"/>
        <v>1</v>
      </c>
      <c r="CD42" s="1">
        <f t="shared" si="12"/>
        <v>7</v>
      </c>
      <c r="CE42" s="1">
        <f t="shared" si="13"/>
        <v>5</v>
      </c>
      <c r="CF42" s="1">
        <f t="shared" si="14"/>
        <v>10</v>
      </c>
      <c r="CG42" s="1">
        <f t="shared" si="15"/>
        <v>0</v>
      </c>
      <c r="CH42" s="1">
        <f>MIN(35,AD42+IF(L42="J_HARD",6,0)+IF(L42="J_COUNTER",Boss参数!$B$30,0))</f>
        <v>24</v>
      </c>
      <c r="CI42" s="1">
        <f>MIN(Boss参数!$I$4,AE42+IF(L42="J_HARD",6,0)+IF(L42="J_ULT",AD42,0)+IF(L42="J_COUNTER",Boss参数!$B$30,0))</f>
        <v>15</v>
      </c>
      <c r="CJ42" s="10">
        <f>IF(L42="J_ULT",AD42*Boss参数!$B$41,IF(B42&lt;=AG42,AF42,0))</f>
        <v>0.4</v>
      </c>
      <c r="CK42" s="1">
        <f t="shared" si="16"/>
        <v>5</v>
      </c>
      <c r="CL42" s="1">
        <f t="shared" si="17"/>
        <v>5</v>
      </c>
      <c r="CM42" s="1">
        <f t="shared" si="18"/>
        <v>4</v>
      </c>
      <c r="CN42" s="1">
        <f t="shared" si="19"/>
        <v>5</v>
      </c>
      <c r="CO42" s="1">
        <f t="shared" si="20"/>
        <v>4</v>
      </c>
      <c r="CP42" s="1">
        <f t="shared" si="21"/>
        <v>3</v>
      </c>
      <c r="CQ42" s="1">
        <f t="shared" si="22"/>
        <v>20</v>
      </c>
      <c r="CR42" s="1">
        <f t="shared" si="23"/>
        <v>4</v>
      </c>
      <c r="CS42" s="1">
        <f t="shared" si="24"/>
        <v>7</v>
      </c>
      <c r="CT42" s="10">
        <f t="shared" si="25"/>
        <v>0.12</v>
      </c>
      <c r="CU42" s="1">
        <f t="shared" si="26"/>
        <v>5</v>
      </c>
      <c r="CV42" s="10">
        <f t="shared" si="27"/>
        <v>0.3</v>
      </c>
      <c r="CW42" s="1">
        <f t="shared" si="28"/>
        <v>5</v>
      </c>
      <c r="CX42" s="10">
        <f t="shared" si="29"/>
        <v>0.3</v>
      </c>
      <c r="CY42" s="1">
        <f t="shared" si="30"/>
        <v>5</v>
      </c>
      <c r="CZ42" s="1"/>
      <c r="DA42" s="1"/>
      <c r="DB42" s="1"/>
      <c r="DC42" s="1"/>
      <c r="DD42" s="1"/>
      <c r="DE42" s="1"/>
      <c r="DF42" s="1"/>
      <c r="DG42" s="1" t="str">
        <f>IF(D42="","",行动模拟!B48)</f>
        <v>洞知</v>
      </c>
      <c r="DH42" s="1" t="str">
        <f>IF(L42="END_TURN","回合结束",IF(D42="","",IF(INDEX(回合状态!$C$7:$C$17,MATCH(DG42,回合状态!$A$7:$A$17,0))="洞穿","洞穿",IF(OR(L42="J_COUNTER",L42="BOSS_ACTION",L42="BOSS_CONSERVATIVE"),"敌方",IF(AND(L42="37_FOLLOW",DG42=DG41,DH41="敌方"),"敌方",IF(INDEX(回合状态!$C$7:$C$17,MATCH(DG42,回合状态!$A$7:$A$17,0))="普通","出牌",INDEX(回合状态!$C$7:$C$17,MATCH(DG42,回合状态!$A$7:$A$17,0))))))))</f>
        <v>洞穿</v>
      </c>
      <c r="DI42" s="1">
        <f t="shared" si="31"/>
        <v>4</v>
      </c>
      <c r="DJ42" s="1">
        <f>IF(D42="",0,MIN(Boss参数!$B$25,IF(OR(AND(DH42="敌方",OR(DH41&lt;&gt;"敌方",DG42&lt;&gt;DG41)),AND(L42="END_TURN",DH42&lt;&gt;"洞穿"),AND(DG42&lt;&gt;DG41,DH41&lt;&gt;"洞穿",L41&lt;&gt;"END_TURN",COUNTIFS($DG$3:DG41,DG41,$DH$3:DH41,"敌方")=0)),EW42,DN41)))</f>
        <v>0</v>
      </c>
      <c r="DK42" s="1">
        <f>IF(D42="",0,MIN(Boss参数!$B$25,IF(OR(AND(DH42="敌方",OR(DH41&lt;&gt;"敌方",DG42&lt;&gt;DG41)),AND(L42="END_TURN",DH42&lt;&gt;"洞穿"),AND(DG42&lt;&gt;DG41,DH41&lt;&gt;"洞穿",L41&lt;&gt;"END_TURN",COUNTIFS($DG$3:DG41,DG41,$DH$3:DH41,"敌方")=0)),EW42,DO41)))</f>
        <v>4</v>
      </c>
      <c r="DL42" s="1">
        <f>IF(D42="",0,MIN(Boss参数!$B$25,IF(OR(AND(DH42="敌方",OR(DH41&lt;&gt;"敌方",DG42&lt;&gt;DG41)),AND(L42="END_TURN",DH42&lt;&gt;"洞穿"),AND(DG42&lt;&gt;DG41,DH41&lt;&gt;"洞穿",L41&lt;&gt;"END_TURN",COUNTIFS($DG$3:DG41,DG41,$DH$3:DH41,"敌方")=0)),EW42,DP41)))</f>
        <v>5</v>
      </c>
      <c r="DM42" s="1">
        <f>IF(D42="",0,MIN(Boss参数!$B$25,IF(OR(AND(DH42="敌方",OR(DH41&lt;&gt;"敌方",DG42&lt;&gt;DG41)),AND(L42="END_TURN",DH42&lt;&gt;"洞穿"),AND(DG42&lt;&gt;DG41,DH41&lt;&gt;"洞穿",L41&lt;&gt;"END_TURN",COUNTIFS($DG$3:DG41,DG41,$DH$3:DH41,"敌方")=0)),EW42,DQ41)))</f>
        <v>4</v>
      </c>
      <c r="DN42" s="1">
        <f>MAX(0,MIN(Boss参数!$B$25,DJ42+DR42)-IF(E42="红弩箭",2*DR42,0))</f>
        <v>1</v>
      </c>
      <c r="DO42" s="1">
        <f>MAX(0,MIN(Boss参数!$B$25,DK42+DR42)-IF(E42="37",2*DR42,0))</f>
        <v>3</v>
      </c>
      <c r="DP42" s="1">
        <f>MAX(0,MIN(Boss参数!$B$25,DL42+DR42)-IF(E42="小瑞安侬",2*DR42,0))</f>
        <v>5</v>
      </c>
      <c r="DQ42" s="1">
        <f>MAX(0,MIN(Boss参数!$B$25,DM42+DR42)-IF(E42="J",2*DR42,0))</f>
        <v>5</v>
      </c>
      <c r="DR42" s="1">
        <f t="shared" si="32"/>
        <v>1</v>
      </c>
      <c r="DS42" s="1">
        <f t="shared" si="33"/>
        <v>1</v>
      </c>
      <c r="DT42" s="1">
        <f>IF(OR(E42="",E42="系统"),0,IF(OR(AND(DS42=1,Boss参数!$B$32=1),L42="RHI_BERRY",OR(AND(INDEX(角色面板!$B$18:$B$21,MATCH(E42,角色面板!$A$18:$A$21,0))="星",Boss参数!$B$4="岩"),AND(INDEX(角色面板!$B$18:$B$21,MATCH(E42,角色面板!$A$18:$A$21,0))="岩",Boss参数!$B$4="兽"),AND(INDEX(角色面板!$B$18:$B$21,MATCH(E42,角色面板!$A$18:$A$21,0))="兽",Boss参数!$B$4="木"),AND(INDEX(角色面板!$B$18:$B$21,MATCH(E42,角色面板!$A$18:$A$21,0))="木",Boss参数!$B$4="星"),AND(INDEX(角色面板!$B$18:$B$21,MATCH(E42,角色面板!$A$18:$A$21,0))="智",Boss参数!$B$4="灵"),AND(INDEX(角色面板!$B$18:$B$21,MATCH(E42,角色面板!$A$18:$A$21,0))="灵",Boss参数!$B$4="智"))),1,0))</f>
        <v>1</v>
      </c>
      <c r="DU42" s="1">
        <f>IF(D42="",0,INDEX(回合状态!$E$7:$E$17,MATCH(DG42,回合状态!$A$7:$A$17,0))+IF(AND(DH42="敌方",OR(INDEX(回合状态!$C$7:$C$17,MATCH(DG42,回合状态!$A$7:$A$17,0))="普通",INDEX(回合状态!$C$7:$C$17,MATCH(DG42,回合状态!$A$7:$A$17,0))="额外")),0.05,0))</f>
        <v>0.15000000000000002</v>
      </c>
      <c r="DV42" s="1">
        <f>MAX(Boss参数!$B$28,1+IF(AND(E42="37",AC42&gt;0,BH42&gt;0),Boss参数!$B$42,0)-DI42*Boss参数!$B$24+EA42-ER42)</f>
        <v>0</v>
      </c>
      <c r="DW42" s="1">
        <f>MIN(IF(Boss参数!$B$77=1,Boss参数!$B$63*Boss参数!$B$62,Boss参数!$B$61*Boss参数!$B$62),ROUNDDOWN(BQ42*(1-ES42),0))</f>
        <v>46002</v>
      </c>
      <c r="DX42" s="1">
        <f>MIN(IF(Boss参数!$B$77=1,Boss参数!$B$63*Boss参数!$B$62,Boss参数!$B$61*Boss参数!$B$62),ROUNDDOWN(BR42*(1-ES42),0))</f>
        <v>107554</v>
      </c>
      <c r="DY42" s="1">
        <f t="shared" si="65"/>
        <v>238</v>
      </c>
      <c r="DZ42" s="1">
        <f>IF(L42="RHI_ULT",MIN(Boss参数!$B$48,ROUNDDOWN(AY42*Boss参数!$B$47,0)),DY42)</f>
        <v>238</v>
      </c>
      <c r="EA42" s="11">
        <v>0</v>
      </c>
      <c r="EB42" s="1">
        <f t="shared" si="34"/>
        <v>0</v>
      </c>
      <c r="EC42" s="1">
        <f>SUMIFS($EB$3:EB42,$B$3:B42,"&gt;="&amp;MAX(1,B42-2),$B$3:B42,"&lt;="&amp;B42)*Boss参数!$B$51</f>
        <v>12</v>
      </c>
      <c r="ED42" s="1">
        <f>IF(D42="",EG41,IF(AND(DG42&lt;&gt;DG41,DH42&lt;&gt;"洞穿"),MIN(Boss参数!$B$55,EG41+2),EG41))</f>
        <v>0</v>
      </c>
      <c r="EE42" s="1">
        <f t="shared" si="35"/>
        <v>0</v>
      </c>
      <c r="EF42" s="1">
        <f>IF(AND(OR(L42="END_TURN",AND(DH42="敌方",OR(DH41&lt;&gt;"敌方",DG42&lt;&gt;DG41))),SUMIFS($EF$3:EF41,$DG$3:DG41,DG42)=0),MIN(1,MAX(0,ED42-EE42)),0)</f>
        <v>0</v>
      </c>
      <c r="EG42" s="1">
        <f t="shared" si="36"/>
        <v>0</v>
      </c>
      <c r="EH42" s="11">
        <f>Boss参数!$B$53-IF(Y42=1,Boss参数!$B$54,0)</f>
        <v>-0.4</v>
      </c>
      <c r="EI42" s="11">
        <f t="shared" si="37"/>
        <v>0.3</v>
      </c>
      <c r="EJ42" s="11">
        <f t="shared" si="38"/>
        <v>0.3</v>
      </c>
      <c r="EK42" s="11">
        <f t="shared" si="39"/>
        <v>1.56</v>
      </c>
      <c r="EL42" s="1">
        <f t="shared" si="66"/>
        <v>0</v>
      </c>
      <c r="EM42" s="1">
        <f>IF(AND(DG42&lt;&gt;DG41,DH42="洞穿"),0,IF(L42="ENTER_INSIGHT",Boss参数!$B$57,EO41))</f>
        <v>0</v>
      </c>
      <c r="EN42" s="11">
        <f>IF(AND(Y42=1,H42="洞知",EM42&gt;0),Boss参数!$B$56,0)</f>
        <v>0</v>
      </c>
      <c r="EO42" s="1">
        <f t="shared" si="40"/>
        <v>1</v>
      </c>
      <c r="EP42" s="12">
        <f t="shared" si="67"/>
        <v>5764588</v>
      </c>
      <c r="EQ42" s="12">
        <f>ROUNDDOWN(EP42/Boss参数!$B$62,0)</f>
        <v>57</v>
      </c>
      <c r="ER42" s="11">
        <f>IF(EQ42&gt;=Boss参数!$B$66,Boss参数!$B$69,IF(EQ42&gt;=Boss参数!$B$65,Boss参数!$B$68,IF(EQ42&gt;=Boss参数!$B$64,Boss参数!$B$67,0)))</f>
        <v>0.6</v>
      </c>
      <c r="ES42" s="11">
        <f>MIN(1,IF(EQ42&gt;=Boss参数!$B$66,Boss参数!$B$72+ROUNDDOWN((EQ42-Boss参数!$B$66)/Boss参数!$B$73,0)*Boss参数!$B$74,IF(EQ42&gt;=Boss参数!$B$65,Boss参数!$B$71,IF(EQ42&gt;=Boss参数!$B$64,Boss参数!$B$70,0))))</f>
        <v>0.4</v>
      </c>
      <c r="ET42" s="12">
        <f>MIN(Boss参数!$B$61*Boss参数!$B$62,EP42+IF(AND(Boss参数!$B$60=1,ISNUMBER(验证表!H48)),验证表!H48,EU42))</f>
        <v>5872142</v>
      </c>
      <c r="EU42" s="12">
        <f>IF(D42="",0,IF(验证表!G48="是",BV42,IF(验证表!G48="否",BU42,BW42)))</f>
        <v>107554</v>
      </c>
      <c r="EV42" s="12">
        <f>IF(EQ42&gt;=Boss参数!$B$66,2,IF(EQ42&gt;=Boss参数!$B$65,1,0))</f>
        <v>1</v>
      </c>
      <c r="EW42" s="12">
        <f t="shared" si="41"/>
        <v>2</v>
      </c>
      <c r="EX42" s="1">
        <f>IF(D42="",0,INDEX(回合状态!$D$7:$D$17,MATCH(DG42,回合状态!$A$7:$A$17,0)))</f>
        <v>4</v>
      </c>
      <c r="EY42" s="1">
        <f>IF(OR(L42="RHI_ATTACK",L42="RHI_BUFF"),1,IF(L42="RHI_ULT",Boss参数!$B$52,0))</f>
        <v>0</v>
      </c>
      <c r="EZ42" s="1">
        <f>MIN(6,SUMIFS($EY$3:EY42,$EX$3:EX42,"&gt;="&amp;MAX(1,EX42-Boss参数!$B$87+1),$EX$3:EX42,"&lt;="&amp;EX42))</f>
        <v>4</v>
      </c>
      <c r="FA42" s="1">
        <f t="shared" si="68"/>
        <v>24</v>
      </c>
      <c r="FB42" s="17">
        <f>IF(L42="BOSS_CONSERVATIVE",B42+Boss参数!$B$91,FB41)</f>
        <v>0</v>
      </c>
      <c r="FC42" s="17">
        <f t="shared" si="69"/>
        <v>0</v>
      </c>
      <c r="FD42" s="17">
        <f>IF(D42="",FD41,FD41+IF(AND(DG42&lt;&gt;DG41,INDEX(回合状态!$C$7:$C$17,MATCH(DG42,回合状态!$A$7:$A$17,0))&lt;&gt;"洞穿"),1,0))</f>
        <v>3</v>
      </c>
      <c r="FE42" s="17">
        <f>IF(D42="",0,IF(AND(OR(L42="END_TURN",DH42="敌方"),INDEX(回合状态!$C$7:$C$17,MATCH(DG42,回合状态!$A$7:$A$17,0))&lt;&gt;"洞穿",SUMIFS($FE$3:FE41,$DG$3:DG41,DG42)=0),1,0))</f>
        <v>0</v>
      </c>
    </row>
    <row r="43" spans="1:161" ht="84.95" customHeight="1">
      <c r="A43" s="1">
        <f>行动模拟!A49</f>
        <v>41</v>
      </c>
      <c r="B43" s="1">
        <f>IF(D43="",0,INDEX(回合状态!$B$7:$B$17,MATCH(DG43,回合状态!$A$7:$A$17,0)))</f>
        <v>3</v>
      </c>
      <c r="C43" s="1">
        <f>行动模拟!C49</f>
        <v>9</v>
      </c>
      <c r="D43" s="1" t="str">
        <f>IF(行动模拟!D49="","",行动模拟!D49)</f>
        <v>红弩箭｜洞知咒语</v>
      </c>
      <c r="E43" s="1" t="str">
        <f>IF($D43="","",IFERROR(INDEX(技能数据库!$B$4:$B$38,MATCH($D43,技能数据库!$A$4:$A$38,0)),""))</f>
        <v>红弩箭</v>
      </c>
      <c r="F43" s="1" t="str">
        <f>IF($D43="","",IFERROR(INDEX(技能数据库!$C$4:$C$38,MATCH($D43,技能数据库!$A$4:$A$38,0)),""))</f>
        <v>洞知咒语</v>
      </c>
      <c r="G43" s="1">
        <f>IF($D43="","",IFERROR(INDEX(技能数据库!$D$4:$D$38,MATCH($D43,技能数据库!$A$4:$A$38,0)),""))</f>
        <v>0</v>
      </c>
      <c r="H43" s="1" t="str">
        <f>IF($D43="","",IFERROR(INDEX(技能数据库!$E$4:$E$38,MATCH($D43,技能数据库!$A$4:$A$38,0)),""))</f>
        <v>洞知</v>
      </c>
      <c r="I43" s="1" t="str">
        <f>IF($D43="","",IFERROR(INDEX(技能数据库!$F$4:$F$38,MATCH($D43,技能数据库!$A$4:$A$38,0)),""))</f>
        <v>现实</v>
      </c>
      <c r="J43" s="1">
        <f>IF($D43="","",IFERROR(INDEX(技能数据库!$G$4:$G$38,MATCH($D43,技能数据库!$A$4:$A$38,0)),""))</f>
        <v>15</v>
      </c>
      <c r="K43" s="1">
        <f>IF($D43="","",IFERROR(INDEX(技能数据库!$H$4:$H$38,MATCH($D43,技能数据库!$A$4:$A$38,0)),""))</f>
        <v>0</v>
      </c>
      <c r="L43" s="1" t="str">
        <f>IF($D43="","",IFERROR(INDEX(技能数据库!$I$4:$I$38,MATCH($D43,技能数据库!$A$4:$A$38,0)),""))</f>
        <v>LILYA_INSIGHT</v>
      </c>
      <c r="M43" s="10">
        <v>1</v>
      </c>
      <c r="N43" s="1"/>
      <c r="O43" s="1"/>
      <c r="P43" s="1"/>
      <c r="Q43" s="10">
        <f t="shared" si="0"/>
        <v>0.4</v>
      </c>
      <c r="R43" s="10">
        <v>0</v>
      </c>
      <c r="S43" s="10">
        <v>0</v>
      </c>
      <c r="T43" s="1" t="str">
        <f>行动模拟!I49</f>
        <v>稳态本源自动：先消耗已有两分悖论；37攻击后再获得1层。</v>
      </c>
      <c r="U43" s="1">
        <f>IF(FD43&lt;&gt;FD42,IF(BY42=1,IF(MIN(10,CA42+IF(AND(DG43&lt;&gt;DG42,DH42&lt;&gt;"洞穿",SUMIFS($FE$3:FE42,$DG$3:DG42,DG42)=0,BY42=1),3,0))&gt;=10,2,1),IF(BY42=2,IF(BZ42&lt;=1,0,2),0)),BY42)</f>
        <v>2</v>
      </c>
      <c r="V43" s="1">
        <f>IF(FD43&lt;&gt;FD42,IF(BY42=1,IF(MIN(10,CA42+IF(AND(DG43&lt;&gt;DG42,DH42&lt;&gt;"洞穿",SUMIFS($FE$3:FE42,$DG$3:DG42,DG42)=0,BY42=1),3,0))&gt;=10,2,0),IF(BY42=2,MAX(0,BZ42-1),0)),BZ42)</f>
        <v>1</v>
      </c>
      <c r="W43" s="1">
        <f>IF(AND(FD43&lt;&gt;FD42,BY42=2,BZ42&lt;=1),0,MIN(10,CA42+IF(AND(DG43&lt;&gt;DG42,DH42&lt;&gt;"洞穿",SUMIFS($FE$3:FE42,$DG$3:DG42,DG42)=0,BY42=1),3,0)))</f>
        <v>10</v>
      </c>
      <c r="X43" s="1">
        <f t="shared" si="42"/>
        <v>5</v>
      </c>
      <c r="Y43" s="1">
        <f t="shared" si="43"/>
        <v>1</v>
      </c>
      <c r="Z43" s="1">
        <f t="shared" si="44"/>
        <v>7</v>
      </c>
      <c r="AA43" s="1">
        <f t="shared" si="45"/>
        <v>5</v>
      </c>
      <c r="AB43" s="1">
        <f t="shared" si="46"/>
        <v>10</v>
      </c>
      <c r="AC43" s="1">
        <f t="shared" si="47"/>
        <v>0</v>
      </c>
      <c r="AD43" s="1">
        <f t="shared" si="48"/>
        <v>24</v>
      </c>
      <c r="AE43" s="1">
        <f>IF(D43="",0,IF(DG43&lt;&gt;DG42,IFERROR(INDEX(回合状态!$F$7:$F$17,MATCH(DG43,回合状态!$A$7:$A$17,0)),0),CI42))</f>
        <v>15</v>
      </c>
      <c r="AF43" s="10">
        <f t="shared" si="49"/>
        <v>0.4</v>
      </c>
      <c r="AG43" s="1">
        <f t="shared" si="50"/>
        <v>5</v>
      </c>
      <c r="AH43" s="1">
        <f t="shared" si="51"/>
        <v>5</v>
      </c>
      <c r="AI43" s="1">
        <f t="shared" si="52"/>
        <v>4</v>
      </c>
      <c r="AJ43" s="1">
        <f t="shared" si="53"/>
        <v>5</v>
      </c>
      <c r="AK43" s="1">
        <f t="shared" si="54"/>
        <v>4</v>
      </c>
      <c r="AL43" s="1">
        <f t="shared" si="55"/>
        <v>3</v>
      </c>
      <c r="AM43" s="1">
        <f t="shared" si="56"/>
        <v>20</v>
      </c>
      <c r="AN43" s="1">
        <f t="shared" si="57"/>
        <v>4</v>
      </c>
      <c r="AO43" s="1">
        <f t="shared" si="58"/>
        <v>7</v>
      </c>
      <c r="AP43" s="10">
        <f t="shared" si="59"/>
        <v>0.12</v>
      </c>
      <c r="AQ43" s="1">
        <f t="shared" si="60"/>
        <v>5</v>
      </c>
      <c r="AR43" s="10">
        <f t="shared" si="61"/>
        <v>0.3</v>
      </c>
      <c r="AS43" s="1">
        <f t="shared" si="62"/>
        <v>5</v>
      </c>
      <c r="AT43" s="10">
        <f t="shared" si="63"/>
        <v>0.3</v>
      </c>
      <c r="AU43" s="1">
        <f t="shared" si="64"/>
        <v>5</v>
      </c>
      <c r="AV43" s="1">
        <f>MIN(5,SUMIFS($EL$3:EL43,$B$3:B43,"&gt;="&amp;MAX(1,B43-2),$B$3:B43,"&lt;="&amp;B43)+EC43)</f>
        <v>5</v>
      </c>
      <c r="AW43" s="1">
        <f>MIN(6,SUMIFS($EY$3:EY42,$EX$3:EX42,"&gt;="&amp;MAX(1,EX43-Boss参数!$B$87+1),$EX$3:EX42,"&lt;="&amp;EX43))</f>
        <v>4</v>
      </c>
      <c r="AX43" s="1">
        <f>MIN(4,COUNTIFS($B$3:$B$42,"&gt;="&amp;MAX(1,$B43-2),$B$3:$B$42,"&lt;="&amp;$B43,$L$3:$L$42,"37_FOLLOW"))</f>
        <v>4</v>
      </c>
      <c r="AY43" s="9">
        <f>IF($E43="","",IF($E43="系统",0,ROUNDDOWN(INDEX(角色面板!$C$4:$C$7,MATCH($E43,角色面板!$A$4:$A$7,0))*(1+INDEX(角色面板!$C$11:$C$14,MATCH($E43,角色面板!$A$11:$A$14,0))+IF($E43="小瑞安侬",MAX(IF($B43&lt;=$AQ43,$AP43,0),IF(AND($L43="RHI_ATTACK",$EE43&gt;0),0.11+0.01*$G43,0)),0)+IF($E43="J",$AD43*Boss参数!$B$18,0))+IF(FD43&lt;=$AN43,MIN(Boss参数!$B$21,ROUNDDOWN(角色面板!$C$19*Boss参数!$B$20,0)),0)+IF(AND($B43&lt;=$AK43,$E43&lt;&gt;"小瑞安侬"),$DY43,0),0)))</f>
        <v>3493</v>
      </c>
      <c r="AZ43" s="10">
        <f>IF($E43="","",MAX(0,MIN(1,IFERROR(INDEX(角色面板!$G$18:$G$21,MATCH($E43,角色面板!$A$18:$A$21,0)),0)-FC43*Boss参数!$B$89-Boss参数!$E$4)))</f>
        <v>1</v>
      </c>
      <c r="BA43" s="10">
        <f>IF(E43="","",(IF($E43="","",IF($E43="红弩箭",Boss参数!$B$80,IF($E43="J",Boss参数!$B$81,IFERROR(INDEX(角色面板!$H$18:$H$21,MATCH($E43,角色面板!$A$18:$A$21,0)),0)))+IF($B43&lt;=$AI43,Boss参数!$B$13,0)+MIN(30,$AM43)*Boss参数!$B$17+IF(AND($L43="LILYA_ULT",$X43&gt;=6),1,0)+IF(AND($Y43=1,$L43="LILYA_INSIGHT"),IF(MOD($AA43+1,3)=0,Boss参数!$B$83,Boss参数!$B$82),IF(AND($Y43=1,$L43="LILYA_FINISH"),Boss参数!$B$84,0))))-FC43*Boss参数!$B$90)</f>
        <v>3.0650000000000004</v>
      </c>
      <c r="BB43" s="10">
        <f>IF($E43="","",IFERROR(INDEX(角色面板!$M$18:$M$21,MATCH($E43,角色面板!$A$18:$A$21,0)),0)+$AW43*Boss参数!$B$12+IF($B43&lt;=$AG43,$AF43,0)+$EI43+IF($L43="LILYA_DIVE",IF($U43=1,IF($G43=1,0.3,IF($G43=2,0.4,0.5)),IF($U43=2,IF($G43=1,0.6,IF($G43=2,0.8,1)),0)),0)+$R43+IF(AND($E43="J",OR($L43="J_COUNTER",$L43="J_HARD")),Boss参数!$B$79,0)+IF(AND(OR(L43="J_COUNTER",L43="J_HARD"),FA43&gt;=Boss参数!$B$59),FA43*Boss参数!$B$40,0))</f>
        <v>1.02</v>
      </c>
      <c r="BC43" s="10">
        <f>IF($E43="","",IFERROR(INDEX(角色面板!$K$18:$K$21,MATCH($E43,角色面板!$A$18:$A$21,0)),0)+IF($B43&lt;=$AH43,Boss参数!$B$46,0)+IF($E43="红弩箭",IF($U43=1,0.6,IF($U43=2,1.2,0))+$W43*0.06,0))-DI43*Boss参数!$B$23</f>
        <v>1.5499999999999998</v>
      </c>
      <c r="BD43" s="10">
        <f>IF($E43="","",IFERROR(INDEX(角色面板!$L$18:$L$21,MATCH($E43,角色面板!$A$18:$A$21,0)),0)+IF($B43&lt;=$AH43,Boss参数!$B$46,0)+IF($E43="J",$AL43*Boss参数!$B$16,0)+IF($E43="红弩箭",$X43*0.025,0)+IF(AND($L43="LILYA_ULT",$X43&gt;=6),1,0))-DI43*Boss参数!$B$23</f>
        <v>0.27500000000000002</v>
      </c>
      <c r="BE43" s="10">
        <f>IF($E43="","",IF($H43="洞知",IF($E43="红弩箭",$AO43*Boss参数!$B$15,0)+$AX43*Boss参数!$B$14,0))</f>
        <v>0.57999999999999996</v>
      </c>
      <c r="BF43" s="10">
        <f t="shared" si="1"/>
        <v>0</v>
      </c>
      <c r="BG43" s="10">
        <f>IF($D43="",0,IF(AND($L43&lt;&gt;"LILYA_DIVE",$L43&lt;&gt;"LILYA_ULT",$L43&lt;&gt;"LILYA_INSIGHT",$L43&lt;&gt;"LILYA_FINISH",$L43&lt;&gt;"37_FOLLOW",$L43&lt;&gt;"RHI_ATTACK",$L43&lt;&gt;"RHI_BERRY",$L43&lt;&gt;"J_COUNTER",$L43&lt;&gt;"J_ULT"),$J43,0)+IF($L43="LILYA_DIVE",$J43+IF($U43=1,IF($G43=1,6,IF($G43=2,12,18)),IF($U43=2,IF($G43=1,12,IF($G43=2,24,36)),0)),0)+IF($L43="LILYA_ULT",$J43+IF($X43&gt;=6,18,0),0)+IF($L43="LILYA_INSIGHT",IF($Y43=1,IF(MOD($AA43+1,3)=0,32,15),0),0)+IF($L43="LILYA_FINISH",IF($Y43=1,50+2.5*$Z43,0),0)+IF($L43="37_FOLLOW",$J43,0)+IF($L43="RHI_ATTACK",$J43*IF($B43&lt;=$AJ43,2,1),0)+IF($L43="RHI_BERRY",15+1.5*$AV43,0)+IF($L43="J_COUNTER",$J43+$AD43*Boss参数!$B$39,0)+IF($L43="J_ULT",$J43+Boss参数!$B$45*MAX(0,$AE43+$AD43-Boss参数!$I$4),0)+$S43)</f>
        <v>32</v>
      </c>
      <c r="BH43" s="10">
        <f t="shared" si="2"/>
        <v>0</v>
      </c>
      <c r="BI43" s="10">
        <f>IF(E43="","",IF(DT43=1,1+Boss参数!$B$8+AV43*Boss参数!$B$19,1))</f>
        <v>1.5</v>
      </c>
      <c r="BJ43" s="9">
        <f>IF($I43="现实",Boss参数!$C$4,IF($I43="精神",Boss参数!$D$4,0))</f>
        <v>1200</v>
      </c>
      <c r="BK43" s="9">
        <f>IF($E43="","",MAX($AY43*Boss参数!$B$9,$AY43-$BJ43*(1-$BF43)))</f>
        <v>2293</v>
      </c>
      <c r="BL43" s="10">
        <f>MAX(0,Boss参数!$F$4+IF(DT43=0,Boss参数!$B$27,0)-EJ43)</f>
        <v>0.10000000000000003</v>
      </c>
      <c r="BM43" s="10">
        <f>Boss参数!$G$4+DU43-IF(Y43=1,Boss参数!$B$11,0)</f>
        <v>0.15000000000000002</v>
      </c>
      <c r="BN43" s="10">
        <f>IF($E43="","",MAX(Boss参数!$B$10,1+IFERROR(INDEX(角色面板!$I$18:$I$21,MATCH($E43,角色面板!$A$18:$A$21,0)),0)+$BB43+Boss参数!$H$4-$BM43))</f>
        <v>1.9700000000000002</v>
      </c>
      <c r="BO43" s="10">
        <f>IF(E43="","",IF(OR(L43="J_COUNTER",L43="J_HARD"),MAX(0,1+INDEX(角色面板!$K$18:$K$21,MATCH(E43,角色面板!$A$18:$A$21,0))-DI43*Boss参数!$B$23+IF(OR(Boss参数!$B$43=1,L43="J_HARD"),IF(B43&lt;=AH43,Boss参数!$B$46,0),0)),MAX(0,IF(OR(H43="术法",L43="RHI_BERRY",AND(L43="37_FOLLOW",Boss参数!$B$31=1)),1+BC43,IF(H43="仪式",1+BD43,IF(H43="洞知",EK43,1))))))</f>
        <v>1.98</v>
      </c>
      <c r="BP43" s="10">
        <f t="shared" si="3"/>
        <v>2.9650000000000003</v>
      </c>
      <c r="BQ43" s="1">
        <f t="shared" si="4"/>
        <v>429315.63840000005</v>
      </c>
      <c r="BR43" s="1">
        <f t="shared" si="5"/>
        <v>1272920.8678560003</v>
      </c>
      <c r="BS43" s="1">
        <f>IF(BH43=0,0,ROUNDDOWN(AY43*BH43,0)*DV43*IF(Boss参数!$B$29=1,BN43,1)*IF(Boss参数!$B$33=1,BO43,1)*IF(Boss参数!$B$76=1,1-ES43,1))</f>
        <v>0</v>
      </c>
      <c r="BT43" s="1">
        <f t="shared" si="6"/>
        <v>0</v>
      </c>
      <c r="BU43" s="9">
        <f>IF(D43="",0,MIN(IF(Boss参数!$B$77=1,Boss参数!$B$63*Boss参数!$B$62,Boss参数!$B$61*Boss参数!$B$62),DW43+ROUNDDOWN(BS43,0)+ROUNDDOWN(DW43*Q43,0)))</f>
        <v>360624</v>
      </c>
      <c r="BV43" s="9">
        <f>IF(D43="",0,MIN(IF(Boss参数!$B$77=1,Boss参数!$B$63*Boss参数!$B$62,Boss参数!$B$61*Boss参数!$B$62),DX43+ROUNDDOWN(BT43,0)+ROUNDDOWN(DX43*Q43,0)))</f>
        <v>1069252</v>
      </c>
      <c r="BW43" s="9">
        <f t="shared" si="7"/>
        <v>1069252</v>
      </c>
      <c r="BX43" s="1" t="str">
        <f t="shared" si="8"/>
        <v/>
      </c>
      <c r="BY43" s="1">
        <f t="shared" si="9"/>
        <v>2</v>
      </c>
      <c r="BZ43" s="1">
        <f t="shared" si="10"/>
        <v>1</v>
      </c>
      <c r="CA43" s="1">
        <f>MIN(10,W43+IF(AND(L43="LILYA_COBRA",COUNTIF($L$3:L43,"LILYA_COBRA")=1),5,0)+IF(AND(L43="LILYA_DIVE",U43=1,COUNTIFS($DG$3:DG43,DG43,$L$3:L43,"LILYA_DIVE")=1),2,0)+IF(AND(FE43=1,U43=1),3,0))</f>
        <v>10</v>
      </c>
      <c r="CB43" s="1">
        <f>MIN(20,MAX(0,X43+IF(L43="LILYA_COBRA",IF(COUNTIF($L$3:L43,"LILYA_COBRA")=1,6,IF(U43=1,MAX(1,G43),IF(U43=2,2*MAX(1,G43),0))),0)+IF(AND(Y43=1,E43="红弩箭",L43&lt;&gt;"ENTER_INSIGHT"),1,0)-IF(AND(L43="LILYA_ULT",X43&gt;=6),6,0)))</f>
        <v>6</v>
      </c>
      <c r="CC43" s="1">
        <f t="shared" si="11"/>
        <v>1</v>
      </c>
      <c r="CD43" s="1">
        <f t="shared" si="12"/>
        <v>8</v>
      </c>
      <c r="CE43" s="1">
        <f t="shared" si="13"/>
        <v>6</v>
      </c>
      <c r="CF43" s="1">
        <f t="shared" si="14"/>
        <v>10</v>
      </c>
      <c r="CG43" s="1">
        <f t="shared" si="15"/>
        <v>0</v>
      </c>
      <c r="CH43" s="1">
        <f>MIN(35,AD43+IF(L43="J_HARD",6,0)+IF(L43="J_COUNTER",Boss参数!$B$30,0))</f>
        <v>24</v>
      </c>
      <c r="CI43" s="1">
        <f>MIN(Boss参数!$I$4,AE43+IF(L43="J_HARD",6,0)+IF(L43="J_ULT",AD43,0)+IF(L43="J_COUNTER",Boss参数!$B$30,0))</f>
        <v>15</v>
      </c>
      <c r="CJ43" s="10">
        <f>IF(L43="J_ULT",AD43*Boss参数!$B$41,IF(B43&lt;=AG43,AF43,0))</f>
        <v>0.4</v>
      </c>
      <c r="CK43" s="1">
        <f t="shared" si="16"/>
        <v>5</v>
      </c>
      <c r="CL43" s="1">
        <f t="shared" si="17"/>
        <v>5</v>
      </c>
      <c r="CM43" s="1">
        <f t="shared" si="18"/>
        <v>4</v>
      </c>
      <c r="CN43" s="1">
        <f t="shared" si="19"/>
        <v>5</v>
      </c>
      <c r="CO43" s="1">
        <f t="shared" si="20"/>
        <v>4</v>
      </c>
      <c r="CP43" s="1">
        <f t="shared" si="21"/>
        <v>3</v>
      </c>
      <c r="CQ43" s="1">
        <f t="shared" si="22"/>
        <v>20</v>
      </c>
      <c r="CR43" s="1">
        <f t="shared" si="23"/>
        <v>4</v>
      </c>
      <c r="CS43" s="1">
        <f t="shared" si="24"/>
        <v>8</v>
      </c>
      <c r="CT43" s="10">
        <f t="shared" si="25"/>
        <v>0.12</v>
      </c>
      <c r="CU43" s="1">
        <f t="shared" si="26"/>
        <v>5</v>
      </c>
      <c r="CV43" s="10">
        <f t="shared" si="27"/>
        <v>0.3</v>
      </c>
      <c r="CW43" s="1">
        <f t="shared" si="28"/>
        <v>5</v>
      </c>
      <c r="CX43" s="10">
        <f t="shared" si="29"/>
        <v>0.3</v>
      </c>
      <c r="CY43" s="1">
        <f t="shared" si="30"/>
        <v>5</v>
      </c>
      <c r="CZ43" s="1"/>
      <c r="DA43" s="1"/>
      <c r="DB43" s="1"/>
      <c r="DC43" s="1"/>
      <c r="DD43" s="1"/>
      <c r="DE43" s="1"/>
      <c r="DF43" s="1"/>
      <c r="DG43" s="1" t="str">
        <f>IF(D43="","",行动模拟!B49)</f>
        <v>洞知</v>
      </c>
      <c r="DH43" s="1" t="str">
        <f>IF(L43="END_TURN","回合结束",IF(D43="","",IF(INDEX(回合状态!$C$7:$C$17,MATCH(DG43,回合状态!$A$7:$A$17,0))="洞穿","洞穿",IF(OR(L43="J_COUNTER",L43="BOSS_ACTION",L43="BOSS_CONSERVATIVE"),"敌方",IF(AND(L43="37_FOLLOW",DG43=DG42,DH42="敌方"),"敌方",IF(INDEX(回合状态!$C$7:$C$17,MATCH(DG43,回合状态!$A$7:$A$17,0))="普通","出牌",INDEX(回合状态!$C$7:$C$17,MATCH(DG43,回合状态!$A$7:$A$17,0))))))))</f>
        <v>洞穿</v>
      </c>
      <c r="DI43" s="1">
        <f t="shared" si="31"/>
        <v>1</v>
      </c>
      <c r="DJ43" s="1">
        <f>IF(D43="",0,MIN(Boss参数!$B$25,IF(OR(AND(DH43="敌方",OR(DH42&lt;&gt;"敌方",DG43&lt;&gt;DG42)),AND(L43="END_TURN",DH43&lt;&gt;"洞穿"),AND(DG43&lt;&gt;DG42,DH42&lt;&gt;"洞穿",L42&lt;&gt;"END_TURN",COUNTIFS($DG$3:DG42,DG42,$DH$3:DH42,"敌方")=0)),EW43,DN42)))</f>
        <v>1</v>
      </c>
      <c r="DK43" s="1">
        <f>IF(D43="",0,MIN(Boss参数!$B$25,IF(OR(AND(DH43="敌方",OR(DH42&lt;&gt;"敌方",DG43&lt;&gt;DG42)),AND(L43="END_TURN",DH43&lt;&gt;"洞穿"),AND(DG43&lt;&gt;DG42,DH42&lt;&gt;"洞穿",L42&lt;&gt;"END_TURN",COUNTIFS($DG$3:DG42,DG42,$DH$3:DH42,"敌方")=0)),EW43,DO42)))</f>
        <v>3</v>
      </c>
      <c r="DL43" s="1">
        <f>IF(D43="",0,MIN(Boss参数!$B$25,IF(OR(AND(DH43="敌方",OR(DH42&lt;&gt;"敌方",DG43&lt;&gt;DG42)),AND(L43="END_TURN",DH43&lt;&gt;"洞穿"),AND(DG43&lt;&gt;DG42,DH42&lt;&gt;"洞穿",L42&lt;&gt;"END_TURN",COUNTIFS($DG$3:DG42,DG42,$DH$3:DH42,"敌方")=0)),EW43,DP42)))</f>
        <v>5</v>
      </c>
      <c r="DM43" s="1">
        <f>IF(D43="",0,MIN(Boss参数!$B$25,IF(OR(AND(DH43="敌方",OR(DH42&lt;&gt;"敌方",DG43&lt;&gt;DG42)),AND(L43="END_TURN",DH43&lt;&gt;"洞穿"),AND(DG43&lt;&gt;DG42,DH42&lt;&gt;"洞穿",L42&lt;&gt;"END_TURN",COUNTIFS($DG$3:DG42,DG42,$DH$3:DH42,"敌方")=0)),EW43,DQ42)))</f>
        <v>5</v>
      </c>
      <c r="DN43" s="1">
        <f>MAX(0,MIN(Boss参数!$B$25,DJ43+DR43)-IF(E43="红弩箭",2*DR43,0))</f>
        <v>0</v>
      </c>
      <c r="DO43" s="1">
        <f>MAX(0,MIN(Boss参数!$B$25,DK43+DR43)-IF(E43="37",2*DR43,0))</f>
        <v>4</v>
      </c>
      <c r="DP43" s="1">
        <f>MAX(0,MIN(Boss参数!$B$25,DL43+DR43)-IF(E43="小瑞安侬",2*DR43,0))</f>
        <v>5</v>
      </c>
      <c r="DQ43" s="1">
        <f>MAX(0,MIN(Boss参数!$B$25,DM43+DR43)-IF(E43="J",2*DR43,0))</f>
        <v>5</v>
      </c>
      <c r="DR43" s="1">
        <f t="shared" si="32"/>
        <v>1</v>
      </c>
      <c r="DS43" s="1">
        <f t="shared" si="33"/>
        <v>1</v>
      </c>
      <c r="DT43" s="1">
        <f>IF(OR(E43="",E43="系统"),0,IF(OR(AND(DS43=1,Boss参数!$B$32=1),L43="RHI_BERRY",OR(AND(INDEX(角色面板!$B$18:$B$21,MATCH(E43,角色面板!$A$18:$A$21,0))="星",Boss参数!$B$4="岩"),AND(INDEX(角色面板!$B$18:$B$21,MATCH(E43,角色面板!$A$18:$A$21,0))="岩",Boss参数!$B$4="兽"),AND(INDEX(角色面板!$B$18:$B$21,MATCH(E43,角色面板!$A$18:$A$21,0))="兽",Boss参数!$B$4="木"),AND(INDEX(角色面板!$B$18:$B$21,MATCH(E43,角色面板!$A$18:$A$21,0))="木",Boss参数!$B$4="星"),AND(INDEX(角色面板!$B$18:$B$21,MATCH(E43,角色面板!$A$18:$A$21,0))="智",Boss参数!$B$4="灵"),AND(INDEX(角色面板!$B$18:$B$21,MATCH(E43,角色面板!$A$18:$A$21,0))="灵",Boss参数!$B$4="智"))),1,0))</f>
        <v>1</v>
      </c>
      <c r="DU43" s="1">
        <f>IF(D43="",0,INDEX(回合状态!$E$7:$E$17,MATCH(DG43,回合状态!$A$7:$A$17,0))+IF(AND(DH43="敌方",OR(INDEX(回合状态!$C$7:$C$17,MATCH(DG43,回合状态!$A$7:$A$17,0))="普通",INDEX(回合状态!$C$7:$C$17,MATCH(DG43,回合状态!$A$7:$A$17,0))="额外")),0.05,0))</f>
        <v>0.15000000000000002</v>
      </c>
      <c r="DV43" s="1">
        <f>MAX(Boss参数!$B$28,1+IF(AND(E43="37",AC43&gt;0,BH43&gt;0),Boss参数!$B$42,0)-DI43*Boss参数!$B$24+EA43-ER43)</f>
        <v>0.25</v>
      </c>
      <c r="DW43" s="1">
        <f>MIN(IF(Boss参数!$B$77=1,Boss参数!$B$63*Boss参数!$B$62,Boss参数!$B$61*Boss参数!$B$62),ROUNDDOWN(BQ43*(1-ES43),0))</f>
        <v>257589</v>
      </c>
      <c r="DX43" s="1">
        <f>MIN(IF(Boss参数!$B$77=1,Boss参数!$B$63*Boss参数!$B$62,Boss参数!$B$61*Boss参数!$B$62),ROUNDDOWN(BR43*(1-ES43),0))</f>
        <v>763752</v>
      </c>
      <c r="DY43" s="1">
        <f t="shared" si="65"/>
        <v>238</v>
      </c>
      <c r="DZ43" s="1">
        <f>IF(L43="RHI_ULT",MIN(Boss参数!$B$48,ROUNDDOWN(AY43*Boss参数!$B$47,0)),DY43)</f>
        <v>238</v>
      </c>
      <c r="EA43" s="11">
        <v>0</v>
      </c>
      <c r="EB43" s="1">
        <f t="shared" si="34"/>
        <v>0</v>
      </c>
      <c r="EC43" s="1">
        <f>SUMIFS($EB$3:EB43,$B$3:B43,"&gt;="&amp;MAX(1,B43-2),$B$3:B43,"&lt;="&amp;B43)*Boss参数!$B$51</f>
        <v>12</v>
      </c>
      <c r="ED43" s="1">
        <f>IF(D43="",EG42,IF(AND(DG43&lt;&gt;DG42,DH43&lt;&gt;"洞穿"),MIN(Boss参数!$B$55,EG42+2),EG42))</f>
        <v>0</v>
      </c>
      <c r="EE43" s="1">
        <f t="shared" si="35"/>
        <v>0</v>
      </c>
      <c r="EF43" s="1">
        <f>IF(AND(OR(L43="END_TURN",AND(DH43="敌方",OR(DH42&lt;&gt;"敌方",DG43&lt;&gt;DG42))),SUMIFS($EF$3:EF42,$DG$3:DG42,DG43)=0),MIN(1,MAX(0,ED43-EE43)),0)</f>
        <v>0</v>
      </c>
      <c r="EG43" s="1">
        <f t="shared" si="36"/>
        <v>0</v>
      </c>
      <c r="EH43" s="11">
        <f>Boss参数!$B$53-IF(Y43=1,Boss参数!$B$54,0)</f>
        <v>-0.4</v>
      </c>
      <c r="EI43" s="11">
        <f t="shared" si="37"/>
        <v>0.3</v>
      </c>
      <c r="EJ43" s="11">
        <f t="shared" si="38"/>
        <v>0.3</v>
      </c>
      <c r="EK43" s="11">
        <f t="shared" si="39"/>
        <v>1.98</v>
      </c>
      <c r="EL43" s="1">
        <f t="shared" si="66"/>
        <v>0</v>
      </c>
      <c r="EM43" s="1">
        <f>IF(AND(DG43&lt;&gt;DG42,DH43="洞穿"),0,IF(L43="ENTER_INSIGHT",Boss参数!$B$57,EO42))</f>
        <v>1</v>
      </c>
      <c r="EN43" s="11">
        <f>IF(AND(Y43=1,H43="洞知",EM43&gt;0),Boss参数!$B$56,0)</f>
        <v>0.4</v>
      </c>
      <c r="EO43" s="1">
        <f t="shared" si="40"/>
        <v>0</v>
      </c>
      <c r="EP43" s="12">
        <f t="shared" si="67"/>
        <v>5872142</v>
      </c>
      <c r="EQ43" s="12">
        <f>ROUNDDOWN(EP43/Boss参数!$B$62,0)</f>
        <v>58</v>
      </c>
      <c r="ER43" s="11">
        <f>IF(EQ43&gt;=Boss参数!$B$66,Boss参数!$B$69,IF(EQ43&gt;=Boss参数!$B$65,Boss参数!$B$68,IF(EQ43&gt;=Boss参数!$B$64,Boss参数!$B$67,0)))</f>
        <v>0.6</v>
      </c>
      <c r="ES43" s="11">
        <f>MIN(1,IF(EQ43&gt;=Boss参数!$B$66,Boss参数!$B$72+ROUNDDOWN((EQ43-Boss参数!$B$66)/Boss参数!$B$73,0)*Boss参数!$B$74,IF(EQ43&gt;=Boss参数!$B$65,Boss参数!$B$71,IF(EQ43&gt;=Boss参数!$B$64,Boss参数!$B$70,0))))</f>
        <v>0.4</v>
      </c>
      <c r="ET43" s="12">
        <f>MIN(Boss参数!$B$61*Boss参数!$B$62,EP43+IF(AND(Boss参数!$B$60=1,ISNUMBER(验证表!H49)),验证表!H49,EU43))</f>
        <v>6941394</v>
      </c>
      <c r="EU43" s="12">
        <f>IF(D43="",0,IF(验证表!G49="是",BV43,IF(验证表!G49="否",BU43,BW43)))</f>
        <v>1069252</v>
      </c>
      <c r="EV43" s="12">
        <f>IF(EQ43&gt;=Boss参数!$B$66,2,IF(EQ43&gt;=Boss参数!$B$65,1,0))</f>
        <v>1</v>
      </c>
      <c r="EW43" s="12">
        <f t="shared" si="41"/>
        <v>2</v>
      </c>
      <c r="EX43" s="1">
        <f>IF(D43="",0,INDEX(回合状态!$D$7:$D$17,MATCH(DG43,回合状态!$A$7:$A$17,0)))</f>
        <v>4</v>
      </c>
      <c r="EY43" s="1">
        <f>IF(OR(L43="RHI_ATTACK",L43="RHI_BUFF"),1,IF(L43="RHI_ULT",Boss参数!$B$52,0))</f>
        <v>0</v>
      </c>
      <c r="EZ43" s="1">
        <f>MIN(6,SUMIFS($EY$3:EY43,$EX$3:EX43,"&gt;="&amp;MAX(1,EX43-Boss参数!$B$87+1),$EX$3:EX43,"&lt;="&amp;EX43))</f>
        <v>4</v>
      </c>
      <c r="FA43" s="1">
        <f t="shared" si="68"/>
        <v>24</v>
      </c>
      <c r="FB43" s="17">
        <f>IF(L43="BOSS_CONSERVATIVE",B43+Boss参数!$B$91,FB42)</f>
        <v>0</v>
      </c>
      <c r="FC43" s="17">
        <f t="shared" si="69"/>
        <v>0</v>
      </c>
      <c r="FD43" s="17">
        <f>IF(D43="",FD42,FD42+IF(AND(DG43&lt;&gt;DG42,INDEX(回合状态!$C$7:$C$17,MATCH(DG43,回合状态!$A$7:$A$17,0))&lt;&gt;"洞穿"),1,0))</f>
        <v>3</v>
      </c>
      <c r="FE43" s="17">
        <f>IF(D43="",0,IF(AND(OR(L43="END_TURN",DH43="敌方"),INDEX(回合状态!$C$7:$C$17,MATCH(DG43,回合状态!$A$7:$A$17,0))&lt;&gt;"洞穿",SUMIFS($FE$3:FE42,$DG$3:DG42,DG43)=0),1,0))</f>
        <v>0</v>
      </c>
    </row>
    <row r="44" spans="1:161" ht="84.95" customHeight="1">
      <c r="A44" s="1">
        <f>行动模拟!A50</f>
        <v>42</v>
      </c>
      <c r="B44" s="1">
        <f>IF(D44="",0,INDEX(回合状态!$B$7:$B$17,MATCH(DG44,回合状态!$A$7:$A$17,0)))</f>
        <v>3</v>
      </c>
      <c r="C44" s="1">
        <f>行动模拟!C50</f>
        <v>10</v>
      </c>
      <c r="D44" s="1" t="str">
        <f>IF(行动模拟!D50="","",行动模拟!D50)</f>
        <v>红弩箭｜洞知咒语</v>
      </c>
      <c r="E44" s="1" t="str">
        <f>IF($D44="","",IFERROR(INDEX(技能数据库!$B$4:$B$38,MATCH($D44,技能数据库!$A$4:$A$38,0)),""))</f>
        <v>红弩箭</v>
      </c>
      <c r="F44" s="1" t="str">
        <f>IF($D44="","",IFERROR(INDEX(技能数据库!$C$4:$C$38,MATCH($D44,技能数据库!$A$4:$A$38,0)),""))</f>
        <v>洞知咒语</v>
      </c>
      <c r="G44" s="1">
        <f>IF($D44="","",IFERROR(INDEX(技能数据库!$D$4:$D$38,MATCH($D44,技能数据库!$A$4:$A$38,0)),""))</f>
        <v>0</v>
      </c>
      <c r="H44" s="1" t="str">
        <f>IF($D44="","",IFERROR(INDEX(技能数据库!$E$4:$E$38,MATCH($D44,技能数据库!$A$4:$A$38,0)),""))</f>
        <v>洞知</v>
      </c>
      <c r="I44" s="1" t="str">
        <f>IF($D44="","",IFERROR(INDEX(技能数据库!$F$4:$F$38,MATCH($D44,技能数据库!$A$4:$A$38,0)),""))</f>
        <v>现实</v>
      </c>
      <c r="J44" s="1">
        <f>IF($D44="","",IFERROR(INDEX(技能数据库!$G$4:$G$38,MATCH($D44,技能数据库!$A$4:$A$38,0)),""))</f>
        <v>15</v>
      </c>
      <c r="K44" s="1">
        <f>IF($D44="","",IFERROR(INDEX(技能数据库!$H$4:$H$38,MATCH($D44,技能数据库!$A$4:$A$38,0)),""))</f>
        <v>0</v>
      </c>
      <c r="L44" s="1" t="str">
        <f>IF($D44="","",IFERROR(INDEX(技能数据库!$I$4:$I$38,MATCH($D44,技能数据库!$A$4:$A$38,0)),""))</f>
        <v>LILYA_INSIGHT</v>
      </c>
      <c r="M44" s="10">
        <v>1</v>
      </c>
      <c r="N44" s="1"/>
      <c r="O44" s="1"/>
      <c r="P44" s="1"/>
      <c r="Q44" s="10">
        <f t="shared" si="0"/>
        <v>0</v>
      </c>
      <c r="R44" s="10">
        <v>0</v>
      </c>
      <c r="S44" s="10">
        <v>0</v>
      </c>
      <c r="T44" s="1">
        <f>行动模拟!I50</f>
        <v>0</v>
      </c>
      <c r="U44" s="1">
        <f>IF(FD44&lt;&gt;FD43,IF(BY43=1,IF(MIN(10,CA43+IF(AND(DG44&lt;&gt;DG43,DH43&lt;&gt;"洞穿",SUMIFS($FE$3:FE43,$DG$3:DG43,DG43)=0,BY43=1),3,0))&gt;=10,2,1),IF(BY43=2,IF(BZ43&lt;=1,0,2),0)),BY43)</f>
        <v>2</v>
      </c>
      <c r="V44" s="1">
        <f>IF(FD44&lt;&gt;FD43,IF(BY43=1,IF(MIN(10,CA43+IF(AND(DG44&lt;&gt;DG43,DH43&lt;&gt;"洞穿",SUMIFS($FE$3:FE43,$DG$3:DG43,DG43)=0,BY43=1),3,0))&gt;=10,2,0),IF(BY43=2,MAX(0,BZ43-1),0)),BZ43)</f>
        <v>1</v>
      </c>
      <c r="W44" s="1">
        <f>IF(AND(FD44&lt;&gt;FD43,BY43=2,BZ43&lt;=1),0,MIN(10,CA43+IF(AND(DG44&lt;&gt;DG43,DH43&lt;&gt;"洞穿",SUMIFS($FE$3:FE43,$DG$3:DG43,DG43)=0,BY43=1),3,0)))</f>
        <v>10</v>
      </c>
      <c r="X44" s="1">
        <f t="shared" si="42"/>
        <v>6</v>
      </c>
      <c r="Y44" s="1">
        <f t="shared" si="43"/>
        <v>1</v>
      </c>
      <c r="Z44" s="1">
        <f t="shared" si="44"/>
        <v>8</v>
      </c>
      <c r="AA44" s="1">
        <f t="shared" si="45"/>
        <v>6</v>
      </c>
      <c r="AB44" s="1">
        <f t="shared" si="46"/>
        <v>10</v>
      </c>
      <c r="AC44" s="1">
        <f t="shared" si="47"/>
        <v>0</v>
      </c>
      <c r="AD44" s="1">
        <f t="shared" si="48"/>
        <v>24</v>
      </c>
      <c r="AE44" s="1">
        <f>IF(D44="",0,IF(DG44&lt;&gt;DG43,IFERROR(INDEX(回合状态!$F$7:$F$17,MATCH(DG44,回合状态!$A$7:$A$17,0)),0),CI43))</f>
        <v>15</v>
      </c>
      <c r="AF44" s="10">
        <f t="shared" si="49"/>
        <v>0.4</v>
      </c>
      <c r="AG44" s="1">
        <f t="shared" si="50"/>
        <v>5</v>
      </c>
      <c r="AH44" s="1">
        <f t="shared" si="51"/>
        <v>5</v>
      </c>
      <c r="AI44" s="1">
        <f t="shared" si="52"/>
        <v>4</v>
      </c>
      <c r="AJ44" s="1">
        <f t="shared" si="53"/>
        <v>5</v>
      </c>
      <c r="AK44" s="1">
        <f t="shared" si="54"/>
        <v>4</v>
      </c>
      <c r="AL44" s="1">
        <f t="shared" si="55"/>
        <v>3</v>
      </c>
      <c r="AM44" s="1">
        <f t="shared" si="56"/>
        <v>20</v>
      </c>
      <c r="AN44" s="1">
        <f t="shared" si="57"/>
        <v>4</v>
      </c>
      <c r="AO44" s="1">
        <f t="shared" si="58"/>
        <v>8</v>
      </c>
      <c r="AP44" s="10">
        <f t="shared" si="59"/>
        <v>0.12</v>
      </c>
      <c r="AQ44" s="1">
        <f t="shared" si="60"/>
        <v>5</v>
      </c>
      <c r="AR44" s="10">
        <f t="shared" si="61"/>
        <v>0.3</v>
      </c>
      <c r="AS44" s="1">
        <f t="shared" si="62"/>
        <v>5</v>
      </c>
      <c r="AT44" s="10">
        <f t="shared" si="63"/>
        <v>0.3</v>
      </c>
      <c r="AU44" s="1">
        <f t="shared" si="64"/>
        <v>5</v>
      </c>
      <c r="AV44" s="1">
        <f>MIN(5,SUMIFS($EL$3:EL44,$B$3:B44,"&gt;="&amp;MAX(1,B44-2),$B$3:B44,"&lt;="&amp;B44)+EC44)</f>
        <v>5</v>
      </c>
      <c r="AW44" s="1">
        <f>MIN(6,SUMIFS($EY$3:EY43,$EX$3:EX43,"&gt;="&amp;MAX(1,EX44-Boss参数!$B$87+1),$EX$3:EX43,"&lt;="&amp;EX44))</f>
        <v>4</v>
      </c>
      <c r="AX44" s="1">
        <f>MIN(4,COUNTIFS($B$3:$B$43,"&gt;="&amp;MAX(1,$B44-2),$B$3:$B$43,"&lt;="&amp;$B44,$L$3:$L$43,"37_FOLLOW"))</f>
        <v>4</v>
      </c>
      <c r="AY44" s="9">
        <f>IF($E44="","",IF($E44="系统",0,ROUNDDOWN(INDEX(角色面板!$C$4:$C$7,MATCH($E44,角色面板!$A$4:$A$7,0))*(1+INDEX(角色面板!$C$11:$C$14,MATCH($E44,角色面板!$A$11:$A$14,0))+IF($E44="小瑞安侬",MAX(IF($B44&lt;=$AQ44,$AP44,0),IF(AND($L44="RHI_ATTACK",$EE44&gt;0),0.11+0.01*$G44,0)),0)+IF($E44="J",$AD44*Boss参数!$B$18,0))+IF(FD44&lt;=$AN44,MIN(Boss参数!$B$21,ROUNDDOWN(角色面板!$C$19*Boss参数!$B$20,0)),0)+IF(AND($B44&lt;=$AK44,$E44&lt;&gt;"小瑞安侬"),$DY44,0),0)))</f>
        <v>3493</v>
      </c>
      <c r="AZ44" s="10">
        <f>IF($E44="","",MAX(0,MIN(1,IFERROR(INDEX(角色面板!$G$18:$G$21,MATCH($E44,角色面板!$A$18:$A$21,0)),0)-FC44*Boss参数!$B$89-Boss参数!$E$4)))</f>
        <v>1</v>
      </c>
      <c r="BA44" s="10">
        <f>IF(E44="","",(IF($E44="","",IF($E44="红弩箭",Boss参数!$B$80,IF($E44="J",Boss参数!$B$81,IFERROR(INDEX(角色面板!$H$18:$H$21,MATCH($E44,角色面板!$A$18:$A$21,0)),0)))+IF($B44&lt;=$AI44,Boss参数!$B$13,0)+MIN(30,$AM44)*Boss参数!$B$17+IF(AND($L44="LILYA_ULT",$X44&gt;=6),1,0)+IF(AND($Y44=1,$L44="LILYA_INSIGHT"),IF(MOD($AA44+1,3)=0,Boss参数!$B$83,Boss参数!$B$82),IF(AND($Y44=1,$L44="LILYA_FINISH"),Boss参数!$B$84,0))))-FC44*Boss参数!$B$90)</f>
        <v>2.8650000000000002</v>
      </c>
      <c r="BB44" s="10">
        <f>IF($E44="","",IFERROR(INDEX(角色面板!$M$18:$M$21,MATCH($E44,角色面板!$A$18:$A$21,0)),0)+$AW44*Boss参数!$B$12+IF($B44&lt;=$AG44,$AF44,0)+$EI44+IF($L44="LILYA_DIVE",IF($U44=1,IF($G44=1,0.3,IF($G44=2,0.4,0.5)),IF($U44=2,IF($G44=1,0.6,IF($G44=2,0.8,1)),0)),0)+$R44+IF(AND($E44="J",OR($L44="J_COUNTER",$L44="J_HARD")),Boss参数!$B$79,0)+IF(AND(OR(L44="J_COUNTER",L44="J_HARD"),FA44&gt;=Boss参数!$B$59),FA44*Boss参数!$B$40,0))</f>
        <v>1.02</v>
      </c>
      <c r="BC44" s="10">
        <f>IF($E44="","",IFERROR(INDEX(角色面板!$K$18:$K$21,MATCH($E44,角色面板!$A$18:$A$21,0)),0)+IF($B44&lt;=$AH44,Boss参数!$B$46,0)+IF($E44="红弩箭",IF($U44=1,0.6,IF($U44=2,1.2,0))+$W44*0.06,0))-DI44*Boss参数!$B$23</f>
        <v>1.6999999999999997</v>
      </c>
      <c r="BD44" s="10">
        <f>IF($E44="","",IFERROR(INDEX(角色面板!$L$18:$L$21,MATCH($E44,角色面板!$A$18:$A$21,0)),0)+IF($B44&lt;=$AH44,Boss参数!$B$46,0)+IF($E44="J",$AL44*Boss参数!$B$16,0)+IF($E44="红弩箭",$X44*0.025,0)+IF(AND($L44="LILYA_ULT",$X44&gt;=6),1,0))-DI44*Boss参数!$B$23</f>
        <v>0.45</v>
      </c>
      <c r="BE44" s="10">
        <f>IF($E44="","",IF($H44="洞知",IF($E44="红弩箭",$AO44*Boss参数!$B$15,0)+$AX44*Boss参数!$B$14,0))</f>
        <v>0.64</v>
      </c>
      <c r="BF44" s="10">
        <f t="shared" si="1"/>
        <v>0</v>
      </c>
      <c r="BG44" s="10">
        <f>IF($D44="",0,IF(AND($L44&lt;&gt;"LILYA_DIVE",$L44&lt;&gt;"LILYA_ULT",$L44&lt;&gt;"LILYA_INSIGHT",$L44&lt;&gt;"LILYA_FINISH",$L44&lt;&gt;"37_FOLLOW",$L44&lt;&gt;"RHI_ATTACK",$L44&lt;&gt;"RHI_BERRY",$L44&lt;&gt;"J_COUNTER",$L44&lt;&gt;"J_ULT"),$J44,0)+IF($L44="LILYA_DIVE",$J44+IF($U44=1,IF($G44=1,6,IF($G44=2,12,18)),IF($U44=2,IF($G44=1,12,IF($G44=2,24,36)),0)),0)+IF($L44="LILYA_ULT",$J44+IF($X44&gt;=6,18,0),0)+IF($L44="LILYA_INSIGHT",IF($Y44=1,IF(MOD($AA44+1,3)=0,32,15),0),0)+IF($L44="LILYA_FINISH",IF($Y44=1,50+2.5*$Z44,0),0)+IF($L44="37_FOLLOW",$J44,0)+IF($L44="RHI_ATTACK",$J44*IF($B44&lt;=$AJ44,2,1),0)+IF($L44="RHI_BERRY",15+1.5*$AV44,0)+IF($L44="J_COUNTER",$J44+$AD44*Boss参数!$B$39,0)+IF($L44="J_ULT",$J44+Boss参数!$B$45*MAX(0,$AE44+$AD44-Boss参数!$I$4),0)+$S44)</f>
        <v>15</v>
      </c>
      <c r="BH44" s="10">
        <f t="shared" si="2"/>
        <v>0</v>
      </c>
      <c r="BI44" s="10">
        <f>IF(E44="","",IF(DT44=1,1+Boss参数!$B$8+AV44*Boss参数!$B$19,1))</f>
        <v>1.5</v>
      </c>
      <c r="BJ44" s="9">
        <f>IF($I44="现实",Boss参数!$C$4,IF($I44="精神",Boss参数!$D$4,0))</f>
        <v>1200</v>
      </c>
      <c r="BK44" s="9">
        <f>IF($E44="","",MAX($AY44*Boss参数!$B$9,$AY44-$BJ44*(1-$BF44)))</f>
        <v>2293</v>
      </c>
      <c r="BL44" s="10">
        <f>MAX(0,Boss参数!$F$4+IF(DT44=0,Boss参数!$B$27,0)-EJ44)</f>
        <v>0.10000000000000003</v>
      </c>
      <c r="BM44" s="10">
        <f>Boss参数!$G$4+DU44-IF(Y44=1,Boss参数!$B$11,0)</f>
        <v>0.15000000000000002</v>
      </c>
      <c r="BN44" s="10">
        <f>IF($E44="","",MAX(Boss参数!$B$10,1+IFERROR(INDEX(角色面板!$I$18:$I$21,MATCH($E44,角色面板!$A$18:$A$21,0)),0)+$BB44+Boss参数!$H$4-$BM44))</f>
        <v>1.9700000000000002</v>
      </c>
      <c r="BO44" s="10">
        <f>IF(E44="","",IF(OR(L44="J_COUNTER",L44="J_HARD"),MAX(0,1+INDEX(角色面板!$K$18:$K$21,MATCH(E44,角色面板!$A$18:$A$21,0))-DI44*Boss参数!$B$23+IF(OR(Boss参数!$B$43=1,L44="J_HARD"),IF(B44&lt;=AH44,Boss参数!$B$46,0),0)),MAX(0,IF(OR(H44="术法",L44="RHI_BERRY",AND(L44="37_FOLLOW",Boss参数!$B$31=1)),1+BC44,IF(H44="仪式",1+BD44,IF(H44="洞知",EK44,1))))))</f>
        <v>2.04</v>
      </c>
      <c r="BP44" s="10">
        <f t="shared" si="3"/>
        <v>2.7650000000000001</v>
      </c>
      <c r="BQ44" s="1">
        <f t="shared" si="4"/>
        <v>207339.93900000001</v>
      </c>
      <c r="BR44" s="1">
        <f t="shared" si="5"/>
        <v>573294.93133500009</v>
      </c>
      <c r="BS44" s="1">
        <f>IF(BH44=0,0,ROUNDDOWN(AY44*BH44,0)*DV44*IF(Boss参数!$B$29=1,BN44,1)*IF(Boss参数!$B$33=1,BO44,1)*IF(Boss参数!$B$76=1,1-ES44,1))</f>
        <v>0</v>
      </c>
      <c r="BT44" s="1">
        <f t="shared" si="6"/>
        <v>0</v>
      </c>
      <c r="BU44" s="9">
        <f>IF(D44="",0,MIN(IF(Boss参数!$B$77=1,Boss参数!$B$63*Boss参数!$B$62,Boss参数!$B$61*Boss参数!$B$62),DW44+ROUNDDOWN(BS44,0)+ROUNDDOWN(DW44*Q44,0)))</f>
        <v>124403</v>
      </c>
      <c r="BV44" s="9">
        <f>IF(D44="",0,MIN(IF(Boss参数!$B$77=1,Boss参数!$B$63*Boss参数!$B$62,Boss参数!$B$61*Boss参数!$B$62),DX44+ROUNDDOWN(BT44,0)+ROUNDDOWN(DX44*Q44,0)))</f>
        <v>343976</v>
      </c>
      <c r="BW44" s="9">
        <f t="shared" si="7"/>
        <v>343976</v>
      </c>
      <c r="BX44" s="1" t="str">
        <f t="shared" si="8"/>
        <v/>
      </c>
      <c r="BY44" s="1">
        <f t="shared" si="9"/>
        <v>2</v>
      </c>
      <c r="BZ44" s="1">
        <f t="shared" si="10"/>
        <v>1</v>
      </c>
      <c r="CA44" s="1">
        <f>MIN(10,W44+IF(AND(L44="LILYA_COBRA",COUNTIF($L$3:L44,"LILYA_COBRA")=1),5,0)+IF(AND(L44="LILYA_DIVE",U44=1,COUNTIFS($DG$3:DG44,DG44,$L$3:L44,"LILYA_DIVE")=1),2,0)+IF(AND(FE44=1,U44=1),3,0))</f>
        <v>10</v>
      </c>
      <c r="CB44" s="1">
        <f>MIN(20,MAX(0,X44+IF(L44="LILYA_COBRA",IF(COUNTIF($L$3:L44,"LILYA_COBRA")=1,6,IF(U44=1,MAX(1,G44),IF(U44=2,2*MAX(1,G44),0))),0)+IF(AND(Y44=1,E44="红弩箭",L44&lt;&gt;"ENTER_INSIGHT"),1,0)-IF(AND(L44="LILYA_ULT",X44&gt;=6),6,0)))</f>
        <v>7</v>
      </c>
      <c r="CC44" s="1">
        <f t="shared" si="11"/>
        <v>1</v>
      </c>
      <c r="CD44" s="1">
        <f t="shared" si="12"/>
        <v>9</v>
      </c>
      <c r="CE44" s="1">
        <f t="shared" si="13"/>
        <v>7</v>
      </c>
      <c r="CF44" s="1">
        <f t="shared" si="14"/>
        <v>10</v>
      </c>
      <c r="CG44" s="1">
        <f t="shared" si="15"/>
        <v>0</v>
      </c>
      <c r="CH44" s="1">
        <f>MIN(35,AD44+IF(L44="J_HARD",6,0)+IF(L44="J_COUNTER",Boss参数!$B$30,0))</f>
        <v>24</v>
      </c>
      <c r="CI44" s="1">
        <f>MIN(Boss参数!$I$4,AE44+IF(L44="J_HARD",6,0)+IF(L44="J_ULT",AD44,0)+IF(L44="J_COUNTER",Boss参数!$B$30,0))</f>
        <v>15</v>
      </c>
      <c r="CJ44" s="10">
        <f>IF(L44="J_ULT",AD44*Boss参数!$B$41,IF(B44&lt;=AG44,AF44,0))</f>
        <v>0.4</v>
      </c>
      <c r="CK44" s="1">
        <f t="shared" si="16"/>
        <v>5</v>
      </c>
      <c r="CL44" s="1">
        <f t="shared" si="17"/>
        <v>5</v>
      </c>
      <c r="CM44" s="1">
        <f t="shared" si="18"/>
        <v>4</v>
      </c>
      <c r="CN44" s="1">
        <f t="shared" si="19"/>
        <v>5</v>
      </c>
      <c r="CO44" s="1">
        <f t="shared" si="20"/>
        <v>4</v>
      </c>
      <c r="CP44" s="1">
        <f t="shared" si="21"/>
        <v>3</v>
      </c>
      <c r="CQ44" s="1">
        <f t="shared" si="22"/>
        <v>20</v>
      </c>
      <c r="CR44" s="1">
        <f t="shared" si="23"/>
        <v>4</v>
      </c>
      <c r="CS44" s="1">
        <f t="shared" si="24"/>
        <v>9</v>
      </c>
      <c r="CT44" s="10">
        <f t="shared" si="25"/>
        <v>0.12</v>
      </c>
      <c r="CU44" s="1">
        <f t="shared" si="26"/>
        <v>5</v>
      </c>
      <c r="CV44" s="10">
        <f t="shared" si="27"/>
        <v>0.3</v>
      </c>
      <c r="CW44" s="1">
        <f t="shared" si="28"/>
        <v>5</v>
      </c>
      <c r="CX44" s="10">
        <f t="shared" si="29"/>
        <v>0.3</v>
      </c>
      <c r="CY44" s="1">
        <f t="shared" si="30"/>
        <v>5</v>
      </c>
      <c r="CZ44" s="1"/>
      <c r="DA44" s="1"/>
      <c r="DB44" s="1"/>
      <c r="DC44" s="1"/>
      <c r="DD44" s="1"/>
      <c r="DE44" s="1"/>
      <c r="DF44" s="1"/>
      <c r="DG44" s="1" t="str">
        <f>IF(D44="","",行动模拟!B50)</f>
        <v>洞知</v>
      </c>
      <c r="DH44" s="1" t="str">
        <f>IF(L44="END_TURN","回合结束",IF(D44="","",IF(INDEX(回合状态!$C$7:$C$17,MATCH(DG44,回合状态!$A$7:$A$17,0))="洞穿","洞穿",IF(OR(L44="J_COUNTER",L44="BOSS_ACTION",L44="BOSS_CONSERVATIVE"),"敌方",IF(AND(L44="37_FOLLOW",DG44=DG43,DH43="敌方"),"敌方",IF(INDEX(回合状态!$C$7:$C$17,MATCH(DG44,回合状态!$A$7:$A$17,0))="普通","出牌",INDEX(回合状态!$C$7:$C$17,MATCH(DG44,回合状态!$A$7:$A$17,0))))))))</f>
        <v>洞穿</v>
      </c>
      <c r="DI44" s="1">
        <f t="shared" si="31"/>
        <v>0</v>
      </c>
      <c r="DJ44" s="1">
        <f>IF(D44="",0,MIN(Boss参数!$B$25,IF(OR(AND(DH44="敌方",OR(DH43&lt;&gt;"敌方",DG44&lt;&gt;DG43)),AND(L44="END_TURN",DH44&lt;&gt;"洞穿"),AND(DG44&lt;&gt;DG43,DH43&lt;&gt;"洞穿",L43&lt;&gt;"END_TURN",COUNTIFS($DG$3:DG43,DG43,$DH$3:DH43,"敌方")=0)),EW44,DN43)))</f>
        <v>0</v>
      </c>
      <c r="DK44" s="1">
        <f>IF(D44="",0,MIN(Boss参数!$B$25,IF(OR(AND(DH44="敌方",OR(DH43&lt;&gt;"敌方",DG44&lt;&gt;DG43)),AND(L44="END_TURN",DH44&lt;&gt;"洞穿"),AND(DG44&lt;&gt;DG43,DH43&lt;&gt;"洞穿",L43&lt;&gt;"END_TURN",COUNTIFS($DG$3:DG43,DG43,$DH$3:DH43,"敌方")=0)),EW44,DO43)))</f>
        <v>4</v>
      </c>
      <c r="DL44" s="1">
        <f>IF(D44="",0,MIN(Boss参数!$B$25,IF(OR(AND(DH44="敌方",OR(DH43&lt;&gt;"敌方",DG44&lt;&gt;DG43)),AND(L44="END_TURN",DH44&lt;&gt;"洞穿"),AND(DG44&lt;&gt;DG43,DH43&lt;&gt;"洞穿",L43&lt;&gt;"END_TURN",COUNTIFS($DG$3:DG43,DG43,$DH$3:DH43,"敌方")=0)),EW44,DP43)))</f>
        <v>5</v>
      </c>
      <c r="DM44" s="1">
        <f>IF(D44="",0,MIN(Boss参数!$B$25,IF(OR(AND(DH44="敌方",OR(DH43&lt;&gt;"敌方",DG44&lt;&gt;DG43)),AND(L44="END_TURN",DH44&lt;&gt;"洞穿"),AND(DG44&lt;&gt;DG43,DH43&lt;&gt;"洞穿",L43&lt;&gt;"END_TURN",COUNTIFS($DG$3:DG43,DG43,$DH$3:DH43,"敌方")=0)),EW44,DQ43)))</f>
        <v>5</v>
      </c>
      <c r="DN44" s="1">
        <f>MAX(0,MIN(Boss参数!$B$25,DJ44+DR44)-IF(E44="红弩箭",2*DR44,0))</f>
        <v>0</v>
      </c>
      <c r="DO44" s="1">
        <f>MAX(0,MIN(Boss参数!$B$25,DK44+DR44)-IF(E44="37",2*DR44,0))</f>
        <v>4</v>
      </c>
      <c r="DP44" s="1">
        <f>MAX(0,MIN(Boss参数!$B$25,DL44+DR44)-IF(E44="小瑞安侬",2*DR44,0))</f>
        <v>5</v>
      </c>
      <c r="DQ44" s="1">
        <f>MAX(0,MIN(Boss参数!$B$25,DM44+DR44)-IF(E44="J",2*DR44,0))</f>
        <v>5</v>
      </c>
      <c r="DR44" s="1">
        <f t="shared" si="32"/>
        <v>0</v>
      </c>
      <c r="DS44" s="1">
        <f t="shared" si="33"/>
        <v>1</v>
      </c>
      <c r="DT44" s="1">
        <f>IF(OR(E44="",E44="系统"),0,IF(OR(AND(DS44=1,Boss参数!$B$32=1),L44="RHI_BERRY",OR(AND(INDEX(角色面板!$B$18:$B$21,MATCH(E44,角色面板!$A$18:$A$21,0))="星",Boss参数!$B$4="岩"),AND(INDEX(角色面板!$B$18:$B$21,MATCH(E44,角色面板!$A$18:$A$21,0))="岩",Boss参数!$B$4="兽"),AND(INDEX(角色面板!$B$18:$B$21,MATCH(E44,角色面板!$A$18:$A$21,0))="兽",Boss参数!$B$4="木"),AND(INDEX(角色面板!$B$18:$B$21,MATCH(E44,角色面板!$A$18:$A$21,0))="木",Boss参数!$B$4="星"),AND(INDEX(角色面板!$B$18:$B$21,MATCH(E44,角色面板!$A$18:$A$21,0))="智",Boss参数!$B$4="灵"),AND(INDEX(角色面板!$B$18:$B$21,MATCH(E44,角色面板!$A$18:$A$21,0))="灵",Boss参数!$B$4="智"))),1,0))</f>
        <v>1</v>
      </c>
      <c r="DU44" s="1">
        <f>IF(D44="",0,INDEX(回合状态!$E$7:$E$17,MATCH(DG44,回合状态!$A$7:$A$17,0))+IF(AND(DH44="敌方",OR(INDEX(回合状态!$C$7:$C$17,MATCH(DG44,回合状态!$A$7:$A$17,0))="普通",INDEX(回合状态!$C$7:$C$17,MATCH(DG44,回合状态!$A$7:$A$17,0))="额外")),0.05,0))</f>
        <v>0.15000000000000002</v>
      </c>
      <c r="DV44" s="1">
        <f>MAX(Boss参数!$B$28,1+IF(AND(E44="37",AC44&gt;0,BH44&gt;0),Boss参数!$B$42,0)-DI44*Boss参数!$B$24+EA44-ER44)</f>
        <v>0.4</v>
      </c>
      <c r="DW44" s="1">
        <f>MIN(IF(Boss参数!$B$77=1,Boss参数!$B$63*Boss参数!$B$62,Boss参数!$B$61*Boss参数!$B$62),ROUNDDOWN(BQ44*(1-ES44),0))</f>
        <v>124403</v>
      </c>
      <c r="DX44" s="1">
        <f>MIN(IF(Boss参数!$B$77=1,Boss参数!$B$63*Boss参数!$B$62,Boss参数!$B$61*Boss参数!$B$62),ROUNDDOWN(BR44*(1-ES44),0))</f>
        <v>343976</v>
      </c>
      <c r="DY44" s="1">
        <f t="shared" si="65"/>
        <v>238</v>
      </c>
      <c r="DZ44" s="1">
        <f>IF(L44="RHI_ULT",MIN(Boss参数!$B$48,ROUNDDOWN(AY44*Boss参数!$B$47,0)),DY44)</f>
        <v>238</v>
      </c>
      <c r="EA44" s="11">
        <v>0</v>
      </c>
      <c r="EB44" s="1">
        <f t="shared" si="34"/>
        <v>0</v>
      </c>
      <c r="EC44" s="1">
        <f>SUMIFS($EB$3:EB44,$B$3:B44,"&gt;="&amp;MAX(1,B44-2),$B$3:B44,"&lt;="&amp;B44)*Boss参数!$B$51</f>
        <v>12</v>
      </c>
      <c r="ED44" s="1">
        <f>IF(D44="",EG43,IF(AND(DG44&lt;&gt;DG43,DH44&lt;&gt;"洞穿"),MIN(Boss参数!$B$55,EG43+2),EG43))</f>
        <v>0</v>
      </c>
      <c r="EE44" s="1">
        <f t="shared" si="35"/>
        <v>0</v>
      </c>
      <c r="EF44" s="1">
        <f>IF(AND(OR(L44="END_TURN",AND(DH44="敌方",OR(DH43&lt;&gt;"敌方",DG44&lt;&gt;DG43))),SUMIFS($EF$3:EF43,$DG$3:DG43,DG44)=0),MIN(1,MAX(0,ED44-EE44)),0)</f>
        <v>0</v>
      </c>
      <c r="EG44" s="1">
        <f t="shared" si="36"/>
        <v>0</v>
      </c>
      <c r="EH44" s="11">
        <f>Boss参数!$B$53-IF(Y44=1,Boss参数!$B$54,0)</f>
        <v>-0.4</v>
      </c>
      <c r="EI44" s="11">
        <f t="shared" si="37"/>
        <v>0.3</v>
      </c>
      <c r="EJ44" s="11">
        <f t="shared" si="38"/>
        <v>0.3</v>
      </c>
      <c r="EK44" s="11">
        <f t="shared" si="39"/>
        <v>2.04</v>
      </c>
      <c r="EL44" s="1">
        <f t="shared" si="66"/>
        <v>0</v>
      </c>
      <c r="EM44" s="1">
        <f>IF(AND(DG44&lt;&gt;DG43,DH44="洞穿"),0,IF(L44="ENTER_INSIGHT",Boss参数!$B$57,EO43))</f>
        <v>0</v>
      </c>
      <c r="EN44" s="11">
        <f>IF(AND(Y44=1,H44="洞知",EM44&gt;0),Boss参数!$B$56,0)</f>
        <v>0</v>
      </c>
      <c r="EO44" s="1">
        <f t="shared" si="40"/>
        <v>0</v>
      </c>
      <c r="EP44" s="12">
        <f t="shared" si="67"/>
        <v>6941394</v>
      </c>
      <c r="EQ44" s="12">
        <f>ROUNDDOWN(EP44/Boss参数!$B$62,0)</f>
        <v>69</v>
      </c>
      <c r="ER44" s="11">
        <f>IF(EQ44&gt;=Boss参数!$B$66,Boss参数!$B$69,IF(EQ44&gt;=Boss参数!$B$65,Boss参数!$B$68,IF(EQ44&gt;=Boss参数!$B$64,Boss参数!$B$67,0)))</f>
        <v>0.6</v>
      </c>
      <c r="ES44" s="11">
        <f>MIN(1,IF(EQ44&gt;=Boss参数!$B$66,Boss参数!$B$72+ROUNDDOWN((EQ44-Boss参数!$B$66)/Boss参数!$B$73,0)*Boss参数!$B$74,IF(EQ44&gt;=Boss参数!$B$65,Boss参数!$B$71,IF(EQ44&gt;=Boss参数!$B$64,Boss参数!$B$70,0))))</f>
        <v>0.4</v>
      </c>
      <c r="ET44" s="12">
        <f>MIN(Boss参数!$B$61*Boss参数!$B$62,EP44+IF(AND(Boss参数!$B$60=1,ISNUMBER(验证表!H50)),验证表!H50,EU44))</f>
        <v>7285370</v>
      </c>
      <c r="EU44" s="12">
        <f>IF(D44="",0,IF(验证表!G50="是",BV44,IF(验证表!G50="否",BU44,BW44)))</f>
        <v>343976</v>
      </c>
      <c r="EV44" s="12">
        <f>IF(EQ44&gt;=Boss参数!$B$66,2,IF(EQ44&gt;=Boss参数!$B$65,1,0))</f>
        <v>1</v>
      </c>
      <c r="EW44" s="12">
        <f t="shared" si="41"/>
        <v>2</v>
      </c>
      <c r="EX44" s="1">
        <f>IF(D44="",0,INDEX(回合状态!$D$7:$D$17,MATCH(DG44,回合状态!$A$7:$A$17,0)))</f>
        <v>4</v>
      </c>
      <c r="EY44" s="1">
        <f>IF(OR(L44="RHI_ATTACK",L44="RHI_BUFF"),1,IF(L44="RHI_ULT",Boss参数!$B$52,0))</f>
        <v>0</v>
      </c>
      <c r="EZ44" s="1">
        <f>MIN(6,SUMIFS($EY$3:EY44,$EX$3:EX44,"&gt;="&amp;MAX(1,EX44-Boss参数!$B$87+1),$EX$3:EX44,"&lt;="&amp;EX44))</f>
        <v>4</v>
      </c>
      <c r="FA44" s="1">
        <f t="shared" si="68"/>
        <v>24</v>
      </c>
      <c r="FB44" s="17">
        <f>IF(L44="BOSS_CONSERVATIVE",B44+Boss参数!$B$91,FB43)</f>
        <v>0</v>
      </c>
      <c r="FC44" s="17">
        <f t="shared" si="69"/>
        <v>0</v>
      </c>
      <c r="FD44" s="17">
        <f>IF(D44="",FD43,FD43+IF(AND(DG44&lt;&gt;DG43,INDEX(回合状态!$C$7:$C$17,MATCH(DG44,回合状态!$A$7:$A$17,0))&lt;&gt;"洞穿"),1,0))</f>
        <v>3</v>
      </c>
      <c r="FE44" s="17">
        <f>IF(D44="",0,IF(AND(OR(L44="END_TURN",DH44="敌方"),INDEX(回合状态!$C$7:$C$17,MATCH(DG44,回合状态!$A$7:$A$17,0))&lt;&gt;"洞穿",SUMIFS($FE$3:FE43,$DG$3:DG43,DG44)=0),1,0))</f>
        <v>0</v>
      </c>
    </row>
    <row r="45" spans="1:161" ht="84.95" customHeight="1">
      <c r="A45" s="1">
        <f>行动模拟!A51</f>
        <v>43</v>
      </c>
      <c r="B45" s="1">
        <f>IF(D45="",0,INDEX(回合状态!$B$7:$B$17,MATCH(DG45,回合状态!$A$7:$A$17,0)))</f>
        <v>3</v>
      </c>
      <c r="C45" s="1">
        <f>行动模拟!C51</f>
        <v>11</v>
      </c>
      <c r="D45" s="1" t="str">
        <f>IF(行动模拟!D51="","",行动模拟!D51)</f>
        <v>红弩箭｜洞知咒语</v>
      </c>
      <c r="E45" s="1" t="str">
        <f>IF($D45="","",IFERROR(INDEX(技能数据库!$B$4:$B$38,MATCH($D45,技能数据库!$A$4:$A$38,0)),""))</f>
        <v>红弩箭</v>
      </c>
      <c r="F45" s="1" t="str">
        <f>IF($D45="","",IFERROR(INDEX(技能数据库!$C$4:$C$38,MATCH($D45,技能数据库!$A$4:$A$38,0)),""))</f>
        <v>洞知咒语</v>
      </c>
      <c r="G45" s="1">
        <f>IF($D45="","",IFERROR(INDEX(技能数据库!$D$4:$D$38,MATCH($D45,技能数据库!$A$4:$A$38,0)),""))</f>
        <v>0</v>
      </c>
      <c r="H45" s="1" t="str">
        <f>IF($D45="","",IFERROR(INDEX(技能数据库!$E$4:$E$38,MATCH($D45,技能数据库!$A$4:$A$38,0)),""))</f>
        <v>洞知</v>
      </c>
      <c r="I45" s="1" t="str">
        <f>IF($D45="","",IFERROR(INDEX(技能数据库!$F$4:$F$38,MATCH($D45,技能数据库!$A$4:$A$38,0)),""))</f>
        <v>现实</v>
      </c>
      <c r="J45" s="1">
        <f>IF($D45="","",IFERROR(INDEX(技能数据库!$G$4:$G$38,MATCH($D45,技能数据库!$A$4:$A$38,0)),""))</f>
        <v>15</v>
      </c>
      <c r="K45" s="1">
        <f>IF($D45="","",IFERROR(INDEX(技能数据库!$H$4:$H$38,MATCH($D45,技能数据库!$A$4:$A$38,0)),""))</f>
        <v>0</v>
      </c>
      <c r="L45" s="1" t="str">
        <f>IF($D45="","",IFERROR(INDEX(技能数据库!$I$4:$I$38,MATCH($D45,技能数据库!$A$4:$A$38,0)),""))</f>
        <v>LILYA_INSIGHT</v>
      </c>
      <c r="M45" s="10">
        <v>1</v>
      </c>
      <c r="N45" s="1"/>
      <c r="O45" s="1"/>
      <c r="P45" s="1"/>
      <c r="Q45" s="10">
        <f t="shared" si="0"/>
        <v>0</v>
      </c>
      <c r="R45" s="10">
        <v>0</v>
      </c>
      <c r="S45" s="10">
        <v>0</v>
      </c>
      <c r="T45" s="1">
        <f>行动模拟!I51</f>
        <v>0</v>
      </c>
      <c r="U45" s="1">
        <f>IF(FD45&lt;&gt;FD44,IF(BY44=1,IF(MIN(10,CA44+IF(AND(DG45&lt;&gt;DG44,DH44&lt;&gt;"洞穿",SUMIFS($FE$3:FE44,$DG$3:DG44,DG44)=0,BY44=1),3,0))&gt;=10,2,1),IF(BY44=2,IF(BZ44&lt;=1,0,2),0)),BY44)</f>
        <v>2</v>
      </c>
      <c r="V45" s="1">
        <f>IF(FD45&lt;&gt;FD44,IF(BY44=1,IF(MIN(10,CA44+IF(AND(DG45&lt;&gt;DG44,DH44&lt;&gt;"洞穿",SUMIFS($FE$3:FE44,$DG$3:DG44,DG44)=0,BY44=1),3,0))&gt;=10,2,0),IF(BY44=2,MAX(0,BZ44-1),0)),BZ44)</f>
        <v>1</v>
      </c>
      <c r="W45" s="1">
        <f>IF(AND(FD45&lt;&gt;FD44,BY44=2,BZ44&lt;=1),0,MIN(10,CA44+IF(AND(DG45&lt;&gt;DG44,DH44&lt;&gt;"洞穿",SUMIFS($FE$3:FE44,$DG$3:DG44,DG44)=0,BY44=1),3,0)))</f>
        <v>10</v>
      </c>
      <c r="X45" s="1">
        <f t="shared" si="42"/>
        <v>7</v>
      </c>
      <c r="Y45" s="1">
        <f t="shared" si="43"/>
        <v>1</v>
      </c>
      <c r="Z45" s="1">
        <f t="shared" si="44"/>
        <v>9</v>
      </c>
      <c r="AA45" s="1">
        <f t="shared" si="45"/>
        <v>7</v>
      </c>
      <c r="AB45" s="1">
        <f t="shared" si="46"/>
        <v>10</v>
      </c>
      <c r="AC45" s="1">
        <f t="shared" si="47"/>
        <v>0</v>
      </c>
      <c r="AD45" s="1">
        <f t="shared" si="48"/>
        <v>24</v>
      </c>
      <c r="AE45" s="1">
        <f>IF(D45="",0,IF(DG45&lt;&gt;DG44,IFERROR(INDEX(回合状态!$F$7:$F$17,MATCH(DG45,回合状态!$A$7:$A$17,0)),0),CI44))</f>
        <v>15</v>
      </c>
      <c r="AF45" s="10">
        <f t="shared" si="49"/>
        <v>0.4</v>
      </c>
      <c r="AG45" s="1">
        <f t="shared" si="50"/>
        <v>5</v>
      </c>
      <c r="AH45" s="1">
        <f t="shared" si="51"/>
        <v>5</v>
      </c>
      <c r="AI45" s="1">
        <f t="shared" si="52"/>
        <v>4</v>
      </c>
      <c r="AJ45" s="1">
        <f t="shared" si="53"/>
        <v>5</v>
      </c>
      <c r="AK45" s="1">
        <f t="shared" si="54"/>
        <v>4</v>
      </c>
      <c r="AL45" s="1">
        <f t="shared" si="55"/>
        <v>3</v>
      </c>
      <c r="AM45" s="1">
        <f t="shared" si="56"/>
        <v>20</v>
      </c>
      <c r="AN45" s="1">
        <f t="shared" si="57"/>
        <v>4</v>
      </c>
      <c r="AO45" s="1">
        <f t="shared" si="58"/>
        <v>9</v>
      </c>
      <c r="AP45" s="10">
        <f t="shared" si="59"/>
        <v>0.12</v>
      </c>
      <c r="AQ45" s="1">
        <f t="shared" si="60"/>
        <v>5</v>
      </c>
      <c r="AR45" s="10">
        <f t="shared" si="61"/>
        <v>0.3</v>
      </c>
      <c r="AS45" s="1">
        <f t="shared" si="62"/>
        <v>5</v>
      </c>
      <c r="AT45" s="10">
        <f t="shared" si="63"/>
        <v>0.3</v>
      </c>
      <c r="AU45" s="1">
        <f t="shared" si="64"/>
        <v>5</v>
      </c>
      <c r="AV45" s="1">
        <f>MIN(5,SUMIFS($EL$3:EL45,$B$3:B45,"&gt;="&amp;MAX(1,B45-2),$B$3:B45,"&lt;="&amp;B45)+EC45)</f>
        <v>5</v>
      </c>
      <c r="AW45" s="1">
        <f>MIN(6,SUMIFS($EY$3:EY44,$EX$3:EX44,"&gt;="&amp;MAX(1,EX45-Boss参数!$B$87+1),$EX$3:EX44,"&lt;="&amp;EX45))</f>
        <v>4</v>
      </c>
      <c r="AX45" s="1">
        <f>MIN(4,COUNTIFS($B$3:$B$44,"&gt;="&amp;MAX(1,$B45-2),$B$3:$B$44,"&lt;="&amp;$B45,$L$3:$L$44,"37_FOLLOW"))</f>
        <v>4</v>
      </c>
      <c r="AY45" s="9">
        <f>IF($E45="","",IF($E45="系统",0,ROUNDDOWN(INDEX(角色面板!$C$4:$C$7,MATCH($E45,角色面板!$A$4:$A$7,0))*(1+INDEX(角色面板!$C$11:$C$14,MATCH($E45,角色面板!$A$11:$A$14,0))+IF($E45="小瑞安侬",MAX(IF($B45&lt;=$AQ45,$AP45,0),IF(AND($L45="RHI_ATTACK",$EE45&gt;0),0.11+0.01*$G45,0)),0)+IF($E45="J",$AD45*Boss参数!$B$18,0))+IF(FD45&lt;=$AN45,MIN(Boss参数!$B$21,ROUNDDOWN(角色面板!$C$19*Boss参数!$B$20,0)),0)+IF(AND($B45&lt;=$AK45,$E45&lt;&gt;"小瑞安侬"),$DY45,0),0)))</f>
        <v>3493</v>
      </c>
      <c r="AZ45" s="10">
        <f>IF($E45="","",MAX(0,MIN(1,IFERROR(INDEX(角色面板!$G$18:$G$21,MATCH($E45,角色面板!$A$18:$A$21,0)),0)-FC45*Boss参数!$B$89-Boss参数!$E$4)))</f>
        <v>1</v>
      </c>
      <c r="BA45" s="10">
        <f>IF(E45="","",(IF($E45="","",IF($E45="红弩箭",Boss参数!$B$80,IF($E45="J",Boss参数!$B$81,IFERROR(INDEX(角色面板!$H$18:$H$21,MATCH($E45,角色面板!$A$18:$A$21,0)),0)))+IF($B45&lt;=$AI45,Boss参数!$B$13,0)+MIN(30,$AM45)*Boss参数!$B$17+IF(AND($L45="LILYA_ULT",$X45&gt;=6),1,0)+IF(AND($Y45=1,$L45="LILYA_INSIGHT"),IF(MOD($AA45+1,3)=0,Boss参数!$B$83,Boss参数!$B$82),IF(AND($Y45=1,$L45="LILYA_FINISH"),Boss参数!$B$84,0))))-FC45*Boss参数!$B$90)</f>
        <v>2.8650000000000002</v>
      </c>
      <c r="BB45" s="10">
        <f>IF($E45="","",IFERROR(INDEX(角色面板!$M$18:$M$21,MATCH($E45,角色面板!$A$18:$A$21,0)),0)+$AW45*Boss参数!$B$12+IF($B45&lt;=$AG45,$AF45,0)+$EI45+IF($L45="LILYA_DIVE",IF($U45=1,IF($G45=1,0.3,IF($G45=2,0.4,0.5)),IF($U45=2,IF($G45=1,0.6,IF($G45=2,0.8,1)),0)),0)+$R45+IF(AND($E45="J",OR($L45="J_COUNTER",$L45="J_HARD")),Boss参数!$B$79,0)+IF(AND(OR(L45="J_COUNTER",L45="J_HARD"),FA45&gt;=Boss参数!$B$59),FA45*Boss参数!$B$40,0))</f>
        <v>1.02</v>
      </c>
      <c r="BC45" s="10">
        <f>IF($E45="","",IFERROR(INDEX(角色面板!$K$18:$K$21,MATCH($E45,角色面板!$A$18:$A$21,0)),0)+IF($B45&lt;=$AH45,Boss参数!$B$46,0)+IF($E45="红弩箭",IF($U45=1,0.6,IF($U45=2,1.2,0))+$W45*0.06,0))-DI45*Boss参数!$B$23</f>
        <v>1.6999999999999997</v>
      </c>
      <c r="BD45" s="10">
        <f>IF($E45="","",IFERROR(INDEX(角色面板!$L$18:$L$21,MATCH($E45,角色面板!$A$18:$A$21,0)),0)+IF($B45&lt;=$AH45,Boss参数!$B$46,0)+IF($E45="J",$AL45*Boss参数!$B$16,0)+IF($E45="红弩箭",$X45*0.025,0)+IF(AND($L45="LILYA_ULT",$X45&gt;=6),1,0))-DI45*Boss参数!$B$23</f>
        <v>0.47499999999999998</v>
      </c>
      <c r="BE45" s="10">
        <f>IF($E45="","",IF($H45="洞知",IF($E45="红弩箭",$AO45*Boss参数!$B$15,0)+$AX45*Boss参数!$B$14,0))</f>
        <v>0.70000000000000007</v>
      </c>
      <c r="BF45" s="10">
        <f t="shared" si="1"/>
        <v>0</v>
      </c>
      <c r="BG45" s="10">
        <f>IF($D45="",0,IF(AND($L45&lt;&gt;"LILYA_DIVE",$L45&lt;&gt;"LILYA_ULT",$L45&lt;&gt;"LILYA_INSIGHT",$L45&lt;&gt;"LILYA_FINISH",$L45&lt;&gt;"37_FOLLOW",$L45&lt;&gt;"RHI_ATTACK",$L45&lt;&gt;"RHI_BERRY",$L45&lt;&gt;"J_COUNTER",$L45&lt;&gt;"J_ULT"),$J45,0)+IF($L45="LILYA_DIVE",$J45+IF($U45=1,IF($G45=1,6,IF($G45=2,12,18)),IF($U45=2,IF($G45=1,12,IF($G45=2,24,36)),0)),0)+IF($L45="LILYA_ULT",$J45+IF($X45&gt;=6,18,0),0)+IF($L45="LILYA_INSIGHT",IF($Y45=1,IF(MOD($AA45+1,3)=0,32,15),0),0)+IF($L45="LILYA_FINISH",IF($Y45=1,50+2.5*$Z45,0),0)+IF($L45="37_FOLLOW",$J45,0)+IF($L45="RHI_ATTACK",$J45*IF($B45&lt;=$AJ45,2,1),0)+IF($L45="RHI_BERRY",15+1.5*$AV45,0)+IF($L45="J_COUNTER",$J45+$AD45*Boss参数!$B$39,0)+IF($L45="J_ULT",$J45+Boss参数!$B$45*MAX(0,$AE45+$AD45-Boss参数!$I$4),0)+$S45)</f>
        <v>15</v>
      </c>
      <c r="BH45" s="10">
        <f t="shared" si="2"/>
        <v>0</v>
      </c>
      <c r="BI45" s="10">
        <f>IF(E45="","",IF(DT45=1,1+Boss参数!$B$8+AV45*Boss参数!$B$19,1))</f>
        <v>1.5</v>
      </c>
      <c r="BJ45" s="9">
        <f>IF($I45="现实",Boss参数!$C$4,IF($I45="精神",Boss参数!$D$4,0))</f>
        <v>1200</v>
      </c>
      <c r="BK45" s="9">
        <f>IF($E45="","",MAX($AY45*Boss参数!$B$9,$AY45-$BJ45*(1-$BF45)))</f>
        <v>2293</v>
      </c>
      <c r="BL45" s="10">
        <f>MAX(0,Boss参数!$F$4+IF(DT45=0,Boss参数!$B$27,0)-EJ45)</f>
        <v>0.10000000000000003</v>
      </c>
      <c r="BM45" s="10">
        <f>Boss参数!$G$4+DU45-IF(Y45=1,Boss参数!$B$11,0)</f>
        <v>0.15000000000000002</v>
      </c>
      <c r="BN45" s="10">
        <f>IF($E45="","",MAX(Boss参数!$B$10,1+IFERROR(INDEX(角色面板!$I$18:$I$21,MATCH($E45,角色面板!$A$18:$A$21,0)),0)+$BB45+Boss参数!$H$4-$BM45))</f>
        <v>1.9700000000000002</v>
      </c>
      <c r="BO45" s="10">
        <f>IF(E45="","",IF(OR(L45="J_COUNTER",L45="J_HARD"),MAX(0,1+INDEX(角色面板!$K$18:$K$21,MATCH(E45,角色面板!$A$18:$A$21,0))-DI45*Boss参数!$B$23+IF(OR(Boss参数!$B$43=1,L45="J_HARD"),IF(B45&lt;=AH45,Boss参数!$B$46,0),0)),MAX(0,IF(OR(H45="术法",L45="RHI_BERRY",AND(L45="37_FOLLOW",Boss参数!$B$31=1)),1+BC45,IF(H45="仪式",1+BD45,IF(H45="洞知",EK45,1))))))</f>
        <v>2.1</v>
      </c>
      <c r="BP45" s="10">
        <f t="shared" si="3"/>
        <v>2.7650000000000001</v>
      </c>
      <c r="BQ45" s="1">
        <f t="shared" si="4"/>
        <v>213438.17250000004</v>
      </c>
      <c r="BR45" s="1">
        <f t="shared" si="5"/>
        <v>590156.5469625002</v>
      </c>
      <c r="BS45" s="1">
        <f>IF(BH45=0,0,ROUNDDOWN(AY45*BH45,0)*DV45*IF(Boss参数!$B$29=1,BN45,1)*IF(Boss参数!$B$33=1,BO45,1)*IF(Boss参数!$B$76=1,1-ES45,1))</f>
        <v>0</v>
      </c>
      <c r="BT45" s="1">
        <f t="shared" si="6"/>
        <v>0</v>
      </c>
      <c r="BU45" s="9">
        <f>IF(D45="",0,MIN(IF(Boss参数!$B$77=1,Boss参数!$B$63*Boss参数!$B$62,Boss参数!$B$61*Boss参数!$B$62),DW45+ROUNDDOWN(BS45,0)+ROUNDDOWN(DW45*Q45,0)))</f>
        <v>128062</v>
      </c>
      <c r="BV45" s="9">
        <f>IF(D45="",0,MIN(IF(Boss参数!$B$77=1,Boss参数!$B$63*Boss参数!$B$62,Boss参数!$B$61*Boss参数!$B$62),DX45+ROUNDDOWN(BT45,0)+ROUNDDOWN(DX45*Q45,0)))</f>
        <v>354093</v>
      </c>
      <c r="BW45" s="9">
        <f t="shared" si="7"/>
        <v>354093</v>
      </c>
      <c r="BX45" s="1" t="str">
        <f t="shared" si="8"/>
        <v/>
      </c>
      <c r="BY45" s="1">
        <f t="shared" si="9"/>
        <v>2</v>
      </c>
      <c r="BZ45" s="1">
        <f t="shared" si="10"/>
        <v>1</v>
      </c>
      <c r="CA45" s="1">
        <f>MIN(10,W45+IF(AND(L45="LILYA_COBRA",COUNTIF($L$3:L45,"LILYA_COBRA")=1),5,0)+IF(AND(L45="LILYA_DIVE",U45=1,COUNTIFS($DG$3:DG45,DG45,$L$3:L45,"LILYA_DIVE")=1),2,0)+IF(AND(FE45=1,U45=1),3,0))</f>
        <v>10</v>
      </c>
      <c r="CB45" s="1">
        <f>MIN(20,MAX(0,X45+IF(L45="LILYA_COBRA",IF(COUNTIF($L$3:L45,"LILYA_COBRA")=1,6,IF(U45=1,MAX(1,G45),IF(U45=2,2*MAX(1,G45),0))),0)+IF(AND(Y45=1,E45="红弩箭",L45&lt;&gt;"ENTER_INSIGHT"),1,0)-IF(AND(L45="LILYA_ULT",X45&gt;=6),6,0)))</f>
        <v>8</v>
      </c>
      <c r="CC45" s="1">
        <f t="shared" si="11"/>
        <v>1</v>
      </c>
      <c r="CD45" s="1">
        <f t="shared" si="12"/>
        <v>10</v>
      </c>
      <c r="CE45" s="1">
        <f t="shared" si="13"/>
        <v>8</v>
      </c>
      <c r="CF45" s="1">
        <f t="shared" si="14"/>
        <v>10</v>
      </c>
      <c r="CG45" s="1">
        <f t="shared" si="15"/>
        <v>0</v>
      </c>
      <c r="CH45" s="1">
        <f>MIN(35,AD45+IF(L45="J_HARD",6,0)+IF(L45="J_COUNTER",Boss参数!$B$30,0))</f>
        <v>24</v>
      </c>
      <c r="CI45" s="1">
        <f>MIN(Boss参数!$I$4,AE45+IF(L45="J_HARD",6,0)+IF(L45="J_ULT",AD45,0)+IF(L45="J_COUNTER",Boss参数!$B$30,0))</f>
        <v>15</v>
      </c>
      <c r="CJ45" s="10">
        <f>IF(L45="J_ULT",AD45*Boss参数!$B$41,IF(B45&lt;=AG45,AF45,0))</f>
        <v>0.4</v>
      </c>
      <c r="CK45" s="1">
        <f t="shared" si="16"/>
        <v>5</v>
      </c>
      <c r="CL45" s="1">
        <f t="shared" si="17"/>
        <v>5</v>
      </c>
      <c r="CM45" s="1">
        <f t="shared" si="18"/>
        <v>4</v>
      </c>
      <c r="CN45" s="1">
        <f t="shared" si="19"/>
        <v>5</v>
      </c>
      <c r="CO45" s="1">
        <f t="shared" si="20"/>
        <v>4</v>
      </c>
      <c r="CP45" s="1">
        <f t="shared" si="21"/>
        <v>3</v>
      </c>
      <c r="CQ45" s="1">
        <f t="shared" si="22"/>
        <v>20</v>
      </c>
      <c r="CR45" s="1">
        <f t="shared" si="23"/>
        <v>4</v>
      </c>
      <c r="CS45" s="1">
        <f t="shared" si="24"/>
        <v>10</v>
      </c>
      <c r="CT45" s="10">
        <f t="shared" si="25"/>
        <v>0.12</v>
      </c>
      <c r="CU45" s="1">
        <f t="shared" si="26"/>
        <v>5</v>
      </c>
      <c r="CV45" s="10">
        <f t="shared" si="27"/>
        <v>0.3</v>
      </c>
      <c r="CW45" s="1">
        <f t="shared" si="28"/>
        <v>5</v>
      </c>
      <c r="CX45" s="10">
        <f t="shared" si="29"/>
        <v>0.3</v>
      </c>
      <c r="CY45" s="1">
        <f t="shared" si="30"/>
        <v>5</v>
      </c>
      <c r="CZ45" s="1"/>
      <c r="DA45" s="1"/>
      <c r="DB45" s="1"/>
      <c r="DC45" s="1"/>
      <c r="DD45" s="1"/>
      <c r="DE45" s="1"/>
      <c r="DF45" s="1"/>
      <c r="DG45" s="1" t="str">
        <f>IF(D45="","",行动模拟!B51)</f>
        <v>洞知</v>
      </c>
      <c r="DH45" s="1" t="str">
        <f>IF(L45="END_TURN","回合结束",IF(D45="","",IF(INDEX(回合状态!$C$7:$C$17,MATCH(DG45,回合状态!$A$7:$A$17,0))="洞穿","洞穿",IF(OR(L45="J_COUNTER",L45="BOSS_ACTION",L45="BOSS_CONSERVATIVE"),"敌方",IF(AND(L45="37_FOLLOW",DG45=DG44,DH44="敌方"),"敌方",IF(INDEX(回合状态!$C$7:$C$17,MATCH(DG45,回合状态!$A$7:$A$17,0))="普通","出牌",INDEX(回合状态!$C$7:$C$17,MATCH(DG45,回合状态!$A$7:$A$17,0))))))))</f>
        <v>洞穿</v>
      </c>
      <c r="DI45" s="1">
        <f t="shared" si="31"/>
        <v>0</v>
      </c>
      <c r="DJ45" s="1">
        <f>IF(D45="",0,MIN(Boss参数!$B$25,IF(OR(AND(DH45="敌方",OR(DH44&lt;&gt;"敌方",DG45&lt;&gt;DG44)),AND(L45="END_TURN",DH45&lt;&gt;"洞穿"),AND(DG45&lt;&gt;DG44,DH44&lt;&gt;"洞穿",L44&lt;&gt;"END_TURN",COUNTIFS($DG$3:DG44,DG44,$DH$3:DH44,"敌方")=0)),EW45,DN44)))</f>
        <v>0</v>
      </c>
      <c r="DK45" s="1">
        <f>IF(D45="",0,MIN(Boss参数!$B$25,IF(OR(AND(DH45="敌方",OR(DH44&lt;&gt;"敌方",DG45&lt;&gt;DG44)),AND(L45="END_TURN",DH45&lt;&gt;"洞穿"),AND(DG45&lt;&gt;DG44,DH44&lt;&gt;"洞穿",L44&lt;&gt;"END_TURN",COUNTIFS($DG$3:DG44,DG44,$DH$3:DH44,"敌方")=0)),EW45,DO44)))</f>
        <v>4</v>
      </c>
      <c r="DL45" s="1">
        <f>IF(D45="",0,MIN(Boss参数!$B$25,IF(OR(AND(DH45="敌方",OR(DH44&lt;&gt;"敌方",DG45&lt;&gt;DG44)),AND(L45="END_TURN",DH45&lt;&gt;"洞穿"),AND(DG45&lt;&gt;DG44,DH44&lt;&gt;"洞穿",L44&lt;&gt;"END_TURN",COUNTIFS($DG$3:DG44,DG44,$DH$3:DH44,"敌方")=0)),EW45,DP44)))</f>
        <v>5</v>
      </c>
      <c r="DM45" s="1">
        <f>IF(D45="",0,MIN(Boss参数!$B$25,IF(OR(AND(DH45="敌方",OR(DH44&lt;&gt;"敌方",DG45&lt;&gt;DG44)),AND(L45="END_TURN",DH45&lt;&gt;"洞穿"),AND(DG45&lt;&gt;DG44,DH44&lt;&gt;"洞穿",L44&lt;&gt;"END_TURN",COUNTIFS($DG$3:DG44,DG44,$DH$3:DH44,"敌方")=0)),EW45,DQ44)))</f>
        <v>5</v>
      </c>
      <c r="DN45" s="1">
        <f>MAX(0,MIN(Boss参数!$B$25,DJ45+DR45)-IF(E45="红弩箭",2*DR45,0))</f>
        <v>0</v>
      </c>
      <c r="DO45" s="1">
        <f>MAX(0,MIN(Boss参数!$B$25,DK45+DR45)-IF(E45="37",2*DR45,0))</f>
        <v>4</v>
      </c>
      <c r="DP45" s="1">
        <f>MAX(0,MIN(Boss参数!$B$25,DL45+DR45)-IF(E45="小瑞安侬",2*DR45,0))</f>
        <v>5</v>
      </c>
      <c r="DQ45" s="1">
        <f>MAX(0,MIN(Boss参数!$B$25,DM45+DR45)-IF(E45="J",2*DR45,0))</f>
        <v>5</v>
      </c>
      <c r="DR45" s="1">
        <f t="shared" si="32"/>
        <v>0</v>
      </c>
      <c r="DS45" s="1">
        <f t="shared" si="33"/>
        <v>1</v>
      </c>
      <c r="DT45" s="1">
        <f>IF(OR(E45="",E45="系统"),0,IF(OR(AND(DS45=1,Boss参数!$B$32=1),L45="RHI_BERRY",OR(AND(INDEX(角色面板!$B$18:$B$21,MATCH(E45,角色面板!$A$18:$A$21,0))="星",Boss参数!$B$4="岩"),AND(INDEX(角色面板!$B$18:$B$21,MATCH(E45,角色面板!$A$18:$A$21,0))="岩",Boss参数!$B$4="兽"),AND(INDEX(角色面板!$B$18:$B$21,MATCH(E45,角色面板!$A$18:$A$21,0))="兽",Boss参数!$B$4="木"),AND(INDEX(角色面板!$B$18:$B$21,MATCH(E45,角色面板!$A$18:$A$21,0))="木",Boss参数!$B$4="星"),AND(INDEX(角色面板!$B$18:$B$21,MATCH(E45,角色面板!$A$18:$A$21,0))="智",Boss参数!$B$4="灵"),AND(INDEX(角色面板!$B$18:$B$21,MATCH(E45,角色面板!$A$18:$A$21,0))="灵",Boss参数!$B$4="智"))),1,0))</f>
        <v>1</v>
      </c>
      <c r="DU45" s="1">
        <f>IF(D45="",0,INDEX(回合状态!$E$7:$E$17,MATCH(DG45,回合状态!$A$7:$A$17,0))+IF(AND(DH45="敌方",OR(INDEX(回合状态!$C$7:$C$17,MATCH(DG45,回合状态!$A$7:$A$17,0))="普通",INDEX(回合状态!$C$7:$C$17,MATCH(DG45,回合状态!$A$7:$A$17,0))="额外")),0.05,0))</f>
        <v>0.15000000000000002</v>
      </c>
      <c r="DV45" s="1">
        <f>MAX(Boss参数!$B$28,1+IF(AND(E45="37",AC45&gt;0,BH45&gt;0),Boss参数!$B$42,0)-DI45*Boss参数!$B$24+EA45-ER45)</f>
        <v>0.4</v>
      </c>
      <c r="DW45" s="1">
        <f>MIN(IF(Boss参数!$B$77=1,Boss参数!$B$63*Boss参数!$B$62,Boss参数!$B$61*Boss参数!$B$62),ROUNDDOWN(BQ45*(1-ES45),0))</f>
        <v>128062</v>
      </c>
      <c r="DX45" s="1">
        <f>MIN(IF(Boss参数!$B$77=1,Boss参数!$B$63*Boss参数!$B$62,Boss参数!$B$61*Boss参数!$B$62),ROUNDDOWN(BR45*(1-ES45),0))</f>
        <v>354093</v>
      </c>
      <c r="DY45" s="1">
        <f t="shared" si="65"/>
        <v>238</v>
      </c>
      <c r="DZ45" s="1">
        <f>IF(L45="RHI_ULT",MIN(Boss参数!$B$48,ROUNDDOWN(AY45*Boss参数!$B$47,0)),DY45)</f>
        <v>238</v>
      </c>
      <c r="EA45" s="11">
        <v>0</v>
      </c>
      <c r="EB45" s="1">
        <f t="shared" si="34"/>
        <v>0</v>
      </c>
      <c r="EC45" s="1">
        <f>SUMIFS($EB$3:EB45,$B$3:B45,"&gt;="&amp;MAX(1,B45-2),$B$3:B45,"&lt;="&amp;B45)*Boss参数!$B$51</f>
        <v>12</v>
      </c>
      <c r="ED45" s="1">
        <f>IF(D45="",EG44,IF(AND(DG45&lt;&gt;DG44,DH45&lt;&gt;"洞穿"),MIN(Boss参数!$B$55,EG44+2),EG44))</f>
        <v>0</v>
      </c>
      <c r="EE45" s="1">
        <f t="shared" si="35"/>
        <v>0</v>
      </c>
      <c r="EF45" s="1">
        <f>IF(AND(OR(L45="END_TURN",AND(DH45="敌方",OR(DH44&lt;&gt;"敌方",DG45&lt;&gt;DG44))),SUMIFS($EF$3:EF44,$DG$3:DG44,DG45)=0),MIN(1,MAX(0,ED45-EE45)),0)</f>
        <v>0</v>
      </c>
      <c r="EG45" s="1">
        <f t="shared" si="36"/>
        <v>0</v>
      </c>
      <c r="EH45" s="11">
        <f>Boss参数!$B$53-IF(Y45=1,Boss参数!$B$54,0)</f>
        <v>-0.4</v>
      </c>
      <c r="EI45" s="11">
        <f t="shared" si="37"/>
        <v>0.3</v>
      </c>
      <c r="EJ45" s="11">
        <f t="shared" si="38"/>
        <v>0.3</v>
      </c>
      <c r="EK45" s="11">
        <f t="shared" si="39"/>
        <v>2.1</v>
      </c>
      <c r="EL45" s="1">
        <f t="shared" si="66"/>
        <v>0</v>
      </c>
      <c r="EM45" s="1">
        <f>IF(AND(DG45&lt;&gt;DG44,DH45="洞穿"),0,IF(L45="ENTER_INSIGHT",Boss参数!$B$57,EO44))</f>
        <v>0</v>
      </c>
      <c r="EN45" s="11">
        <f>IF(AND(Y45=1,H45="洞知",EM45&gt;0),Boss参数!$B$56,0)</f>
        <v>0</v>
      </c>
      <c r="EO45" s="1">
        <f t="shared" si="40"/>
        <v>0</v>
      </c>
      <c r="EP45" s="12">
        <f t="shared" si="67"/>
        <v>7285370</v>
      </c>
      <c r="EQ45" s="12">
        <f>ROUNDDOWN(EP45/Boss参数!$B$62,0)</f>
        <v>72</v>
      </c>
      <c r="ER45" s="11">
        <f>IF(EQ45&gt;=Boss参数!$B$66,Boss参数!$B$69,IF(EQ45&gt;=Boss参数!$B$65,Boss参数!$B$68,IF(EQ45&gt;=Boss参数!$B$64,Boss参数!$B$67,0)))</f>
        <v>0.6</v>
      </c>
      <c r="ES45" s="11">
        <f>MIN(1,IF(EQ45&gt;=Boss参数!$B$66,Boss参数!$B$72+ROUNDDOWN((EQ45-Boss参数!$B$66)/Boss参数!$B$73,0)*Boss参数!$B$74,IF(EQ45&gt;=Boss参数!$B$65,Boss参数!$B$71,IF(EQ45&gt;=Boss参数!$B$64,Boss参数!$B$70,0))))</f>
        <v>0.4</v>
      </c>
      <c r="ET45" s="12">
        <f>MIN(Boss参数!$B$61*Boss参数!$B$62,EP45+IF(AND(Boss参数!$B$60=1,ISNUMBER(验证表!H51)),验证表!H51,EU45))</f>
        <v>7639463</v>
      </c>
      <c r="EU45" s="12">
        <f>IF(D45="",0,IF(验证表!G51="是",BV45,IF(验证表!G51="否",BU45,BW45)))</f>
        <v>354093</v>
      </c>
      <c r="EV45" s="12">
        <f>IF(EQ45&gt;=Boss参数!$B$66,2,IF(EQ45&gt;=Boss参数!$B$65,1,0))</f>
        <v>1</v>
      </c>
      <c r="EW45" s="12">
        <f t="shared" si="41"/>
        <v>2</v>
      </c>
      <c r="EX45" s="1">
        <f>IF(D45="",0,INDEX(回合状态!$D$7:$D$17,MATCH(DG45,回合状态!$A$7:$A$17,0)))</f>
        <v>4</v>
      </c>
      <c r="EY45" s="1">
        <f>IF(OR(L45="RHI_ATTACK",L45="RHI_BUFF"),1,IF(L45="RHI_ULT",Boss参数!$B$52,0))</f>
        <v>0</v>
      </c>
      <c r="EZ45" s="1">
        <f>MIN(6,SUMIFS($EY$3:EY45,$EX$3:EX45,"&gt;="&amp;MAX(1,EX45-Boss参数!$B$87+1),$EX$3:EX45,"&lt;="&amp;EX45))</f>
        <v>4</v>
      </c>
      <c r="FA45" s="1">
        <f t="shared" si="68"/>
        <v>24</v>
      </c>
      <c r="FB45" s="17">
        <f>IF(L45="BOSS_CONSERVATIVE",B45+Boss参数!$B$91,FB44)</f>
        <v>0</v>
      </c>
      <c r="FC45" s="17">
        <f t="shared" si="69"/>
        <v>0</v>
      </c>
      <c r="FD45" s="17">
        <f>IF(D45="",FD44,FD44+IF(AND(DG45&lt;&gt;DG44,INDEX(回合状态!$C$7:$C$17,MATCH(DG45,回合状态!$A$7:$A$17,0))&lt;&gt;"洞穿"),1,0))</f>
        <v>3</v>
      </c>
      <c r="FE45" s="17">
        <f>IF(D45="",0,IF(AND(OR(L45="END_TURN",DH45="敌方"),INDEX(回合状态!$C$7:$C$17,MATCH(DG45,回合状态!$A$7:$A$17,0))&lt;&gt;"洞穿",SUMIFS($FE$3:FE44,$DG$3:DG44,DG45)=0),1,0))</f>
        <v>0</v>
      </c>
    </row>
    <row r="46" spans="1:161" ht="84.95" customHeight="1">
      <c r="A46" s="1">
        <f>行动模拟!A52</f>
        <v>44</v>
      </c>
      <c r="B46" s="1">
        <f>IF(D46="",0,INDEX(回合状态!$B$7:$B$17,MATCH(DG46,回合状态!$A$7:$A$17,0)))</f>
        <v>3</v>
      </c>
      <c r="C46" s="1">
        <f>行动模拟!C52</f>
        <v>12</v>
      </c>
      <c r="D46" s="1" t="str">
        <f>IF(行动模拟!D52="","",行动模拟!D52)</f>
        <v>37｜洞知咒语</v>
      </c>
      <c r="E46" s="1" t="str">
        <f>IF($D46="","",IFERROR(INDEX(技能数据库!$B$4:$B$38,MATCH($D46,技能数据库!$A$4:$A$38,0)),""))</f>
        <v>37</v>
      </c>
      <c r="F46" s="1" t="str">
        <f>IF($D46="","",IFERROR(INDEX(技能数据库!$C$4:$C$38,MATCH($D46,技能数据库!$A$4:$A$38,0)),""))</f>
        <v>洞知咒语</v>
      </c>
      <c r="G46" s="1">
        <f>IF($D46="","",IFERROR(INDEX(技能数据库!$D$4:$D$38,MATCH($D46,技能数据库!$A$4:$A$38,0)),""))</f>
        <v>0</v>
      </c>
      <c r="H46" s="1" t="str">
        <f>IF($D46="","",IFERROR(INDEX(技能数据库!$E$4:$E$38,MATCH($D46,技能数据库!$A$4:$A$38,0)),""))</f>
        <v>洞知</v>
      </c>
      <c r="I46" s="1" t="str">
        <f>IF($D46="","",IFERROR(INDEX(技能数据库!$F$4:$F$38,MATCH($D46,技能数据库!$A$4:$A$38,0)),""))</f>
        <v>精神</v>
      </c>
      <c r="J46" s="1">
        <f>IF($D46="","",IFERROR(INDEX(技能数据库!$G$4:$G$38,MATCH($D46,技能数据库!$A$4:$A$38,0)),""))</f>
        <v>8</v>
      </c>
      <c r="K46" s="1">
        <f>IF($D46="","",IFERROR(INDEX(技能数据库!$H$4:$H$38,MATCH($D46,技能数据库!$A$4:$A$38,0)),""))</f>
        <v>0</v>
      </c>
      <c r="L46" s="1" t="str">
        <f>IF($D46="","",IFERROR(INDEX(技能数据库!$I$4:$I$38,MATCH($D46,技能数据库!$A$4:$A$38,0)),""))</f>
        <v>37_INSIGHT</v>
      </c>
      <c r="M46" s="10">
        <v>1</v>
      </c>
      <c r="N46" s="1"/>
      <c r="O46" s="1"/>
      <c r="P46" s="1"/>
      <c r="Q46" s="10">
        <f t="shared" si="0"/>
        <v>0</v>
      </c>
      <c r="R46" s="10">
        <v>0</v>
      </c>
      <c r="S46" s="10">
        <v>0</v>
      </c>
      <c r="T46" s="1">
        <f>行动模拟!I52</f>
        <v>0</v>
      </c>
      <c r="U46" s="1">
        <f>IF(FD46&lt;&gt;FD45,IF(BY45=1,IF(MIN(10,CA45+IF(AND(DG46&lt;&gt;DG45,DH45&lt;&gt;"洞穿",SUMIFS($FE$3:FE45,$DG$3:DG45,DG45)=0,BY45=1),3,0))&gt;=10,2,1),IF(BY45=2,IF(BZ45&lt;=1,0,2),0)),BY45)</f>
        <v>2</v>
      </c>
      <c r="V46" s="1">
        <f>IF(FD46&lt;&gt;FD45,IF(BY45=1,IF(MIN(10,CA45+IF(AND(DG46&lt;&gt;DG45,DH45&lt;&gt;"洞穿",SUMIFS($FE$3:FE45,$DG$3:DG45,DG45)=0,BY45=1),3,0))&gt;=10,2,0),IF(BY45=2,MAX(0,BZ45-1),0)),BZ45)</f>
        <v>1</v>
      </c>
      <c r="W46" s="1">
        <f>IF(AND(FD46&lt;&gt;FD45,BY45=2,BZ45&lt;=1),0,MIN(10,CA45+IF(AND(DG46&lt;&gt;DG45,DH45&lt;&gt;"洞穿",SUMIFS($FE$3:FE45,$DG$3:DG45,DG45)=0,BY45=1),3,0)))</f>
        <v>10</v>
      </c>
      <c r="X46" s="1">
        <f t="shared" si="42"/>
        <v>8</v>
      </c>
      <c r="Y46" s="1">
        <f t="shared" si="43"/>
        <v>1</v>
      </c>
      <c r="Z46" s="1">
        <f t="shared" si="44"/>
        <v>10</v>
      </c>
      <c r="AA46" s="1">
        <f t="shared" si="45"/>
        <v>8</v>
      </c>
      <c r="AB46" s="1">
        <f t="shared" si="46"/>
        <v>10</v>
      </c>
      <c r="AC46" s="1">
        <f t="shared" si="47"/>
        <v>0</v>
      </c>
      <c r="AD46" s="1">
        <f t="shared" si="48"/>
        <v>24</v>
      </c>
      <c r="AE46" s="1">
        <f>IF(D46="",0,IF(DG46&lt;&gt;DG45,IFERROR(INDEX(回合状态!$F$7:$F$17,MATCH(DG46,回合状态!$A$7:$A$17,0)),0),CI45))</f>
        <v>15</v>
      </c>
      <c r="AF46" s="10">
        <f t="shared" si="49"/>
        <v>0.4</v>
      </c>
      <c r="AG46" s="1">
        <f t="shared" si="50"/>
        <v>5</v>
      </c>
      <c r="AH46" s="1">
        <f t="shared" si="51"/>
        <v>5</v>
      </c>
      <c r="AI46" s="1">
        <f t="shared" si="52"/>
        <v>4</v>
      </c>
      <c r="AJ46" s="1">
        <f t="shared" si="53"/>
        <v>5</v>
      </c>
      <c r="AK46" s="1">
        <f t="shared" si="54"/>
        <v>4</v>
      </c>
      <c r="AL46" s="1">
        <f t="shared" si="55"/>
        <v>3</v>
      </c>
      <c r="AM46" s="1">
        <f t="shared" si="56"/>
        <v>20</v>
      </c>
      <c r="AN46" s="1">
        <f t="shared" si="57"/>
        <v>4</v>
      </c>
      <c r="AO46" s="1">
        <f t="shared" si="58"/>
        <v>10</v>
      </c>
      <c r="AP46" s="10">
        <f t="shared" si="59"/>
        <v>0.12</v>
      </c>
      <c r="AQ46" s="1">
        <f t="shared" si="60"/>
        <v>5</v>
      </c>
      <c r="AR46" s="10">
        <f t="shared" si="61"/>
        <v>0.3</v>
      </c>
      <c r="AS46" s="1">
        <f t="shared" si="62"/>
        <v>5</v>
      </c>
      <c r="AT46" s="10">
        <f t="shared" si="63"/>
        <v>0.3</v>
      </c>
      <c r="AU46" s="1">
        <f t="shared" si="64"/>
        <v>5</v>
      </c>
      <c r="AV46" s="1">
        <f>MIN(5,SUMIFS($EL$3:EL46,$B$3:B46,"&gt;="&amp;MAX(1,B46-2),$B$3:B46,"&lt;="&amp;B46)+EC46)</f>
        <v>5</v>
      </c>
      <c r="AW46" s="1">
        <f>MIN(6,SUMIFS($EY$3:EY45,$EX$3:EX45,"&gt;="&amp;MAX(1,EX46-Boss参数!$B$87+1),$EX$3:EX45,"&lt;="&amp;EX46))</f>
        <v>4</v>
      </c>
      <c r="AX46" s="1">
        <f>MIN(4,COUNTIFS($B$3:$B$45,"&gt;="&amp;MAX(1,$B46-2),$B$3:$B$45,"&lt;="&amp;$B46,$L$3:$L$45,"37_FOLLOW"))</f>
        <v>4</v>
      </c>
      <c r="AY46" s="9">
        <f>IF($E46="","",IF($E46="系统",0,ROUNDDOWN(INDEX(角色面板!$C$4:$C$7,MATCH($E46,角色面板!$A$4:$A$7,0))*(1+INDEX(角色面板!$C$11:$C$14,MATCH($E46,角色面板!$A$11:$A$14,0))+IF($E46="小瑞安侬",MAX(IF($B46&lt;=$AQ46,$AP46,0),IF(AND($L46="RHI_ATTACK",$EE46&gt;0),0.11+0.01*$G46,0)),0)+IF($E46="J",$AD46*Boss参数!$B$18,0))+IF(FD46&lt;=$AN46,MIN(Boss参数!$B$21,ROUNDDOWN(角色面板!$C$19*Boss参数!$B$20,0)),0)+IF(AND($B46&lt;=$AK46,$E46&lt;&gt;"小瑞安侬"),$DY46,0),0)))</f>
        <v>3505</v>
      </c>
      <c r="AZ46" s="10">
        <f>IF($E46="","",MAX(0,MIN(1,IFERROR(INDEX(角色面板!$G$18:$G$21,MATCH($E46,角色面板!$A$18:$A$21,0)),0)-FC46*Boss参数!$B$89-Boss参数!$E$4)))</f>
        <v>0.76</v>
      </c>
      <c r="BA46" s="10">
        <f>IF(E46="","",(IF($E46="","",IF($E46="红弩箭",Boss参数!$B$80,IF($E46="J",Boss参数!$B$81,IFERROR(INDEX(角色面板!$H$18:$H$21,MATCH($E46,角色面板!$A$18:$A$21,0)),0)))+IF($B46&lt;=$AI46,Boss参数!$B$13,0)+MIN(30,$AM46)*Boss参数!$B$17+IF(AND($L46="LILYA_ULT",$X46&gt;=6),1,0)+IF(AND($Y46=1,$L46="LILYA_INSIGHT"),IF(MOD($AA46+1,3)=0,Boss参数!$B$83,Boss参数!$B$82),IF(AND($Y46=1,$L46="LILYA_FINISH"),Boss参数!$B$84,0))))-FC46*Boss参数!$B$90)</f>
        <v>2.4380000000000002</v>
      </c>
      <c r="BB46" s="10">
        <f>IF($E46="","",IFERROR(INDEX(角色面板!$M$18:$M$21,MATCH($E46,角色面板!$A$18:$A$21,0)),0)+$AW46*Boss参数!$B$12+IF($B46&lt;=$AG46,$AF46,0)+$EI46+IF($L46="LILYA_DIVE",IF($U46=1,IF($G46=1,0.3,IF($G46=2,0.4,0.5)),IF($U46=2,IF($G46=1,0.6,IF($G46=2,0.8,1)),0)),0)+$R46+IF(AND($E46="J",OR($L46="J_COUNTER",$L46="J_HARD")),Boss参数!$B$79,0)+IF(AND(OR(L46="J_COUNTER",L46="J_HARD"),FA46&gt;=Boss参数!$B$59),FA46*Boss参数!$B$40,0))</f>
        <v>0.78</v>
      </c>
      <c r="BC46" s="10">
        <f>IF($E46="","",IFERROR(INDEX(角色面板!$K$18:$K$21,MATCH($E46,角色面板!$A$18:$A$21,0)),0)+IF($B46&lt;=$AH46,Boss参数!$B$46,0)+IF($E46="红弩箭",IF($U46=1,0.6,IF($U46=2,1.2,0))+$W46*0.06,0))-DI46*Boss参数!$B$23</f>
        <v>-0.7</v>
      </c>
      <c r="BD46" s="10">
        <f>IF($E46="","",IFERROR(INDEX(角色面板!$L$18:$L$21,MATCH($E46,角色面板!$A$18:$A$21,0)),0)+IF($B46&lt;=$AH46,Boss参数!$B$46,0)+IF($E46="J",$AL46*Boss参数!$B$16,0)+IF($E46="红弩箭",$X46*0.025,0)+IF(AND($L46="LILYA_ULT",$X46&gt;=6),1,0))-DI46*Boss参数!$B$23</f>
        <v>-0.3</v>
      </c>
      <c r="BE46" s="10">
        <f>IF($E46="","",IF($H46="洞知",IF($E46="红弩箭",$AO46*Boss参数!$B$15,0)+$AX46*Boss参数!$B$14,0))</f>
        <v>0.16</v>
      </c>
      <c r="BF46" s="10">
        <f t="shared" si="1"/>
        <v>0</v>
      </c>
      <c r="BG46" s="10">
        <f>IF($D46="",0,IF(AND($L46&lt;&gt;"LILYA_DIVE",$L46&lt;&gt;"LILYA_ULT",$L46&lt;&gt;"LILYA_INSIGHT",$L46&lt;&gt;"LILYA_FINISH",$L46&lt;&gt;"37_FOLLOW",$L46&lt;&gt;"RHI_ATTACK",$L46&lt;&gt;"RHI_BERRY",$L46&lt;&gt;"J_COUNTER",$L46&lt;&gt;"J_ULT"),$J46,0)+IF($L46="LILYA_DIVE",$J46+IF($U46=1,IF($G46=1,6,IF($G46=2,12,18)),IF($U46=2,IF($G46=1,12,IF($G46=2,24,36)),0)),0)+IF($L46="LILYA_ULT",$J46+IF($X46&gt;=6,18,0),0)+IF($L46="LILYA_INSIGHT",IF($Y46=1,IF(MOD($AA46+1,3)=0,32,15),0),0)+IF($L46="LILYA_FINISH",IF($Y46=1,50+2.5*$Z46,0),0)+IF($L46="37_FOLLOW",$J46,0)+IF($L46="RHI_ATTACK",$J46*IF($B46&lt;=$AJ46,2,1),0)+IF($L46="RHI_BERRY",15+1.5*$AV46,0)+IF($L46="J_COUNTER",$J46+$AD46*Boss参数!$B$39,0)+IF($L46="J_ULT",$J46+Boss参数!$B$45*MAX(0,$AE46+$AD46-Boss参数!$I$4),0)+$S46)</f>
        <v>8</v>
      </c>
      <c r="BH46" s="10">
        <f t="shared" si="2"/>
        <v>0</v>
      </c>
      <c r="BI46" s="10">
        <f>IF(E46="","",IF(DT46=1,1+Boss参数!$B$8+AV46*Boss参数!$B$19,1))</f>
        <v>1.5</v>
      </c>
      <c r="BJ46" s="9">
        <f>IF($I46="现实",Boss参数!$C$4,IF($I46="精神",Boss参数!$D$4,0))</f>
        <v>1000</v>
      </c>
      <c r="BK46" s="9">
        <f>IF($E46="","",MAX($AY46*Boss参数!$B$9,$AY46-$BJ46*(1-$BF46)))</f>
        <v>2505</v>
      </c>
      <c r="BL46" s="10">
        <f>MAX(0,Boss参数!$F$4+IF(DT46=0,Boss参数!$B$27,0)-EJ46)</f>
        <v>0.10000000000000003</v>
      </c>
      <c r="BM46" s="10">
        <f>Boss参数!$G$4+DU46-IF(Y46=1,Boss参数!$B$11,0)</f>
        <v>0.15000000000000002</v>
      </c>
      <c r="BN46" s="10">
        <f>IF($E46="","",MAX(Boss参数!$B$10,1+IFERROR(INDEX(角色面板!$I$18:$I$21,MATCH($E46,角色面板!$A$18:$A$21,0)),0)+$BB46+Boss参数!$H$4-$BM46))</f>
        <v>1.6349999999999998</v>
      </c>
      <c r="BO46" s="10">
        <f>IF(E46="","",IF(OR(L46="J_COUNTER",L46="J_HARD"),MAX(0,1+INDEX(角色面板!$K$18:$K$21,MATCH(E46,角色面板!$A$18:$A$21,0))-DI46*Boss参数!$B$23+IF(OR(Boss参数!$B$43=1,L46="J_HARD"),IF(B46&lt;=AH46,Boss参数!$B$46,0),0)),MAX(0,IF(OR(H46="术法",L46="RHI_BERRY",AND(L46="37_FOLLOW",Boss参数!$B$31=1)),1+BC46,IF(H46="仪式",1+BD46,IF(H46="洞知",EK46,1))))))</f>
        <v>1.56</v>
      </c>
      <c r="BP46" s="10">
        <f t="shared" si="3"/>
        <v>2.3380000000000001</v>
      </c>
      <c r="BQ46" s="1">
        <f t="shared" si="4"/>
        <v>76671.035999999993</v>
      </c>
      <c r="BR46" s="1">
        <f t="shared" si="5"/>
        <v>179256.88216799998</v>
      </c>
      <c r="BS46" s="1">
        <f>IF(BH46=0,0,ROUNDDOWN(AY46*BH46,0)*DV46*IF(Boss参数!$B$29=1,BN46,1)*IF(Boss参数!$B$33=1,BO46,1)*IF(Boss参数!$B$76=1,1-ES46,1))</f>
        <v>0</v>
      </c>
      <c r="BT46" s="1">
        <f t="shared" si="6"/>
        <v>0</v>
      </c>
      <c r="BU46" s="9">
        <f>IF(D46="",0,MIN(IF(Boss参数!$B$77=1,Boss参数!$B$63*Boss参数!$B$62,Boss参数!$B$61*Boss参数!$B$62),DW46+ROUNDDOWN(BS46,0)+ROUNDDOWN(DW46*Q46,0)))</f>
        <v>46002</v>
      </c>
      <c r="BV46" s="9">
        <f>IF(D46="",0,MIN(IF(Boss参数!$B$77=1,Boss参数!$B$63*Boss参数!$B$62,Boss参数!$B$61*Boss参数!$B$62),DX46+ROUNDDOWN(BT46,0)+ROUNDDOWN(DX46*Q46,0)))</f>
        <v>107554</v>
      </c>
      <c r="BW46" s="9">
        <f t="shared" si="7"/>
        <v>92781</v>
      </c>
      <c r="BX46" s="1" t="str">
        <f t="shared" si="8"/>
        <v/>
      </c>
      <c r="BY46" s="1">
        <f t="shared" si="9"/>
        <v>2</v>
      </c>
      <c r="BZ46" s="1">
        <f t="shared" si="10"/>
        <v>1</v>
      </c>
      <c r="CA46" s="1">
        <f>MIN(10,W46+IF(AND(L46="LILYA_COBRA",COUNTIF($L$3:L46,"LILYA_COBRA")=1),5,0)+IF(AND(L46="LILYA_DIVE",U46=1,COUNTIFS($DG$3:DG46,DG46,$L$3:L46,"LILYA_DIVE")=1),2,0)+IF(AND(FE46=1,U46=1),3,0))</f>
        <v>10</v>
      </c>
      <c r="CB46" s="1">
        <f>MIN(20,MAX(0,X46+IF(L46="LILYA_COBRA",IF(COUNTIF($L$3:L46,"LILYA_COBRA")=1,6,IF(U46=1,MAX(1,G46),IF(U46=2,2*MAX(1,G46),0))),0)+IF(AND(Y46=1,E46="红弩箭",L46&lt;&gt;"ENTER_INSIGHT"),1,0)-IF(AND(L46="LILYA_ULT",X46&gt;=6),6,0)))</f>
        <v>8</v>
      </c>
      <c r="CC46" s="1">
        <f t="shared" si="11"/>
        <v>1</v>
      </c>
      <c r="CD46" s="1">
        <f t="shared" si="12"/>
        <v>11</v>
      </c>
      <c r="CE46" s="1">
        <f t="shared" si="13"/>
        <v>8</v>
      </c>
      <c r="CF46" s="1">
        <f t="shared" si="14"/>
        <v>10</v>
      </c>
      <c r="CG46" s="1">
        <f t="shared" si="15"/>
        <v>0</v>
      </c>
      <c r="CH46" s="1">
        <f>MIN(35,AD46+IF(L46="J_HARD",6,0)+IF(L46="J_COUNTER",Boss参数!$B$30,0))</f>
        <v>24</v>
      </c>
      <c r="CI46" s="1">
        <f>MIN(Boss参数!$I$4,AE46+IF(L46="J_HARD",6,0)+IF(L46="J_ULT",AD46,0)+IF(L46="J_COUNTER",Boss参数!$B$30,0))</f>
        <v>15</v>
      </c>
      <c r="CJ46" s="10">
        <f>IF(L46="J_ULT",AD46*Boss参数!$B$41,IF(B46&lt;=AG46,AF46,0))</f>
        <v>0.4</v>
      </c>
      <c r="CK46" s="1">
        <f t="shared" si="16"/>
        <v>5</v>
      </c>
      <c r="CL46" s="1">
        <f t="shared" si="17"/>
        <v>5</v>
      </c>
      <c r="CM46" s="1">
        <f t="shared" si="18"/>
        <v>4</v>
      </c>
      <c r="CN46" s="1">
        <f t="shared" si="19"/>
        <v>5</v>
      </c>
      <c r="CO46" s="1">
        <f t="shared" si="20"/>
        <v>4</v>
      </c>
      <c r="CP46" s="1">
        <f t="shared" si="21"/>
        <v>3</v>
      </c>
      <c r="CQ46" s="1">
        <f t="shared" si="22"/>
        <v>20</v>
      </c>
      <c r="CR46" s="1">
        <f t="shared" si="23"/>
        <v>4</v>
      </c>
      <c r="CS46" s="1">
        <f t="shared" si="24"/>
        <v>11</v>
      </c>
      <c r="CT46" s="10">
        <f t="shared" si="25"/>
        <v>0.12</v>
      </c>
      <c r="CU46" s="1">
        <f t="shared" si="26"/>
        <v>5</v>
      </c>
      <c r="CV46" s="10">
        <f t="shared" si="27"/>
        <v>0.3</v>
      </c>
      <c r="CW46" s="1">
        <f t="shared" si="28"/>
        <v>5</v>
      </c>
      <c r="CX46" s="10">
        <f t="shared" si="29"/>
        <v>0.3</v>
      </c>
      <c r="CY46" s="1">
        <f t="shared" si="30"/>
        <v>5</v>
      </c>
      <c r="CZ46" s="1"/>
      <c r="DA46" s="1"/>
      <c r="DB46" s="1"/>
      <c r="DC46" s="1"/>
      <c r="DD46" s="1"/>
      <c r="DE46" s="1"/>
      <c r="DF46" s="1"/>
      <c r="DG46" s="1" t="str">
        <f>IF(D46="","",行动模拟!B52)</f>
        <v>洞知</v>
      </c>
      <c r="DH46" s="1" t="str">
        <f>IF(L46="END_TURN","回合结束",IF(D46="","",IF(INDEX(回合状态!$C$7:$C$17,MATCH(DG46,回合状态!$A$7:$A$17,0))="洞穿","洞穿",IF(OR(L46="J_COUNTER",L46="BOSS_ACTION",L46="BOSS_CONSERVATIVE"),"敌方",IF(AND(L46="37_FOLLOW",DG46=DG45,DH45="敌方"),"敌方",IF(INDEX(回合状态!$C$7:$C$17,MATCH(DG46,回合状态!$A$7:$A$17,0))="普通","出牌",INDEX(回合状态!$C$7:$C$17,MATCH(DG46,回合状态!$A$7:$A$17,0))))))))</f>
        <v>洞穿</v>
      </c>
      <c r="DI46" s="1">
        <f t="shared" si="31"/>
        <v>4</v>
      </c>
      <c r="DJ46" s="1">
        <f>IF(D46="",0,MIN(Boss参数!$B$25,IF(OR(AND(DH46="敌方",OR(DH45&lt;&gt;"敌方",DG46&lt;&gt;DG45)),AND(L46="END_TURN",DH46&lt;&gt;"洞穿"),AND(DG46&lt;&gt;DG45,DH45&lt;&gt;"洞穿",L45&lt;&gt;"END_TURN",COUNTIFS($DG$3:DG45,DG45,$DH$3:DH45,"敌方")=0)),EW46,DN45)))</f>
        <v>0</v>
      </c>
      <c r="DK46" s="1">
        <f>IF(D46="",0,MIN(Boss参数!$B$25,IF(OR(AND(DH46="敌方",OR(DH45&lt;&gt;"敌方",DG46&lt;&gt;DG45)),AND(L46="END_TURN",DH46&lt;&gt;"洞穿"),AND(DG46&lt;&gt;DG45,DH45&lt;&gt;"洞穿",L45&lt;&gt;"END_TURN",COUNTIFS($DG$3:DG45,DG45,$DH$3:DH45,"敌方")=0)),EW46,DO45)))</f>
        <v>4</v>
      </c>
      <c r="DL46" s="1">
        <f>IF(D46="",0,MIN(Boss参数!$B$25,IF(OR(AND(DH46="敌方",OR(DH45&lt;&gt;"敌方",DG46&lt;&gt;DG45)),AND(L46="END_TURN",DH46&lt;&gt;"洞穿"),AND(DG46&lt;&gt;DG45,DH45&lt;&gt;"洞穿",L45&lt;&gt;"END_TURN",COUNTIFS($DG$3:DG45,DG45,$DH$3:DH45,"敌方")=0)),EW46,DP45)))</f>
        <v>5</v>
      </c>
      <c r="DM46" s="1">
        <f>IF(D46="",0,MIN(Boss参数!$B$25,IF(OR(AND(DH46="敌方",OR(DH45&lt;&gt;"敌方",DG46&lt;&gt;DG45)),AND(L46="END_TURN",DH46&lt;&gt;"洞穿"),AND(DG46&lt;&gt;DG45,DH45&lt;&gt;"洞穿",L45&lt;&gt;"END_TURN",COUNTIFS($DG$3:DG45,DG45,$DH$3:DH45,"敌方")=0)),EW46,DQ45)))</f>
        <v>5</v>
      </c>
      <c r="DN46" s="1">
        <f>MAX(0,MIN(Boss参数!$B$25,DJ46+DR46)-IF(E46="红弩箭",2*DR46,0))</f>
        <v>1</v>
      </c>
      <c r="DO46" s="1">
        <f>MAX(0,MIN(Boss参数!$B$25,DK46+DR46)-IF(E46="37",2*DR46,0))</f>
        <v>3</v>
      </c>
      <c r="DP46" s="1">
        <f>MAX(0,MIN(Boss参数!$B$25,DL46+DR46)-IF(E46="小瑞安侬",2*DR46,0))</f>
        <v>5</v>
      </c>
      <c r="DQ46" s="1">
        <f>MAX(0,MIN(Boss参数!$B$25,DM46+DR46)-IF(E46="J",2*DR46,0))</f>
        <v>5</v>
      </c>
      <c r="DR46" s="1">
        <f t="shared" si="32"/>
        <v>1</v>
      </c>
      <c r="DS46" s="1">
        <f t="shared" si="33"/>
        <v>1</v>
      </c>
      <c r="DT46" s="1">
        <f>IF(OR(E46="",E46="系统"),0,IF(OR(AND(DS46=1,Boss参数!$B$32=1),L46="RHI_BERRY",OR(AND(INDEX(角色面板!$B$18:$B$21,MATCH(E46,角色面板!$A$18:$A$21,0))="星",Boss参数!$B$4="岩"),AND(INDEX(角色面板!$B$18:$B$21,MATCH(E46,角色面板!$A$18:$A$21,0))="岩",Boss参数!$B$4="兽"),AND(INDEX(角色面板!$B$18:$B$21,MATCH(E46,角色面板!$A$18:$A$21,0))="兽",Boss参数!$B$4="木"),AND(INDEX(角色面板!$B$18:$B$21,MATCH(E46,角色面板!$A$18:$A$21,0))="木",Boss参数!$B$4="星"),AND(INDEX(角色面板!$B$18:$B$21,MATCH(E46,角色面板!$A$18:$A$21,0))="智",Boss参数!$B$4="灵"),AND(INDEX(角色面板!$B$18:$B$21,MATCH(E46,角色面板!$A$18:$A$21,0))="灵",Boss参数!$B$4="智"))),1,0))</f>
        <v>1</v>
      </c>
      <c r="DU46" s="1">
        <f>IF(D46="",0,INDEX(回合状态!$E$7:$E$17,MATCH(DG46,回合状态!$A$7:$A$17,0))+IF(AND(DH46="敌方",OR(INDEX(回合状态!$C$7:$C$17,MATCH(DG46,回合状态!$A$7:$A$17,0))="普通",INDEX(回合状态!$C$7:$C$17,MATCH(DG46,回合状态!$A$7:$A$17,0))="额外")),0.05,0))</f>
        <v>0.15000000000000002</v>
      </c>
      <c r="DV46" s="1">
        <f>MAX(Boss参数!$B$28,1+IF(AND(E46="37",AC46&gt;0,BH46&gt;0),Boss参数!$B$42,0)-DI46*Boss参数!$B$24+EA46-ER46)</f>
        <v>0</v>
      </c>
      <c r="DW46" s="1">
        <f>MIN(IF(Boss参数!$B$77=1,Boss参数!$B$63*Boss参数!$B$62,Boss参数!$B$61*Boss参数!$B$62),ROUNDDOWN(BQ46*(1-ES46),0))</f>
        <v>46002</v>
      </c>
      <c r="DX46" s="1">
        <f>MIN(IF(Boss参数!$B$77=1,Boss参数!$B$63*Boss参数!$B$62,Boss参数!$B$61*Boss参数!$B$62),ROUNDDOWN(BR46*(1-ES46),0))</f>
        <v>107554</v>
      </c>
      <c r="DY46" s="1">
        <f t="shared" si="65"/>
        <v>238</v>
      </c>
      <c r="DZ46" s="1">
        <f>IF(L46="RHI_ULT",MIN(Boss参数!$B$48,ROUNDDOWN(AY46*Boss参数!$B$47,0)),DY46)</f>
        <v>238</v>
      </c>
      <c r="EA46" s="11">
        <v>0</v>
      </c>
      <c r="EB46" s="1">
        <f t="shared" si="34"/>
        <v>0</v>
      </c>
      <c r="EC46" s="1">
        <f>SUMIFS($EB$3:EB46,$B$3:B46,"&gt;="&amp;MAX(1,B46-2),$B$3:B46,"&lt;="&amp;B46)*Boss参数!$B$51</f>
        <v>12</v>
      </c>
      <c r="ED46" s="1">
        <f>IF(D46="",EG45,IF(AND(DG46&lt;&gt;DG45,DH46&lt;&gt;"洞穿"),MIN(Boss参数!$B$55,EG45+2),EG45))</f>
        <v>0</v>
      </c>
      <c r="EE46" s="1">
        <f t="shared" si="35"/>
        <v>0</v>
      </c>
      <c r="EF46" s="1">
        <f>IF(AND(OR(L46="END_TURN",AND(DH46="敌方",OR(DH45&lt;&gt;"敌方",DG46&lt;&gt;DG45))),SUMIFS($EF$3:EF45,$DG$3:DG45,DG46)=0),MIN(1,MAX(0,ED46-EE46)),0)</f>
        <v>0</v>
      </c>
      <c r="EG46" s="1">
        <f t="shared" si="36"/>
        <v>0</v>
      </c>
      <c r="EH46" s="11">
        <f>Boss参数!$B$53-IF(Y46=1,Boss参数!$B$54,0)</f>
        <v>-0.4</v>
      </c>
      <c r="EI46" s="11">
        <f t="shared" si="37"/>
        <v>0.3</v>
      </c>
      <c r="EJ46" s="11">
        <f t="shared" si="38"/>
        <v>0.3</v>
      </c>
      <c r="EK46" s="11">
        <f t="shared" si="39"/>
        <v>1.56</v>
      </c>
      <c r="EL46" s="1">
        <f t="shared" si="66"/>
        <v>0</v>
      </c>
      <c r="EM46" s="1">
        <f>IF(AND(DG46&lt;&gt;DG45,DH46="洞穿"),0,IF(L46="ENTER_INSIGHT",Boss参数!$B$57,EO45))</f>
        <v>0</v>
      </c>
      <c r="EN46" s="11">
        <f>IF(AND(Y46=1,H46="洞知",EM46&gt;0),Boss参数!$B$56,0)</f>
        <v>0</v>
      </c>
      <c r="EO46" s="1">
        <f t="shared" si="40"/>
        <v>1</v>
      </c>
      <c r="EP46" s="12">
        <f t="shared" si="67"/>
        <v>7639463</v>
      </c>
      <c r="EQ46" s="12">
        <f>ROUNDDOWN(EP46/Boss参数!$B$62,0)</f>
        <v>76</v>
      </c>
      <c r="ER46" s="11">
        <f>IF(EQ46&gt;=Boss参数!$B$66,Boss参数!$B$69,IF(EQ46&gt;=Boss参数!$B$65,Boss参数!$B$68,IF(EQ46&gt;=Boss参数!$B$64,Boss参数!$B$67,0)))</f>
        <v>0.6</v>
      </c>
      <c r="ES46" s="11">
        <f>MIN(1,IF(EQ46&gt;=Boss参数!$B$66,Boss参数!$B$72+ROUNDDOWN((EQ46-Boss参数!$B$66)/Boss参数!$B$73,0)*Boss参数!$B$74,IF(EQ46&gt;=Boss参数!$B$65,Boss参数!$B$71,IF(EQ46&gt;=Boss参数!$B$64,Boss参数!$B$70,0))))</f>
        <v>0.4</v>
      </c>
      <c r="ET46" s="12">
        <f>MIN(Boss参数!$B$61*Boss参数!$B$62,EP46+IF(AND(Boss参数!$B$60=1,ISNUMBER(验证表!H52)),验证表!H52,EU46))</f>
        <v>7685465</v>
      </c>
      <c r="EU46" s="12">
        <f>IF(D46="",0,IF(验证表!G52="是",BV46,IF(验证表!G52="否",BU46,BW46)))</f>
        <v>46002</v>
      </c>
      <c r="EV46" s="12">
        <f>IF(EQ46&gt;=Boss参数!$B$66,2,IF(EQ46&gt;=Boss参数!$B$65,1,0))</f>
        <v>1</v>
      </c>
      <c r="EW46" s="12">
        <f t="shared" si="41"/>
        <v>2</v>
      </c>
      <c r="EX46" s="1">
        <f>IF(D46="",0,INDEX(回合状态!$D$7:$D$17,MATCH(DG46,回合状态!$A$7:$A$17,0)))</f>
        <v>4</v>
      </c>
      <c r="EY46" s="1">
        <f>IF(OR(L46="RHI_ATTACK",L46="RHI_BUFF"),1,IF(L46="RHI_ULT",Boss参数!$B$52,0))</f>
        <v>0</v>
      </c>
      <c r="EZ46" s="1">
        <f>MIN(6,SUMIFS($EY$3:EY46,$EX$3:EX46,"&gt;="&amp;MAX(1,EX46-Boss参数!$B$87+1),$EX$3:EX46,"&lt;="&amp;EX46))</f>
        <v>4</v>
      </c>
      <c r="FA46" s="1">
        <f t="shared" si="68"/>
        <v>24</v>
      </c>
      <c r="FB46" s="17">
        <f>IF(L46="BOSS_CONSERVATIVE",B46+Boss参数!$B$91,FB45)</f>
        <v>0</v>
      </c>
      <c r="FC46" s="17">
        <f t="shared" si="69"/>
        <v>0</v>
      </c>
      <c r="FD46" s="17">
        <f>IF(D46="",FD45,FD45+IF(AND(DG46&lt;&gt;DG45,INDEX(回合状态!$C$7:$C$17,MATCH(DG46,回合状态!$A$7:$A$17,0))&lt;&gt;"洞穿"),1,0))</f>
        <v>3</v>
      </c>
      <c r="FE46" s="17">
        <f>IF(D46="",0,IF(AND(OR(L46="END_TURN",DH46="敌方"),INDEX(回合状态!$C$7:$C$17,MATCH(DG46,回合状态!$A$7:$A$17,0))&lt;&gt;"洞穿",SUMIFS($FE$3:FE45,$DG$3:DG45,DG46)=0),1,0))</f>
        <v>0</v>
      </c>
    </row>
    <row r="47" spans="1:161" ht="84.95" customHeight="1">
      <c r="A47" s="1">
        <f>行动模拟!A53</f>
        <v>45</v>
      </c>
      <c r="B47" s="1">
        <f>IF(D47="",0,INDEX(回合状态!$B$7:$B$17,MATCH(DG47,回合状态!$A$7:$A$17,0)))</f>
        <v>3</v>
      </c>
      <c r="C47" s="1">
        <f>行动模拟!C53</f>
        <v>13</v>
      </c>
      <c r="D47" s="1" t="str">
        <f>IF(行动模拟!D53="","",行动模拟!D53)</f>
        <v>红弩箭｜洞知咒语</v>
      </c>
      <c r="E47" s="1" t="str">
        <f>IF($D47="","",IFERROR(INDEX(技能数据库!$B$4:$B$38,MATCH($D47,技能数据库!$A$4:$A$38,0)),""))</f>
        <v>红弩箭</v>
      </c>
      <c r="F47" s="1" t="str">
        <f>IF($D47="","",IFERROR(INDEX(技能数据库!$C$4:$C$38,MATCH($D47,技能数据库!$A$4:$A$38,0)),""))</f>
        <v>洞知咒语</v>
      </c>
      <c r="G47" s="1">
        <f>IF($D47="","",IFERROR(INDEX(技能数据库!$D$4:$D$38,MATCH($D47,技能数据库!$A$4:$A$38,0)),""))</f>
        <v>0</v>
      </c>
      <c r="H47" s="1" t="str">
        <f>IF($D47="","",IFERROR(INDEX(技能数据库!$E$4:$E$38,MATCH($D47,技能数据库!$A$4:$A$38,0)),""))</f>
        <v>洞知</v>
      </c>
      <c r="I47" s="1" t="str">
        <f>IF($D47="","",IFERROR(INDEX(技能数据库!$F$4:$F$38,MATCH($D47,技能数据库!$A$4:$A$38,0)),""))</f>
        <v>现实</v>
      </c>
      <c r="J47" s="1">
        <f>IF($D47="","",IFERROR(INDEX(技能数据库!$G$4:$G$38,MATCH($D47,技能数据库!$A$4:$A$38,0)),""))</f>
        <v>15</v>
      </c>
      <c r="K47" s="1">
        <f>IF($D47="","",IFERROR(INDEX(技能数据库!$H$4:$H$38,MATCH($D47,技能数据库!$A$4:$A$38,0)),""))</f>
        <v>0</v>
      </c>
      <c r="L47" s="1" t="str">
        <f>IF($D47="","",IFERROR(INDEX(技能数据库!$I$4:$I$38,MATCH($D47,技能数据库!$A$4:$A$38,0)),""))</f>
        <v>LILYA_INSIGHT</v>
      </c>
      <c r="M47" s="10">
        <v>1</v>
      </c>
      <c r="N47" s="1"/>
      <c r="O47" s="1"/>
      <c r="P47" s="1"/>
      <c r="Q47" s="10">
        <f t="shared" si="0"/>
        <v>0.4</v>
      </c>
      <c r="R47" s="10">
        <v>0</v>
      </c>
      <c r="S47" s="10">
        <v>0</v>
      </c>
      <c r="T47" s="1" t="str">
        <f>行动模拟!I53</f>
        <v>稳态本源自动：先消耗已有两分悖论；37攻击后再获得1层。</v>
      </c>
      <c r="U47" s="1">
        <f>IF(FD47&lt;&gt;FD46,IF(BY46=1,IF(MIN(10,CA46+IF(AND(DG47&lt;&gt;DG46,DH46&lt;&gt;"洞穿",SUMIFS($FE$3:FE46,$DG$3:DG46,DG46)=0,BY46=1),3,0))&gt;=10,2,1),IF(BY46=2,IF(BZ46&lt;=1,0,2),0)),BY46)</f>
        <v>2</v>
      </c>
      <c r="V47" s="1">
        <f>IF(FD47&lt;&gt;FD46,IF(BY46=1,IF(MIN(10,CA46+IF(AND(DG47&lt;&gt;DG46,DH46&lt;&gt;"洞穿",SUMIFS($FE$3:FE46,$DG$3:DG46,DG46)=0,BY46=1),3,0))&gt;=10,2,0),IF(BY46=2,MAX(0,BZ46-1),0)),BZ46)</f>
        <v>1</v>
      </c>
      <c r="W47" s="1">
        <f>IF(AND(FD47&lt;&gt;FD46,BY46=2,BZ46&lt;=1),0,MIN(10,CA46+IF(AND(DG47&lt;&gt;DG46,DH46&lt;&gt;"洞穿",SUMIFS($FE$3:FE46,$DG$3:DG46,DG46)=0,BY46=1),3,0)))</f>
        <v>10</v>
      </c>
      <c r="X47" s="1">
        <f t="shared" si="42"/>
        <v>8</v>
      </c>
      <c r="Y47" s="1">
        <f t="shared" si="43"/>
        <v>1</v>
      </c>
      <c r="Z47" s="1">
        <f t="shared" si="44"/>
        <v>11</v>
      </c>
      <c r="AA47" s="1">
        <f t="shared" si="45"/>
        <v>8</v>
      </c>
      <c r="AB47" s="1">
        <f t="shared" si="46"/>
        <v>10</v>
      </c>
      <c r="AC47" s="1">
        <f t="shared" si="47"/>
        <v>0</v>
      </c>
      <c r="AD47" s="1">
        <f t="shared" si="48"/>
        <v>24</v>
      </c>
      <c r="AE47" s="1">
        <f>IF(D47="",0,IF(DG47&lt;&gt;DG46,IFERROR(INDEX(回合状态!$F$7:$F$17,MATCH(DG47,回合状态!$A$7:$A$17,0)),0),CI46))</f>
        <v>15</v>
      </c>
      <c r="AF47" s="10">
        <f t="shared" si="49"/>
        <v>0.4</v>
      </c>
      <c r="AG47" s="1">
        <f t="shared" si="50"/>
        <v>5</v>
      </c>
      <c r="AH47" s="1">
        <f t="shared" si="51"/>
        <v>5</v>
      </c>
      <c r="AI47" s="1">
        <f t="shared" si="52"/>
        <v>4</v>
      </c>
      <c r="AJ47" s="1">
        <f t="shared" si="53"/>
        <v>5</v>
      </c>
      <c r="AK47" s="1">
        <f t="shared" si="54"/>
        <v>4</v>
      </c>
      <c r="AL47" s="1">
        <f t="shared" si="55"/>
        <v>3</v>
      </c>
      <c r="AM47" s="1">
        <f t="shared" si="56"/>
        <v>20</v>
      </c>
      <c r="AN47" s="1">
        <f t="shared" si="57"/>
        <v>4</v>
      </c>
      <c r="AO47" s="1">
        <f t="shared" si="58"/>
        <v>11</v>
      </c>
      <c r="AP47" s="10">
        <f t="shared" si="59"/>
        <v>0.12</v>
      </c>
      <c r="AQ47" s="1">
        <f t="shared" si="60"/>
        <v>5</v>
      </c>
      <c r="AR47" s="10">
        <f t="shared" si="61"/>
        <v>0.3</v>
      </c>
      <c r="AS47" s="1">
        <f t="shared" si="62"/>
        <v>5</v>
      </c>
      <c r="AT47" s="10">
        <f t="shared" si="63"/>
        <v>0.3</v>
      </c>
      <c r="AU47" s="1">
        <f t="shared" si="64"/>
        <v>5</v>
      </c>
      <c r="AV47" s="1">
        <f>MIN(5,SUMIFS($EL$3:EL47,$B$3:B47,"&gt;="&amp;MAX(1,B47-2),$B$3:B47,"&lt;="&amp;B47)+EC47)</f>
        <v>5</v>
      </c>
      <c r="AW47" s="1">
        <f>MIN(6,SUMIFS($EY$3:EY46,$EX$3:EX46,"&gt;="&amp;MAX(1,EX47-Boss参数!$B$87+1),$EX$3:EX46,"&lt;="&amp;EX47))</f>
        <v>4</v>
      </c>
      <c r="AX47" s="1">
        <f>MIN(4,COUNTIFS($B$3:$B$46,"&gt;="&amp;MAX(1,$B47-2),$B$3:$B$46,"&lt;="&amp;$B47,$L$3:$L$46,"37_FOLLOW"))</f>
        <v>4</v>
      </c>
      <c r="AY47" s="9">
        <f>IF($E47="","",IF($E47="系统",0,ROUNDDOWN(INDEX(角色面板!$C$4:$C$7,MATCH($E47,角色面板!$A$4:$A$7,0))*(1+INDEX(角色面板!$C$11:$C$14,MATCH($E47,角色面板!$A$11:$A$14,0))+IF($E47="小瑞安侬",MAX(IF($B47&lt;=$AQ47,$AP47,0),IF(AND($L47="RHI_ATTACK",$EE47&gt;0),0.11+0.01*$G47,0)),0)+IF($E47="J",$AD47*Boss参数!$B$18,0))+IF(FD47&lt;=$AN47,MIN(Boss参数!$B$21,ROUNDDOWN(角色面板!$C$19*Boss参数!$B$20,0)),0)+IF(AND($B47&lt;=$AK47,$E47&lt;&gt;"小瑞安侬"),$DY47,0),0)))</f>
        <v>3493</v>
      </c>
      <c r="AZ47" s="10">
        <f>IF($E47="","",MAX(0,MIN(1,IFERROR(INDEX(角色面板!$G$18:$G$21,MATCH($E47,角色面板!$A$18:$A$21,0)),0)-FC47*Boss参数!$B$89-Boss参数!$E$4)))</f>
        <v>1</v>
      </c>
      <c r="BA47" s="10">
        <f>IF(E47="","",(IF($E47="","",IF($E47="红弩箭",Boss参数!$B$80,IF($E47="J",Boss参数!$B$81,IFERROR(INDEX(角色面板!$H$18:$H$21,MATCH($E47,角色面板!$A$18:$A$21,0)),0)))+IF($B47&lt;=$AI47,Boss参数!$B$13,0)+MIN(30,$AM47)*Boss参数!$B$17+IF(AND($L47="LILYA_ULT",$X47&gt;=6),1,0)+IF(AND($Y47=1,$L47="LILYA_INSIGHT"),IF(MOD($AA47+1,3)=0,Boss参数!$B$83,Boss参数!$B$82),IF(AND($Y47=1,$L47="LILYA_FINISH"),Boss参数!$B$84,0))))-FC47*Boss参数!$B$90)</f>
        <v>3.0650000000000004</v>
      </c>
      <c r="BB47" s="10">
        <f>IF($E47="","",IFERROR(INDEX(角色面板!$M$18:$M$21,MATCH($E47,角色面板!$A$18:$A$21,0)),0)+$AW47*Boss参数!$B$12+IF($B47&lt;=$AG47,$AF47,0)+$EI47+IF($L47="LILYA_DIVE",IF($U47=1,IF($G47=1,0.3,IF($G47=2,0.4,0.5)),IF($U47=2,IF($G47=1,0.6,IF($G47=2,0.8,1)),0)),0)+$R47+IF(AND($E47="J",OR($L47="J_COUNTER",$L47="J_HARD")),Boss参数!$B$79,0)+IF(AND(OR(L47="J_COUNTER",L47="J_HARD"),FA47&gt;=Boss参数!$B$59),FA47*Boss参数!$B$40,0))</f>
        <v>1.02</v>
      </c>
      <c r="BC47" s="10">
        <f>IF($E47="","",IFERROR(INDEX(角色面板!$K$18:$K$21,MATCH($E47,角色面板!$A$18:$A$21,0)),0)+IF($B47&lt;=$AH47,Boss参数!$B$46,0)+IF($E47="红弩箭",IF($U47=1,0.6,IF($U47=2,1.2,0))+$W47*0.06,0))-DI47*Boss参数!$B$23</f>
        <v>1.5499999999999998</v>
      </c>
      <c r="BD47" s="10">
        <f>IF($E47="","",IFERROR(INDEX(角色面板!$L$18:$L$21,MATCH($E47,角色面板!$A$18:$A$21,0)),0)+IF($B47&lt;=$AH47,Boss参数!$B$46,0)+IF($E47="J",$AL47*Boss参数!$B$16,0)+IF($E47="红弩箭",$X47*0.025,0)+IF(AND($L47="LILYA_ULT",$X47&gt;=6),1,0))-DI47*Boss参数!$B$23</f>
        <v>0.35</v>
      </c>
      <c r="BE47" s="10">
        <f>IF($E47="","",IF($H47="洞知",IF($E47="红弩箭",$AO47*Boss参数!$B$15,0)+$AX47*Boss参数!$B$14,0))</f>
        <v>0.82</v>
      </c>
      <c r="BF47" s="10">
        <f t="shared" si="1"/>
        <v>0</v>
      </c>
      <c r="BG47" s="10">
        <f>IF($D47="",0,IF(AND($L47&lt;&gt;"LILYA_DIVE",$L47&lt;&gt;"LILYA_ULT",$L47&lt;&gt;"LILYA_INSIGHT",$L47&lt;&gt;"LILYA_FINISH",$L47&lt;&gt;"37_FOLLOW",$L47&lt;&gt;"RHI_ATTACK",$L47&lt;&gt;"RHI_BERRY",$L47&lt;&gt;"J_COUNTER",$L47&lt;&gt;"J_ULT"),$J47,0)+IF($L47="LILYA_DIVE",$J47+IF($U47=1,IF($G47=1,6,IF($G47=2,12,18)),IF($U47=2,IF($G47=1,12,IF($G47=2,24,36)),0)),0)+IF($L47="LILYA_ULT",$J47+IF($X47&gt;=6,18,0),0)+IF($L47="LILYA_INSIGHT",IF($Y47=1,IF(MOD($AA47+1,3)=0,32,15),0),0)+IF($L47="LILYA_FINISH",IF($Y47=1,50+2.5*$Z47,0),0)+IF($L47="37_FOLLOW",$J47,0)+IF($L47="RHI_ATTACK",$J47*IF($B47&lt;=$AJ47,2,1),0)+IF($L47="RHI_BERRY",15+1.5*$AV47,0)+IF($L47="J_COUNTER",$J47+$AD47*Boss参数!$B$39,0)+IF($L47="J_ULT",$J47+Boss参数!$B$45*MAX(0,$AE47+$AD47-Boss参数!$I$4),0)+$S47)</f>
        <v>32</v>
      </c>
      <c r="BH47" s="10">
        <f t="shared" si="2"/>
        <v>0</v>
      </c>
      <c r="BI47" s="10">
        <f>IF(E47="","",IF(DT47=1,1+Boss参数!$B$8+AV47*Boss参数!$B$19,1))</f>
        <v>1.5</v>
      </c>
      <c r="BJ47" s="9">
        <f>IF($I47="现实",Boss参数!$C$4,IF($I47="精神",Boss参数!$D$4,0))</f>
        <v>1200</v>
      </c>
      <c r="BK47" s="9">
        <f>IF($E47="","",MAX($AY47*Boss参数!$B$9,$AY47-$BJ47*(1-$BF47)))</f>
        <v>2293</v>
      </c>
      <c r="BL47" s="10">
        <f>MAX(0,Boss参数!$F$4+IF(DT47=0,Boss参数!$B$27,0)-EJ47)</f>
        <v>0.10000000000000003</v>
      </c>
      <c r="BM47" s="10">
        <f>Boss参数!$G$4+DU47-IF(Y47=1,Boss参数!$B$11,0)</f>
        <v>0.15000000000000002</v>
      </c>
      <c r="BN47" s="10">
        <f>IF($E47="","",MAX(Boss参数!$B$10,1+IFERROR(INDEX(角色面板!$I$18:$I$21,MATCH($E47,角色面板!$A$18:$A$21,0)),0)+$BB47+Boss参数!$H$4-$BM47))</f>
        <v>1.9700000000000002</v>
      </c>
      <c r="BO47" s="10">
        <f>IF(E47="","",IF(OR(L47="J_COUNTER",L47="J_HARD"),MAX(0,1+INDEX(角色面板!$K$18:$K$21,MATCH(E47,角色面板!$A$18:$A$21,0))-DI47*Boss参数!$B$23+IF(OR(Boss参数!$B$43=1,L47="J_HARD"),IF(B47&lt;=AH47,Boss参数!$B$46,0),0)),MAX(0,IF(OR(H47="术法",L47="RHI_BERRY",AND(L47="37_FOLLOW",Boss参数!$B$31=1)),1+BC47,IF(H47="仪式",1+BD47,IF(H47="洞知",EK47,1))))))</f>
        <v>2.2199999999999998</v>
      </c>
      <c r="BP47" s="10">
        <f t="shared" si="3"/>
        <v>2.9650000000000003</v>
      </c>
      <c r="BQ47" s="1">
        <f t="shared" si="4"/>
        <v>481353.89759999991</v>
      </c>
      <c r="BR47" s="1">
        <f t="shared" si="5"/>
        <v>1427214.3063839998</v>
      </c>
      <c r="BS47" s="1">
        <f>IF(BH47=0,0,ROUNDDOWN(AY47*BH47,0)*DV47*IF(Boss参数!$B$29=1,BN47,1)*IF(Boss参数!$B$33=1,BO47,1)*IF(Boss参数!$B$76=1,1-ES47,1))</f>
        <v>0</v>
      </c>
      <c r="BT47" s="1">
        <f t="shared" si="6"/>
        <v>0</v>
      </c>
      <c r="BU47" s="9">
        <f>IF(D47="",0,MIN(IF(Boss参数!$B$77=1,Boss参数!$B$63*Boss参数!$B$62,Boss参数!$B$61*Boss参数!$B$62),DW47+ROUNDDOWN(BS47,0)+ROUNDDOWN(DW47*Q47,0)))</f>
        <v>404336</v>
      </c>
      <c r="BV47" s="9">
        <f>IF(D47="",0,MIN(IF(Boss参数!$B$77=1,Boss参数!$B$63*Boss参数!$B$62,Boss参数!$B$61*Boss参数!$B$62),DX47+ROUNDDOWN(BT47,0)+ROUNDDOWN(DX47*Q47,0)))</f>
        <v>1198859</v>
      </c>
      <c r="BW47" s="9">
        <f t="shared" si="7"/>
        <v>1198859</v>
      </c>
      <c r="BX47" s="1" t="str">
        <f t="shared" si="8"/>
        <v/>
      </c>
      <c r="BY47" s="1">
        <f t="shared" si="9"/>
        <v>2</v>
      </c>
      <c r="BZ47" s="1">
        <f t="shared" si="10"/>
        <v>1</v>
      </c>
      <c r="CA47" s="1">
        <f>MIN(10,W47+IF(AND(L47="LILYA_COBRA",COUNTIF($L$3:L47,"LILYA_COBRA")=1),5,0)+IF(AND(L47="LILYA_DIVE",U47=1,COUNTIFS($DG$3:DG47,DG47,$L$3:L47,"LILYA_DIVE")=1),2,0)+IF(AND(FE47=1,U47=1),3,0))</f>
        <v>10</v>
      </c>
      <c r="CB47" s="1">
        <f>MIN(20,MAX(0,X47+IF(L47="LILYA_COBRA",IF(COUNTIF($L$3:L47,"LILYA_COBRA")=1,6,IF(U47=1,MAX(1,G47),IF(U47=2,2*MAX(1,G47),0))),0)+IF(AND(Y47=1,E47="红弩箭",L47&lt;&gt;"ENTER_INSIGHT"),1,0)-IF(AND(L47="LILYA_ULT",X47&gt;=6),6,0)))</f>
        <v>9</v>
      </c>
      <c r="CC47" s="1">
        <f t="shared" si="11"/>
        <v>1</v>
      </c>
      <c r="CD47" s="1">
        <f t="shared" si="12"/>
        <v>12</v>
      </c>
      <c r="CE47" s="1">
        <f t="shared" si="13"/>
        <v>9</v>
      </c>
      <c r="CF47" s="1">
        <f t="shared" si="14"/>
        <v>10</v>
      </c>
      <c r="CG47" s="1">
        <f t="shared" si="15"/>
        <v>0</v>
      </c>
      <c r="CH47" s="1">
        <f>MIN(35,AD47+IF(L47="J_HARD",6,0)+IF(L47="J_COUNTER",Boss参数!$B$30,0))</f>
        <v>24</v>
      </c>
      <c r="CI47" s="1">
        <f>MIN(Boss参数!$I$4,AE47+IF(L47="J_HARD",6,0)+IF(L47="J_ULT",AD47,0)+IF(L47="J_COUNTER",Boss参数!$B$30,0))</f>
        <v>15</v>
      </c>
      <c r="CJ47" s="10">
        <f>IF(L47="J_ULT",AD47*Boss参数!$B$41,IF(B47&lt;=AG47,AF47,0))</f>
        <v>0.4</v>
      </c>
      <c r="CK47" s="1">
        <f t="shared" si="16"/>
        <v>5</v>
      </c>
      <c r="CL47" s="1">
        <f t="shared" si="17"/>
        <v>5</v>
      </c>
      <c r="CM47" s="1">
        <f t="shared" si="18"/>
        <v>4</v>
      </c>
      <c r="CN47" s="1">
        <f t="shared" si="19"/>
        <v>5</v>
      </c>
      <c r="CO47" s="1">
        <f t="shared" si="20"/>
        <v>4</v>
      </c>
      <c r="CP47" s="1">
        <f t="shared" si="21"/>
        <v>3</v>
      </c>
      <c r="CQ47" s="1">
        <f t="shared" si="22"/>
        <v>20</v>
      </c>
      <c r="CR47" s="1">
        <f t="shared" si="23"/>
        <v>4</v>
      </c>
      <c r="CS47" s="1">
        <f t="shared" si="24"/>
        <v>12</v>
      </c>
      <c r="CT47" s="10">
        <f t="shared" si="25"/>
        <v>0.12</v>
      </c>
      <c r="CU47" s="1">
        <f t="shared" si="26"/>
        <v>5</v>
      </c>
      <c r="CV47" s="10">
        <f t="shared" si="27"/>
        <v>0.3</v>
      </c>
      <c r="CW47" s="1">
        <f t="shared" si="28"/>
        <v>5</v>
      </c>
      <c r="CX47" s="10">
        <f t="shared" si="29"/>
        <v>0.3</v>
      </c>
      <c r="CY47" s="1">
        <f t="shared" si="30"/>
        <v>5</v>
      </c>
      <c r="CZ47" s="1"/>
      <c r="DA47" s="1"/>
      <c r="DB47" s="1"/>
      <c r="DC47" s="1"/>
      <c r="DD47" s="1"/>
      <c r="DE47" s="1"/>
      <c r="DF47" s="1"/>
      <c r="DG47" s="1" t="str">
        <f>IF(D47="","",行动模拟!B53)</f>
        <v>洞知</v>
      </c>
      <c r="DH47" s="1" t="str">
        <f>IF(L47="END_TURN","回合结束",IF(D47="","",IF(INDEX(回合状态!$C$7:$C$17,MATCH(DG47,回合状态!$A$7:$A$17,0))="洞穿","洞穿",IF(OR(L47="J_COUNTER",L47="BOSS_ACTION",L47="BOSS_CONSERVATIVE"),"敌方",IF(AND(L47="37_FOLLOW",DG47=DG46,DH46="敌方"),"敌方",IF(INDEX(回合状态!$C$7:$C$17,MATCH(DG47,回合状态!$A$7:$A$17,0))="普通","出牌",INDEX(回合状态!$C$7:$C$17,MATCH(DG47,回合状态!$A$7:$A$17,0))))))))</f>
        <v>洞穿</v>
      </c>
      <c r="DI47" s="1">
        <f t="shared" si="31"/>
        <v>1</v>
      </c>
      <c r="DJ47" s="1">
        <f>IF(D47="",0,MIN(Boss参数!$B$25,IF(OR(AND(DH47="敌方",OR(DH46&lt;&gt;"敌方",DG47&lt;&gt;DG46)),AND(L47="END_TURN",DH47&lt;&gt;"洞穿"),AND(DG47&lt;&gt;DG46,DH46&lt;&gt;"洞穿",L46&lt;&gt;"END_TURN",COUNTIFS($DG$3:DG46,DG46,$DH$3:DH46,"敌方")=0)),EW47,DN46)))</f>
        <v>1</v>
      </c>
      <c r="DK47" s="1">
        <f>IF(D47="",0,MIN(Boss参数!$B$25,IF(OR(AND(DH47="敌方",OR(DH46&lt;&gt;"敌方",DG47&lt;&gt;DG46)),AND(L47="END_TURN",DH47&lt;&gt;"洞穿"),AND(DG47&lt;&gt;DG46,DH46&lt;&gt;"洞穿",L46&lt;&gt;"END_TURN",COUNTIFS($DG$3:DG46,DG46,$DH$3:DH46,"敌方")=0)),EW47,DO46)))</f>
        <v>3</v>
      </c>
      <c r="DL47" s="1">
        <f>IF(D47="",0,MIN(Boss参数!$B$25,IF(OR(AND(DH47="敌方",OR(DH46&lt;&gt;"敌方",DG47&lt;&gt;DG46)),AND(L47="END_TURN",DH47&lt;&gt;"洞穿"),AND(DG47&lt;&gt;DG46,DH46&lt;&gt;"洞穿",L46&lt;&gt;"END_TURN",COUNTIFS($DG$3:DG46,DG46,$DH$3:DH46,"敌方")=0)),EW47,DP46)))</f>
        <v>5</v>
      </c>
      <c r="DM47" s="1">
        <f>IF(D47="",0,MIN(Boss参数!$B$25,IF(OR(AND(DH47="敌方",OR(DH46&lt;&gt;"敌方",DG47&lt;&gt;DG46)),AND(L47="END_TURN",DH47&lt;&gt;"洞穿"),AND(DG47&lt;&gt;DG46,DH46&lt;&gt;"洞穿",L46&lt;&gt;"END_TURN",COUNTIFS($DG$3:DG46,DG46,$DH$3:DH46,"敌方")=0)),EW47,DQ46)))</f>
        <v>5</v>
      </c>
      <c r="DN47" s="1">
        <f>MAX(0,MIN(Boss参数!$B$25,DJ47+DR47)-IF(E47="红弩箭",2*DR47,0))</f>
        <v>0</v>
      </c>
      <c r="DO47" s="1">
        <f>MAX(0,MIN(Boss参数!$B$25,DK47+DR47)-IF(E47="37",2*DR47,0))</f>
        <v>4</v>
      </c>
      <c r="DP47" s="1">
        <f>MAX(0,MIN(Boss参数!$B$25,DL47+DR47)-IF(E47="小瑞安侬",2*DR47,0))</f>
        <v>5</v>
      </c>
      <c r="DQ47" s="1">
        <f>MAX(0,MIN(Boss参数!$B$25,DM47+DR47)-IF(E47="J",2*DR47,0))</f>
        <v>5</v>
      </c>
      <c r="DR47" s="1">
        <f t="shared" si="32"/>
        <v>1</v>
      </c>
      <c r="DS47" s="1">
        <f t="shared" si="33"/>
        <v>1</v>
      </c>
      <c r="DT47" s="1">
        <f>IF(OR(E47="",E47="系统"),0,IF(OR(AND(DS47=1,Boss参数!$B$32=1),L47="RHI_BERRY",OR(AND(INDEX(角色面板!$B$18:$B$21,MATCH(E47,角色面板!$A$18:$A$21,0))="星",Boss参数!$B$4="岩"),AND(INDEX(角色面板!$B$18:$B$21,MATCH(E47,角色面板!$A$18:$A$21,0))="岩",Boss参数!$B$4="兽"),AND(INDEX(角色面板!$B$18:$B$21,MATCH(E47,角色面板!$A$18:$A$21,0))="兽",Boss参数!$B$4="木"),AND(INDEX(角色面板!$B$18:$B$21,MATCH(E47,角色面板!$A$18:$A$21,0))="木",Boss参数!$B$4="星"),AND(INDEX(角色面板!$B$18:$B$21,MATCH(E47,角色面板!$A$18:$A$21,0))="智",Boss参数!$B$4="灵"),AND(INDEX(角色面板!$B$18:$B$21,MATCH(E47,角色面板!$A$18:$A$21,0))="灵",Boss参数!$B$4="智"))),1,0))</f>
        <v>1</v>
      </c>
      <c r="DU47" s="1">
        <f>IF(D47="",0,INDEX(回合状态!$E$7:$E$17,MATCH(DG47,回合状态!$A$7:$A$17,0))+IF(AND(DH47="敌方",OR(INDEX(回合状态!$C$7:$C$17,MATCH(DG47,回合状态!$A$7:$A$17,0))="普通",INDEX(回合状态!$C$7:$C$17,MATCH(DG47,回合状态!$A$7:$A$17,0))="额外")),0.05,0))</f>
        <v>0.15000000000000002</v>
      </c>
      <c r="DV47" s="1">
        <f>MAX(Boss参数!$B$28,1+IF(AND(E47="37",AC47&gt;0,BH47&gt;0),Boss参数!$B$42,0)-DI47*Boss参数!$B$24+EA47-ER47)</f>
        <v>0.25</v>
      </c>
      <c r="DW47" s="1">
        <f>MIN(IF(Boss参数!$B$77=1,Boss参数!$B$63*Boss参数!$B$62,Boss参数!$B$61*Boss参数!$B$62),ROUNDDOWN(BQ47*(1-ES47),0))</f>
        <v>288812</v>
      </c>
      <c r="DX47" s="1">
        <f>MIN(IF(Boss参数!$B$77=1,Boss参数!$B$63*Boss参数!$B$62,Boss参数!$B$61*Boss参数!$B$62),ROUNDDOWN(BR47*(1-ES47),0))</f>
        <v>856328</v>
      </c>
      <c r="DY47" s="1">
        <f t="shared" si="65"/>
        <v>238</v>
      </c>
      <c r="DZ47" s="1">
        <f>IF(L47="RHI_ULT",MIN(Boss参数!$B$48,ROUNDDOWN(AY47*Boss参数!$B$47,0)),DY47)</f>
        <v>238</v>
      </c>
      <c r="EA47" s="11">
        <v>0</v>
      </c>
      <c r="EB47" s="1">
        <f t="shared" si="34"/>
        <v>0</v>
      </c>
      <c r="EC47" s="1">
        <f>SUMIFS($EB$3:EB47,$B$3:B47,"&gt;="&amp;MAX(1,B47-2),$B$3:B47,"&lt;="&amp;B47)*Boss参数!$B$51</f>
        <v>12</v>
      </c>
      <c r="ED47" s="1">
        <f>IF(D47="",EG46,IF(AND(DG47&lt;&gt;DG46,DH47&lt;&gt;"洞穿"),MIN(Boss参数!$B$55,EG46+2),EG46))</f>
        <v>0</v>
      </c>
      <c r="EE47" s="1">
        <f t="shared" si="35"/>
        <v>0</v>
      </c>
      <c r="EF47" s="1">
        <f>IF(AND(OR(L47="END_TURN",AND(DH47="敌方",OR(DH46&lt;&gt;"敌方",DG47&lt;&gt;DG46))),SUMIFS($EF$3:EF46,$DG$3:DG46,DG47)=0),MIN(1,MAX(0,ED47-EE47)),0)</f>
        <v>0</v>
      </c>
      <c r="EG47" s="1">
        <f t="shared" si="36"/>
        <v>0</v>
      </c>
      <c r="EH47" s="11">
        <f>Boss参数!$B$53-IF(Y47=1,Boss参数!$B$54,0)</f>
        <v>-0.4</v>
      </c>
      <c r="EI47" s="11">
        <f t="shared" si="37"/>
        <v>0.3</v>
      </c>
      <c r="EJ47" s="11">
        <f t="shared" si="38"/>
        <v>0.3</v>
      </c>
      <c r="EK47" s="11">
        <f t="shared" si="39"/>
        <v>2.2199999999999998</v>
      </c>
      <c r="EL47" s="1">
        <f t="shared" si="66"/>
        <v>0</v>
      </c>
      <c r="EM47" s="1">
        <f>IF(AND(DG47&lt;&gt;DG46,DH47="洞穿"),0,IF(L47="ENTER_INSIGHT",Boss参数!$B$57,EO46))</f>
        <v>1</v>
      </c>
      <c r="EN47" s="11">
        <f>IF(AND(Y47=1,H47="洞知",EM47&gt;0),Boss参数!$B$56,0)</f>
        <v>0.4</v>
      </c>
      <c r="EO47" s="1">
        <f t="shared" si="40"/>
        <v>0</v>
      </c>
      <c r="EP47" s="12">
        <f t="shared" si="67"/>
        <v>7685465</v>
      </c>
      <c r="EQ47" s="12">
        <f>ROUNDDOWN(EP47/Boss参数!$B$62,0)</f>
        <v>76</v>
      </c>
      <c r="ER47" s="11">
        <f>IF(EQ47&gt;=Boss参数!$B$66,Boss参数!$B$69,IF(EQ47&gt;=Boss参数!$B$65,Boss参数!$B$68,IF(EQ47&gt;=Boss参数!$B$64,Boss参数!$B$67,0)))</f>
        <v>0.6</v>
      </c>
      <c r="ES47" s="11">
        <f>MIN(1,IF(EQ47&gt;=Boss参数!$B$66,Boss参数!$B$72+ROUNDDOWN((EQ47-Boss参数!$B$66)/Boss参数!$B$73,0)*Boss参数!$B$74,IF(EQ47&gt;=Boss参数!$B$65,Boss参数!$B$71,IF(EQ47&gt;=Boss参数!$B$64,Boss参数!$B$70,0))))</f>
        <v>0.4</v>
      </c>
      <c r="ET47" s="12">
        <f>MIN(Boss参数!$B$61*Boss参数!$B$62,EP47+IF(AND(Boss参数!$B$60=1,ISNUMBER(验证表!H53)),验证表!H53,EU47))</f>
        <v>8884324</v>
      </c>
      <c r="EU47" s="12">
        <f>IF(D47="",0,IF(验证表!G53="是",BV47,IF(验证表!G53="否",BU47,BW47)))</f>
        <v>1198859</v>
      </c>
      <c r="EV47" s="12">
        <f>IF(EQ47&gt;=Boss参数!$B$66,2,IF(EQ47&gt;=Boss参数!$B$65,1,0))</f>
        <v>1</v>
      </c>
      <c r="EW47" s="12">
        <f t="shared" si="41"/>
        <v>2</v>
      </c>
      <c r="EX47" s="1">
        <f>IF(D47="",0,INDEX(回合状态!$D$7:$D$17,MATCH(DG47,回合状态!$A$7:$A$17,0)))</f>
        <v>4</v>
      </c>
      <c r="EY47" s="1">
        <f>IF(OR(L47="RHI_ATTACK",L47="RHI_BUFF"),1,IF(L47="RHI_ULT",Boss参数!$B$52,0))</f>
        <v>0</v>
      </c>
      <c r="EZ47" s="1">
        <f>MIN(6,SUMIFS($EY$3:EY47,$EX$3:EX47,"&gt;="&amp;MAX(1,EX47-Boss参数!$B$87+1),$EX$3:EX47,"&lt;="&amp;EX47))</f>
        <v>4</v>
      </c>
      <c r="FA47" s="1">
        <f t="shared" si="68"/>
        <v>24</v>
      </c>
      <c r="FB47" s="17">
        <f>IF(L47="BOSS_CONSERVATIVE",B47+Boss参数!$B$91,FB46)</f>
        <v>0</v>
      </c>
      <c r="FC47" s="17">
        <f t="shared" si="69"/>
        <v>0</v>
      </c>
      <c r="FD47" s="17">
        <f>IF(D47="",FD46,FD46+IF(AND(DG47&lt;&gt;DG46,INDEX(回合状态!$C$7:$C$17,MATCH(DG47,回合状态!$A$7:$A$17,0))&lt;&gt;"洞穿"),1,0))</f>
        <v>3</v>
      </c>
      <c r="FE47" s="17">
        <f>IF(D47="",0,IF(AND(OR(L47="END_TURN",DH47="敌方"),INDEX(回合状态!$C$7:$C$17,MATCH(DG47,回合状态!$A$7:$A$17,0))&lt;&gt;"洞穿",SUMIFS($FE$3:FE46,$DG$3:DG46,DG47)=0),1,0))</f>
        <v>0</v>
      </c>
    </row>
    <row r="48" spans="1:161" ht="84.95" customHeight="1">
      <c r="A48" s="1">
        <f>行动模拟!A54</f>
        <v>46</v>
      </c>
      <c r="B48" s="1">
        <f>IF(D48="",0,INDEX(回合状态!$B$7:$B$17,MATCH(DG48,回合状态!$A$7:$A$17,0)))</f>
        <v>3</v>
      </c>
      <c r="C48" s="1">
        <f>行动模拟!C54</f>
        <v>14</v>
      </c>
      <c r="D48" s="1" t="str">
        <f>IF(行动模拟!D54="","",行动模拟!D54)</f>
        <v>红弩箭｜洞知咒语</v>
      </c>
      <c r="E48" s="1" t="str">
        <f>IF($D48="","",IFERROR(INDEX(技能数据库!$B$4:$B$38,MATCH($D48,技能数据库!$A$4:$A$38,0)),""))</f>
        <v>红弩箭</v>
      </c>
      <c r="F48" s="1" t="str">
        <f>IF($D48="","",IFERROR(INDEX(技能数据库!$C$4:$C$38,MATCH($D48,技能数据库!$A$4:$A$38,0)),""))</f>
        <v>洞知咒语</v>
      </c>
      <c r="G48" s="1">
        <f>IF($D48="","",IFERROR(INDEX(技能数据库!$D$4:$D$38,MATCH($D48,技能数据库!$A$4:$A$38,0)),""))</f>
        <v>0</v>
      </c>
      <c r="H48" s="1" t="str">
        <f>IF($D48="","",IFERROR(INDEX(技能数据库!$E$4:$E$38,MATCH($D48,技能数据库!$A$4:$A$38,0)),""))</f>
        <v>洞知</v>
      </c>
      <c r="I48" s="1" t="str">
        <f>IF($D48="","",IFERROR(INDEX(技能数据库!$F$4:$F$38,MATCH($D48,技能数据库!$A$4:$A$38,0)),""))</f>
        <v>现实</v>
      </c>
      <c r="J48" s="1">
        <f>IF($D48="","",IFERROR(INDEX(技能数据库!$G$4:$G$38,MATCH($D48,技能数据库!$A$4:$A$38,0)),""))</f>
        <v>15</v>
      </c>
      <c r="K48" s="1">
        <f>IF($D48="","",IFERROR(INDEX(技能数据库!$H$4:$H$38,MATCH($D48,技能数据库!$A$4:$A$38,0)),""))</f>
        <v>0</v>
      </c>
      <c r="L48" s="1" t="str">
        <f>IF($D48="","",IFERROR(INDEX(技能数据库!$I$4:$I$38,MATCH($D48,技能数据库!$A$4:$A$38,0)),""))</f>
        <v>LILYA_INSIGHT</v>
      </c>
      <c r="M48" s="10">
        <v>1</v>
      </c>
      <c r="N48" s="1"/>
      <c r="O48" s="1"/>
      <c r="P48" s="1"/>
      <c r="Q48" s="10">
        <f t="shared" si="0"/>
        <v>0</v>
      </c>
      <c r="R48" s="10">
        <v>0</v>
      </c>
      <c r="S48" s="10">
        <v>0</v>
      </c>
      <c r="T48" s="1">
        <f>行动模拟!I54</f>
        <v>0</v>
      </c>
      <c r="U48" s="1">
        <f>IF(FD48&lt;&gt;FD47,IF(BY47=1,IF(MIN(10,CA47+IF(AND(DG48&lt;&gt;DG47,DH47&lt;&gt;"洞穿",SUMIFS($FE$3:FE47,$DG$3:DG47,DG47)=0,BY47=1),3,0))&gt;=10,2,1),IF(BY47=2,IF(BZ47&lt;=1,0,2),0)),BY47)</f>
        <v>2</v>
      </c>
      <c r="V48" s="1">
        <f>IF(FD48&lt;&gt;FD47,IF(BY47=1,IF(MIN(10,CA47+IF(AND(DG48&lt;&gt;DG47,DH47&lt;&gt;"洞穿",SUMIFS($FE$3:FE47,$DG$3:DG47,DG47)=0,BY47=1),3,0))&gt;=10,2,0),IF(BY47=2,MAX(0,BZ47-1),0)),BZ47)</f>
        <v>1</v>
      </c>
      <c r="W48" s="1">
        <f>IF(AND(FD48&lt;&gt;FD47,BY47=2,BZ47&lt;=1),0,MIN(10,CA47+IF(AND(DG48&lt;&gt;DG47,DH47&lt;&gt;"洞穿",SUMIFS($FE$3:FE47,$DG$3:DG47,DG47)=0,BY47=1),3,0)))</f>
        <v>10</v>
      </c>
      <c r="X48" s="1">
        <f t="shared" si="42"/>
        <v>9</v>
      </c>
      <c r="Y48" s="1">
        <f t="shared" si="43"/>
        <v>1</v>
      </c>
      <c r="Z48" s="1">
        <f t="shared" si="44"/>
        <v>12</v>
      </c>
      <c r="AA48" s="1">
        <f t="shared" si="45"/>
        <v>9</v>
      </c>
      <c r="AB48" s="1">
        <f t="shared" si="46"/>
        <v>10</v>
      </c>
      <c r="AC48" s="1">
        <f t="shared" si="47"/>
        <v>0</v>
      </c>
      <c r="AD48" s="1">
        <f t="shared" si="48"/>
        <v>24</v>
      </c>
      <c r="AE48" s="1">
        <f>IF(D48="",0,IF(DG48&lt;&gt;DG47,IFERROR(INDEX(回合状态!$F$7:$F$17,MATCH(DG48,回合状态!$A$7:$A$17,0)),0),CI47))</f>
        <v>15</v>
      </c>
      <c r="AF48" s="10">
        <f t="shared" si="49"/>
        <v>0.4</v>
      </c>
      <c r="AG48" s="1">
        <f t="shared" si="50"/>
        <v>5</v>
      </c>
      <c r="AH48" s="1">
        <f t="shared" si="51"/>
        <v>5</v>
      </c>
      <c r="AI48" s="1">
        <f t="shared" si="52"/>
        <v>4</v>
      </c>
      <c r="AJ48" s="1">
        <f t="shared" si="53"/>
        <v>5</v>
      </c>
      <c r="AK48" s="1">
        <f t="shared" si="54"/>
        <v>4</v>
      </c>
      <c r="AL48" s="1">
        <f t="shared" si="55"/>
        <v>3</v>
      </c>
      <c r="AM48" s="1">
        <f t="shared" si="56"/>
        <v>20</v>
      </c>
      <c r="AN48" s="1">
        <f t="shared" si="57"/>
        <v>4</v>
      </c>
      <c r="AO48" s="1">
        <f t="shared" si="58"/>
        <v>12</v>
      </c>
      <c r="AP48" s="10">
        <f t="shared" si="59"/>
        <v>0.12</v>
      </c>
      <c r="AQ48" s="1">
        <f t="shared" si="60"/>
        <v>5</v>
      </c>
      <c r="AR48" s="10">
        <f t="shared" si="61"/>
        <v>0.3</v>
      </c>
      <c r="AS48" s="1">
        <f t="shared" si="62"/>
        <v>5</v>
      </c>
      <c r="AT48" s="10">
        <f t="shared" si="63"/>
        <v>0.3</v>
      </c>
      <c r="AU48" s="1">
        <f t="shared" si="64"/>
        <v>5</v>
      </c>
      <c r="AV48" s="1">
        <f>MIN(5,SUMIFS($EL$3:EL48,$B$3:B48,"&gt;="&amp;MAX(1,B48-2),$B$3:B48,"&lt;="&amp;B48)+EC48)</f>
        <v>5</v>
      </c>
      <c r="AW48" s="1">
        <f>MIN(6,SUMIFS($EY$3:EY47,$EX$3:EX47,"&gt;="&amp;MAX(1,EX48-Boss参数!$B$87+1),$EX$3:EX47,"&lt;="&amp;EX48))</f>
        <v>4</v>
      </c>
      <c r="AX48" s="1">
        <f>MIN(4,COUNTIFS($B$3:$B$47,"&gt;="&amp;MAX(1,$B48-2),$B$3:$B$47,"&lt;="&amp;$B48,$L$3:$L$47,"37_FOLLOW"))</f>
        <v>4</v>
      </c>
      <c r="AY48" s="9">
        <f>IF($E48="","",IF($E48="系统",0,ROUNDDOWN(INDEX(角色面板!$C$4:$C$7,MATCH($E48,角色面板!$A$4:$A$7,0))*(1+INDEX(角色面板!$C$11:$C$14,MATCH($E48,角色面板!$A$11:$A$14,0))+IF($E48="小瑞安侬",MAX(IF($B48&lt;=$AQ48,$AP48,0),IF(AND($L48="RHI_ATTACK",$EE48&gt;0),0.11+0.01*$G48,0)),0)+IF($E48="J",$AD48*Boss参数!$B$18,0))+IF(FD48&lt;=$AN48,MIN(Boss参数!$B$21,ROUNDDOWN(角色面板!$C$19*Boss参数!$B$20,0)),0)+IF(AND($B48&lt;=$AK48,$E48&lt;&gt;"小瑞安侬"),$DY48,0),0)))</f>
        <v>3493</v>
      </c>
      <c r="AZ48" s="10">
        <f>IF($E48="","",MAX(0,MIN(1,IFERROR(INDEX(角色面板!$G$18:$G$21,MATCH($E48,角色面板!$A$18:$A$21,0)),0)-FC48*Boss参数!$B$89-Boss参数!$E$4)))</f>
        <v>1</v>
      </c>
      <c r="BA48" s="10">
        <f>IF(E48="","",(IF($E48="","",IF($E48="红弩箭",Boss参数!$B$80,IF($E48="J",Boss参数!$B$81,IFERROR(INDEX(角色面板!$H$18:$H$21,MATCH($E48,角色面板!$A$18:$A$21,0)),0)))+IF($B48&lt;=$AI48,Boss参数!$B$13,0)+MIN(30,$AM48)*Boss参数!$B$17+IF(AND($L48="LILYA_ULT",$X48&gt;=6),1,0)+IF(AND($Y48=1,$L48="LILYA_INSIGHT"),IF(MOD($AA48+1,3)=0,Boss参数!$B$83,Boss参数!$B$82),IF(AND($Y48=1,$L48="LILYA_FINISH"),Boss参数!$B$84,0))))-FC48*Boss参数!$B$90)</f>
        <v>2.8650000000000002</v>
      </c>
      <c r="BB48" s="10">
        <f>IF($E48="","",IFERROR(INDEX(角色面板!$M$18:$M$21,MATCH($E48,角色面板!$A$18:$A$21,0)),0)+$AW48*Boss参数!$B$12+IF($B48&lt;=$AG48,$AF48,0)+$EI48+IF($L48="LILYA_DIVE",IF($U48=1,IF($G48=1,0.3,IF($G48=2,0.4,0.5)),IF($U48=2,IF($G48=1,0.6,IF($G48=2,0.8,1)),0)),0)+$R48+IF(AND($E48="J",OR($L48="J_COUNTER",$L48="J_HARD")),Boss参数!$B$79,0)+IF(AND(OR(L48="J_COUNTER",L48="J_HARD"),FA48&gt;=Boss参数!$B$59),FA48*Boss参数!$B$40,0))</f>
        <v>1.02</v>
      </c>
      <c r="BC48" s="10">
        <f>IF($E48="","",IFERROR(INDEX(角色面板!$K$18:$K$21,MATCH($E48,角色面板!$A$18:$A$21,0)),0)+IF($B48&lt;=$AH48,Boss参数!$B$46,0)+IF($E48="红弩箭",IF($U48=1,0.6,IF($U48=2,1.2,0))+$W48*0.06,0))-DI48*Boss参数!$B$23</f>
        <v>1.6999999999999997</v>
      </c>
      <c r="BD48" s="10">
        <f>IF($E48="","",IFERROR(INDEX(角色面板!$L$18:$L$21,MATCH($E48,角色面板!$A$18:$A$21,0)),0)+IF($B48&lt;=$AH48,Boss参数!$B$46,0)+IF($E48="J",$AL48*Boss参数!$B$16,0)+IF($E48="红弩箭",$X48*0.025,0)+IF(AND($L48="LILYA_ULT",$X48&gt;=6),1,0))-DI48*Boss参数!$B$23</f>
        <v>0.52500000000000002</v>
      </c>
      <c r="BE48" s="10">
        <f>IF($E48="","",IF($H48="洞知",IF($E48="红弩箭",$AO48*Boss参数!$B$15,0)+$AX48*Boss参数!$B$14,0))</f>
        <v>0.88</v>
      </c>
      <c r="BF48" s="10">
        <f t="shared" si="1"/>
        <v>0</v>
      </c>
      <c r="BG48" s="10">
        <f>IF($D48="",0,IF(AND($L48&lt;&gt;"LILYA_DIVE",$L48&lt;&gt;"LILYA_ULT",$L48&lt;&gt;"LILYA_INSIGHT",$L48&lt;&gt;"LILYA_FINISH",$L48&lt;&gt;"37_FOLLOW",$L48&lt;&gt;"RHI_ATTACK",$L48&lt;&gt;"RHI_BERRY",$L48&lt;&gt;"J_COUNTER",$L48&lt;&gt;"J_ULT"),$J48,0)+IF($L48="LILYA_DIVE",$J48+IF($U48=1,IF($G48=1,6,IF($G48=2,12,18)),IF($U48=2,IF($G48=1,12,IF($G48=2,24,36)),0)),0)+IF($L48="LILYA_ULT",$J48+IF($X48&gt;=6,18,0),0)+IF($L48="LILYA_INSIGHT",IF($Y48=1,IF(MOD($AA48+1,3)=0,32,15),0),0)+IF($L48="LILYA_FINISH",IF($Y48=1,50+2.5*$Z48,0),0)+IF($L48="37_FOLLOW",$J48,0)+IF($L48="RHI_ATTACK",$J48*IF($B48&lt;=$AJ48,2,1),0)+IF($L48="RHI_BERRY",15+1.5*$AV48,0)+IF($L48="J_COUNTER",$J48+$AD48*Boss参数!$B$39,0)+IF($L48="J_ULT",$J48+Boss参数!$B$45*MAX(0,$AE48+$AD48-Boss参数!$I$4),0)+$S48)</f>
        <v>15</v>
      </c>
      <c r="BH48" s="10">
        <f t="shared" si="2"/>
        <v>0</v>
      </c>
      <c r="BI48" s="10">
        <f>IF(E48="","",IF(DT48=1,1+Boss参数!$B$8+AV48*Boss参数!$B$19,1))</f>
        <v>1.5</v>
      </c>
      <c r="BJ48" s="9">
        <f>IF($I48="现实",Boss参数!$C$4,IF($I48="精神",Boss参数!$D$4,0))</f>
        <v>1200</v>
      </c>
      <c r="BK48" s="9">
        <f>IF($E48="","",MAX($AY48*Boss参数!$B$9,$AY48-$BJ48*(1-$BF48)))</f>
        <v>2293</v>
      </c>
      <c r="BL48" s="10">
        <f>MAX(0,Boss参数!$F$4+IF(DT48=0,Boss参数!$B$27,0)-EJ48)</f>
        <v>0.10000000000000003</v>
      </c>
      <c r="BM48" s="10">
        <f>Boss参数!$G$4+DU48-IF(Y48=1,Boss参数!$B$11,0)</f>
        <v>0.15000000000000002</v>
      </c>
      <c r="BN48" s="10">
        <f>IF($E48="","",MAX(Boss参数!$B$10,1+IFERROR(INDEX(角色面板!$I$18:$I$21,MATCH($E48,角色面板!$A$18:$A$21,0)),0)+$BB48+Boss参数!$H$4-$BM48))</f>
        <v>1.9700000000000002</v>
      </c>
      <c r="BO48" s="10">
        <f>IF(E48="","",IF(OR(L48="J_COUNTER",L48="J_HARD"),MAX(0,1+INDEX(角色面板!$K$18:$K$21,MATCH(E48,角色面板!$A$18:$A$21,0))-DI48*Boss参数!$B$23+IF(OR(Boss参数!$B$43=1,L48="J_HARD"),IF(B48&lt;=AH48,Boss参数!$B$46,0),0)),MAX(0,IF(OR(H48="术法",L48="RHI_BERRY",AND(L48="37_FOLLOW",Boss参数!$B$31=1)),1+BC48,IF(H48="仪式",1+BD48,IF(H48="洞知",EK48,1))))))</f>
        <v>2.2799999999999998</v>
      </c>
      <c r="BP48" s="10">
        <f t="shared" si="3"/>
        <v>2.7650000000000001</v>
      </c>
      <c r="BQ48" s="1">
        <f t="shared" si="4"/>
        <v>231732.87299999999</v>
      </c>
      <c r="BR48" s="1">
        <f t="shared" si="5"/>
        <v>640741.39384499996</v>
      </c>
      <c r="BS48" s="1">
        <f>IF(BH48=0,0,ROUNDDOWN(AY48*BH48,0)*DV48*IF(Boss参数!$B$29=1,BN48,1)*IF(Boss参数!$B$33=1,BO48,1)*IF(Boss参数!$B$76=1,1-ES48,1))</f>
        <v>0</v>
      </c>
      <c r="BT48" s="1">
        <f t="shared" si="6"/>
        <v>0</v>
      </c>
      <c r="BU48" s="9">
        <f>IF(D48="",0,MIN(IF(Boss参数!$B$77=1,Boss参数!$B$63*Boss参数!$B$62,Boss参数!$B$61*Boss参数!$B$62),DW48+ROUNDDOWN(BS48,0)+ROUNDDOWN(DW48*Q48,0)))</f>
        <v>139039</v>
      </c>
      <c r="BV48" s="9">
        <f>IF(D48="",0,MIN(IF(Boss参数!$B$77=1,Boss参数!$B$63*Boss参数!$B$62,Boss参数!$B$61*Boss参数!$B$62),DX48+ROUNDDOWN(BT48,0)+ROUNDDOWN(DX48*Q48,0)))</f>
        <v>384444</v>
      </c>
      <c r="BW48" s="9">
        <f t="shared" si="7"/>
        <v>384444</v>
      </c>
      <c r="BX48" s="1" t="str">
        <f t="shared" si="8"/>
        <v/>
      </c>
      <c r="BY48" s="1">
        <f t="shared" si="9"/>
        <v>2</v>
      </c>
      <c r="BZ48" s="1">
        <f t="shared" si="10"/>
        <v>1</v>
      </c>
      <c r="CA48" s="1">
        <f>MIN(10,W48+IF(AND(L48="LILYA_COBRA",COUNTIF($L$3:L48,"LILYA_COBRA")=1),5,0)+IF(AND(L48="LILYA_DIVE",U48=1,COUNTIFS($DG$3:DG48,DG48,$L$3:L48,"LILYA_DIVE")=1),2,0)+IF(AND(FE48=1,U48=1),3,0))</f>
        <v>10</v>
      </c>
      <c r="CB48" s="1">
        <f>MIN(20,MAX(0,X48+IF(L48="LILYA_COBRA",IF(COUNTIF($L$3:L48,"LILYA_COBRA")=1,6,IF(U48=1,MAX(1,G48),IF(U48=2,2*MAX(1,G48),0))),0)+IF(AND(Y48=1,E48="红弩箭",L48&lt;&gt;"ENTER_INSIGHT"),1,0)-IF(AND(L48="LILYA_ULT",X48&gt;=6),6,0)))</f>
        <v>10</v>
      </c>
      <c r="CC48" s="1">
        <f t="shared" si="11"/>
        <v>1</v>
      </c>
      <c r="CD48" s="1">
        <f t="shared" si="12"/>
        <v>13</v>
      </c>
      <c r="CE48" s="1">
        <f t="shared" si="13"/>
        <v>10</v>
      </c>
      <c r="CF48" s="1">
        <f t="shared" si="14"/>
        <v>10</v>
      </c>
      <c r="CG48" s="1">
        <f t="shared" si="15"/>
        <v>0</v>
      </c>
      <c r="CH48" s="1">
        <f>MIN(35,AD48+IF(L48="J_HARD",6,0)+IF(L48="J_COUNTER",Boss参数!$B$30,0))</f>
        <v>24</v>
      </c>
      <c r="CI48" s="1">
        <f>MIN(Boss参数!$I$4,AE48+IF(L48="J_HARD",6,0)+IF(L48="J_ULT",AD48,0)+IF(L48="J_COUNTER",Boss参数!$B$30,0))</f>
        <v>15</v>
      </c>
      <c r="CJ48" s="10">
        <f>IF(L48="J_ULT",AD48*Boss参数!$B$41,IF(B48&lt;=AG48,AF48,0))</f>
        <v>0.4</v>
      </c>
      <c r="CK48" s="1">
        <f t="shared" si="16"/>
        <v>5</v>
      </c>
      <c r="CL48" s="1">
        <f t="shared" si="17"/>
        <v>5</v>
      </c>
      <c r="CM48" s="1">
        <f t="shared" si="18"/>
        <v>4</v>
      </c>
      <c r="CN48" s="1">
        <f t="shared" si="19"/>
        <v>5</v>
      </c>
      <c r="CO48" s="1">
        <f t="shared" si="20"/>
        <v>4</v>
      </c>
      <c r="CP48" s="1">
        <f t="shared" si="21"/>
        <v>3</v>
      </c>
      <c r="CQ48" s="1">
        <f t="shared" si="22"/>
        <v>20</v>
      </c>
      <c r="CR48" s="1">
        <f t="shared" si="23"/>
        <v>4</v>
      </c>
      <c r="CS48" s="1">
        <f t="shared" si="24"/>
        <v>13</v>
      </c>
      <c r="CT48" s="10">
        <f t="shared" si="25"/>
        <v>0.12</v>
      </c>
      <c r="CU48" s="1">
        <f t="shared" si="26"/>
        <v>5</v>
      </c>
      <c r="CV48" s="10">
        <f t="shared" si="27"/>
        <v>0.3</v>
      </c>
      <c r="CW48" s="1">
        <f t="shared" si="28"/>
        <v>5</v>
      </c>
      <c r="CX48" s="10">
        <f t="shared" si="29"/>
        <v>0.3</v>
      </c>
      <c r="CY48" s="1">
        <f t="shared" si="30"/>
        <v>5</v>
      </c>
      <c r="CZ48" s="1"/>
      <c r="DA48" s="1"/>
      <c r="DB48" s="1"/>
      <c r="DC48" s="1"/>
      <c r="DD48" s="1"/>
      <c r="DE48" s="1"/>
      <c r="DF48" s="1"/>
      <c r="DG48" s="1" t="str">
        <f>IF(D48="","",行动模拟!B54)</f>
        <v>洞知</v>
      </c>
      <c r="DH48" s="1" t="str">
        <f>IF(L48="END_TURN","回合结束",IF(D48="","",IF(INDEX(回合状态!$C$7:$C$17,MATCH(DG48,回合状态!$A$7:$A$17,0))="洞穿","洞穿",IF(OR(L48="J_COUNTER",L48="BOSS_ACTION",L48="BOSS_CONSERVATIVE"),"敌方",IF(AND(L48="37_FOLLOW",DG48=DG47,DH47="敌方"),"敌方",IF(INDEX(回合状态!$C$7:$C$17,MATCH(DG48,回合状态!$A$7:$A$17,0))="普通","出牌",INDEX(回合状态!$C$7:$C$17,MATCH(DG48,回合状态!$A$7:$A$17,0))))))))</f>
        <v>洞穿</v>
      </c>
      <c r="DI48" s="1">
        <f t="shared" si="31"/>
        <v>0</v>
      </c>
      <c r="DJ48" s="1">
        <f>IF(D48="",0,MIN(Boss参数!$B$25,IF(OR(AND(DH48="敌方",OR(DH47&lt;&gt;"敌方",DG48&lt;&gt;DG47)),AND(L48="END_TURN",DH48&lt;&gt;"洞穿"),AND(DG48&lt;&gt;DG47,DH47&lt;&gt;"洞穿",L47&lt;&gt;"END_TURN",COUNTIFS($DG$3:DG47,DG47,$DH$3:DH47,"敌方")=0)),EW48,DN47)))</f>
        <v>0</v>
      </c>
      <c r="DK48" s="1">
        <f>IF(D48="",0,MIN(Boss参数!$B$25,IF(OR(AND(DH48="敌方",OR(DH47&lt;&gt;"敌方",DG48&lt;&gt;DG47)),AND(L48="END_TURN",DH48&lt;&gt;"洞穿"),AND(DG48&lt;&gt;DG47,DH47&lt;&gt;"洞穿",L47&lt;&gt;"END_TURN",COUNTIFS($DG$3:DG47,DG47,$DH$3:DH47,"敌方")=0)),EW48,DO47)))</f>
        <v>4</v>
      </c>
      <c r="DL48" s="1">
        <f>IF(D48="",0,MIN(Boss参数!$B$25,IF(OR(AND(DH48="敌方",OR(DH47&lt;&gt;"敌方",DG48&lt;&gt;DG47)),AND(L48="END_TURN",DH48&lt;&gt;"洞穿"),AND(DG48&lt;&gt;DG47,DH47&lt;&gt;"洞穿",L47&lt;&gt;"END_TURN",COUNTIFS($DG$3:DG47,DG47,$DH$3:DH47,"敌方")=0)),EW48,DP47)))</f>
        <v>5</v>
      </c>
      <c r="DM48" s="1">
        <f>IF(D48="",0,MIN(Boss参数!$B$25,IF(OR(AND(DH48="敌方",OR(DH47&lt;&gt;"敌方",DG48&lt;&gt;DG47)),AND(L48="END_TURN",DH48&lt;&gt;"洞穿"),AND(DG48&lt;&gt;DG47,DH47&lt;&gt;"洞穿",L47&lt;&gt;"END_TURN",COUNTIFS($DG$3:DG47,DG47,$DH$3:DH47,"敌方")=0)),EW48,DQ47)))</f>
        <v>5</v>
      </c>
      <c r="DN48" s="1">
        <f>MAX(0,MIN(Boss参数!$B$25,DJ48+DR48)-IF(E48="红弩箭",2*DR48,0))</f>
        <v>0</v>
      </c>
      <c r="DO48" s="1">
        <f>MAX(0,MIN(Boss参数!$B$25,DK48+DR48)-IF(E48="37",2*DR48,0))</f>
        <v>4</v>
      </c>
      <c r="DP48" s="1">
        <f>MAX(0,MIN(Boss参数!$B$25,DL48+DR48)-IF(E48="小瑞安侬",2*DR48,0))</f>
        <v>5</v>
      </c>
      <c r="DQ48" s="1">
        <f>MAX(0,MIN(Boss参数!$B$25,DM48+DR48)-IF(E48="J",2*DR48,0))</f>
        <v>5</v>
      </c>
      <c r="DR48" s="1">
        <f t="shared" si="32"/>
        <v>0</v>
      </c>
      <c r="DS48" s="1">
        <f t="shared" si="33"/>
        <v>1</v>
      </c>
      <c r="DT48" s="1">
        <f>IF(OR(E48="",E48="系统"),0,IF(OR(AND(DS48=1,Boss参数!$B$32=1),L48="RHI_BERRY",OR(AND(INDEX(角色面板!$B$18:$B$21,MATCH(E48,角色面板!$A$18:$A$21,0))="星",Boss参数!$B$4="岩"),AND(INDEX(角色面板!$B$18:$B$21,MATCH(E48,角色面板!$A$18:$A$21,0))="岩",Boss参数!$B$4="兽"),AND(INDEX(角色面板!$B$18:$B$21,MATCH(E48,角色面板!$A$18:$A$21,0))="兽",Boss参数!$B$4="木"),AND(INDEX(角色面板!$B$18:$B$21,MATCH(E48,角色面板!$A$18:$A$21,0))="木",Boss参数!$B$4="星"),AND(INDEX(角色面板!$B$18:$B$21,MATCH(E48,角色面板!$A$18:$A$21,0))="智",Boss参数!$B$4="灵"),AND(INDEX(角色面板!$B$18:$B$21,MATCH(E48,角色面板!$A$18:$A$21,0))="灵",Boss参数!$B$4="智"))),1,0))</f>
        <v>1</v>
      </c>
      <c r="DU48" s="1">
        <f>IF(D48="",0,INDEX(回合状态!$E$7:$E$17,MATCH(DG48,回合状态!$A$7:$A$17,0))+IF(AND(DH48="敌方",OR(INDEX(回合状态!$C$7:$C$17,MATCH(DG48,回合状态!$A$7:$A$17,0))="普通",INDEX(回合状态!$C$7:$C$17,MATCH(DG48,回合状态!$A$7:$A$17,0))="额外")),0.05,0))</f>
        <v>0.15000000000000002</v>
      </c>
      <c r="DV48" s="1">
        <f>MAX(Boss参数!$B$28,1+IF(AND(E48="37",AC48&gt;0,BH48&gt;0),Boss参数!$B$42,0)-DI48*Boss参数!$B$24+EA48-ER48)</f>
        <v>0.4</v>
      </c>
      <c r="DW48" s="1">
        <f>MIN(IF(Boss参数!$B$77=1,Boss参数!$B$63*Boss参数!$B$62,Boss参数!$B$61*Boss参数!$B$62),ROUNDDOWN(BQ48*(1-ES48),0))</f>
        <v>139039</v>
      </c>
      <c r="DX48" s="1">
        <f>MIN(IF(Boss参数!$B$77=1,Boss参数!$B$63*Boss参数!$B$62,Boss参数!$B$61*Boss参数!$B$62),ROUNDDOWN(BR48*(1-ES48),0))</f>
        <v>384444</v>
      </c>
      <c r="DY48" s="1">
        <f t="shared" si="65"/>
        <v>238</v>
      </c>
      <c r="DZ48" s="1">
        <f>IF(L48="RHI_ULT",MIN(Boss参数!$B$48,ROUNDDOWN(AY48*Boss参数!$B$47,0)),DY48)</f>
        <v>238</v>
      </c>
      <c r="EA48" s="11">
        <v>0</v>
      </c>
      <c r="EB48" s="1">
        <f t="shared" si="34"/>
        <v>0</v>
      </c>
      <c r="EC48" s="1">
        <f>SUMIFS($EB$3:EB48,$B$3:B48,"&gt;="&amp;MAX(1,B48-2),$B$3:B48,"&lt;="&amp;B48)*Boss参数!$B$51</f>
        <v>12</v>
      </c>
      <c r="ED48" s="1">
        <f>IF(D48="",EG47,IF(AND(DG48&lt;&gt;DG47,DH48&lt;&gt;"洞穿"),MIN(Boss参数!$B$55,EG47+2),EG47))</f>
        <v>0</v>
      </c>
      <c r="EE48" s="1">
        <f t="shared" si="35"/>
        <v>0</v>
      </c>
      <c r="EF48" s="1">
        <f>IF(AND(OR(L48="END_TURN",AND(DH48="敌方",OR(DH47&lt;&gt;"敌方",DG48&lt;&gt;DG47))),SUMIFS($EF$3:EF47,$DG$3:DG47,DG48)=0),MIN(1,MAX(0,ED48-EE48)),0)</f>
        <v>0</v>
      </c>
      <c r="EG48" s="1">
        <f t="shared" si="36"/>
        <v>0</v>
      </c>
      <c r="EH48" s="11">
        <f>Boss参数!$B$53-IF(Y48=1,Boss参数!$B$54,0)</f>
        <v>-0.4</v>
      </c>
      <c r="EI48" s="11">
        <f t="shared" si="37"/>
        <v>0.3</v>
      </c>
      <c r="EJ48" s="11">
        <f t="shared" si="38"/>
        <v>0.3</v>
      </c>
      <c r="EK48" s="11">
        <f t="shared" si="39"/>
        <v>2.2799999999999998</v>
      </c>
      <c r="EL48" s="1">
        <f t="shared" si="66"/>
        <v>0</v>
      </c>
      <c r="EM48" s="1">
        <f>IF(AND(DG48&lt;&gt;DG47,DH48="洞穿"),0,IF(L48="ENTER_INSIGHT",Boss参数!$B$57,EO47))</f>
        <v>0</v>
      </c>
      <c r="EN48" s="11">
        <f>IF(AND(Y48=1,H48="洞知",EM48&gt;0),Boss参数!$B$56,0)</f>
        <v>0</v>
      </c>
      <c r="EO48" s="1">
        <f t="shared" si="40"/>
        <v>0</v>
      </c>
      <c r="EP48" s="12">
        <f t="shared" si="67"/>
        <v>8884324</v>
      </c>
      <c r="EQ48" s="12">
        <f>ROUNDDOWN(EP48/Boss参数!$B$62,0)</f>
        <v>88</v>
      </c>
      <c r="ER48" s="11">
        <f>IF(EQ48&gt;=Boss参数!$B$66,Boss参数!$B$69,IF(EQ48&gt;=Boss参数!$B$65,Boss参数!$B$68,IF(EQ48&gt;=Boss参数!$B$64,Boss参数!$B$67,0)))</f>
        <v>0.6</v>
      </c>
      <c r="ES48" s="11">
        <f>MIN(1,IF(EQ48&gt;=Boss参数!$B$66,Boss参数!$B$72+ROUNDDOWN((EQ48-Boss参数!$B$66)/Boss参数!$B$73,0)*Boss参数!$B$74,IF(EQ48&gt;=Boss参数!$B$65,Boss参数!$B$71,IF(EQ48&gt;=Boss参数!$B$64,Boss参数!$B$70,0))))</f>
        <v>0.4</v>
      </c>
      <c r="ET48" s="12">
        <f>MIN(Boss参数!$B$61*Boss参数!$B$62,EP48+IF(AND(Boss参数!$B$60=1,ISNUMBER(验证表!H54)),验证表!H54,EU48))</f>
        <v>9268768</v>
      </c>
      <c r="EU48" s="12">
        <f>IF(D48="",0,IF(验证表!G54="是",BV48,IF(验证表!G54="否",BU48,BW48)))</f>
        <v>384444</v>
      </c>
      <c r="EV48" s="12">
        <f>IF(EQ48&gt;=Boss参数!$B$66,2,IF(EQ48&gt;=Boss参数!$B$65,1,0))</f>
        <v>1</v>
      </c>
      <c r="EW48" s="12">
        <f t="shared" si="41"/>
        <v>2</v>
      </c>
      <c r="EX48" s="1">
        <f>IF(D48="",0,INDEX(回合状态!$D$7:$D$17,MATCH(DG48,回合状态!$A$7:$A$17,0)))</f>
        <v>4</v>
      </c>
      <c r="EY48" s="1">
        <f>IF(OR(L48="RHI_ATTACK",L48="RHI_BUFF"),1,IF(L48="RHI_ULT",Boss参数!$B$52,0))</f>
        <v>0</v>
      </c>
      <c r="EZ48" s="1">
        <f>MIN(6,SUMIFS($EY$3:EY48,$EX$3:EX48,"&gt;="&amp;MAX(1,EX48-Boss参数!$B$87+1),$EX$3:EX48,"&lt;="&amp;EX48))</f>
        <v>4</v>
      </c>
      <c r="FA48" s="1">
        <f t="shared" si="68"/>
        <v>24</v>
      </c>
      <c r="FB48" s="17">
        <f>IF(L48="BOSS_CONSERVATIVE",B48+Boss参数!$B$91,FB47)</f>
        <v>0</v>
      </c>
      <c r="FC48" s="17">
        <f t="shared" si="69"/>
        <v>0</v>
      </c>
      <c r="FD48" s="17">
        <f>IF(D48="",FD47,FD47+IF(AND(DG48&lt;&gt;DG47,INDEX(回合状态!$C$7:$C$17,MATCH(DG48,回合状态!$A$7:$A$17,0))&lt;&gt;"洞穿"),1,0))</f>
        <v>3</v>
      </c>
      <c r="FE48" s="17">
        <f>IF(D48="",0,IF(AND(OR(L48="END_TURN",DH48="敌方"),INDEX(回合状态!$C$7:$C$17,MATCH(DG48,回合状态!$A$7:$A$17,0))&lt;&gt;"洞穿",SUMIFS($FE$3:FE47,$DG$3:DG47,DG48)=0),1,0))</f>
        <v>0</v>
      </c>
    </row>
    <row r="49" spans="1:161" ht="84.95" customHeight="1">
      <c r="A49" s="1">
        <f>行动模拟!A55</f>
        <v>47</v>
      </c>
      <c r="B49" s="1">
        <f>IF(D49="",0,INDEX(回合状态!$B$7:$B$17,MATCH(DG49,回合状态!$A$7:$A$17,0)))</f>
        <v>3</v>
      </c>
      <c r="C49" s="1">
        <f>行动模拟!C55</f>
        <v>15</v>
      </c>
      <c r="D49" s="1" t="str">
        <f>IF(行动模拟!D55="","",行动模拟!D55)</f>
        <v>37｜洞知咒语</v>
      </c>
      <c r="E49" s="1" t="str">
        <f>IF($D49="","",IFERROR(INDEX(技能数据库!$B$4:$B$38,MATCH($D49,技能数据库!$A$4:$A$38,0)),""))</f>
        <v>37</v>
      </c>
      <c r="F49" s="1" t="str">
        <f>IF($D49="","",IFERROR(INDEX(技能数据库!$C$4:$C$38,MATCH($D49,技能数据库!$A$4:$A$38,0)),""))</f>
        <v>洞知咒语</v>
      </c>
      <c r="G49" s="1">
        <f>IF($D49="","",IFERROR(INDEX(技能数据库!$D$4:$D$38,MATCH($D49,技能数据库!$A$4:$A$38,0)),""))</f>
        <v>0</v>
      </c>
      <c r="H49" s="1" t="str">
        <f>IF($D49="","",IFERROR(INDEX(技能数据库!$E$4:$E$38,MATCH($D49,技能数据库!$A$4:$A$38,0)),""))</f>
        <v>洞知</v>
      </c>
      <c r="I49" s="1" t="str">
        <f>IF($D49="","",IFERROR(INDEX(技能数据库!$F$4:$F$38,MATCH($D49,技能数据库!$A$4:$A$38,0)),""))</f>
        <v>精神</v>
      </c>
      <c r="J49" s="1">
        <f>IF($D49="","",IFERROR(INDEX(技能数据库!$G$4:$G$38,MATCH($D49,技能数据库!$A$4:$A$38,0)),""))</f>
        <v>8</v>
      </c>
      <c r="K49" s="1">
        <f>IF($D49="","",IFERROR(INDEX(技能数据库!$H$4:$H$38,MATCH($D49,技能数据库!$A$4:$A$38,0)),""))</f>
        <v>0</v>
      </c>
      <c r="L49" s="1" t="str">
        <f>IF($D49="","",IFERROR(INDEX(技能数据库!$I$4:$I$38,MATCH($D49,技能数据库!$A$4:$A$38,0)),""))</f>
        <v>37_INSIGHT</v>
      </c>
      <c r="M49" s="10">
        <v>1</v>
      </c>
      <c r="N49" s="1"/>
      <c r="O49" s="1"/>
      <c r="P49" s="1"/>
      <c r="Q49" s="10">
        <f t="shared" si="0"/>
        <v>0</v>
      </c>
      <c r="R49" s="10">
        <v>0</v>
      </c>
      <c r="S49" s="10">
        <v>0</v>
      </c>
      <c r="T49" s="1">
        <f>行动模拟!I55</f>
        <v>0</v>
      </c>
      <c r="U49" s="1">
        <f>IF(FD49&lt;&gt;FD48,IF(BY48=1,IF(MIN(10,CA48+IF(AND(DG49&lt;&gt;DG48,DH48&lt;&gt;"洞穿",SUMIFS($FE$3:FE48,$DG$3:DG48,DG48)=0,BY48=1),3,0))&gt;=10,2,1),IF(BY48=2,IF(BZ48&lt;=1,0,2),0)),BY48)</f>
        <v>2</v>
      </c>
      <c r="V49" s="1">
        <f>IF(FD49&lt;&gt;FD48,IF(BY48=1,IF(MIN(10,CA48+IF(AND(DG49&lt;&gt;DG48,DH48&lt;&gt;"洞穿",SUMIFS($FE$3:FE48,$DG$3:DG48,DG48)=0,BY48=1),3,0))&gt;=10,2,0),IF(BY48=2,MAX(0,BZ48-1),0)),BZ48)</f>
        <v>1</v>
      </c>
      <c r="W49" s="1">
        <f>IF(AND(FD49&lt;&gt;FD48,BY48=2,BZ48&lt;=1),0,MIN(10,CA48+IF(AND(DG49&lt;&gt;DG48,DH48&lt;&gt;"洞穿",SUMIFS($FE$3:FE48,$DG$3:DG48,DG48)=0,BY48=1),3,0)))</f>
        <v>10</v>
      </c>
      <c r="X49" s="1">
        <f t="shared" si="42"/>
        <v>10</v>
      </c>
      <c r="Y49" s="1">
        <f t="shared" si="43"/>
        <v>1</v>
      </c>
      <c r="Z49" s="1">
        <f t="shared" si="44"/>
        <v>13</v>
      </c>
      <c r="AA49" s="1">
        <f t="shared" si="45"/>
        <v>10</v>
      </c>
      <c r="AB49" s="1">
        <f t="shared" si="46"/>
        <v>10</v>
      </c>
      <c r="AC49" s="1">
        <f t="shared" si="47"/>
        <v>0</v>
      </c>
      <c r="AD49" s="1">
        <f t="shared" si="48"/>
        <v>24</v>
      </c>
      <c r="AE49" s="1">
        <f>IF(D49="",0,IF(DG49&lt;&gt;DG48,IFERROR(INDEX(回合状态!$F$7:$F$17,MATCH(DG49,回合状态!$A$7:$A$17,0)),0),CI48))</f>
        <v>15</v>
      </c>
      <c r="AF49" s="10">
        <f t="shared" si="49"/>
        <v>0.4</v>
      </c>
      <c r="AG49" s="1">
        <f t="shared" si="50"/>
        <v>5</v>
      </c>
      <c r="AH49" s="1">
        <f t="shared" si="51"/>
        <v>5</v>
      </c>
      <c r="AI49" s="1">
        <f t="shared" si="52"/>
        <v>4</v>
      </c>
      <c r="AJ49" s="1">
        <f t="shared" si="53"/>
        <v>5</v>
      </c>
      <c r="AK49" s="1">
        <f t="shared" si="54"/>
        <v>4</v>
      </c>
      <c r="AL49" s="1">
        <f t="shared" si="55"/>
        <v>3</v>
      </c>
      <c r="AM49" s="1">
        <f t="shared" si="56"/>
        <v>20</v>
      </c>
      <c r="AN49" s="1">
        <f t="shared" si="57"/>
        <v>4</v>
      </c>
      <c r="AO49" s="1">
        <f t="shared" si="58"/>
        <v>13</v>
      </c>
      <c r="AP49" s="10">
        <f t="shared" si="59"/>
        <v>0.12</v>
      </c>
      <c r="AQ49" s="1">
        <f t="shared" si="60"/>
        <v>5</v>
      </c>
      <c r="AR49" s="10">
        <f t="shared" si="61"/>
        <v>0.3</v>
      </c>
      <c r="AS49" s="1">
        <f t="shared" si="62"/>
        <v>5</v>
      </c>
      <c r="AT49" s="10">
        <f t="shared" si="63"/>
        <v>0.3</v>
      </c>
      <c r="AU49" s="1">
        <f t="shared" si="64"/>
        <v>5</v>
      </c>
      <c r="AV49" s="1">
        <f>MIN(5,SUMIFS($EL$3:EL49,$B$3:B49,"&gt;="&amp;MAX(1,B49-2),$B$3:B49,"&lt;="&amp;B49)+EC49)</f>
        <v>5</v>
      </c>
      <c r="AW49" s="1">
        <f>MIN(6,SUMIFS($EY$3:EY48,$EX$3:EX48,"&gt;="&amp;MAX(1,EX49-Boss参数!$B$87+1),$EX$3:EX48,"&lt;="&amp;EX49))</f>
        <v>4</v>
      </c>
      <c r="AX49" s="1">
        <f>MIN(4,COUNTIFS($B$3:$B$48,"&gt;="&amp;MAX(1,$B49-2),$B$3:$B$48,"&lt;="&amp;$B49,$L$3:$L$48,"37_FOLLOW"))</f>
        <v>4</v>
      </c>
      <c r="AY49" s="9">
        <f>IF($E49="","",IF($E49="系统",0,ROUNDDOWN(INDEX(角色面板!$C$4:$C$7,MATCH($E49,角色面板!$A$4:$A$7,0))*(1+INDEX(角色面板!$C$11:$C$14,MATCH($E49,角色面板!$A$11:$A$14,0))+IF($E49="小瑞安侬",MAX(IF($B49&lt;=$AQ49,$AP49,0),IF(AND($L49="RHI_ATTACK",$EE49&gt;0),0.11+0.01*$G49,0)),0)+IF($E49="J",$AD49*Boss参数!$B$18,0))+IF(FD49&lt;=$AN49,MIN(Boss参数!$B$21,ROUNDDOWN(角色面板!$C$19*Boss参数!$B$20,0)),0)+IF(AND($B49&lt;=$AK49,$E49&lt;&gt;"小瑞安侬"),$DY49,0),0)))</f>
        <v>3505</v>
      </c>
      <c r="AZ49" s="10">
        <f>IF($E49="","",MAX(0,MIN(1,IFERROR(INDEX(角色面板!$G$18:$G$21,MATCH($E49,角色面板!$A$18:$A$21,0)),0)-FC49*Boss参数!$B$89-Boss参数!$E$4)))</f>
        <v>0.76</v>
      </c>
      <c r="BA49" s="10">
        <f>IF(E49="","",(IF($E49="","",IF($E49="红弩箭",Boss参数!$B$80,IF($E49="J",Boss参数!$B$81,IFERROR(INDEX(角色面板!$H$18:$H$21,MATCH($E49,角色面板!$A$18:$A$21,0)),0)))+IF($B49&lt;=$AI49,Boss参数!$B$13,0)+MIN(30,$AM49)*Boss参数!$B$17+IF(AND($L49="LILYA_ULT",$X49&gt;=6),1,0)+IF(AND($Y49=1,$L49="LILYA_INSIGHT"),IF(MOD($AA49+1,3)=0,Boss参数!$B$83,Boss参数!$B$82),IF(AND($Y49=1,$L49="LILYA_FINISH"),Boss参数!$B$84,0))))-FC49*Boss参数!$B$90)</f>
        <v>2.4380000000000002</v>
      </c>
      <c r="BB49" s="10">
        <f>IF($E49="","",IFERROR(INDEX(角色面板!$M$18:$M$21,MATCH($E49,角色面板!$A$18:$A$21,0)),0)+$AW49*Boss参数!$B$12+IF($B49&lt;=$AG49,$AF49,0)+$EI49+IF($L49="LILYA_DIVE",IF($U49=1,IF($G49=1,0.3,IF($G49=2,0.4,0.5)),IF($U49=2,IF($G49=1,0.6,IF($G49=2,0.8,1)),0)),0)+$R49+IF(AND($E49="J",OR($L49="J_COUNTER",$L49="J_HARD")),Boss参数!$B$79,0)+IF(AND(OR(L49="J_COUNTER",L49="J_HARD"),FA49&gt;=Boss参数!$B$59),FA49*Boss参数!$B$40,0))</f>
        <v>0.78</v>
      </c>
      <c r="BC49" s="10">
        <f>IF($E49="","",IFERROR(INDEX(角色面板!$K$18:$K$21,MATCH($E49,角色面板!$A$18:$A$21,0)),0)+IF($B49&lt;=$AH49,Boss参数!$B$46,0)+IF($E49="红弩箭",IF($U49=1,0.6,IF($U49=2,1.2,0))+$W49*0.06,0))-DI49*Boss参数!$B$23</f>
        <v>-0.7</v>
      </c>
      <c r="BD49" s="10">
        <f>IF($E49="","",IFERROR(INDEX(角色面板!$L$18:$L$21,MATCH($E49,角色面板!$A$18:$A$21,0)),0)+IF($B49&lt;=$AH49,Boss参数!$B$46,0)+IF($E49="J",$AL49*Boss参数!$B$16,0)+IF($E49="红弩箭",$X49*0.025,0)+IF(AND($L49="LILYA_ULT",$X49&gt;=6),1,0))-DI49*Boss参数!$B$23</f>
        <v>-0.3</v>
      </c>
      <c r="BE49" s="10">
        <f>IF($E49="","",IF($H49="洞知",IF($E49="红弩箭",$AO49*Boss参数!$B$15,0)+$AX49*Boss参数!$B$14,0))</f>
        <v>0.16</v>
      </c>
      <c r="BF49" s="10">
        <f t="shared" si="1"/>
        <v>0</v>
      </c>
      <c r="BG49" s="10">
        <f>IF($D49="",0,IF(AND($L49&lt;&gt;"LILYA_DIVE",$L49&lt;&gt;"LILYA_ULT",$L49&lt;&gt;"LILYA_INSIGHT",$L49&lt;&gt;"LILYA_FINISH",$L49&lt;&gt;"37_FOLLOW",$L49&lt;&gt;"RHI_ATTACK",$L49&lt;&gt;"RHI_BERRY",$L49&lt;&gt;"J_COUNTER",$L49&lt;&gt;"J_ULT"),$J49,0)+IF($L49="LILYA_DIVE",$J49+IF($U49=1,IF($G49=1,6,IF($G49=2,12,18)),IF($U49=2,IF($G49=1,12,IF($G49=2,24,36)),0)),0)+IF($L49="LILYA_ULT",$J49+IF($X49&gt;=6,18,0),0)+IF($L49="LILYA_INSIGHT",IF($Y49=1,IF(MOD($AA49+1,3)=0,32,15),0),0)+IF($L49="LILYA_FINISH",IF($Y49=1,50+2.5*$Z49,0),0)+IF($L49="37_FOLLOW",$J49,0)+IF($L49="RHI_ATTACK",$J49*IF($B49&lt;=$AJ49,2,1),0)+IF($L49="RHI_BERRY",15+1.5*$AV49,0)+IF($L49="J_COUNTER",$J49+$AD49*Boss参数!$B$39,0)+IF($L49="J_ULT",$J49+Boss参数!$B$45*MAX(0,$AE49+$AD49-Boss参数!$I$4),0)+$S49)</f>
        <v>8</v>
      </c>
      <c r="BH49" s="10">
        <f t="shared" si="2"/>
        <v>0</v>
      </c>
      <c r="BI49" s="10">
        <f>IF(E49="","",IF(DT49=1,1+Boss参数!$B$8+AV49*Boss参数!$B$19,1))</f>
        <v>1.5</v>
      </c>
      <c r="BJ49" s="9">
        <f>IF($I49="现实",Boss参数!$C$4,IF($I49="精神",Boss参数!$D$4,0))</f>
        <v>1000</v>
      </c>
      <c r="BK49" s="9">
        <f>IF($E49="","",MAX($AY49*Boss参数!$B$9,$AY49-$BJ49*(1-$BF49)))</f>
        <v>2505</v>
      </c>
      <c r="BL49" s="10">
        <f>MAX(0,Boss参数!$F$4+IF(DT49=0,Boss参数!$B$27,0)-EJ49)</f>
        <v>0.10000000000000003</v>
      </c>
      <c r="BM49" s="10">
        <f>Boss参数!$G$4+DU49-IF(Y49=1,Boss参数!$B$11,0)</f>
        <v>0.15000000000000002</v>
      </c>
      <c r="BN49" s="10">
        <f>IF($E49="","",MAX(Boss参数!$B$10,1+IFERROR(INDEX(角色面板!$I$18:$I$21,MATCH($E49,角色面板!$A$18:$A$21,0)),0)+$BB49+Boss参数!$H$4-$BM49))</f>
        <v>1.6349999999999998</v>
      </c>
      <c r="BO49" s="10">
        <f>IF(E49="","",IF(OR(L49="J_COUNTER",L49="J_HARD"),MAX(0,1+INDEX(角色面板!$K$18:$K$21,MATCH(E49,角色面板!$A$18:$A$21,0))-DI49*Boss参数!$B$23+IF(OR(Boss参数!$B$43=1,L49="J_HARD"),IF(B49&lt;=AH49,Boss参数!$B$46,0),0)),MAX(0,IF(OR(H49="术法",L49="RHI_BERRY",AND(L49="37_FOLLOW",Boss参数!$B$31=1)),1+BC49,IF(H49="仪式",1+BD49,IF(H49="洞知",EK49,1))))))</f>
        <v>1.56</v>
      </c>
      <c r="BP49" s="10">
        <f t="shared" si="3"/>
        <v>2.3380000000000001</v>
      </c>
      <c r="BQ49" s="1">
        <f t="shared" si="4"/>
        <v>76671.035999999993</v>
      </c>
      <c r="BR49" s="1">
        <f t="shared" si="5"/>
        <v>179256.88216799998</v>
      </c>
      <c r="BS49" s="1">
        <f>IF(BH49=0,0,ROUNDDOWN(AY49*BH49,0)*DV49*IF(Boss参数!$B$29=1,BN49,1)*IF(Boss参数!$B$33=1,BO49,1)*IF(Boss参数!$B$76=1,1-ES49,1))</f>
        <v>0</v>
      </c>
      <c r="BT49" s="1">
        <f t="shared" si="6"/>
        <v>0</v>
      </c>
      <c r="BU49" s="9">
        <f>IF(D49="",0,MIN(IF(Boss参数!$B$77=1,Boss参数!$B$63*Boss参数!$B$62,Boss参数!$B$61*Boss参数!$B$62),DW49+ROUNDDOWN(BS49,0)+ROUNDDOWN(DW49*Q49,0)))</f>
        <v>46002</v>
      </c>
      <c r="BV49" s="9">
        <f>IF(D49="",0,MIN(IF(Boss参数!$B$77=1,Boss参数!$B$63*Boss参数!$B$62,Boss参数!$B$61*Boss参数!$B$62),DX49+ROUNDDOWN(BT49,0)+ROUNDDOWN(DX49*Q49,0)))</f>
        <v>107554</v>
      </c>
      <c r="BW49" s="9">
        <f t="shared" si="7"/>
        <v>92781</v>
      </c>
      <c r="BX49" s="1" t="str">
        <f t="shared" si="8"/>
        <v/>
      </c>
      <c r="BY49" s="1">
        <f t="shared" si="9"/>
        <v>2</v>
      </c>
      <c r="BZ49" s="1">
        <f t="shared" si="10"/>
        <v>1</v>
      </c>
      <c r="CA49" s="1">
        <f>MIN(10,W49+IF(AND(L49="LILYA_COBRA",COUNTIF($L$3:L49,"LILYA_COBRA")=1),5,0)+IF(AND(L49="LILYA_DIVE",U49=1,COUNTIFS($DG$3:DG49,DG49,$L$3:L49,"LILYA_DIVE")=1),2,0)+IF(AND(FE49=1,U49=1),3,0))</f>
        <v>10</v>
      </c>
      <c r="CB49" s="1">
        <f>MIN(20,MAX(0,X49+IF(L49="LILYA_COBRA",IF(COUNTIF($L$3:L49,"LILYA_COBRA")=1,6,IF(U49=1,MAX(1,G49),IF(U49=2,2*MAX(1,G49),0))),0)+IF(AND(Y49=1,E49="红弩箭",L49&lt;&gt;"ENTER_INSIGHT"),1,0)-IF(AND(L49="LILYA_ULT",X49&gt;=6),6,0)))</f>
        <v>10</v>
      </c>
      <c r="CC49" s="1">
        <f t="shared" si="11"/>
        <v>1</v>
      </c>
      <c r="CD49" s="1">
        <f t="shared" si="12"/>
        <v>14</v>
      </c>
      <c r="CE49" s="1">
        <f t="shared" si="13"/>
        <v>10</v>
      </c>
      <c r="CF49" s="1">
        <f t="shared" si="14"/>
        <v>10</v>
      </c>
      <c r="CG49" s="1">
        <f t="shared" si="15"/>
        <v>0</v>
      </c>
      <c r="CH49" s="1">
        <f>MIN(35,AD49+IF(L49="J_HARD",6,0)+IF(L49="J_COUNTER",Boss参数!$B$30,0))</f>
        <v>24</v>
      </c>
      <c r="CI49" s="1">
        <f>MIN(Boss参数!$I$4,AE49+IF(L49="J_HARD",6,0)+IF(L49="J_ULT",AD49,0)+IF(L49="J_COUNTER",Boss参数!$B$30,0))</f>
        <v>15</v>
      </c>
      <c r="CJ49" s="10">
        <f>IF(L49="J_ULT",AD49*Boss参数!$B$41,IF(B49&lt;=AG49,AF49,0))</f>
        <v>0.4</v>
      </c>
      <c r="CK49" s="1">
        <f t="shared" si="16"/>
        <v>5</v>
      </c>
      <c r="CL49" s="1">
        <f t="shared" si="17"/>
        <v>5</v>
      </c>
      <c r="CM49" s="1">
        <f t="shared" si="18"/>
        <v>4</v>
      </c>
      <c r="CN49" s="1">
        <f t="shared" si="19"/>
        <v>5</v>
      </c>
      <c r="CO49" s="1">
        <f t="shared" si="20"/>
        <v>4</v>
      </c>
      <c r="CP49" s="1">
        <f t="shared" si="21"/>
        <v>3</v>
      </c>
      <c r="CQ49" s="1">
        <f t="shared" si="22"/>
        <v>20</v>
      </c>
      <c r="CR49" s="1">
        <f t="shared" si="23"/>
        <v>4</v>
      </c>
      <c r="CS49" s="1">
        <f t="shared" si="24"/>
        <v>14</v>
      </c>
      <c r="CT49" s="10">
        <f t="shared" si="25"/>
        <v>0.12</v>
      </c>
      <c r="CU49" s="1">
        <f t="shared" si="26"/>
        <v>5</v>
      </c>
      <c r="CV49" s="10">
        <f t="shared" si="27"/>
        <v>0.3</v>
      </c>
      <c r="CW49" s="1">
        <f t="shared" si="28"/>
        <v>5</v>
      </c>
      <c r="CX49" s="10">
        <f t="shared" si="29"/>
        <v>0.3</v>
      </c>
      <c r="CY49" s="1">
        <f t="shared" si="30"/>
        <v>5</v>
      </c>
      <c r="CZ49" s="1"/>
      <c r="DA49" s="1"/>
      <c r="DB49" s="1"/>
      <c r="DC49" s="1"/>
      <c r="DD49" s="1"/>
      <c r="DE49" s="1"/>
      <c r="DF49" s="1"/>
      <c r="DG49" s="1" t="str">
        <f>IF(D49="","",行动模拟!B55)</f>
        <v>洞知</v>
      </c>
      <c r="DH49" s="1" t="str">
        <f>IF(L49="END_TURN","回合结束",IF(D49="","",IF(INDEX(回合状态!$C$7:$C$17,MATCH(DG49,回合状态!$A$7:$A$17,0))="洞穿","洞穿",IF(OR(L49="J_COUNTER",L49="BOSS_ACTION",L49="BOSS_CONSERVATIVE"),"敌方",IF(AND(L49="37_FOLLOW",DG49=DG48,DH48="敌方"),"敌方",IF(INDEX(回合状态!$C$7:$C$17,MATCH(DG49,回合状态!$A$7:$A$17,0))="普通","出牌",INDEX(回合状态!$C$7:$C$17,MATCH(DG49,回合状态!$A$7:$A$17,0))))))))</f>
        <v>洞穿</v>
      </c>
      <c r="DI49" s="1">
        <f t="shared" si="31"/>
        <v>4</v>
      </c>
      <c r="DJ49" s="1">
        <f>IF(D49="",0,MIN(Boss参数!$B$25,IF(OR(AND(DH49="敌方",OR(DH48&lt;&gt;"敌方",DG49&lt;&gt;DG48)),AND(L49="END_TURN",DH49&lt;&gt;"洞穿"),AND(DG49&lt;&gt;DG48,DH48&lt;&gt;"洞穿",L48&lt;&gt;"END_TURN",COUNTIFS($DG$3:DG48,DG48,$DH$3:DH48,"敌方")=0)),EW49,DN48)))</f>
        <v>0</v>
      </c>
      <c r="DK49" s="1">
        <f>IF(D49="",0,MIN(Boss参数!$B$25,IF(OR(AND(DH49="敌方",OR(DH48&lt;&gt;"敌方",DG49&lt;&gt;DG48)),AND(L49="END_TURN",DH49&lt;&gt;"洞穿"),AND(DG49&lt;&gt;DG48,DH48&lt;&gt;"洞穿",L48&lt;&gt;"END_TURN",COUNTIFS($DG$3:DG48,DG48,$DH$3:DH48,"敌方")=0)),EW49,DO48)))</f>
        <v>4</v>
      </c>
      <c r="DL49" s="1">
        <f>IF(D49="",0,MIN(Boss参数!$B$25,IF(OR(AND(DH49="敌方",OR(DH48&lt;&gt;"敌方",DG49&lt;&gt;DG48)),AND(L49="END_TURN",DH49&lt;&gt;"洞穿"),AND(DG49&lt;&gt;DG48,DH48&lt;&gt;"洞穿",L48&lt;&gt;"END_TURN",COUNTIFS($DG$3:DG48,DG48,$DH$3:DH48,"敌方")=0)),EW49,DP48)))</f>
        <v>5</v>
      </c>
      <c r="DM49" s="1">
        <f>IF(D49="",0,MIN(Boss参数!$B$25,IF(OR(AND(DH49="敌方",OR(DH48&lt;&gt;"敌方",DG49&lt;&gt;DG48)),AND(L49="END_TURN",DH49&lt;&gt;"洞穿"),AND(DG49&lt;&gt;DG48,DH48&lt;&gt;"洞穿",L48&lt;&gt;"END_TURN",COUNTIFS($DG$3:DG48,DG48,$DH$3:DH48,"敌方")=0)),EW49,DQ48)))</f>
        <v>5</v>
      </c>
      <c r="DN49" s="1">
        <f>MAX(0,MIN(Boss参数!$B$25,DJ49+DR49)-IF(E49="红弩箭",2*DR49,0))</f>
        <v>1</v>
      </c>
      <c r="DO49" s="1">
        <f>MAX(0,MIN(Boss参数!$B$25,DK49+DR49)-IF(E49="37",2*DR49,0))</f>
        <v>3</v>
      </c>
      <c r="DP49" s="1">
        <f>MAX(0,MIN(Boss参数!$B$25,DL49+DR49)-IF(E49="小瑞安侬",2*DR49,0))</f>
        <v>5</v>
      </c>
      <c r="DQ49" s="1">
        <f>MAX(0,MIN(Boss参数!$B$25,DM49+DR49)-IF(E49="J",2*DR49,0))</f>
        <v>5</v>
      </c>
      <c r="DR49" s="1">
        <f t="shared" si="32"/>
        <v>1</v>
      </c>
      <c r="DS49" s="1">
        <f t="shared" si="33"/>
        <v>1</v>
      </c>
      <c r="DT49" s="1">
        <f>IF(OR(E49="",E49="系统"),0,IF(OR(AND(DS49=1,Boss参数!$B$32=1),L49="RHI_BERRY",OR(AND(INDEX(角色面板!$B$18:$B$21,MATCH(E49,角色面板!$A$18:$A$21,0))="星",Boss参数!$B$4="岩"),AND(INDEX(角色面板!$B$18:$B$21,MATCH(E49,角色面板!$A$18:$A$21,0))="岩",Boss参数!$B$4="兽"),AND(INDEX(角色面板!$B$18:$B$21,MATCH(E49,角色面板!$A$18:$A$21,0))="兽",Boss参数!$B$4="木"),AND(INDEX(角色面板!$B$18:$B$21,MATCH(E49,角色面板!$A$18:$A$21,0))="木",Boss参数!$B$4="星"),AND(INDEX(角色面板!$B$18:$B$21,MATCH(E49,角色面板!$A$18:$A$21,0))="智",Boss参数!$B$4="灵"),AND(INDEX(角色面板!$B$18:$B$21,MATCH(E49,角色面板!$A$18:$A$21,0))="灵",Boss参数!$B$4="智"))),1,0))</f>
        <v>1</v>
      </c>
      <c r="DU49" s="1">
        <f>IF(D49="",0,INDEX(回合状态!$E$7:$E$17,MATCH(DG49,回合状态!$A$7:$A$17,0))+IF(AND(DH49="敌方",OR(INDEX(回合状态!$C$7:$C$17,MATCH(DG49,回合状态!$A$7:$A$17,0))="普通",INDEX(回合状态!$C$7:$C$17,MATCH(DG49,回合状态!$A$7:$A$17,0))="额外")),0.05,0))</f>
        <v>0.15000000000000002</v>
      </c>
      <c r="DV49" s="1">
        <f>MAX(Boss参数!$B$28,1+IF(AND(E49="37",AC49&gt;0,BH49&gt;0),Boss参数!$B$42,0)-DI49*Boss参数!$B$24+EA49-ER49)</f>
        <v>0</v>
      </c>
      <c r="DW49" s="1">
        <f>MIN(IF(Boss参数!$B$77=1,Boss参数!$B$63*Boss参数!$B$62,Boss参数!$B$61*Boss参数!$B$62),ROUNDDOWN(BQ49*(1-ES49),0))</f>
        <v>46002</v>
      </c>
      <c r="DX49" s="1">
        <f>MIN(IF(Boss参数!$B$77=1,Boss参数!$B$63*Boss参数!$B$62,Boss参数!$B$61*Boss参数!$B$62),ROUNDDOWN(BR49*(1-ES49),0))</f>
        <v>107554</v>
      </c>
      <c r="DY49" s="1">
        <f t="shared" si="65"/>
        <v>238</v>
      </c>
      <c r="DZ49" s="1">
        <f>IF(L49="RHI_ULT",MIN(Boss参数!$B$48,ROUNDDOWN(AY49*Boss参数!$B$47,0)),DY49)</f>
        <v>238</v>
      </c>
      <c r="EA49" s="11">
        <v>0</v>
      </c>
      <c r="EB49" s="1">
        <f t="shared" si="34"/>
        <v>0</v>
      </c>
      <c r="EC49" s="1">
        <f>SUMIFS($EB$3:EB49,$B$3:B49,"&gt;="&amp;MAX(1,B49-2),$B$3:B49,"&lt;="&amp;B49)*Boss参数!$B$51</f>
        <v>12</v>
      </c>
      <c r="ED49" s="1">
        <f>IF(D49="",EG48,IF(AND(DG49&lt;&gt;DG48,DH49&lt;&gt;"洞穿"),MIN(Boss参数!$B$55,EG48+2),EG48))</f>
        <v>0</v>
      </c>
      <c r="EE49" s="1">
        <f t="shared" si="35"/>
        <v>0</v>
      </c>
      <c r="EF49" s="1">
        <f>IF(AND(OR(L49="END_TURN",AND(DH49="敌方",OR(DH48&lt;&gt;"敌方",DG49&lt;&gt;DG48))),SUMIFS($EF$3:EF48,$DG$3:DG48,DG49)=0),MIN(1,MAX(0,ED49-EE49)),0)</f>
        <v>0</v>
      </c>
      <c r="EG49" s="1">
        <f t="shared" si="36"/>
        <v>0</v>
      </c>
      <c r="EH49" s="11">
        <f>Boss参数!$B$53-IF(Y49=1,Boss参数!$B$54,0)</f>
        <v>-0.4</v>
      </c>
      <c r="EI49" s="11">
        <f t="shared" si="37"/>
        <v>0.3</v>
      </c>
      <c r="EJ49" s="11">
        <f t="shared" si="38"/>
        <v>0.3</v>
      </c>
      <c r="EK49" s="11">
        <f t="shared" si="39"/>
        <v>1.56</v>
      </c>
      <c r="EL49" s="1">
        <f t="shared" si="66"/>
        <v>0</v>
      </c>
      <c r="EM49" s="1">
        <f>IF(AND(DG49&lt;&gt;DG48,DH49="洞穿"),0,IF(L49="ENTER_INSIGHT",Boss参数!$B$57,EO48))</f>
        <v>0</v>
      </c>
      <c r="EN49" s="11">
        <f>IF(AND(Y49=1,H49="洞知",EM49&gt;0),Boss参数!$B$56,0)</f>
        <v>0</v>
      </c>
      <c r="EO49" s="1">
        <f t="shared" si="40"/>
        <v>1</v>
      </c>
      <c r="EP49" s="12">
        <f t="shared" si="67"/>
        <v>9268768</v>
      </c>
      <c r="EQ49" s="12">
        <f>ROUNDDOWN(EP49/Boss参数!$B$62,0)</f>
        <v>92</v>
      </c>
      <c r="ER49" s="11">
        <f>IF(EQ49&gt;=Boss参数!$B$66,Boss参数!$B$69,IF(EQ49&gt;=Boss参数!$B$65,Boss参数!$B$68,IF(EQ49&gt;=Boss参数!$B$64,Boss参数!$B$67,0)))</f>
        <v>0.6</v>
      </c>
      <c r="ES49" s="11">
        <f>MIN(1,IF(EQ49&gt;=Boss参数!$B$66,Boss参数!$B$72+ROUNDDOWN((EQ49-Boss参数!$B$66)/Boss参数!$B$73,0)*Boss参数!$B$74,IF(EQ49&gt;=Boss参数!$B$65,Boss参数!$B$71,IF(EQ49&gt;=Boss参数!$B$64,Boss参数!$B$70,0))))</f>
        <v>0.4</v>
      </c>
      <c r="ET49" s="12">
        <f>MIN(Boss参数!$B$61*Boss参数!$B$62,EP49+IF(AND(Boss参数!$B$60=1,ISNUMBER(验证表!H55)),验证表!H55,EU49))</f>
        <v>9376322</v>
      </c>
      <c r="EU49" s="12">
        <f>IF(D49="",0,IF(验证表!G55="是",BV49,IF(验证表!G55="否",BU49,BW49)))</f>
        <v>107554</v>
      </c>
      <c r="EV49" s="12">
        <f>IF(EQ49&gt;=Boss参数!$B$66,2,IF(EQ49&gt;=Boss参数!$B$65,1,0))</f>
        <v>1</v>
      </c>
      <c r="EW49" s="12">
        <f t="shared" si="41"/>
        <v>2</v>
      </c>
      <c r="EX49" s="1">
        <f>IF(D49="",0,INDEX(回合状态!$D$7:$D$17,MATCH(DG49,回合状态!$A$7:$A$17,0)))</f>
        <v>4</v>
      </c>
      <c r="EY49" s="1">
        <f>IF(OR(L49="RHI_ATTACK",L49="RHI_BUFF"),1,IF(L49="RHI_ULT",Boss参数!$B$52,0))</f>
        <v>0</v>
      </c>
      <c r="EZ49" s="1">
        <f>MIN(6,SUMIFS($EY$3:EY49,$EX$3:EX49,"&gt;="&amp;MAX(1,EX49-Boss参数!$B$87+1),$EX$3:EX49,"&lt;="&amp;EX49))</f>
        <v>4</v>
      </c>
      <c r="FA49" s="1">
        <f t="shared" si="68"/>
        <v>24</v>
      </c>
      <c r="FB49" s="17">
        <f>IF(L49="BOSS_CONSERVATIVE",B49+Boss参数!$B$91,FB48)</f>
        <v>0</v>
      </c>
      <c r="FC49" s="17">
        <f t="shared" si="69"/>
        <v>0</v>
      </c>
      <c r="FD49" s="17">
        <f>IF(D49="",FD48,FD48+IF(AND(DG49&lt;&gt;DG48,INDEX(回合状态!$C$7:$C$17,MATCH(DG49,回合状态!$A$7:$A$17,0))&lt;&gt;"洞穿"),1,0))</f>
        <v>3</v>
      </c>
      <c r="FE49" s="17">
        <f>IF(D49="",0,IF(AND(OR(L49="END_TURN",DH49="敌方"),INDEX(回合状态!$C$7:$C$17,MATCH(DG49,回合状态!$A$7:$A$17,0))&lt;&gt;"洞穿",SUMIFS($FE$3:FE48,$DG$3:DG48,DG49)=0),1,0))</f>
        <v>0</v>
      </c>
    </row>
    <row r="50" spans="1:161" ht="84.95" customHeight="1">
      <c r="A50" s="1">
        <f>行动模拟!A56</f>
        <v>48</v>
      </c>
      <c r="B50" s="1">
        <f>IF(D50="",0,INDEX(回合状态!$B$7:$B$17,MATCH(DG50,回合状态!$A$7:$A$17,0)))</f>
        <v>3</v>
      </c>
      <c r="C50" s="1">
        <f>行动模拟!C56</f>
        <v>16</v>
      </c>
      <c r="D50" s="1" t="str">
        <f>IF(行动模拟!D56="","",行动模拟!D56)</f>
        <v>37｜洞知咒语</v>
      </c>
      <c r="E50" s="1" t="str">
        <f>IF($D50="","",IFERROR(INDEX(技能数据库!$B$4:$B$38,MATCH($D50,技能数据库!$A$4:$A$38,0)),""))</f>
        <v>37</v>
      </c>
      <c r="F50" s="1" t="str">
        <f>IF($D50="","",IFERROR(INDEX(技能数据库!$C$4:$C$38,MATCH($D50,技能数据库!$A$4:$A$38,0)),""))</f>
        <v>洞知咒语</v>
      </c>
      <c r="G50" s="1">
        <f>IF($D50="","",IFERROR(INDEX(技能数据库!$D$4:$D$38,MATCH($D50,技能数据库!$A$4:$A$38,0)),""))</f>
        <v>0</v>
      </c>
      <c r="H50" s="1" t="str">
        <f>IF($D50="","",IFERROR(INDEX(技能数据库!$E$4:$E$38,MATCH($D50,技能数据库!$A$4:$A$38,0)),""))</f>
        <v>洞知</v>
      </c>
      <c r="I50" s="1" t="str">
        <f>IF($D50="","",IFERROR(INDEX(技能数据库!$F$4:$F$38,MATCH($D50,技能数据库!$A$4:$A$38,0)),""))</f>
        <v>精神</v>
      </c>
      <c r="J50" s="1">
        <f>IF($D50="","",IFERROR(INDEX(技能数据库!$G$4:$G$38,MATCH($D50,技能数据库!$A$4:$A$38,0)),""))</f>
        <v>8</v>
      </c>
      <c r="K50" s="1">
        <f>IF($D50="","",IFERROR(INDEX(技能数据库!$H$4:$H$38,MATCH($D50,技能数据库!$A$4:$A$38,0)),""))</f>
        <v>0</v>
      </c>
      <c r="L50" s="1" t="str">
        <f>IF($D50="","",IFERROR(INDEX(技能数据库!$I$4:$I$38,MATCH($D50,技能数据库!$A$4:$A$38,0)),""))</f>
        <v>37_INSIGHT</v>
      </c>
      <c r="M50" s="10">
        <v>1</v>
      </c>
      <c r="N50" s="1"/>
      <c r="O50" s="1"/>
      <c r="P50" s="1"/>
      <c r="Q50" s="10">
        <f t="shared" si="0"/>
        <v>0.4</v>
      </c>
      <c r="R50" s="10">
        <v>0</v>
      </c>
      <c r="S50" s="10">
        <v>0</v>
      </c>
      <c r="T50" s="1" t="str">
        <f>行动模拟!I56</f>
        <v>稳态本源自动：先消耗已有两分悖论；37攻击后再获得1层。</v>
      </c>
      <c r="U50" s="1">
        <f>IF(FD50&lt;&gt;FD49,IF(BY49=1,IF(MIN(10,CA49+IF(AND(DG50&lt;&gt;DG49,DH49&lt;&gt;"洞穿",SUMIFS($FE$3:FE49,$DG$3:DG49,DG49)=0,BY49=1),3,0))&gt;=10,2,1),IF(BY49=2,IF(BZ49&lt;=1,0,2),0)),BY49)</f>
        <v>2</v>
      </c>
      <c r="V50" s="1">
        <f>IF(FD50&lt;&gt;FD49,IF(BY49=1,IF(MIN(10,CA49+IF(AND(DG50&lt;&gt;DG49,DH49&lt;&gt;"洞穿",SUMIFS($FE$3:FE49,$DG$3:DG49,DG49)=0,BY49=1),3,0))&gt;=10,2,0),IF(BY49=2,MAX(0,BZ49-1),0)),BZ49)</f>
        <v>1</v>
      </c>
      <c r="W50" s="1">
        <f>IF(AND(FD50&lt;&gt;FD49,BY49=2,BZ49&lt;=1),0,MIN(10,CA49+IF(AND(DG50&lt;&gt;DG49,DH49&lt;&gt;"洞穿",SUMIFS($FE$3:FE49,$DG$3:DG49,DG49)=0,BY49=1),3,0)))</f>
        <v>10</v>
      </c>
      <c r="X50" s="1">
        <f t="shared" si="42"/>
        <v>10</v>
      </c>
      <c r="Y50" s="1">
        <f t="shared" si="43"/>
        <v>1</v>
      </c>
      <c r="Z50" s="1">
        <f t="shared" si="44"/>
        <v>14</v>
      </c>
      <c r="AA50" s="1">
        <f t="shared" si="45"/>
        <v>10</v>
      </c>
      <c r="AB50" s="1">
        <f t="shared" si="46"/>
        <v>10</v>
      </c>
      <c r="AC50" s="1">
        <f t="shared" si="47"/>
        <v>0</v>
      </c>
      <c r="AD50" s="1">
        <f t="shared" si="48"/>
        <v>24</v>
      </c>
      <c r="AE50" s="1">
        <f>IF(D50="",0,IF(DG50&lt;&gt;DG49,IFERROR(INDEX(回合状态!$F$7:$F$17,MATCH(DG50,回合状态!$A$7:$A$17,0)),0),CI49))</f>
        <v>15</v>
      </c>
      <c r="AF50" s="10">
        <f t="shared" si="49"/>
        <v>0.4</v>
      </c>
      <c r="AG50" s="1">
        <f t="shared" si="50"/>
        <v>5</v>
      </c>
      <c r="AH50" s="1">
        <f t="shared" si="51"/>
        <v>5</v>
      </c>
      <c r="AI50" s="1">
        <f t="shared" si="52"/>
        <v>4</v>
      </c>
      <c r="AJ50" s="1">
        <f t="shared" si="53"/>
        <v>5</v>
      </c>
      <c r="AK50" s="1">
        <f t="shared" si="54"/>
        <v>4</v>
      </c>
      <c r="AL50" s="1">
        <f t="shared" si="55"/>
        <v>3</v>
      </c>
      <c r="AM50" s="1">
        <f t="shared" si="56"/>
        <v>20</v>
      </c>
      <c r="AN50" s="1">
        <f t="shared" si="57"/>
        <v>4</v>
      </c>
      <c r="AO50" s="1">
        <f t="shared" si="58"/>
        <v>14</v>
      </c>
      <c r="AP50" s="10">
        <f t="shared" si="59"/>
        <v>0.12</v>
      </c>
      <c r="AQ50" s="1">
        <f t="shared" si="60"/>
        <v>5</v>
      </c>
      <c r="AR50" s="10">
        <f t="shared" si="61"/>
        <v>0.3</v>
      </c>
      <c r="AS50" s="1">
        <f t="shared" si="62"/>
        <v>5</v>
      </c>
      <c r="AT50" s="10">
        <f t="shared" si="63"/>
        <v>0.3</v>
      </c>
      <c r="AU50" s="1">
        <f t="shared" si="64"/>
        <v>5</v>
      </c>
      <c r="AV50" s="1">
        <f>MIN(5,SUMIFS($EL$3:EL50,$B$3:B50,"&gt;="&amp;MAX(1,B50-2),$B$3:B50,"&lt;="&amp;B50)+EC50)</f>
        <v>5</v>
      </c>
      <c r="AW50" s="1">
        <f>MIN(6,SUMIFS($EY$3:EY49,$EX$3:EX49,"&gt;="&amp;MAX(1,EX50-Boss参数!$B$87+1),$EX$3:EX49,"&lt;="&amp;EX50))</f>
        <v>4</v>
      </c>
      <c r="AX50" s="1">
        <f>MIN(4,COUNTIFS($B$3:$B$49,"&gt;="&amp;MAX(1,$B50-2),$B$3:$B$49,"&lt;="&amp;$B50,$L$3:$L$49,"37_FOLLOW"))</f>
        <v>4</v>
      </c>
      <c r="AY50" s="9">
        <f>IF($E50="","",IF($E50="系统",0,ROUNDDOWN(INDEX(角色面板!$C$4:$C$7,MATCH($E50,角色面板!$A$4:$A$7,0))*(1+INDEX(角色面板!$C$11:$C$14,MATCH($E50,角色面板!$A$11:$A$14,0))+IF($E50="小瑞安侬",MAX(IF($B50&lt;=$AQ50,$AP50,0),IF(AND($L50="RHI_ATTACK",$EE50&gt;0),0.11+0.01*$G50,0)),0)+IF($E50="J",$AD50*Boss参数!$B$18,0))+IF(FD50&lt;=$AN50,MIN(Boss参数!$B$21,ROUNDDOWN(角色面板!$C$19*Boss参数!$B$20,0)),0)+IF(AND($B50&lt;=$AK50,$E50&lt;&gt;"小瑞安侬"),$DY50,0),0)))</f>
        <v>3505</v>
      </c>
      <c r="AZ50" s="10">
        <f>IF($E50="","",MAX(0,MIN(1,IFERROR(INDEX(角色面板!$G$18:$G$21,MATCH($E50,角色面板!$A$18:$A$21,0)),0)-FC50*Boss参数!$B$89-Boss参数!$E$4)))</f>
        <v>0.76</v>
      </c>
      <c r="BA50" s="10">
        <f>IF(E50="","",(IF($E50="","",IF($E50="红弩箭",Boss参数!$B$80,IF($E50="J",Boss参数!$B$81,IFERROR(INDEX(角色面板!$H$18:$H$21,MATCH($E50,角色面板!$A$18:$A$21,0)),0)))+IF($B50&lt;=$AI50,Boss参数!$B$13,0)+MIN(30,$AM50)*Boss参数!$B$17+IF(AND($L50="LILYA_ULT",$X50&gt;=6),1,0)+IF(AND($Y50=1,$L50="LILYA_INSIGHT"),IF(MOD($AA50+1,3)=0,Boss参数!$B$83,Boss参数!$B$82),IF(AND($Y50=1,$L50="LILYA_FINISH"),Boss参数!$B$84,0))))-FC50*Boss参数!$B$90)</f>
        <v>2.4380000000000002</v>
      </c>
      <c r="BB50" s="10">
        <f>IF($E50="","",IFERROR(INDEX(角色面板!$M$18:$M$21,MATCH($E50,角色面板!$A$18:$A$21,0)),0)+$AW50*Boss参数!$B$12+IF($B50&lt;=$AG50,$AF50,0)+$EI50+IF($L50="LILYA_DIVE",IF($U50=1,IF($G50=1,0.3,IF($G50=2,0.4,0.5)),IF($U50=2,IF($G50=1,0.6,IF($G50=2,0.8,1)),0)),0)+$R50+IF(AND($E50="J",OR($L50="J_COUNTER",$L50="J_HARD")),Boss参数!$B$79,0)+IF(AND(OR(L50="J_COUNTER",L50="J_HARD"),FA50&gt;=Boss参数!$B$59),FA50*Boss参数!$B$40,0))</f>
        <v>0.78</v>
      </c>
      <c r="BC50" s="10">
        <f>IF($E50="","",IFERROR(INDEX(角色面板!$K$18:$K$21,MATCH($E50,角色面板!$A$18:$A$21,0)),0)+IF($B50&lt;=$AH50,Boss参数!$B$46,0)+IF($E50="红弩箭",IF($U50=1,0.6,IF($U50=2,1.2,0))+$W50*0.06,0))-DI50*Boss参数!$B$23</f>
        <v>-0.55000000000000004</v>
      </c>
      <c r="BD50" s="10">
        <f>IF($E50="","",IFERROR(INDEX(角色面板!$L$18:$L$21,MATCH($E50,角色面板!$A$18:$A$21,0)),0)+IF($B50&lt;=$AH50,Boss参数!$B$46,0)+IF($E50="J",$AL50*Boss参数!$B$16,0)+IF($E50="红弩箭",$X50*0.025,0)+IF(AND($L50="LILYA_ULT",$X50&gt;=6),1,0))-DI50*Boss参数!$B$23</f>
        <v>-0.14999999999999997</v>
      </c>
      <c r="BE50" s="10">
        <f>IF($E50="","",IF($H50="洞知",IF($E50="红弩箭",$AO50*Boss参数!$B$15,0)+$AX50*Boss参数!$B$14,0))</f>
        <v>0.16</v>
      </c>
      <c r="BF50" s="10">
        <f t="shared" si="1"/>
        <v>0</v>
      </c>
      <c r="BG50" s="10">
        <f>IF($D50="",0,IF(AND($L50&lt;&gt;"LILYA_DIVE",$L50&lt;&gt;"LILYA_ULT",$L50&lt;&gt;"LILYA_INSIGHT",$L50&lt;&gt;"LILYA_FINISH",$L50&lt;&gt;"37_FOLLOW",$L50&lt;&gt;"RHI_ATTACK",$L50&lt;&gt;"RHI_BERRY",$L50&lt;&gt;"J_COUNTER",$L50&lt;&gt;"J_ULT"),$J50,0)+IF($L50="LILYA_DIVE",$J50+IF($U50=1,IF($G50=1,6,IF($G50=2,12,18)),IF($U50=2,IF($G50=1,12,IF($G50=2,24,36)),0)),0)+IF($L50="LILYA_ULT",$J50+IF($X50&gt;=6,18,0),0)+IF($L50="LILYA_INSIGHT",IF($Y50=1,IF(MOD($AA50+1,3)=0,32,15),0),0)+IF($L50="LILYA_FINISH",IF($Y50=1,50+2.5*$Z50,0),0)+IF($L50="37_FOLLOW",$J50,0)+IF($L50="RHI_ATTACK",$J50*IF($B50&lt;=$AJ50,2,1),0)+IF($L50="RHI_BERRY",15+1.5*$AV50,0)+IF($L50="J_COUNTER",$J50+$AD50*Boss参数!$B$39,0)+IF($L50="J_ULT",$J50+Boss参数!$B$45*MAX(0,$AE50+$AD50-Boss参数!$I$4),0)+$S50)</f>
        <v>8</v>
      </c>
      <c r="BH50" s="10">
        <f t="shared" si="2"/>
        <v>0</v>
      </c>
      <c r="BI50" s="10">
        <f>IF(E50="","",IF(DT50=1,1+Boss参数!$B$8+AV50*Boss参数!$B$19,1))</f>
        <v>1.5</v>
      </c>
      <c r="BJ50" s="9">
        <f>IF($I50="现实",Boss参数!$C$4,IF($I50="精神",Boss参数!$D$4,0))</f>
        <v>1000</v>
      </c>
      <c r="BK50" s="9">
        <f>IF($E50="","",MAX($AY50*Boss参数!$B$9,$AY50-$BJ50*(1-$BF50)))</f>
        <v>2505</v>
      </c>
      <c r="BL50" s="10">
        <f>MAX(0,Boss参数!$F$4+IF(DT50=0,Boss参数!$B$27,0)-EJ50)</f>
        <v>0.10000000000000003</v>
      </c>
      <c r="BM50" s="10">
        <f>Boss参数!$G$4+DU50-IF(Y50=1,Boss参数!$B$11,0)</f>
        <v>0.15000000000000002</v>
      </c>
      <c r="BN50" s="10">
        <f>IF($E50="","",MAX(Boss参数!$B$10,1+IFERROR(INDEX(角色面板!$I$18:$I$21,MATCH($E50,角色面板!$A$18:$A$21,0)),0)+$BB50+Boss参数!$H$4-$BM50))</f>
        <v>1.6349999999999998</v>
      </c>
      <c r="BO50" s="10">
        <f>IF(E50="","",IF(OR(L50="J_COUNTER",L50="J_HARD"),MAX(0,1+INDEX(角色面板!$K$18:$K$21,MATCH(E50,角色面板!$A$18:$A$21,0))-DI50*Boss参数!$B$23+IF(OR(Boss参数!$B$43=1,L50="J_HARD"),IF(B50&lt;=AH50,Boss参数!$B$46,0),0)),MAX(0,IF(OR(H50="术法",L50="RHI_BERRY",AND(L50="37_FOLLOW",Boss参数!$B$31=1)),1+BC50,IF(H50="仪式",1+BD50,IF(H50="洞知",EK50,1))))))</f>
        <v>1.56</v>
      </c>
      <c r="BP50" s="10">
        <f t="shared" si="3"/>
        <v>2.3380000000000001</v>
      </c>
      <c r="BQ50" s="1">
        <f t="shared" si="4"/>
        <v>76671.035999999993</v>
      </c>
      <c r="BR50" s="1">
        <f t="shared" si="5"/>
        <v>179256.88216799998</v>
      </c>
      <c r="BS50" s="1">
        <f>IF(BH50=0,0,ROUNDDOWN(AY50*BH50,0)*DV50*IF(Boss参数!$B$29=1,BN50,1)*IF(Boss参数!$B$33=1,BO50,1)*IF(Boss参数!$B$76=1,1-ES50,1))</f>
        <v>0</v>
      </c>
      <c r="BT50" s="1">
        <f t="shared" si="6"/>
        <v>0</v>
      </c>
      <c r="BU50" s="9">
        <f>IF(D50="",0,MIN(IF(Boss参数!$B$77=1,Boss参数!$B$63*Boss参数!$B$62,Boss参数!$B$61*Boss参数!$B$62),DW50+ROUNDDOWN(BS50,0)+ROUNDDOWN(DW50*Q50,0)))</f>
        <v>64402</v>
      </c>
      <c r="BV50" s="9">
        <f>IF(D50="",0,MIN(IF(Boss参数!$B$77=1,Boss参数!$B$63*Boss参数!$B$62,Boss参数!$B$61*Boss参数!$B$62),DX50+ROUNDDOWN(BT50,0)+ROUNDDOWN(DX50*Q50,0)))</f>
        <v>150575</v>
      </c>
      <c r="BW50" s="9">
        <f t="shared" si="7"/>
        <v>129893</v>
      </c>
      <c r="BX50" s="1" t="str">
        <f t="shared" si="8"/>
        <v/>
      </c>
      <c r="BY50" s="1">
        <f t="shared" si="9"/>
        <v>2</v>
      </c>
      <c r="BZ50" s="1">
        <f t="shared" si="10"/>
        <v>1</v>
      </c>
      <c r="CA50" s="1">
        <f>MIN(10,W50+IF(AND(L50="LILYA_COBRA",COUNTIF($L$3:L50,"LILYA_COBRA")=1),5,0)+IF(AND(L50="LILYA_DIVE",U50=1,COUNTIFS($DG$3:DG50,DG50,$L$3:L50,"LILYA_DIVE")=1),2,0)+IF(AND(FE50=1,U50=1),3,0))</f>
        <v>10</v>
      </c>
      <c r="CB50" s="1">
        <f>MIN(20,MAX(0,X50+IF(L50="LILYA_COBRA",IF(COUNTIF($L$3:L50,"LILYA_COBRA")=1,6,IF(U50=1,MAX(1,G50),IF(U50=2,2*MAX(1,G50),0))),0)+IF(AND(Y50=1,E50="红弩箭",L50&lt;&gt;"ENTER_INSIGHT"),1,0)-IF(AND(L50="LILYA_ULT",X50&gt;=6),6,0)))</f>
        <v>10</v>
      </c>
      <c r="CC50" s="1">
        <f t="shared" si="11"/>
        <v>1</v>
      </c>
      <c r="CD50" s="1">
        <f t="shared" si="12"/>
        <v>15</v>
      </c>
      <c r="CE50" s="1">
        <f t="shared" si="13"/>
        <v>10</v>
      </c>
      <c r="CF50" s="1">
        <f t="shared" si="14"/>
        <v>10</v>
      </c>
      <c r="CG50" s="1">
        <f t="shared" si="15"/>
        <v>0</v>
      </c>
      <c r="CH50" s="1">
        <f>MIN(35,AD50+IF(L50="J_HARD",6,0)+IF(L50="J_COUNTER",Boss参数!$B$30,0))</f>
        <v>24</v>
      </c>
      <c r="CI50" s="1">
        <f>MIN(Boss参数!$I$4,AE50+IF(L50="J_HARD",6,0)+IF(L50="J_ULT",AD50,0)+IF(L50="J_COUNTER",Boss参数!$B$30,0))</f>
        <v>15</v>
      </c>
      <c r="CJ50" s="10">
        <f>IF(L50="J_ULT",AD50*Boss参数!$B$41,IF(B50&lt;=AG50,AF50,0))</f>
        <v>0.4</v>
      </c>
      <c r="CK50" s="1">
        <f t="shared" si="16"/>
        <v>5</v>
      </c>
      <c r="CL50" s="1">
        <f t="shared" si="17"/>
        <v>5</v>
      </c>
      <c r="CM50" s="1">
        <f t="shared" si="18"/>
        <v>4</v>
      </c>
      <c r="CN50" s="1">
        <f t="shared" si="19"/>
        <v>5</v>
      </c>
      <c r="CO50" s="1">
        <f t="shared" si="20"/>
        <v>4</v>
      </c>
      <c r="CP50" s="1">
        <f t="shared" si="21"/>
        <v>3</v>
      </c>
      <c r="CQ50" s="1">
        <f t="shared" si="22"/>
        <v>20</v>
      </c>
      <c r="CR50" s="1">
        <f t="shared" si="23"/>
        <v>4</v>
      </c>
      <c r="CS50" s="1">
        <f t="shared" si="24"/>
        <v>15</v>
      </c>
      <c r="CT50" s="10">
        <f t="shared" si="25"/>
        <v>0.12</v>
      </c>
      <c r="CU50" s="1">
        <f t="shared" si="26"/>
        <v>5</v>
      </c>
      <c r="CV50" s="10">
        <f t="shared" si="27"/>
        <v>0.3</v>
      </c>
      <c r="CW50" s="1">
        <f t="shared" si="28"/>
        <v>5</v>
      </c>
      <c r="CX50" s="10">
        <f t="shared" si="29"/>
        <v>0.3</v>
      </c>
      <c r="CY50" s="1">
        <f t="shared" si="30"/>
        <v>5</v>
      </c>
      <c r="CZ50" s="1"/>
      <c r="DA50" s="1"/>
      <c r="DB50" s="1"/>
      <c r="DC50" s="1"/>
      <c r="DD50" s="1"/>
      <c r="DE50" s="1"/>
      <c r="DF50" s="1"/>
      <c r="DG50" s="1" t="str">
        <f>IF(D50="","",行动模拟!B56)</f>
        <v>洞知</v>
      </c>
      <c r="DH50" s="1" t="str">
        <f>IF(L50="END_TURN","回合结束",IF(D50="","",IF(INDEX(回合状态!$C$7:$C$17,MATCH(DG50,回合状态!$A$7:$A$17,0))="洞穿","洞穿",IF(OR(L50="J_COUNTER",L50="BOSS_ACTION",L50="BOSS_CONSERVATIVE"),"敌方",IF(AND(L50="37_FOLLOW",DG50=DG49,DH49="敌方"),"敌方",IF(INDEX(回合状态!$C$7:$C$17,MATCH(DG50,回合状态!$A$7:$A$17,0))="普通","出牌",INDEX(回合状态!$C$7:$C$17,MATCH(DG50,回合状态!$A$7:$A$17,0))))))))</f>
        <v>洞穿</v>
      </c>
      <c r="DI50" s="1">
        <f t="shared" si="31"/>
        <v>3</v>
      </c>
      <c r="DJ50" s="1">
        <f>IF(D50="",0,MIN(Boss参数!$B$25,IF(OR(AND(DH50="敌方",OR(DH49&lt;&gt;"敌方",DG50&lt;&gt;DG49)),AND(L50="END_TURN",DH50&lt;&gt;"洞穿"),AND(DG50&lt;&gt;DG49,DH49&lt;&gt;"洞穿",L49&lt;&gt;"END_TURN",COUNTIFS($DG$3:DG49,DG49,$DH$3:DH49,"敌方")=0)),EW50,DN49)))</f>
        <v>1</v>
      </c>
      <c r="DK50" s="1">
        <f>IF(D50="",0,MIN(Boss参数!$B$25,IF(OR(AND(DH50="敌方",OR(DH49&lt;&gt;"敌方",DG50&lt;&gt;DG49)),AND(L50="END_TURN",DH50&lt;&gt;"洞穿"),AND(DG50&lt;&gt;DG49,DH49&lt;&gt;"洞穿",L49&lt;&gt;"END_TURN",COUNTIFS($DG$3:DG49,DG49,$DH$3:DH49,"敌方")=0)),EW50,DO49)))</f>
        <v>3</v>
      </c>
      <c r="DL50" s="1">
        <f>IF(D50="",0,MIN(Boss参数!$B$25,IF(OR(AND(DH50="敌方",OR(DH49&lt;&gt;"敌方",DG50&lt;&gt;DG49)),AND(L50="END_TURN",DH50&lt;&gt;"洞穿"),AND(DG50&lt;&gt;DG49,DH49&lt;&gt;"洞穿",L49&lt;&gt;"END_TURN",COUNTIFS($DG$3:DG49,DG49,$DH$3:DH49,"敌方")=0)),EW50,DP49)))</f>
        <v>5</v>
      </c>
      <c r="DM50" s="1">
        <f>IF(D50="",0,MIN(Boss参数!$B$25,IF(OR(AND(DH50="敌方",OR(DH49&lt;&gt;"敌方",DG50&lt;&gt;DG49)),AND(L50="END_TURN",DH50&lt;&gt;"洞穿"),AND(DG50&lt;&gt;DG49,DH49&lt;&gt;"洞穿",L49&lt;&gt;"END_TURN",COUNTIFS($DG$3:DG49,DG49,$DH$3:DH49,"敌方")=0)),EW50,DQ49)))</f>
        <v>5</v>
      </c>
      <c r="DN50" s="1">
        <f>MAX(0,MIN(Boss参数!$B$25,DJ50+DR50)-IF(E50="红弩箭",2*DR50,0))</f>
        <v>2</v>
      </c>
      <c r="DO50" s="1">
        <f>MAX(0,MIN(Boss参数!$B$25,DK50+DR50)-IF(E50="37",2*DR50,0))</f>
        <v>2</v>
      </c>
      <c r="DP50" s="1">
        <f>MAX(0,MIN(Boss参数!$B$25,DL50+DR50)-IF(E50="小瑞安侬",2*DR50,0))</f>
        <v>5</v>
      </c>
      <c r="DQ50" s="1">
        <f>MAX(0,MIN(Boss参数!$B$25,DM50+DR50)-IF(E50="J",2*DR50,0))</f>
        <v>5</v>
      </c>
      <c r="DR50" s="1">
        <f t="shared" si="32"/>
        <v>1</v>
      </c>
      <c r="DS50" s="1">
        <f t="shared" si="33"/>
        <v>1</v>
      </c>
      <c r="DT50" s="1">
        <f>IF(OR(E50="",E50="系统"),0,IF(OR(AND(DS50=1,Boss参数!$B$32=1),L50="RHI_BERRY",OR(AND(INDEX(角色面板!$B$18:$B$21,MATCH(E50,角色面板!$A$18:$A$21,0))="星",Boss参数!$B$4="岩"),AND(INDEX(角色面板!$B$18:$B$21,MATCH(E50,角色面板!$A$18:$A$21,0))="岩",Boss参数!$B$4="兽"),AND(INDEX(角色面板!$B$18:$B$21,MATCH(E50,角色面板!$A$18:$A$21,0))="兽",Boss参数!$B$4="木"),AND(INDEX(角色面板!$B$18:$B$21,MATCH(E50,角色面板!$A$18:$A$21,0))="木",Boss参数!$B$4="星"),AND(INDEX(角色面板!$B$18:$B$21,MATCH(E50,角色面板!$A$18:$A$21,0))="智",Boss参数!$B$4="灵"),AND(INDEX(角色面板!$B$18:$B$21,MATCH(E50,角色面板!$A$18:$A$21,0))="灵",Boss参数!$B$4="智"))),1,0))</f>
        <v>1</v>
      </c>
      <c r="DU50" s="1">
        <f>IF(D50="",0,INDEX(回合状态!$E$7:$E$17,MATCH(DG50,回合状态!$A$7:$A$17,0))+IF(AND(DH50="敌方",OR(INDEX(回合状态!$C$7:$C$17,MATCH(DG50,回合状态!$A$7:$A$17,0))="普通",INDEX(回合状态!$C$7:$C$17,MATCH(DG50,回合状态!$A$7:$A$17,0))="额外")),0.05,0))</f>
        <v>0.15000000000000002</v>
      </c>
      <c r="DV50" s="1">
        <f>MAX(Boss参数!$B$28,1+IF(AND(E50="37",AC50&gt;0,BH50&gt;0),Boss参数!$B$42,0)-DI50*Boss参数!$B$24+EA50-ER50)</f>
        <v>0</v>
      </c>
      <c r="DW50" s="1">
        <f>MIN(IF(Boss参数!$B$77=1,Boss参数!$B$63*Boss参数!$B$62,Boss参数!$B$61*Boss参数!$B$62),ROUNDDOWN(BQ50*(1-ES50),0))</f>
        <v>46002</v>
      </c>
      <c r="DX50" s="1">
        <f>MIN(IF(Boss参数!$B$77=1,Boss参数!$B$63*Boss参数!$B$62,Boss参数!$B$61*Boss参数!$B$62),ROUNDDOWN(BR50*(1-ES50),0))</f>
        <v>107554</v>
      </c>
      <c r="DY50" s="1">
        <f t="shared" si="65"/>
        <v>238</v>
      </c>
      <c r="DZ50" s="1">
        <f>IF(L50="RHI_ULT",MIN(Boss参数!$B$48,ROUNDDOWN(AY50*Boss参数!$B$47,0)),DY50)</f>
        <v>238</v>
      </c>
      <c r="EA50" s="11">
        <v>0</v>
      </c>
      <c r="EB50" s="1">
        <f t="shared" si="34"/>
        <v>0</v>
      </c>
      <c r="EC50" s="1">
        <f>SUMIFS($EB$3:EB50,$B$3:B50,"&gt;="&amp;MAX(1,B50-2),$B$3:B50,"&lt;="&amp;B50)*Boss参数!$B$51</f>
        <v>12</v>
      </c>
      <c r="ED50" s="1">
        <f>IF(D50="",EG49,IF(AND(DG50&lt;&gt;DG49,DH50&lt;&gt;"洞穿"),MIN(Boss参数!$B$55,EG49+2),EG49))</f>
        <v>0</v>
      </c>
      <c r="EE50" s="1">
        <f t="shared" si="35"/>
        <v>0</v>
      </c>
      <c r="EF50" s="1">
        <f>IF(AND(OR(L50="END_TURN",AND(DH50="敌方",OR(DH49&lt;&gt;"敌方",DG50&lt;&gt;DG49))),SUMIFS($EF$3:EF49,$DG$3:DG49,DG50)=0),MIN(1,MAX(0,ED50-EE50)),0)</f>
        <v>0</v>
      </c>
      <c r="EG50" s="1">
        <f t="shared" si="36"/>
        <v>0</v>
      </c>
      <c r="EH50" s="11">
        <f>Boss参数!$B$53-IF(Y50=1,Boss参数!$B$54,0)</f>
        <v>-0.4</v>
      </c>
      <c r="EI50" s="11">
        <f t="shared" si="37"/>
        <v>0.3</v>
      </c>
      <c r="EJ50" s="11">
        <f t="shared" si="38"/>
        <v>0.3</v>
      </c>
      <c r="EK50" s="11">
        <f t="shared" si="39"/>
        <v>1.56</v>
      </c>
      <c r="EL50" s="1">
        <f t="shared" si="66"/>
        <v>0</v>
      </c>
      <c r="EM50" s="1">
        <f>IF(AND(DG50&lt;&gt;DG49,DH50="洞穿"),0,IF(L50="ENTER_INSIGHT",Boss参数!$B$57,EO49))</f>
        <v>1</v>
      </c>
      <c r="EN50" s="11">
        <f>IF(AND(Y50=1,H50="洞知",EM50&gt;0),Boss参数!$B$56,0)</f>
        <v>0.4</v>
      </c>
      <c r="EO50" s="1">
        <f t="shared" si="40"/>
        <v>1</v>
      </c>
      <c r="EP50" s="12">
        <f t="shared" si="67"/>
        <v>9376322</v>
      </c>
      <c r="EQ50" s="12">
        <f>ROUNDDOWN(EP50/Boss参数!$B$62,0)</f>
        <v>93</v>
      </c>
      <c r="ER50" s="11">
        <f>IF(EQ50&gt;=Boss参数!$B$66,Boss参数!$B$69,IF(EQ50&gt;=Boss参数!$B$65,Boss参数!$B$68,IF(EQ50&gt;=Boss参数!$B$64,Boss参数!$B$67,0)))</f>
        <v>0.6</v>
      </c>
      <c r="ES50" s="11">
        <f>MIN(1,IF(EQ50&gt;=Boss参数!$B$66,Boss参数!$B$72+ROUNDDOWN((EQ50-Boss参数!$B$66)/Boss参数!$B$73,0)*Boss参数!$B$74,IF(EQ50&gt;=Boss参数!$B$65,Boss参数!$B$71,IF(EQ50&gt;=Boss参数!$B$64,Boss参数!$B$70,0))))</f>
        <v>0.4</v>
      </c>
      <c r="ET50" s="12">
        <f>MIN(Boss参数!$B$61*Boss参数!$B$62,EP50+IF(AND(Boss参数!$B$60=1,ISNUMBER(验证表!H56)),验证表!H56,EU50))</f>
        <v>9440724</v>
      </c>
      <c r="EU50" s="12">
        <f>IF(D50="",0,IF(验证表!G56="是",BV50,IF(验证表!G56="否",BU50,BW50)))</f>
        <v>64402</v>
      </c>
      <c r="EV50" s="12">
        <f>IF(EQ50&gt;=Boss参数!$B$66,2,IF(EQ50&gt;=Boss参数!$B$65,1,0))</f>
        <v>1</v>
      </c>
      <c r="EW50" s="12">
        <f t="shared" si="41"/>
        <v>2</v>
      </c>
      <c r="EX50" s="1">
        <f>IF(D50="",0,INDEX(回合状态!$D$7:$D$17,MATCH(DG50,回合状态!$A$7:$A$17,0)))</f>
        <v>4</v>
      </c>
      <c r="EY50" s="1">
        <f>IF(OR(L50="RHI_ATTACK",L50="RHI_BUFF"),1,IF(L50="RHI_ULT",Boss参数!$B$52,0))</f>
        <v>0</v>
      </c>
      <c r="EZ50" s="1">
        <f>MIN(6,SUMIFS($EY$3:EY50,$EX$3:EX50,"&gt;="&amp;MAX(1,EX50-Boss参数!$B$87+1),$EX$3:EX50,"&lt;="&amp;EX50))</f>
        <v>4</v>
      </c>
      <c r="FA50" s="1">
        <f t="shared" si="68"/>
        <v>24</v>
      </c>
      <c r="FB50" s="17">
        <f>IF(L50="BOSS_CONSERVATIVE",B50+Boss参数!$B$91,FB49)</f>
        <v>0</v>
      </c>
      <c r="FC50" s="17">
        <f t="shared" si="69"/>
        <v>0</v>
      </c>
      <c r="FD50" s="17">
        <f>IF(D50="",FD49,FD49+IF(AND(DG50&lt;&gt;DG49,INDEX(回合状态!$C$7:$C$17,MATCH(DG50,回合状态!$A$7:$A$17,0))&lt;&gt;"洞穿"),1,0))</f>
        <v>3</v>
      </c>
      <c r="FE50" s="17">
        <f>IF(D50="",0,IF(AND(OR(L50="END_TURN",DH50="敌方"),INDEX(回合状态!$C$7:$C$17,MATCH(DG50,回合状态!$A$7:$A$17,0))&lt;&gt;"洞穿",SUMIFS($FE$3:FE49,$DG$3:DG49,DG50)=0),1,0))</f>
        <v>0</v>
      </c>
    </row>
    <row r="51" spans="1:161" ht="84.95" customHeight="1">
      <c r="A51" s="1">
        <f>行动模拟!A57</f>
        <v>49</v>
      </c>
      <c r="B51" s="1">
        <f>IF(D51="",0,INDEX(回合状态!$B$7:$B$17,MATCH(DG51,回合状态!$A$7:$A$17,0)))</f>
        <v>3</v>
      </c>
      <c r="C51" s="1">
        <f>行动模拟!C57</f>
        <v>17</v>
      </c>
      <c r="D51" s="1" t="str">
        <f>IF(行动模拟!D57="","",行动模拟!D57)</f>
        <v>红弩箭｜洞知终结</v>
      </c>
      <c r="E51" s="1" t="str">
        <f>IF($D51="","",IFERROR(INDEX(技能数据库!$B$4:$B$38,MATCH($D51,技能数据库!$A$4:$A$38,0)),""))</f>
        <v>红弩箭</v>
      </c>
      <c r="F51" s="1" t="str">
        <f>IF($D51="","",IFERROR(INDEX(技能数据库!$C$4:$C$38,MATCH($D51,技能数据库!$A$4:$A$38,0)),""))</f>
        <v>洞知终结</v>
      </c>
      <c r="G51" s="1">
        <f>IF($D51="","",IFERROR(INDEX(技能数据库!$D$4:$D$38,MATCH($D51,技能数据库!$A$4:$A$38,0)),""))</f>
        <v>0</v>
      </c>
      <c r="H51" s="1" t="str">
        <f>IF($D51="","",IFERROR(INDEX(技能数据库!$E$4:$E$38,MATCH($D51,技能数据库!$A$4:$A$38,0)),""))</f>
        <v>洞知</v>
      </c>
      <c r="I51" s="1" t="str">
        <f>IF($D51="","",IFERROR(INDEX(技能数据库!$F$4:$F$38,MATCH($D51,技能数据库!$A$4:$A$38,0)),""))</f>
        <v>现实</v>
      </c>
      <c r="J51" s="1">
        <f>IF($D51="","",IFERROR(INDEX(技能数据库!$G$4:$G$38,MATCH($D51,技能数据库!$A$4:$A$38,0)),""))</f>
        <v>50</v>
      </c>
      <c r="K51" s="1">
        <f>IF($D51="","",IFERROR(INDEX(技能数据库!$H$4:$H$38,MATCH($D51,技能数据库!$A$4:$A$38,0)),""))</f>
        <v>0</v>
      </c>
      <c r="L51" s="1" t="str">
        <f>IF($D51="","",IFERROR(INDEX(技能数据库!$I$4:$I$38,MATCH($D51,技能数据库!$A$4:$A$38,0)),""))</f>
        <v>LILYA_FINISH</v>
      </c>
      <c r="M51" s="10">
        <v>1</v>
      </c>
      <c r="N51" s="1"/>
      <c r="O51" s="1"/>
      <c r="P51" s="1"/>
      <c r="Q51" s="10">
        <f t="shared" si="0"/>
        <v>0.4</v>
      </c>
      <c r="R51" s="10">
        <v>0</v>
      </c>
      <c r="S51" s="10">
        <v>0</v>
      </c>
      <c r="T51" s="1" t="str">
        <f>行动模拟!I57</f>
        <v>稳态本源自动：先消耗已有两分悖论；37攻击后再获得1层。</v>
      </c>
      <c r="U51" s="1">
        <f>IF(FD51&lt;&gt;FD50,IF(BY50=1,IF(MIN(10,CA50+IF(AND(DG51&lt;&gt;DG50,DH50&lt;&gt;"洞穿",SUMIFS($FE$3:FE50,$DG$3:DG50,DG50)=0,BY50=1),3,0))&gt;=10,2,1),IF(BY50=2,IF(BZ50&lt;=1,0,2),0)),BY50)</f>
        <v>2</v>
      </c>
      <c r="V51" s="1">
        <f>IF(FD51&lt;&gt;FD50,IF(BY50=1,IF(MIN(10,CA50+IF(AND(DG51&lt;&gt;DG50,DH50&lt;&gt;"洞穿",SUMIFS($FE$3:FE50,$DG$3:DG50,DG50)=0,BY50=1),3,0))&gt;=10,2,0),IF(BY50=2,MAX(0,BZ50-1),0)),BZ50)</f>
        <v>1</v>
      </c>
      <c r="W51" s="1">
        <f>IF(AND(FD51&lt;&gt;FD50,BY50=2,BZ50&lt;=1),0,MIN(10,CA50+IF(AND(DG51&lt;&gt;DG50,DH50&lt;&gt;"洞穿",SUMIFS($FE$3:FE50,$DG$3:DG50,DG50)=0,BY50=1),3,0)))</f>
        <v>10</v>
      </c>
      <c r="X51" s="1">
        <f t="shared" si="42"/>
        <v>10</v>
      </c>
      <c r="Y51" s="1">
        <f t="shared" si="43"/>
        <v>1</v>
      </c>
      <c r="Z51" s="1">
        <f t="shared" si="44"/>
        <v>15</v>
      </c>
      <c r="AA51" s="1">
        <f t="shared" si="45"/>
        <v>10</v>
      </c>
      <c r="AB51" s="1">
        <f t="shared" si="46"/>
        <v>10</v>
      </c>
      <c r="AC51" s="1">
        <f t="shared" si="47"/>
        <v>0</v>
      </c>
      <c r="AD51" s="1">
        <f t="shared" si="48"/>
        <v>24</v>
      </c>
      <c r="AE51" s="1">
        <f>IF(D51="",0,IF(DG51&lt;&gt;DG50,IFERROR(INDEX(回合状态!$F$7:$F$17,MATCH(DG51,回合状态!$A$7:$A$17,0)),0),CI50))</f>
        <v>15</v>
      </c>
      <c r="AF51" s="10">
        <f t="shared" si="49"/>
        <v>0.4</v>
      </c>
      <c r="AG51" s="1">
        <f t="shared" si="50"/>
        <v>5</v>
      </c>
      <c r="AH51" s="1">
        <f t="shared" si="51"/>
        <v>5</v>
      </c>
      <c r="AI51" s="1">
        <f t="shared" si="52"/>
        <v>4</v>
      </c>
      <c r="AJ51" s="1">
        <f t="shared" si="53"/>
        <v>5</v>
      </c>
      <c r="AK51" s="1">
        <f t="shared" si="54"/>
        <v>4</v>
      </c>
      <c r="AL51" s="1">
        <f t="shared" si="55"/>
        <v>3</v>
      </c>
      <c r="AM51" s="1">
        <f t="shared" si="56"/>
        <v>20</v>
      </c>
      <c r="AN51" s="1">
        <f t="shared" si="57"/>
        <v>4</v>
      </c>
      <c r="AO51" s="1">
        <f t="shared" si="58"/>
        <v>15</v>
      </c>
      <c r="AP51" s="10">
        <f t="shared" si="59"/>
        <v>0.12</v>
      </c>
      <c r="AQ51" s="1">
        <f t="shared" si="60"/>
        <v>5</v>
      </c>
      <c r="AR51" s="10">
        <f t="shared" si="61"/>
        <v>0.3</v>
      </c>
      <c r="AS51" s="1">
        <f t="shared" si="62"/>
        <v>5</v>
      </c>
      <c r="AT51" s="10">
        <f t="shared" si="63"/>
        <v>0.3</v>
      </c>
      <c r="AU51" s="1">
        <f t="shared" si="64"/>
        <v>5</v>
      </c>
      <c r="AV51" s="1">
        <f>MIN(5,SUMIFS($EL$3:EL51,$B$3:B51,"&gt;="&amp;MAX(1,B51-2),$B$3:B51,"&lt;="&amp;B51)+EC51)</f>
        <v>5</v>
      </c>
      <c r="AW51" s="1">
        <f>MIN(6,SUMIFS($EY$3:EY50,$EX$3:EX50,"&gt;="&amp;MAX(1,EX51-Boss参数!$B$87+1),$EX$3:EX50,"&lt;="&amp;EX51))</f>
        <v>4</v>
      </c>
      <c r="AX51" s="1">
        <f>MIN(4,COUNTIFS($B$3:$B$50,"&gt;="&amp;MAX(1,$B51-2),$B$3:$B$50,"&lt;="&amp;$B51,$L$3:$L$50,"37_FOLLOW"))</f>
        <v>4</v>
      </c>
      <c r="AY51" s="9">
        <f>IF($E51="","",IF($E51="系统",0,ROUNDDOWN(INDEX(角色面板!$C$4:$C$7,MATCH($E51,角色面板!$A$4:$A$7,0))*(1+INDEX(角色面板!$C$11:$C$14,MATCH($E51,角色面板!$A$11:$A$14,0))+IF($E51="小瑞安侬",MAX(IF($B51&lt;=$AQ51,$AP51,0),IF(AND($L51="RHI_ATTACK",$EE51&gt;0),0.11+0.01*$G51,0)),0)+IF($E51="J",$AD51*Boss参数!$B$18,0))+IF(FD51&lt;=$AN51,MIN(Boss参数!$B$21,ROUNDDOWN(角色面板!$C$19*Boss参数!$B$20,0)),0)+IF(AND($B51&lt;=$AK51,$E51&lt;&gt;"小瑞安侬"),$DY51,0),0)))</f>
        <v>3493</v>
      </c>
      <c r="AZ51" s="10">
        <f>IF($E51="","",MAX(0,MIN(1,IFERROR(INDEX(角色面板!$G$18:$G$21,MATCH($E51,角色面板!$A$18:$A$21,0)),0)-FC51*Boss参数!$B$89-Boss参数!$E$4)))</f>
        <v>1</v>
      </c>
      <c r="BA51" s="10">
        <f>IF(E51="","",(IF($E51="","",IF($E51="红弩箭",Boss参数!$B$80,IF($E51="J",Boss参数!$B$81,IFERROR(INDEX(角色面板!$H$18:$H$21,MATCH($E51,角色面板!$A$18:$A$21,0)),0)))+IF($B51&lt;=$AI51,Boss参数!$B$13,0)+MIN(30,$AM51)*Boss参数!$B$17+IF(AND($L51="LILYA_ULT",$X51&gt;=6),1,0)+IF(AND($Y51=1,$L51="LILYA_INSIGHT"),IF(MOD($AA51+1,3)=0,Boss参数!$B$83,Boss参数!$B$82),IF(AND($Y51=1,$L51="LILYA_FINISH"),Boss参数!$B$84,0))))-FC51*Boss参数!$B$90)</f>
        <v>3.2650000000000001</v>
      </c>
      <c r="BB51" s="10">
        <f>IF($E51="","",IFERROR(INDEX(角色面板!$M$18:$M$21,MATCH($E51,角色面板!$A$18:$A$21,0)),0)+$AW51*Boss参数!$B$12+IF($B51&lt;=$AG51,$AF51,0)+$EI51+IF($L51="LILYA_DIVE",IF($U51=1,IF($G51=1,0.3,IF($G51=2,0.4,0.5)),IF($U51=2,IF($G51=1,0.6,IF($G51=2,0.8,1)),0)),0)+$R51+IF(AND($E51="J",OR($L51="J_COUNTER",$L51="J_HARD")),Boss参数!$B$79,0)+IF(AND(OR(L51="J_COUNTER",L51="J_HARD"),FA51&gt;=Boss参数!$B$59),FA51*Boss参数!$B$40,0))</f>
        <v>1.02</v>
      </c>
      <c r="BC51" s="10">
        <f>IF($E51="","",IFERROR(INDEX(角色面板!$K$18:$K$21,MATCH($E51,角色面板!$A$18:$A$21,0)),0)+IF($B51&lt;=$AH51,Boss参数!$B$46,0)+IF($E51="红弩箭",IF($U51=1,0.6,IF($U51=2,1.2,0))+$W51*0.06,0))-DI51*Boss参数!$B$23</f>
        <v>1.3999999999999997</v>
      </c>
      <c r="BD51" s="10">
        <f>IF($E51="","",IFERROR(INDEX(角色面板!$L$18:$L$21,MATCH($E51,角色面板!$A$18:$A$21,0)),0)+IF($B51&lt;=$AH51,Boss参数!$B$46,0)+IF($E51="J",$AL51*Boss参数!$B$16,0)+IF($E51="红弩箭",$X51*0.025,0)+IF(AND($L51="LILYA_ULT",$X51&gt;=6),1,0))-DI51*Boss参数!$B$23</f>
        <v>0.25000000000000006</v>
      </c>
      <c r="BE51" s="10">
        <f>IF($E51="","",IF($H51="洞知",IF($E51="红弩箭",$AO51*Boss参数!$B$15,0)+$AX51*Boss参数!$B$14,0))</f>
        <v>1.0599999999999998</v>
      </c>
      <c r="BF51" s="10">
        <f t="shared" si="1"/>
        <v>0</v>
      </c>
      <c r="BG51" s="10">
        <f>IF($D51="",0,IF(AND($L51&lt;&gt;"LILYA_DIVE",$L51&lt;&gt;"LILYA_ULT",$L51&lt;&gt;"LILYA_INSIGHT",$L51&lt;&gt;"LILYA_FINISH",$L51&lt;&gt;"37_FOLLOW",$L51&lt;&gt;"RHI_ATTACK",$L51&lt;&gt;"RHI_BERRY",$L51&lt;&gt;"J_COUNTER",$L51&lt;&gt;"J_ULT"),$J51,0)+IF($L51="LILYA_DIVE",$J51+IF($U51=1,IF($G51=1,6,IF($G51=2,12,18)),IF($U51=2,IF($G51=1,12,IF($G51=2,24,36)),0)),0)+IF($L51="LILYA_ULT",$J51+IF($X51&gt;=6,18,0),0)+IF($L51="LILYA_INSIGHT",IF($Y51=1,IF(MOD($AA51+1,3)=0,32,15),0),0)+IF($L51="LILYA_FINISH",IF($Y51=1,50+2.5*$Z51,0),0)+IF($L51="37_FOLLOW",$J51,0)+IF($L51="RHI_ATTACK",$J51*IF($B51&lt;=$AJ51,2,1),0)+IF($L51="RHI_BERRY",15+1.5*$AV51,0)+IF($L51="J_COUNTER",$J51+$AD51*Boss参数!$B$39,0)+IF($L51="J_ULT",$J51+Boss参数!$B$45*MAX(0,$AE51+$AD51-Boss参数!$I$4),0)+$S51)</f>
        <v>87.5</v>
      </c>
      <c r="BH51" s="10">
        <f t="shared" si="2"/>
        <v>0</v>
      </c>
      <c r="BI51" s="10">
        <f>IF(E51="","",IF(DT51=1,1+Boss参数!$B$8+AV51*Boss参数!$B$19,1))</f>
        <v>1.5</v>
      </c>
      <c r="BJ51" s="9">
        <f>IF($I51="现实",Boss参数!$C$4,IF($I51="精神",Boss参数!$D$4,0))</f>
        <v>1200</v>
      </c>
      <c r="BK51" s="9">
        <f>IF($E51="","",MAX($AY51*Boss参数!$B$9,$AY51-$BJ51*(1-$BF51)))</f>
        <v>2293</v>
      </c>
      <c r="BL51" s="10">
        <f>MAX(0,Boss参数!$F$4+IF(DT51=0,Boss参数!$B$27,0)-EJ51)</f>
        <v>0.10000000000000003</v>
      </c>
      <c r="BM51" s="10">
        <f>Boss参数!$G$4+DU51-IF(Y51=1,Boss参数!$B$11,0)</f>
        <v>0.15000000000000002</v>
      </c>
      <c r="BN51" s="10">
        <f>IF($E51="","",MAX(Boss参数!$B$10,1+IFERROR(INDEX(角色面板!$I$18:$I$21,MATCH($E51,角色面板!$A$18:$A$21,0)),0)+$BB51+Boss参数!$H$4-$BM51))</f>
        <v>1.9700000000000002</v>
      </c>
      <c r="BO51" s="10">
        <f>IF(E51="","",IF(OR(L51="J_COUNTER",L51="J_HARD"),MAX(0,1+INDEX(角色面板!$K$18:$K$21,MATCH(E51,角色面板!$A$18:$A$21,0))-DI51*Boss参数!$B$23+IF(OR(Boss参数!$B$43=1,L51="J_HARD"),IF(B51&lt;=AH51,Boss参数!$B$46,0),0)),MAX(0,IF(OR(H51="术法",L51="RHI_BERRY",AND(L51="37_FOLLOW",Boss参数!$B$31=1)),1+BC51,IF(H51="仪式",1+BD51,IF(H51="洞知",EK51,1))))))</f>
        <v>2.4599999999999995</v>
      </c>
      <c r="BP51" s="10">
        <f t="shared" si="3"/>
        <v>3.165</v>
      </c>
      <c r="BQ51" s="1">
        <f t="shared" si="4"/>
        <v>1458494.17875</v>
      </c>
      <c r="BR51" s="1">
        <f t="shared" si="5"/>
        <v>4616134.0757437497</v>
      </c>
      <c r="BS51" s="1">
        <f>IF(BH51=0,0,ROUNDDOWN(AY51*BH51,0)*DV51*IF(Boss参数!$B$29=1,BN51,1)*IF(Boss参数!$B$33=1,BO51,1)*IF(Boss参数!$B$76=1,1-ES51,1))</f>
        <v>0</v>
      </c>
      <c r="BT51" s="1">
        <f t="shared" si="6"/>
        <v>0</v>
      </c>
      <c r="BU51" s="9">
        <f>IF(D51="",0,MIN(IF(Boss参数!$B$77=1,Boss参数!$B$63*Boss参数!$B$62,Boss参数!$B$61*Boss参数!$B$62),DW51+ROUNDDOWN(BS51,0)+ROUNDDOWN(DW51*Q51,0)))</f>
        <v>1225134</v>
      </c>
      <c r="BV51" s="9">
        <f>IF(D51="",0,MIN(IF(Boss参数!$B$77=1,Boss参数!$B$63*Boss参数!$B$62,Boss参数!$B$61*Boss参数!$B$62),DX51+ROUNDDOWN(BT51,0)+ROUNDDOWN(DX51*Q51,0)))</f>
        <v>3877552</v>
      </c>
      <c r="BW51" s="9">
        <f t="shared" si="7"/>
        <v>3877552</v>
      </c>
      <c r="BX51" s="1" t="str">
        <f t="shared" si="8"/>
        <v/>
      </c>
      <c r="BY51" s="1">
        <f t="shared" si="9"/>
        <v>2</v>
      </c>
      <c r="BZ51" s="1">
        <f t="shared" si="10"/>
        <v>1</v>
      </c>
      <c r="CA51" s="1">
        <f>MIN(10,W51+IF(AND(L51="LILYA_COBRA",COUNTIF($L$3:L51,"LILYA_COBRA")=1),5,0)+IF(AND(L51="LILYA_DIVE",U51=1,COUNTIFS($DG$3:DG51,DG51,$L$3:L51,"LILYA_DIVE")=1),2,0)+IF(AND(FE51=1,U51=1),3,0))</f>
        <v>10</v>
      </c>
      <c r="CB51" s="1">
        <f>MIN(20,MAX(0,X51+IF(L51="LILYA_COBRA",IF(COUNTIF($L$3:L51,"LILYA_COBRA")=1,6,IF(U51=1,MAX(1,G51),IF(U51=2,2*MAX(1,G51),0))),0)+IF(AND(Y51=1,E51="红弩箭",L51&lt;&gt;"ENTER_INSIGHT"),1,0)-IF(AND(L51="LILYA_ULT",X51&gt;=6),6,0)))</f>
        <v>11</v>
      </c>
      <c r="CC51" s="1">
        <f t="shared" si="11"/>
        <v>0</v>
      </c>
      <c r="CD51" s="1">
        <f t="shared" si="12"/>
        <v>0</v>
      </c>
      <c r="CE51" s="1">
        <f t="shared" si="13"/>
        <v>0</v>
      </c>
      <c r="CF51" s="1">
        <f t="shared" si="14"/>
        <v>10</v>
      </c>
      <c r="CG51" s="1">
        <f t="shared" si="15"/>
        <v>0</v>
      </c>
      <c r="CH51" s="1">
        <f>MIN(35,AD51+IF(L51="J_HARD",6,0)+IF(L51="J_COUNTER",Boss参数!$B$30,0))</f>
        <v>24</v>
      </c>
      <c r="CI51" s="1">
        <f>MIN(Boss参数!$I$4,AE51+IF(L51="J_HARD",6,0)+IF(L51="J_ULT",AD51,0)+IF(L51="J_COUNTER",Boss参数!$B$30,0))</f>
        <v>15</v>
      </c>
      <c r="CJ51" s="10">
        <f>IF(L51="J_ULT",AD51*Boss参数!$B$41,IF(B51&lt;=AG51,AF51,0))</f>
        <v>0.4</v>
      </c>
      <c r="CK51" s="1">
        <f t="shared" si="16"/>
        <v>5</v>
      </c>
      <c r="CL51" s="1">
        <f t="shared" si="17"/>
        <v>5</v>
      </c>
      <c r="CM51" s="1">
        <f t="shared" si="18"/>
        <v>4</v>
      </c>
      <c r="CN51" s="1">
        <f t="shared" si="19"/>
        <v>5</v>
      </c>
      <c r="CO51" s="1">
        <f t="shared" si="20"/>
        <v>4</v>
      </c>
      <c r="CP51" s="1">
        <f t="shared" si="21"/>
        <v>3</v>
      </c>
      <c r="CQ51" s="1">
        <f t="shared" si="22"/>
        <v>20</v>
      </c>
      <c r="CR51" s="1">
        <f t="shared" si="23"/>
        <v>4</v>
      </c>
      <c r="CS51" s="1">
        <f t="shared" si="24"/>
        <v>0</v>
      </c>
      <c r="CT51" s="10">
        <f t="shared" si="25"/>
        <v>0.12</v>
      </c>
      <c r="CU51" s="1">
        <f t="shared" si="26"/>
        <v>5</v>
      </c>
      <c r="CV51" s="10">
        <f t="shared" si="27"/>
        <v>0.3</v>
      </c>
      <c r="CW51" s="1">
        <f t="shared" si="28"/>
        <v>5</v>
      </c>
      <c r="CX51" s="10">
        <f t="shared" si="29"/>
        <v>0.3</v>
      </c>
      <c r="CY51" s="1">
        <f t="shared" si="30"/>
        <v>5</v>
      </c>
      <c r="CZ51" s="1"/>
      <c r="DA51" s="1"/>
      <c r="DB51" s="1"/>
      <c r="DC51" s="1"/>
      <c r="DD51" s="1"/>
      <c r="DE51" s="1"/>
      <c r="DF51" s="1"/>
      <c r="DG51" s="1" t="str">
        <f>IF(D51="","",行动模拟!B57)</f>
        <v>洞知</v>
      </c>
      <c r="DH51" s="1" t="str">
        <f>IF(L51="END_TURN","回合结束",IF(D51="","",IF(INDEX(回合状态!$C$7:$C$17,MATCH(DG51,回合状态!$A$7:$A$17,0))="洞穿","洞穿",IF(OR(L51="J_COUNTER",L51="BOSS_ACTION",L51="BOSS_CONSERVATIVE"),"敌方",IF(AND(L51="37_FOLLOW",DG51=DG50,DH50="敌方"),"敌方",IF(INDEX(回合状态!$C$7:$C$17,MATCH(DG51,回合状态!$A$7:$A$17,0))="普通","出牌",INDEX(回合状态!$C$7:$C$17,MATCH(DG51,回合状态!$A$7:$A$17,0))))))))</f>
        <v>洞穿</v>
      </c>
      <c r="DI51" s="1">
        <f t="shared" si="31"/>
        <v>2</v>
      </c>
      <c r="DJ51" s="1">
        <f>IF(D51="",0,MIN(Boss参数!$B$25,IF(OR(AND(DH51="敌方",OR(DH50&lt;&gt;"敌方",DG51&lt;&gt;DG50)),AND(L51="END_TURN",DH51&lt;&gt;"洞穿"),AND(DG51&lt;&gt;DG50,DH50&lt;&gt;"洞穿",L50&lt;&gt;"END_TURN",COUNTIFS($DG$3:DG50,DG50,$DH$3:DH50,"敌方")=0)),EW51,DN50)))</f>
        <v>2</v>
      </c>
      <c r="DK51" s="1">
        <f>IF(D51="",0,MIN(Boss参数!$B$25,IF(OR(AND(DH51="敌方",OR(DH50&lt;&gt;"敌方",DG51&lt;&gt;DG50)),AND(L51="END_TURN",DH51&lt;&gt;"洞穿"),AND(DG51&lt;&gt;DG50,DH50&lt;&gt;"洞穿",L50&lt;&gt;"END_TURN",COUNTIFS($DG$3:DG50,DG50,$DH$3:DH50,"敌方")=0)),EW51,DO50)))</f>
        <v>2</v>
      </c>
      <c r="DL51" s="1">
        <f>IF(D51="",0,MIN(Boss参数!$B$25,IF(OR(AND(DH51="敌方",OR(DH50&lt;&gt;"敌方",DG51&lt;&gt;DG50)),AND(L51="END_TURN",DH51&lt;&gt;"洞穿"),AND(DG51&lt;&gt;DG50,DH50&lt;&gt;"洞穿",L50&lt;&gt;"END_TURN",COUNTIFS($DG$3:DG50,DG50,$DH$3:DH50,"敌方")=0)),EW51,DP50)))</f>
        <v>5</v>
      </c>
      <c r="DM51" s="1">
        <f>IF(D51="",0,MIN(Boss参数!$B$25,IF(OR(AND(DH51="敌方",OR(DH50&lt;&gt;"敌方",DG51&lt;&gt;DG50)),AND(L51="END_TURN",DH51&lt;&gt;"洞穿"),AND(DG51&lt;&gt;DG50,DH50&lt;&gt;"洞穿",L50&lt;&gt;"END_TURN",COUNTIFS($DG$3:DG50,DG50,$DH$3:DH50,"敌方")=0)),EW51,DQ50)))</f>
        <v>5</v>
      </c>
      <c r="DN51" s="1">
        <f>MAX(0,MIN(Boss参数!$B$25,DJ51+DR51)-IF(E51="红弩箭",2*DR51,0))</f>
        <v>1</v>
      </c>
      <c r="DO51" s="1">
        <f>MAX(0,MIN(Boss参数!$B$25,DK51+DR51)-IF(E51="37",2*DR51,0))</f>
        <v>3</v>
      </c>
      <c r="DP51" s="1">
        <f>MAX(0,MIN(Boss参数!$B$25,DL51+DR51)-IF(E51="小瑞安侬",2*DR51,0))</f>
        <v>5</v>
      </c>
      <c r="DQ51" s="1">
        <f>MAX(0,MIN(Boss参数!$B$25,DM51+DR51)-IF(E51="J",2*DR51,0))</f>
        <v>5</v>
      </c>
      <c r="DR51" s="1">
        <f t="shared" si="32"/>
        <v>1</v>
      </c>
      <c r="DS51" s="1">
        <f t="shared" si="33"/>
        <v>1</v>
      </c>
      <c r="DT51" s="1">
        <f>IF(OR(E51="",E51="系统"),0,IF(OR(AND(DS51=1,Boss参数!$B$32=1),L51="RHI_BERRY",OR(AND(INDEX(角色面板!$B$18:$B$21,MATCH(E51,角色面板!$A$18:$A$21,0))="星",Boss参数!$B$4="岩"),AND(INDEX(角色面板!$B$18:$B$21,MATCH(E51,角色面板!$A$18:$A$21,0))="岩",Boss参数!$B$4="兽"),AND(INDEX(角色面板!$B$18:$B$21,MATCH(E51,角色面板!$A$18:$A$21,0))="兽",Boss参数!$B$4="木"),AND(INDEX(角色面板!$B$18:$B$21,MATCH(E51,角色面板!$A$18:$A$21,0))="木",Boss参数!$B$4="星"),AND(INDEX(角色面板!$B$18:$B$21,MATCH(E51,角色面板!$A$18:$A$21,0))="智",Boss参数!$B$4="灵"),AND(INDEX(角色面板!$B$18:$B$21,MATCH(E51,角色面板!$A$18:$A$21,0))="灵",Boss参数!$B$4="智"))),1,0))</f>
        <v>1</v>
      </c>
      <c r="DU51" s="1">
        <f>IF(D51="",0,INDEX(回合状态!$E$7:$E$17,MATCH(DG51,回合状态!$A$7:$A$17,0))+IF(AND(DH51="敌方",OR(INDEX(回合状态!$C$7:$C$17,MATCH(DG51,回合状态!$A$7:$A$17,0))="普通",INDEX(回合状态!$C$7:$C$17,MATCH(DG51,回合状态!$A$7:$A$17,0))="额外")),0.05,0))</f>
        <v>0.15000000000000002</v>
      </c>
      <c r="DV51" s="1">
        <f>MAX(Boss参数!$B$28,1+IF(AND(E51="37",AC51&gt;0,BH51&gt;0),Boss参数!$B$42,0)-DI51*Boss参数!$B$24+EA51-ER51)</f>
        <v>9.9999999999999978E-2</v>
      </c>
      <c r="DW51" s="1">
        <f>MIN(IF(Boss参数!$B$77=1,Boss参数!$B$63*Boss参数!$B$62,Boss参数!$B$61*Boss参数!$B$62),ROUNDDOWN(BQ51*(1-ES51),0))</f>
        <v>875096</v>
      </c>
      <c r="DX51" s="1">
        <f>MIN(IF(Boss参数!$B$77=1,Boss参数!$B$63*Boss参数!$B$62,Boss参数!$B$61*Boss参数!$B$62),ROUNDDOWN(BR51*(1-ES51),0))</f>
        <v>2769680</v>
      </c>
      <c r="DY51" s="1">
        <f t="shared" si="65"/>
        <v>238</v>
      </c>
      <c r="DZ51" s="1">
        <f>IF(L51="RHI_ULT",MIN(Boss参数!$B$48,ROUNDDOWN(AY51*Boss参数!$B$47,0)),DY51)</f>
        <v>238</v>
      </c>
      <c r="EA51" s="11">
        <v>0</v>
      </c>
      <c r="EB51" s="1">
        <f t="shared" si="34"/>
        <v>0</v>
      </c>
      <c r="EC51" s="1">
        <f>SUMIFS($EB$3:EB51,$B$3:B51,"&gt;="&amp;MAX(1,B51-2),$B$3:B51,"&lt;="&amp;B51)*Boss参数!$B$51</f>
        <v>12</v>
      </c>
      <c r="ED51" s="1">
        <f>IF(D51="",EG50,IF(AND(DG51&lt;&gt;DG50,DH51&lt;&gt;"洞穿"),MIN(Boss参数!$B$55,EG50+2),EG50))</f>
        <v>0</v>
      </c>
      <c r="EE51" s="1">
        <f t="shared" si="35"/>
        <v>0</v>
      </c>
      <c r="EF51" s="1">
        <f>IF(AND(OR(L51="END_TURN",AND(DH51="敌方",OR(DH50&lt;&gt;"敌方",DG51&lt;&gt;DG50))),SUMIFS($EF$3:EF50,$DG$3:DG50,DG51)=0),MIN(1,MAX(0,ED51-EE51)),0)</f>
        <v>0</v>
      </c>
      <c r="EG51" s="1">
        <f t="shared" si="36"/>
        <v>0</v>
      </c>
      <c r="EH51" s="11">
        <f>Boss参数!$B$53-IF(Y51=1,Boss参数!$B$54,0)</f>
        <v>-0.4</v>
      </c>
      <c r="EI51" s="11">
        <f t="shared" si="37"/>
        <v>0.3</v>
      </c>
      <c r="EJ51" s="11">
        <f t="shared" si="38"/>
        <v>0.3</v>
      </c>
      <c r="EK51" s="11">
        <f t="shared" si="39"/>
        <v>2.4599999999999995</v>
      </c>
      <c r="EL51" s="1">
        <f t="shared" si="66"/>
        <v>0</v>
      </c>
      <c r="EM51" s="1">
        <f>IF(AND(DG51&lt;&gt;DG50,DH51="洞穿"),0,IF(L51="ENTER_INSIGHT",Boss参数!$B$57,EO50))</f>
        <v>1</v>
      </c>
      <c r="EN51" s="11">
        <f>IF(AND(Y51=1,H51="洞知",EM51&gt;0),Boss参数!$B$56,0)</f>
        <v>0.4</v>
      </c>
      <c r="EO51" s="1">
        <f t="shared" si="40"/>
        <v>0</v>
      </c>
      <c r="EP51" s="12">
        <f t="shared" si="67"/>
        <v>9440724</v>
      </c>
      <c r="EQ51" s="12">
        <f>ROUNDDOWN(EP51/Boss参数!$B$62,0)</f>
        <v>94</v>
      </c>
      <c r="ER51" s="11">
        <f>IF(EQ51&gt;=Boss参数!$B$66,Boss参数!$B$69,IF(EQ51&gt;=Boss参数!$B$65,Boss参数!$B$68,IF(EQ51&gt;=Boss参数!$B$64,Boss参数!$B$67,0)))</f>
        <v>0.6</v>
      </c>
      <c r="ES51" s="11">
        <f>MIN(1,IF(EQ51&gt;=Boss参数!$B$66,Boss参数!$B$72+ROUNDDOWN((EQ51-Boss参数!$B$66)/Boss参数!$B$73,0)*Boss参数!$B$74,IF(EQ51&gt;=Boss参数!$B$65,Boss参数!$B$71,IF(EQ51&gt;=Boss参数!$B$64,Boss参数!$B$70,0))))</f>
        <v>0.4</v>
      </c>
      <c r="ET51" s="12">
        <f>MIN(Boss参数!$B$61*Boss参数!$B$62,EP51+IF(AND(Boss参数!$B$60=1,ISNUMBER(验证表!H57)),验证表!H57,EU51))</f>
        <v>13318276</v>
      </c>
      <c r="EU51" s="12">
        <f>IF(D51="",0,IF(验证表!G57="是",BV51,IF(验证表!G57="否",BU51,BW51)))</f>
        <v>3877552</v>
      </c>
      <c r="EV51" s="12">
        <f>IF(EQ51&gt;=Boss参数!$B$66,2,IF(EQ51&gt;=Boss参数!$B$65,1,0))</f>
        <v>1</v>
      </c>
      <c r="EW51" s="12">
        <f t="shared" si="41"/>
        <v>2</v>
      </c>
      <c r="EX51" s="1">
        <f>IF(D51="",0,INDEX(回合状态!$D$7:$D$17,MATCH(DG51,回合状态!$A$7:$A$17,0)))</f>
        <v>4</v>
      </c>
      <c r="EY51" s="1">
        <f>IF(OR(L51="RHI_ATTACK",L51="RHI_BUFF"),1,IF(L51="RHI_ULT",Boss参数!$B$52,0))</f>
        <v>0</v>
      </c>
      <c r="EZ51" s="1">
        <f>MIN(6,SUMIFS($EY$3:EY51,$EX$3:EX51,"&gt;="&amp;MAX(1,EX51-Boss参数!$B$87+1),$EX$3:EX51,"&lt;="&amp;EX51))</f>
        <v>4</v>
      </c>
      <c r="FA51" s="1">
        <f t="shared" si="68"/>
        <v>24</v>
      </c>
      <c r="FB51" s="17">
        <f>IF(L51="BOSS_CONSERVATIVE",B51+Boss参数!$B$91,FB50)</f>
        <v>0</v>
      </c>
      <c r="FC51" s="17">
        <f t="shared" si="69"/>
        <v>0</v>
      </c>
      <c r="FD51" s="17">
        <f>IF(D51="",FD50,FD50+IF(AND(DG51&lt;&gt;DG50,INDEX(回合状态!$C$7:$C$17,MATCH(DG51,回合状态!$A$7:$A$17,0))&lt;&gt;"洞穿"),1,0))</f>
        <v>3</v>
      </c>
      <c r="FE51" s="17">
        <f>IF(D51="",0,IF(AND(OR(L51="END_TURN",DH51="敌方"),INDEX(回合状态!$C$7:$C$17,MATCH(DG51,回合状态!$A$7:$A$17,0))&lt;&gt;"洞穿",SUMIFS($FE$3:FE50,$DG$3:DG50,DG51)=0),1,0))</f>
        <v>0</v>
      </c>
    </row>
    <row r="52" spans="1:161" ht="84.95" customHeight="1">
      <c r="A52" s="1">
        <f>行动模拟!A58</f>
        <v>50</v>
      </c>
      <c r="B52" s="1">
        <f>IF(D52="",0,INDEX(回合状态!$B$7:$B$17,MATCH(DG52,回合状态!$A$7:$A$17,0)))</f>
        <v>3</v>
      </c>
      <c r="C52" s="1">
        <f>行动模拟!C58</f>
        <v>1</v>
      </c>
      <c r="D52" s="1" t="str">
        <f>IF(行动模拟!D58="","",行动模拟!D58)</f>
        <v>小瑞安侬｜悄冥冥术阵</v>
      </c>
      <c r="E52" s="1" t="str">
        <f>IF($D52="","",IFERROR(INDEX(技能数据库!$B$4:$B$38,MATCH($D52,技能数据库!$A$4:$A$38,0)),""))</f>
        <v>小瑞安侬</v>
      </c>
      <c r="F52" s="1" t="str">
        <f>IF($D52="","",IFERROR(INDEX(技能数据库!$C$4:$C$38,MATCH($D52,技能数据库!$A$4:$A$38,0)),""))</f>
        <v>悄冥冥术阵</v>
      </c>
      <c r="G52" s="1">
        <f>IF($D52="","",IFERROR(INDEX(技能数据库!$D$4:$D$38,MATCH($D52,技能数据库!$A$4:$A$38,0)),""))</f>
        <v>0</v>
      </c>
      <c r="H52" s="1" t="str">
        <f>IF($D52="","",IFERROR(INDEX(技能数据库!$E$4:$E$38,MATCH($D52,技能数据库!$A$4:$A$38,0)),""))</f>
        <v>增益</v>
      </c>
      <c r="I52" s="1" t="str">
        <f>IF($D52="","",IFERROR(INDEX(技能数据库!$F$4:$F$38,MATCH($D52,技能数据库!$A$4:$A$38,0)),""))</f>
        <v>无</v>
      </c>
      <c r="J52" s="1">
        <f>IF($D52="","",IFERROR(INDEX(技能数据库!$G$4:$G$38,MATCH($D52,技能数据库!$A$4:$A$38,0)),""))</f>
        <v>0</v>
      </c>
      <c r="K52" s="1">
        <f>IF($D52="","",IFERROR(INDEX(技能数据库!$H$4:$H$38,MATCH($D52,技能数据库!$A$4:$A$38,0)),""))</f>
        <v>0</v>
      </c>
      <c r="L52" s="1" t="str">
        <f>IF($D52="","",IFERROR(INDEX(技能数据库!$I$4:$I$38,MATCH($D52,技能数据库!$A$4:$A$38,0)),""))</f>
        <v>RHI_BUFF</v>
      </c>
      <c r="M52" s="10">
        <v>1</v>
      </c>
      <c r="N52" s="1"/>
      <c r="O52" s="1"/>
      <c r="P52" s="1"/>
      <c r="Q52" s="10">
        <f t="shared" si="0"/>
        <v>0</v>
      </c>
      <c r="R52" s="10">
        <v>0</v>
      </c>
      <c r="S52" s="10">
        <v>0</v>
      </c>
      <c r="T52" s="1">
        <f>行动模拟!I58</f>
        <v>0</v>
      </c>
      <c r="U52" s="1">
        <f>IF(FD52&lt;&gt;FD51,IF(BY51=1,IF(MIN(10,CA51+IF(AND(DG52&lt;&gt;DG51,DH51&lt;&gt;"洞穿",SUMIFS($FE$3:FE51,$DG$3:DG51,DG51)=0,BY51=1),3,0))&gt;=10,2,1),IF(BY51=2,IF(BZ51&lt;=1,0,2),0)),BY51)</f>
        <v>0</v>
      </c>
      <c r="V52" s="1">
        <f>IF(FD52&lt;&gt;FD51,IF(BY51=1,IF(MIN(10,CA51+IF(AND(DG52&lt;&gt;DG51,DH51&lt;&gt;"洞穿",SUMIFS($FE$3:FE51,$DG$3:DG51,DG51)=0,BY51=1),3,0))&gt;=10,2,0),IF(BY51=2,MAX(0,BZ51-1),0)),BZ51)</f>
        <v>0</v>
      </c>
      <c r="W52" s="1">
        <f>IF(AND(FD52&lt;&gt;FD51,BY51=2,BZ51&lt;=1),0,MIN(10,CA51+IF(AND(DG52&lt;&gt;DG51,DH51&lt;&gt;"洞穿",SUMIFS($FE$3:FE51,$DG$3:DG51,DG51)=0,BY51=1),3,0)))</f>
        <v>0</v>
      </c>
      <c r="X52" s="1">
        <f t="shared" si="42"/>
        <v>11</v>
      </c>
      <c r="Y52" s="1">
        <f t="shared" si="43"/>
        <v>0</v>
      </c>
      <c r="Z52" s="1">
        <f t="shared" si="44"/>
        <v>0</v>
      </c>
      <c r="AA52" s="1">
        <f t="shared" si="45"/>
        <v>0</v>
      </c>
      <c r="AB52" s="1">
        <f t="shared" si="46"/>
        <v>10</v>
      </c>
      <c r="AC52" s="1">
        <f t="shared" si="47"/>
        <v>0</v>
      </c>
      <c r="AD52" s="1">
        <f t="shared" si="48"/>
        <v>24</v>
      </c>
      <c r="AE52" s="1">
        <f>IF(D52="",0,IF(DG52&lt;&gt;DG51,IFERROR(INDEX(回合状态!$F$7:$F$17,MATCH(DG52,回合状态!$A$7:$A$17,0)),0),CI51))</f>
        <v>15</v>
      </c>
      <c r="AF52" s="10">
        <f t="shared" si="49"/>
        <v>0.4</v>
      </c>
      <c r="AG52" s="1">
        <f t="shared" si="50"/>
        <v>5</v>
      </c>
      <c r="AH52" s="1">
        <f t="shared" si="51"/>
        <v>5</v>
      </c>
      <c r="AI52" s="1">
        <f t="shared" si="52"/>
        <v>4</v>
      </c>
      <c r="AJ52" s="1">
        <f t="shared" si="53"/>
        <v>5</v>
      </c>
      <c r="AK52" s="1">
        <f t="shared" si="54"/>
        <v>4</v>
      </c>
      <c r="AL52" s="1">
        <f t="shared" si="55"/>
        <v>3</v>
      </c>
      <c r="AM52" s="1">
        <f t="shared" si="56"/>
        <v>20</v>
      </c>
      <c r="AN52" s="1">
        <f t="shared" si="57"/>
        <v>4</v>
      </c>
      <c r="AO52" s="1">
        <f t="shared" si="58"/>
        <v>0</v>
      </c>
      <c r="AP52" s="10">
        <f t="shared" si="59"/>
        <v>0.12</v>
      </c>
      <c r="AQ52" s="1">
        <f t="shared" si="60"/>
        <v>5</v>
      </c>
      <c r="AR52" s="10">
        <f t="shared" si="61"/>
        <v>0.3</v>
      </c>
      <c r="AS52" s="1">
        <f t="shared" si="62"/>
        <v>5</v>
      </c>
      <c r="AT52" s="10">
        <f t="shared" si="63"/>
        <v>0.3</v>
      </c>
      <c r="AU52" s="1">
        <f t="shared" si="64"/>
        <v>5</v>
      </c>
      <c r="AV52" s="1">
        <f>MIN(5,SUMIFS($EL$3:EL52,$B$3:B52,"&gt;="&amp;MAX(1,B52-2),$B$3:B52,"&lt;="&amp;B52)+EC52)</f>
        <v>5</v>
      </c>
      <c r="AW52" s="1">
        <f>MIN(6,SUMIFS($EY$3:EY51,$EX$3:EX51,"&gt;="&amp;MAX(1,EX52-Boss参数!$B$87+1),$EX$3:EX51,"&lt;="&amp;EX52))</f>
        <v>4</v>
      </c>
      <c r="AX52" s="1">
        <f>MIN(4,COUNTIFS($B$3:$B$51,"&gt;="&amp;MAX(1,$B52-2),$B$3:$B$51,"&lt;="&amp;$B52,$L$3:$L$51,"37_FOLLOW"))</f>
        <v>4</v>
      </c>
      <c r="AY52" s="9">
        <f>IF($E52="","",IF($E52="系统",0,ROUNDDOWN(INDEX(角色面板!$C$4:$C$7,MATCH($E52,角色面板!$A$4:$A$7,0))*(1+INDEX(角色面板!$C$11:$C$14,MATCH($E52,角色面板!$A$11:$A$14,0))+IF($E52="小瑞安侬",MAX(IF($B52&lt;=$AQ52,$AP52,0),IF(AND($L52="RHI_ATTACK",$EE52&gt;0),0.11+0.01*$G52,0)),0)+IF($E52="J",$AD52*Boss参数!$B$18,0))+IF(FD52&lt;=$AN52,MIN(Boss参数!$B$21,ROUNDDOWN(角色面板!$C$19*Boss参数!$B$20,0)),0)+IF(AND($B52&lt;=$AK52,$E52&lt;&gt;"小瑞安侬"),$DY52,0),0)))</f>
        <v>3798</v>
      </c>
      <c r="AZ52" s="10">
        <f>IF($E52="","",MAX(0,MIN(1,IFERROR(INDEX(角色面板!$G$18:$G$21,MATCH($E52,角色面板!$A$18:$A$21,0)),0)-FC52*Boss参数!$B$89-Boss参数!$E$4)))</f>
        <v>0.55499999999999994</v>
      </c>
      <c r="BA52" s="10">
        <f>IF(E52="","",(IF($E52="","",IF($E52="红弩箭",Boss参数!$B$80,IF($E52="J",Boss参数!$B$81,IFERROR(INDEX(角色面板!$H$18:$H$21,MATCH($E52,角色面板!$A$18:$A$21,0)),0)))+IF($B52&lt;=$AI52,Boss参数!$B$13,0)+MIN(30,$AM52)*Boss参数!$B$17+IF(AND($L52="LILYA_ULT",$X52&gt;=6),1,0)+IF(AND($Y52=1,$L52="LILYA_INSIGHT"),IF(MOD($AA52+1,3)=0,Boss参数!$B$83,Boss参数!$B$82),IF(AND($Y52=1,$L52="LILYA_FINISH"),Boss参数!$B$84,0))))-FC52*Boss参数!$B$90)</f>
        <v>1.79</v>
      </c>
      <c r="BB52" s="10">
        <f>IF($E52="","",IFERROR(INDEX(角色面板!$M$18:$M$21,MATCH($E52,角色面板!$A$18:$A$21,0)),0)+$AW52*Boss参数!$B$12+IF($B52&lt;=$AG52,$AF52,0)+$EI52+IF($L52="LILYA_DIVE",IF($U52=1,IF($G52=1,0.3,IF($G52=2,0.4,0.5)),IF($U52=2,IF($G52=1,0.6,IF($G52=2,0.8,1)),0)),0)+$R52+IF(AND($E52="J",OR($L52="J_COUNTER",$L52="J_HARD")),Boss参数!$B$79,0)+IF(AND(OR(L52="J_COUNTER",L52="J_HARD"),FA52&gt;=Boss参数!$B$59),FA52*Boss参数!$B$40,0))</f>
        <v>0.78</v>
      </c>
      <c r="BC52" s="10">
        <f>IF($E52="","",IFERROR(INDEX(角色面板!$K$18:$K$21,MATCH($E52,角色面板!$A$18:$A$21,0)),0)+IF($B52&lt;=$AH52,Boss参数!$B$46,0)+IF($E52="红弩箭",IF($U52=1,0.6,IF($U52=2,1.2,0))+$W52*0.06,0))-DI52*Boss参数!$B$23</f>
        <v>-0.85000000000000009</v>
      </c>
      <c r="BD52" s="10">
        <f>IF($E52="","",IFERROR(INDEX(角色面板!$L$18:$L$21,MATCH($E52,角色面板!$A$18:$A$21,0)),0)+IF($B52&lt;=$AH52,Boss参数!$B$46,0)+IF($E52="J",$AL52*Boss参数!$B$16,0)+IF($E52="红弩箭",$X52*0.025,0)+IF(AND($L52="LILYA_ULT",$X52&gt;=6),1,0))-DI52*Boss参数!$B$23</f>
        <v>-0.45</v>
      </c>
      <c r="BE52" s="10">
        <f>IF($E52="","",IF($H52="洞知",IF($E52="红弩箭",$AO52*Boss参数!$B$15,0)+$AX52*Boss参数!$B$14,0))</f>
        <v>0</v>
      </c>
      <c r="BF52" s="10">
        <f t="shared" si="1"/>
        <v>0</v>
      </c>
      <c r="BG52" s="10">
        <f>IF($D52="",0,IF(AND($L52&lt;&gt;"LILYA_DIVE",$L52&lt;&gt;"LILYA_ULT",$L52&lt;&gt;"LILYA_INSIGHT",$L52&lt;&gt;"LILYA_FINISH",$L52&lt;&gt;"37_FOLLOW",$L52&lt;&gt;"RHI_ATTACK",$L52&lt;&gt;"RHI_BERRY",$L52&lt;&gt;"J_COUNTER",$L52&lt;&gt;"J_ULT"),$J52,0)+IF($L52="LILYA_DIVE",$J52+IF($U52=1,IF($G52=1,6,IF($G52=2,12,18)),IF($U52=2,IF($G52=1,12,IF($G52=2,24,36)),0)),0)+IF($L52="LILYA_ULT",$J52+IF($X52&gt;=6,18,0),0)+IF($L52="LILYA_INSIGHT",IF($Y52=1,IF(MOD($AA52+1,3)=0,32,15),0),0)+IF($L52="LILYA_FINISH",IF($Y52=1,50+2.5*$Z52,0),0)+IF($L52="37_FOLLOW",$J52,0)+IF($L52="RHI_ATTACK",$J52*IF($B52&lt;=$AJ52,2,1),0)+IF($L52="RHI_BERRY",15+1.5*$AV52,0)+IF($L52="J_COUNTER",$J52+$AD52*Boss参数!$B$39,0)+IF($L52="J_ULT",$J52+Boss参数!$B$45*MAX(0,$AE52+$AD52-Boss参数!$I$4),0)+$S52)</f>
        <v>0</v>
      </c>
      <c r="BH52" s="10">
        <f t="shared" si="2"/>
        <v>0</v>
      </c>
      <c r="BI52" s="10">
        <f>IF(E52="","",IF(DT52=1,1+Boss参数!$B$8+AV52*Boss参数!$B$19,1))</f>
        <v>1</v>
      </c>
      <c r="BJ52" s="9">
        <f>IF($I52="现实",Boss参数!$C$4,IF($I52="精神",Boss参数!$D$4,0))</f>
        <v>0</v>
      </c>
      <c r="BK52" s="9">
        <f>IF($E52="","",MAX($AY52*Boss参数!$B$9,$AY52-$BJ52*(1-$BF52)))</f>
        <v>3798</v>
      </c>
      <c r="BL52" s="10">
        <f>MAX(0,Boss参数!$F$4+IF(DT52=0,Boss参数!$B$27,0)-EJ52)</f>
        <v>1.0999999999999999</v>
      </c>
      <c r="BM52" s="10">
        <f>Boss参数!$G$4+DU52-IF(Y52=1,Boss参数!$B$11,0)</f>
        <v>0.55000000000000004</v>
      </c>
      <c r="BN52" s="10">
        <f>IF($E52="","",MAX(Boss参数!$B$10,1+IFERROR(INDEX(角色面板!$I$18:$I$21,MATCH($E52,角色面板!$A$18:$A$21,0)),0)+$BB52+Boss参数!$H$4-$BM52))</f>
        <v>1.2649999999999999</v>
      </c>
      <c r="BO52" s="10">
        <f>IF(E52="","",IF(OR(L52="J_COUNTER",L52="J_HARD"),MAX(0,1+INDEX(角色面板!$K$18:$K$21,MATCH(E52,角色面板!$A$18:$A$21,0))-DI52*Boss参数!$B$23+IF(OR(Boss参数!$B$43=1,L52="J_HARD"),IF(B52&lt;=AH52,Boss参数!$B$46,0),0)),MAX(0,IF(OR(H52="术法",L52="RHI_BERRY",AND(L52="37_FOLLOW",Boss参数!$B$31=1)),1+BC52,IF(H52="仪式",1+BD52,IF(H52="洞知",EK52,1))))))</f>
        <v>1</v>
      </c>
      <c r="BP52" s="10">
        <f t="shared" si="3"/>
        <v>1.1000000000000001</v>
      </c>
      <c r="BQ52" s="1">
        <f t="shared" si="4"/>
        <v>0</v>
      </c>
      <c r="BR52" s="1">
        <f t="shared" si="5"/>
        <v>0</v>
      </c>
      <c r="BS52" s="1">
        <f>IF(BH52=0,0,ROUNDDOWN(AY52*BH52,0)*DV52*IF(Boss参数!$B$29=1,BN52,1)*IF(Boss参数!$B$33=1,BO52,1)*IF(Boss参数!$B$76=1,1-ES52,1))</f>
        <v>0</v>
      </c>
      <c r="BT52" s="1">
        <f t="shared" si="6"/>
        <v>0</v>
      </c>
      <c r="BU52" s="9">
        <f>IF(D52="",0,MIN(IF(Boss参数!$B$77=1,Boss参数!$B$63*Boss参数!$B$62,Boss参数!$B$61*Boss参数!$B$62),DW52+ROUNDDOWN(BS52,0)+ROUNDDOWN(DW52*Q52,0)))</f>
        <v>0</v>
      </c>
      <c r="BV52" s="9">
        <f>IF(D52="",0,MIN(IF(Boss参数!$B$77=1,Boss参数!$B$63*Boss参数!$B$62,Boss参数!$B$61*Boss参数!$B$62),DX52+ROUNDDOWN(BT52,0)+ROUNDDOWN(DX52*Q52,0)))</f>
        <v>0</v>
      </c>
      <c r="BW52" s="9">
        <f t="shared" si="7"/>
        <v>0</v>
      </c>
      <c r="BX52" s="1" t="str">
        <f t="shared" si="8"/>
        <v/>
      </c>
      <c r="BY52" s="1">
        <f t="shared" si="9"/>
        <v>0</v>
      </c>
      <c r="BZ52" s="1">
        <f t="shared" si="10"/>
        <v>0</v>
      </c>
      <c r="CA52" s="1">
        <f>MIN(10,W52+IF(AND(L52="LILYA_COBRA",COUNTIF($L$3:L52,"LILYA_COBRA")=1),5,0)+IF(AND(L52="LILYA_DIVE",U52=1,COUNTIFS($DG$3:DG52,DG52,$L$3:L52,"LILYA_DIVE")=1),2,0)+IF(AND(FE52=1,U52=1),3,0))</f>
        <v>0</v>
      </c>
      <c r="CB52" s="1">
        <f>MIN(20,MAX(0,X52+IF(L52="LILYA_COBRA",IF(COUNTIF($L$3:L52,"LILYA_COBRA")=1,6,IF(U52=1,MAX(1,G52),IF(U52=2,2*MAX(1,G52),0))),0)+IF(AND(Y52=1,E52="红弩箭",L52&lt;&gt;"ENTER_INSIGHT"),1,0)-IF(AND(L52="LILYA_ULT",X52&gt;=6),6,0)))</f>
        <v>11</v>
      </c>
      <c r="CC52" s="1">
        <f t="shared" si="11"/>
        <v>0</v>
      </c>
      <c r="CD52" s="1">
        <f t="shared" si="12"/>
        <v>0</v>
      </c>
      <c r="CE52" s="1">
        <f t="shared" si="13"/>
        <v>0</v>
      </c>
      <c r="CF52" s="1">
        <f t="shared" si="14"/>
        <v>10</v>
      </c>
      <c r="CG52" s="1">
        <f t="shared" si="15"/>
        <v>0</v>
      </c>
      <c r="CH52" s="1">
        <f>MIN(35,AD52+IF(L52="J_HARD",6,0)+IF(L52="J_COUNTER",Boss参数!$B$30,0))</f>
        <v>24</v>
      </c>
      <c r="CI52" s="1">
        <f>MIN(Boss参数!$I$4,AE52+IF(L52="J_HARD",6,0)+IF(L52="J_ULT",AD52,0)+IF(L52="J_COUNTER",Boss参数!$B$30,0))</f>
        <v>15</v>
      </c>
      <c r="CJ52" s="10">
        <f>IF(L52="J_ULT",AD52*Boss参数!$B$41,IF(B52&lt;=AG52,AF52,0))</f>
        <v>0.4</v>
      </c>
      <c r="CK52" s="1">
        <f t="shared" si="16"/>
        <v>5</v>
      </c>
      <c r="CL52" s="1">
        <f t="shared" si="17"/>
        <v>5</v>
      </c>
      <c r="CM52" s="1">
        <f t="shared" si="18"/>
        <v>4</v>
      </c>
      <c r="CN52" s="1">
        <f t="shared" si="19"/>
        <v>5</v>
      </c>
      <c r="CO52" s="1">
        <f t="shared" si="20"/>
        <v>4</v>
      </c>
      <c r="CP52" s="1">
        <f t="shared" si="21"/>
        <v>3</v>
      </c>
      <c r="CQ52" s="1">
        <f t="shared" si="22"/>
        <v>20</v>
      </c>
      <c r="CR52" s="1">
        <f t="shared" si="23"/>
        <v>4</v>
      </c>
      <c r="CS52" s="1">
        <f t="shared" si="24"/>
        <v>0</v>
      </c>
      <c r="CT52" s="10">
        <f t="shared" si="25"/>
        <v>0.12</v>
      </c>
      <c r="CU52" s="1">
        <f t="shared" si="26"/>
        <v>5</v>
      </c>
      <c r="CV52" s="10">
        <f t="shared" si="27"/>
        <v>0.3</v>
      </c>
      <c r="CW52" s="1">
        <f t="shared" si="28"/>
        <v>5</v>
      </c>
      <c r="CX52" s="10">
        <f t="shared" si="29"/>
        <v>0.3</v>
      </c>
      <c r="CY52" s="1">
        <f t="shared" si="30"/>
        <v>5</v>
      </c>
      <c r="CZ52" s="1"/>
      <c r="DA52" s="1"/>
      <c r="DB52" s="1"/>
      <c r="DC52" s="1"/>
      <c r="DD52" s="1"/>
      <c r="DE52" s="1"/>
      <c r="DF52" s="1"/>
      <c r="DG52" s="1" t="str">
        <f>IF(D52="","",行动模拟!B58)</f>
        <v>小瑞安侬额外回合</v>
      </c>
      <c r="DH52" s="1" t="str">
        <f>IF(L52="END_TURN","回合结束",IF(D52="","",IF(INDEX(回合状态!$C$7:$C$17,MATCH(DG52,回合状态!$A$7:$A$17,0))="洞穿","洞穿",IF(OR(L52="J_COUNTER",L52="BOSS_ACTION",L52="BOSS_CONSERVATIVE"),"敌方",IF(AND(L52="37_FOLLOW",DG52=DG51,DH51="敌方"),"敌方",IF(INDEX(回合状态!$C$7:$C$17,MATCH(DG52,回合状态!$A$7:$A$17,0))="普通","出牌",INDEX(回合状态!$C$7:$C$17,MATCH(DG52,回合状态!$A$7:$A$17,0))))))))</f>
        <v>额外</v>
      </c>
      <c r="DI52" s="1">
        <f t="shared" si="31"/>
        <v>5</v>
      </c>
      <c r="DJ52" s="1">
        <f>IF(D52="",0,MIN(Boss参数!$B$25,IF(OR(AND(DH52="敌方",OR(DH51&lt;&gt;"敌方",DG52&lt;&gt;DG51)),AND(L52="END_TURN",DH52&lt;&gt;"洞穿"),AND(DG52&lt;&gt;DG51,DH51&lt;&gt;"洞穿",L51&lt;&gt;"END_TURN",COUNTIFS($DG$3:DG51,DG51,$DH$3:DH51,"敌方")=0)),EW52,DN51)))</f>
        <v>1</v>
      </c>
      <c r="DK52" s="1">
        <f>IF(D52="",0,MIN(Boss参数!$B$25,IF(OR(AND(DH52="敌方",OR(DH51&lt;&gt;"敌方",DG52&lt;&gt;DG51)),AND(L52="END_TURN",DH52&lt;&gt;"洞穿"),AND(DG52&lt;&gt;DG51,DH51&lt;&gt;"洞穿",L51&lt;&gt;"END_TURN",COUNTIFS($DG$3:DG51,DG51,$DH$3:DH51,"敌方")=0)),EW52,DO51)))</f>
        <v>3</v>
      </c>
      <c r="DL52" s="1">
        <f>IF(D52="",0,MIN(Boss参数!$B$25,IF(OR(AND(DH52="敌方",OR(DH51&lt;&gt;"敌方",DG52&lt;&gt;DG51)),AND(L52="END_TURN",DH52&lt;&gt;"洞穿"),AND(DG52&lt;&gt;DG51,DH51&lt;&gt;"洞穿",L51&lt;&gt;"END_TURN",COUNTIFS($DG$3:DG51,DG51,$DH$3:DH51,"敌方")=0)),EW52,DP51)))</f>
        <v>5</v>
      </c>
      <c r="DM52" s="1">
        <f>IF(D52="",0,MIN(Boss参数!$B$25,IF(OR(AND(DH52="敌方",OR(DH51&lt;&gt;"敌方",DG52&lt;&gt;DG51)),AND(L52="END_TURN",DH52&lt;&gt;"洞穿"),AND(DG52&lt;&gt;DG51,DH51&lt;&gt;"洞穿",L51&lt;&gt;"END_TURN",COUNTIFS($DG$3:DG51,DG51,$DH$3:DH51,"敌方")=0)),EW52,DQ51)))</f>
        <v>5</v>
      </c>
      <c r="DN52" s="1">
        <f>MAX(0,MIN(Boss参数!$B$25,DJ52+DR52)-IF(E52="红弩箭",2*DR52,0))</f>
        <v>1</v>
      </c>
      <c r="DO52" s="1">
        <f>MAX(0,MIN(Boss参数!$B$25,DK52+DR52)-IF(E52="37",2*DR52,0))</f>
        <v>3</v>
      </c>
      <c r="DP52" s="1">
        <f>MAX(0,MIN(Boss参数!$B$25,DL52+DR52)-IF(E52="小瑞安侬",2*DR52,0))</f>
        <v>5</v>
      </c>
      <c r="DQ52" s="1">
        <f>MAX(0,MIN(Boss参数!$B$25,DM52+DR52)-IF(E52="J",2*DR52,0))</f>
        <v>5</v>
      </c>
      <c r="DR52" s="1">
        <f t="shared" si="32"/>
        <v>0</v>
      </c>
      <c r="DS52" s="1">
        <f t="shared" si="33"/>
        <v>0</v>
      </c>
      <c r="DT52" s="1">
        <f>IF(OR(E52="",E52="系统"),0,IF(OR(AND(DS52=1,Boss参数!$B$32=1),L52="RHI_BERRY",OR(AND(INDEX(角色面板!$B$18:$B$21,MATCH(E52,角色面板!$A$18:$A$21,0))="星",Boss参数!$B$4="岩"),AND(INDEX(角色面板!$B$18:$B$21,MATCH(E52,角色面板!$A$18:$A$21,0))="岩",Boss参数!$B$4="兽"),AND(INDEX(角色面板!$B$18:$B$21,MATCH(E52,角色面板!$A$18:$A$21,0))="兽",Boss参数!$B$4="木"),AND(INDEX(角色面板!$B$18:$B$21,MATCH(E52,角色面板!$A$18:$A$21,0))="木",Boss参数!$B$4="星"),AND(INDEX(角色面板!$B$18:$B$21,MATCH(E52,角色面板!$A$18:$A$21,0))="智",Boss参数!$B$4="灵"),AND(INDEX(角色面板!$B$18:$B$21,MATCH(E52,角色面板!$A$18:$A$21,0))="灵",Boss参数!$B$4="智"))),1,0))</f>
        <v>0</v>
      </c>
      <c r="DU52" s="1">
        <f>IF(D52="",0,INDEX(回合状态!$E$7:$E$17,MATCH(DG52,回合状态!$A$7:$A$17,0))+IF(AND(DH52="敌方",OR(INDEX(回合状态!$C$7:$C$17,MATCH(DG52,回合状态!$A$7:$A$17,0))="普通",INDEX(回合状态!$C$7:$C$17,MATCH(DG52,回合状态!$A$7:$A$17,0))="额外")),0.05,0))</f>
        <v>0.15000000000000002</v>
      </c>
      <c r="DV52" s="1">
        <f>MAX(Boss参数!$B$28,1+IF(AND(E52="37",AC52&gt;0,BH52&gt;0),Boss参数!$B$42,0)-DI52*Boss参数!$B$24+EA52-ER52)</f>
        <v>0</v>
      </c>
      <c r="DW52" s="1">
        <f>MIN(IF(Boss参数!$B$77=1,Boss参数!$B$63*Boss参数!$B$62,Boss参数!$B$61*Boss参数!$B$62),ROUNDDOWN(BQ52*(1-ES52),0))</f>
        <v>0</v>
      </c>
      <c r="DX52" s="1">
        <f>MIN(IF(Boss参数!$B$77=1,Boss参数!$B$63*Boss参数!$B$62,Boss参数!$B$61*Boss参数!$B$62),ROUNDDOWN(BR52*(1-ES52),0))</f>
        <v>0</v>
      </c>
      <c r="DY52" s="1">
        <f t="shared" si="65"/>
        <v>238</v>
      </c>
      <c r="DZ52" s="1">
        <f>IF(L52="RHI_ULT",MIN(Boss参数!$B$48,ROUNDDOWN(AY52*Boss参数!$B$47,0)),DY52)</f>
        <v>238</v>
      </c>
      <c r="EA52" s="11">
        <v>0</v>
      </c>
      <c r="EB52" s="1">
        <f t="shared" si="34"/>
        <v>1</v>
      </c>
      <c r="EC52" s="1">
        <f>SUMIFS($EB$3:EB52,$B$3:B52,"&gt;="&amp;MAX(1,B52-2),$B$3:B52,"&lt;="&amp;B52)*Boss参数!$B$51</f>
        <v>14</v>
      </c>
      <c r="ED52" s="1">
        <f>IF(D52="",EG51,IF(AND(DG52&lt;&gt;DG51,DH52&lt;&gt;"洞穿"),MIN(Boss参数!$B$55,EG51+2),EG51))</f>
        <v>2</v>
      </c>
      <c r="EE52" s="1">
        <f t="shared" si="35"/>
        <v>1</v>
      </c>
      <c r="EF52" s="1">
        <f>IF(AND(OR(L52="END_TURN",AND(DH52="敌方",OR(DH51&lt;&gt;"敌方",DG52&lt;&gt;DG51))),SUMIFS($EF$3:EF51,$DG$3:DG51,DG52)=0),MIN(1,MAX(0,ED52-EE52)),0)</f>
        <v>0</v>
      </c>
      <c r="EG52" s="1">
        <f t="shared" si="36"/>
        <v>1</v>
      </c>
      <c r="EH52" s="11">
        <f>Boss参数!$B$53-IF(Y52=1,Boss参数!$B$54,0)</f>
        <v>0</v>
      </c>
      <c r="EI52" s="11">
        <f t="shared" si="37"/>
        <v>0.3</v>
      </c>
      <c r="EJ52" s="11">
        <f t="shared" si="38"/>
        <v>0.3</v>
      </c>
      <c r="EK52" s="11">
        <f t="shared" si="39"/>
        <v>1</v>
      </c>
      <c r="EL52" s="1">
        <f t="shared" si="66"/>
        <v>1</v>
      </c>
      <c r="EM52" s="1">
        <f>IF(AND(DG52&lt;&gt;DG51,DH52="洞穿"),0,IF(L52="ENTER_INSIGHT",Boss参数!$B$57,EO51))</f>
        <v>0</v>
      </c>
      <c r="EN52" s="11">
        <f>IF(AND(Y52=1,H52="洞知",EM52&gt;0),Boss参数!$B$56,0)</f>
        <v>0</v>
      </c>
      <c r="EO52" s="1">
        <f t="shared" si="40"/>
        <v>0</v>
      </c>
      <c r="EP52" s="12">
        <f t="shared" si="67"/>
        <v>13318276</v>
      </c>
      <c r="EQ52" s="12">
        <f>ROUNDDOWN(EP52/Boss参数!$B$62,0)</f>
        <v>133</v>
      </c>
      <c r="ER52" s="11">
        <f>IF(EQ52&gt;=Boss参数!$B$66,Boss参数!$B$69,IF(EQ52&gt;=Boss参数!$B$65,Boss参数!$B$68,IF(EQ52&gt;=Boss参数!$B$64,Boss参数!$B$67,0)))</f>
        <v>0.9</v>
      </c>
      <c r="ES52" s="11">
        <f>MIN(1,IF(EQ52&gt;=Boss参数!$B$66,Boss参数!$B$72+ROUNDDOWN((EQ52-Boss参数!$B$66)/Boss参数!$B$73,0)*Boss参数!$B$74,IF(EQ52&gt;=Boss参数!$B$65,Boss参数!$B$71,IF(EQ52&gt;=Boss参数!$B$64,Boss参数!$B$70,0))))</f>
        <v>0.6</v>
      </c>
      <c r="ET52" s="12">
        <f>MIN(Boss参数!$B$61*Boss参数!$B$62,EP52+IF(AND(Boss参数!$B$60=1,ISNUMBER(验证表!H58)),验证表!H58,EU52))</f>
        <v>13318276</v>
      </c>
      <c r="EU52" s="12">
        <f>IF(D52="",0,IF(验证表!G58="是",BV52,IF(验证表!G58="否",BU52,BW52)))</f>
        <v>0</v>
      </c>
      <c r="EV52" s="12">
        <f>IF(EQ52&gt;=Boss参数!$B$66,2,IF(EQ52&gt;=Boss参数!$B$65,1,0))</f>
        <v>2</v>
      </c>
      <c r="EW52" s="12">
        <f t="shared" si="41"/>
        <v>3</v>
      </c>
      <c r="EX52" s="1">
        <f>IF(D52="",0,INDEX(回合状态!$D$7:$D$17,MATCH(DG52,回合状态!$A$7:$A$17,0)))</f>
        <v>4</v>
      </c>
      <c r="EY52" s="1">
        <f>IF(OR(L52="RHI_ATTACK",L52="RHI_BUFF"),1,IF(L52="RHI_ULT",Boss参数!$B$52,0))</f>
        <v>1</v>
      </c>
      <c r="EZ52" s="1">
        <f>MIN(6,SUMIFS($EY$3:EY52,$EX$3:EX52,"&gt;="&amp;MAX(1,EX52-Boss参数!$B$87+1),$EX$3:EX52,"&lt;="&amp;EX52))</f>
        <v>5</v>
      </c>
      <c r="FA52" s="1">
        <f t="shared" si="68"/>
        <v>24</v>
      </c>
      <c r="FB52" s="17">
        <f>IF(L52="BOSS_CONSERVATIVE",B52+Boss参数!$B$91,FB51)</f>
        <v>0</v>
      </c>
      <c r="FC52" s="17">
        <f t="shared" si="69"/>
        <v>0</v>
      </c>
      <c r="FD52" s="17">
        <f>IF(D52="",FD51,FD51+IF(AND(DG52&lt;&gt;DG51,INDEX(回合状态!$C$7:$C$17,MATCH(DG52,回合状态!$A$7:$A$17,0))&lt;&gt;"洞穿"),1,0))</f>
        <v>4</v>
      </c>
      <c r="FE52" s="17">
        <f>IF(D52="",0,IF(AND(OR(L52="END_TURN",DH52="敌方"),INDEX(回合状态!$C$7:$C$17,MATCH(DG52,回合状态!$A$7:$A$17,0))&lt;&gt;"洞穿",SUMIFS($FE$3:FE51,$DG$3:DG51,DG52)=0),1,0))</f>
        <v>0</v>
      </c>
    </row>
    <row r="53" spans="1:161" ht="84.95" customHeight="1">
      <c r="A53" s="1">
        <f>行动模拟!A59</f>
        <v>51</v>
      </c>
      <c r="B53" s="1">
        <f>IF(D53="",0,INDEX(回合状态!$B$7:$B$17,MATCH(DG53,回合状态!$A$7:$A$17,0)))</f>
        <v>3</v>
      </c>
      <c r="C53" s="1">
        <f>行动模拟!C59</f>
        <v>2</v>
      </c>
      <c r="D53" s="1" t="str">
        <f>IF(行动模拟!D59="","",行动模拟!D59)</f>
        <v>37｜补充算式</v>
      </c>
      <c r="E53" s="1" t="str">
        <f>IF($D53="","",IFERROR(INDEX(技能数据库!$B$4:$B$38,MATCH($D53,技能数据库!$A$4:$A$38,0)),""))</f>
        <v>37</v>
      </c>
      <c r="F53" s="1" t="str">
        <f>IF($D53="","",IFERROR(INDEX(技能数据库!$C$4:$C$38,MATCH($D53,技能数据库!$A$4:$A$38,0)),""))</f>
        <v>补充算式</v>
      </c>
      <c r="G53" s="1">
        <f>IF($D53="","",IFERROR(INDEX(技能数据库!$D$4:$D$38,MATCH($D53,技能数据库!$A$4:$A$38,0)),""))</f>
        <v>0</v>
      </c>
      <c r="H53" s="1" t="str">
        <f>IF($D53="","",IFERROR(INDEX(技能数据库!$E$4:$E$38,MATCH($D53,技能数据库!$A$4:$A$38,0)),""))</f>
        <v>额外行动</v>
      </c>
      <c r="I53" s="1" t="str">
        <f>IF($D53="","",IFERROR(INDEX(技能数据库!$F$4:$F$38,MATCH($D53,技能数据库!$A$4:$A$38,0)),""))</f>
        <v>精神</v>
      </c>
      <c r="J53" s="1">
        <f>IF($D53="","",IFERROR(INDEX(技能数据库!$G$4:$G$38,MATCH($D53,技能数据库!$A$4:$A$38,0)),""))</f>
        <v>3</v>
      </c>
      <c r="K53" s="1">
        <f>IF($D53="","",IFERROR(INDEX(技能数据库!$H$4:$H$38,MATCH($D53,技能数据库!$A$4:$A$38,0)),""))</f>
        <v>1</v>
      </c>
      <c r="L53" s="1" t="str">
        <f>IF($D53="","",IFERROR(INDEX(技能数据库!$I$4:$I$38,MATCH($D53,技能数据库!$A$4:$A$38,0)),""))</f>
        <v>37_FOLLOW</v>
      </c>
      <c r="M53" s="10">
        <v>1</v>
      </c>
      <c r="N53" s="1"/>
      <c r="O53" s="1"/>
      <c r="P53" s="1"/>
      <c r="Q53" s="10">
        <f t="shared" si="0"/>
        <v>0</v>
      </c>
      <c r="R53" s="10">
        <v>0</v>
      </c>
      <c r="S53" s="10">
        <v>0</v>
      </c>
      <c r="T53" s="1">
        <f>行动模拟!I59</f>
        <v>0</v>
      </c>
      <c r="U53" s="1">
        <f>IF(FD53&lt;&gt;FD52,IF(BY52=1,IF(MIN(10,CA52+IF(AND(DG53&lt;&gt;DG52,DH52&lt;&gt;"洞穿",SUMIFS($FE$3:FE52,$DG$3:DG52,DG52)=0,BY52=1),3,0))&gt;=10,2,1),IF(BY52=2,IF(BZ52&lt;=1,0,2),0)),BY52)</f>
        <v>0</v>
      </c>
      <c r="V53" s="1">
        <f>IF(FD53&lt;&gt;FD52,IF(BY52=1,IF(MIN(10,CA52+IF(AND(DG53&lt;&gt;DG52,DH52&lt;&gt;"洞穿",SUMIFS($FE$3:FE52,$DG$3:DG52,DG52)=0,BY52=1),3,0))&gt;=10,2,0),IF(BY52=2,MAX(0,BZ52-1),0)),BZ52)</f>
        <v>0</v>
      </c>
      <c r="W53" s="1">
        <f>IF(AND(FD53&lt;&gt;FD52,BY52=2,BZ52&lt;=1),0,MIN(10,CA52+IF(AND(DG53&lt;&gt;DG52,DH52&lt;&gt;"洞穿",SUMIFS($FE$3:FE52,$DG$3:DG52,DG52)=0,BY52=1),3,0)))</f>
        <v>0</v>
      </c>
      <c r="X53" s="1">
        <f t="shared" si="42"/>
        <v>11</v>
      </c>
      <c r="Y53" s="1">
        <f t="shared" si="43"/>
        <v>0</v>
      </c>
      <c r="Z53" s="1">
        <f t="shared" si="44"/>
        <v>0</v>
      </c>
      <c r="AA53" s="1">
        <f t="shared" si="45"/>
        <v>0</v>
      </c>
      <c r="AB53" s="1">
        <f t="shared" si="46"/>
        <v>10</v>
      </c>
      <c r="AC53" s="1">
        <f t="shared" si="47"/>
        <v>0</v>
      </c>
      <c r="AD53" s="1">
        <f t="shared" si="48"/>
        <v>24</v>
      </c>
      <c r="AE53" s="1">
        <f>IF(D53="",0,IF(DG53&lt;&gt;DG52,IFERROR(INDEX(回合状态!$F$7:$F$17,MATCH(DG53,回合状态!$A$7:$A$17,0)),0),CI52))</f>
        <v>15</v>
      </c>
      <c r="AF53" s="10">
        <f t="shared" si="49"/>
        <v>0.4</v>
      </c>
      <c r="AG53" s="1">
        <f t="shared" si="50"/>
        <v>5</v>
      </c>
      <c r="AH53" s="1">
        <f t="shared" si="51"/>
        <v>5</v>
      </c>
      <c r="AI53" s="1">
        <f t="shared" si="52"/>
        <v>4</v>
      </c>
      <c r="AJ53" s="1">
        <f t="shared" si="53"/>
        <v>5</v>
      </c>
      <c r="AK53" s="1">
        <f t="shared" si="54"/>
        <v>4</v>
      </c>
      <c r="AL53" s="1">
        <f t="shared" si="55"/>
        <v>3</v>
      </c>
      <c r="AM53" s="1">
        <f t="shared" si="56"/>
        <v>20</v>
      </c>
      <c r="AN53" s="1">
        <f t="shared" si="57"/>
        <v>4</v>
      </c>
      <c r="AO53" s="1">
        <f t="shared" si="58"/>
        <v>0</v>
      </c>
      <c r="AP53" s="10">
        <f t="shared" si="59"/>
        <v>0.12</v>
      </c>
      <c r="AQ53" s="1">
        <f t="shared" si="60"/>
        <v>5</v>
      </c>
      <c r="AR53" s="10">
        <f t="shared" si="61"/>
        <v>0.3</v>
      </c>
      <c r="AS53" s="1">
        <f t="shared" si="62"/>
        <v>5</v>
      </c>
      <c r="AT53" s="10">
        <f t="shared" si="63"/>
        <v>0.3</v>
      </c>
      <c r="AU53" s="1">
        <f t="shared" si="64"/>
        <v>5</v>
      </c>
      <c r="AV53" s="1">
        <f>MIN(5,SUMIFS($EL$3:EL53,$B$3:B53,"&gt;="&amp;MAX(1,B53-2),$B$3:B53,"&lt;="&amp;B53)+EC53)</f>
        <v>5</v>
      </c>
      <c r="AW53" s="1">
        <f>MIN(6,SUMIFS($EY$3:EY52,$EX$3:EX52,"&gt;="&amp;MAX(1,EX53-Boss参数!$B$87+1),$EX$3:EX52,"&lt;="&amp;EX53))</f>
        <v>5</v>
      </c>
      <c r="AX53" s="1">
        <f>MIN(4,COUNTIFS($B$3:$B$52,"&gt;="&amp;MAX(1,$B53-2),$B$3:$B$52,"&lt;="&amp;$B53,$L$3:$L$52,"37_FOLLOW"))</f>
        <v>4</v>
      </c>
      <c r="AY53" s="9">
        <f>IF($E53="","",IF($E53="系统",0,ROUNDDOWN(INDEX(角色面板!$C$4:$C$7,MATCH($E53,角色面板!$A$4:$A$7,0))*(1+INDEX(角色面板!$C$11:$C$14,MATCH($E53,角色面板!$A$11:$A$14,0))+IF($E53="小瑞安侬",MAX(IF($B53&lt;=$AQ53,$AP53,0),IF(AND($L53="RHI_ATTACK",$EE53&gt;0),0.11+0.01*$G53,0)),0)+IF($E53="J",$AD53*Boss参数!$B$18,0))+IF(FD53&lt;=$AN53,MIN(Boss参数!$B$21,ROUNDDOWN(角色面板!$C$19*Boss参数!$B$20,0)),0)+IF(AND($B53&lt;=$AK53,$E53&lt;&gt;"小瑞安侬"),$DY53,0),0)))</f>
        <v>3505</v>
      </c>
      <c r="AZ53" s="10">
        <f>IF($E53="","",MAX(0,MIN(1,IFERROR(INDEX(角色面板!$G$18:$G$21,MATCH($E53,角色面板!$A$18:$A$21,0)),0)-FC53*Boss参数!$B$89-Boss参数!$E$4)))</f>
        <v>0.76</v>
      </c>
      <c r="BA53" s="10">
        <f>IF(E53="","",(IF($E53="","",IF($E53="红弩箭",Boss参数!$B$80,IF($E53="J",Boss参数!$B$81,IFERROR(INDEX(角色面板!$H$18:$H$21,MATCH($E53,角色面板!$A$18:$A$21,0)),0)))+IF($B53&lt;=$AI53,Boss参数!$B$13,0)+MIN(30,$AM53)*Boss参数!$B$17+IF(AND($L53="LILYA_ULT",$X53&gt;=6),1,0)+IF(AND($Y53=1,$L53="LILYA_INSIGHT"),IF(MOD($AA53+1,3)=0,Boss参数!$B$83,Boss参数!$B$82),IF(AND($Y53=1,$L53="LILYA_FINISH"),Boss参数!$B$84,0))))-FC53*Boss参数!$B$90)</f>
        <v>2.4380000000000002</v>
      </c>
      <c r="BB53" s="10">
        <f>IF($E53="","",IFERROR(INDEX(角色面板!$M$18:$M$21,MATCH($E53,角色面板!$A$18:$A$21,0)),0)+$AW53*Boss参数!$B$12+IF($B53&lt;=$AG53,$AF53,0)+$EI53+IF($L53="LILYA_DIVE",IF($U53=1,IF($G53=1,0.3,IF($G53=2,0.4,0.5)),IF($U53=2,IF($G53=1,0.6,IF($G53=2,0.8,1)),0)),0)+$R53+IF(AND($E53="J",OR($L53="J_COUNTER",$L53="J_HARD")),Boss参数!$B$79,0)+IF(AND(OR(L53="J_COUNTER",L53="J_HARD"),FA53&gt;=Boss参数!$B$59),FA53*Boss参数!$B$40,0))</f>
        <v>0.8</v>
      </c>
      <c r="BC53" s="10">
        <f>IF($E53="","",IFERROR(INDEX(角色面板!$K$18:$K$21,MATCH($E53,角色面板!$A$18:$A$21,0)),0)+IF($B53&lt;=$AH53,Boss参数!$B$46,0)+IF($E53="红弩箭",IF($U53=1,0.6,IF($U53=2,1.2,0))+$W53*0.06,0))-DI53*Boss参数!$B$23</f>
        <v>-0.55000000000000004</v>
      </c>
      <c r="BD53" s="10">
        <f>IF($E53="","",IFERROR(INDEX(角色面板!$L$18:$L$21,MATCH($E53,角色面板!$A$18:$A$21,0)),0)+IF($B53&lt;=$AH53,Boss参数!$B$46,0)+IF($E53="J",$AL53*Boss参数!$B$16,0)+IF($E53="红弩箭",$X53*0.025,0)+IF(AND($L53="LILYA_ULT",$X53&gt;=6),1,0))-DI53*Boss参数!$B$23</f>
        <v>-0.14999999999999997</v>
      </c>
      <c r="BE53" s="10">
        <f>IF($E53="","",IF($H53="洞知",IF($E53="红弩箭",$AO53*Boss参数!$B$15,0)+$AX53*Boss参数!$B$14,0))</f>
        <v>0</v>
      </c>
      <c r="BF53" s="10">
        <f t="shared" si="1"/>
        <v>0</v>
      </c>
      <c r="BG53" s="10">
        <f>IF($D53="",0,IF(AND($L53&lt;&gt;"LILYA_DIVE",$L53&lt;&gt;"LILYA_ULT",$L53&lt;&gt;"LILYA_INSIGHT",$L53&lt;&gt;"LILYA_FINISH",$L53&lt;&gt;"37_FOLLOW",$L53&lt;&gt;"RHI_ATTACK",$L53&lt;&gt;"RHI_BERRY",$L53&lt;&gt;"J_COUNTER",$L53&lt;&gt;"J_ULT"),$J53,0)+IF($L53="LILYA_DIVE",$J53+IF($U53=1,IF($G53=1,6,IF($G53=2,12,18)),IF($U53=2,IF($G53=1,12,IF($G53=2,24,36)),0)),0)+IF($L53="LILYA_ULT",$J53+IF($X53&gt;=6,18,0),0)+IF($L53="LILYA_INSIGHT",IF($Y53=1,IF(MOD($AA53+1,3)=0,32,15),0),0)+IF($L53="LILYA_FINISH",IF($Y53=1,50+2.5*$Z53,0),0)+IF($L53="37_FOLLOW",$J53,0)+IF($L53="RHI_ATTACK",$J53*IF($B53&lt;=$AJ53,2,1),0)+IF($L53="RHI_BERRY",15+1.5*$AV53,0)+IF($L53="J_COUNTER",$J53+$AD53*Boss参数!$B$39,0)+IF($L53="J_ULT",$J53+Boss参数!$B$45*MAX(0,$AE53+$AD53-Boss参数!$I$4),0)+$S53)</f>
        <v>3</v>
      </c>
      <c r="BH53" s="10">
        <f t="shared" si="2"/>
        <v>1</v>
      </c>
      <c r="BI53" s="10">
        <f>IF(E53="","",IF(DT53=1,1+Boss参数!$B$8+AV53*Boss参数!$B$19,1))</f>
        <v>1.5</v>
      </c>
      <c r="BJ53" s="9">
        <f>IF($I53="现实",Boss参数!$C$4,IF($I53="精神",Boss参数!$D$4,0))</f>
        <v>1000</v>
      </c>
      <c r="BK53" s="9">
        <f>IF($E53="","",MAX($AY53*Boss参数!$B$9,$AY53-$BJ53*(1-$BF53)))</f>
        <v>2505</v>
      </c>
      <c r="BL53" s="10">
        <f>MAX(0,Boss参数!$F$4+IF(DT53=0,Boss参数!$B$27,0)-EJ53)</f>
        <v>0.10000000000000003</v>
      </c>
      <c r="BM53" s="10">
        <f>Boss参数!$G$4+DU53-IF(Y53=1,Boss参数!$B$11,0)</f>
        <v>0.55000000000000004</v>
      </c>
      <c r="BN53" s="10">
        <f>IF($E53="","",MAX(Boss参数!$B$10,1+IFERROR(INDEX(角色面板!$I$18:$I$21,MATCH($E53,角色面板!$A$18:$A$21,0)),0)+$BB53+Boss参数!$H$4-$BM53))</f>
        <v>1.2549999999999999</v>
      </c>
      <c r="BO53" s="10">
        <f>IF(E53="","",IF(OR(L53="J_COUNTER",L53="J_HARD"),MAX(0,1+INDEX(角色面板!$K$18:$K$21,MATCH(E53,角色面板!$A$18:$A$21,0))-DI53*Boss参数!$B$23+IF(OR(Boss参数!$B$43=1,L53="J_HARD"),IF(B53&lt;=AH53,Boss参数!$B$46,0),0)),MAX(0,IF(OR(H53="术法",L53="RHI_BERRY",AND(L53="37_FOLLOW",Boss参数!$B$31=1)),1+BC53,IF(H53="仪式",1+BD53,IF(H53="洞知",EK53,1))))))</f>
        <v>0.44999999999999996</v>
      </c>
      <c r="BP53" s="10">
        <f t="shared" si="3"/>
        <v>2.3380000000000001</v>
      </c>
      <c r="BQ53" s="1">
        <f t="shared" si="4"/>
        <v>6366.144374999998</v>
      </c>
      <c r="BR53" s="1">
        <f t="shared" si="5"/>
        <v>14884.045548749997</v>
      </c>
      <c r="BS53" s="1">
        <f>IF(BH53=0,0,ROUNDDOWN(AY53*BH53,0)*DV53*IF(Boss参数!$B$29=1,BN53,1)*IF(Boss参数!$B$33=1,BO53,1)*IF(Boss参数!$B$76=1,1-ES53,1))</f>
        <v>0</v>
      </c>
      <c r="BT53" s="1">
        <f t="shared" si="6"/>
        <v>0</v>
      </c>
      <c r="BU53" s="9">
        <f>IF(D53="",0,MIN(IF(Boss参数!$B$77=1,Boss参数!$B$63*Boss参数!$B$62,Boss参数!$B$61*Boss参数!$B$62),DW53+ROUNDDOWN(BS53,0)+ROUNDDOWN(DW53*Q53,0)))</f>
        <v>2546</v>
      </c>
      <c r="BV53" s="9">
        <f>IF(D53="",0,MIN(IF(Boss参数!$B$77=1,Boss参数!$B$63*Boss参数!$B$62,Boss参数!$B$61*Boss参数!$B$62),DX53+ROUNDDOWN(BT53,0)+ROUNDDOWN(DX53*Q53,0)))</f>
        <v>5953</v>
      </c>
      <c r="BW53" s="9">
        <f t="shared" si="7"/>
        <v>5135</v>
      </c>
      <c r="BX53" s="1" t="str">
        <f t="shared" si="8"/>
        <v/>
      </c>
      <c r="BY53" s="1">
        <f t="shared" si="9"/>
        <v>0</v>
      </c>
      <c r="BZ53" s="1">
        <f t="shared" si="10"/>
        <v>0</v>
      </c>
      <c r="CA53" s="1">
        <f>MIN(10,W53+IF(AND(L53="LILYA_COBRA",COUNTIF($L$3:L53,"LILYA_COBRA")=1),5,0)+IF(AND(L53="LILYA_DIVE",U53=1,COUNTIFS($DG$3:DG53,DG53,$L$3:L53,"LILYA_DIVE")=1),2,0)+IF(AND(FE53=1,U53=1),3,0))</f>
        <v>0</v>
      </c>
      <c r="CB53" s="1">
        <f>MIN(20,MAX(0,X53+IF(L53="LILYA_COBRA",IF(COUNTIF($L$3:L53,"LILYA_COBRA")=1,6,IF(U53=1,MAX(1,G53),IF(U53=2,2*MAX(1,G53),0))),0)+IF(AND(Y53=1,E53="红弩箭",L53&lt;&gt;"ENTER_INSIGHT"),1,0)-IF(AND(L53="LILYA_ULT",X53&gt;=6),6,0)))</f>
        <v>11</v>
      </c>
      <c r="CC53" s="1">
        <f t="shared" si="11"/>
        <v>0</v>
      </c>
      <c r="CD53" s="1">
        <f t="shared" si="12"/>
        <v>0</v>
      </c>
      <c r="CE53" s="1">
        <f t="shared" si="13"/>
        <v>0</v>
      </c>
      <c r="CF53" s="1">
        <f t="shared" si="14"/>
        <v>5</v>
      </c>
      <c r="CG53" s="1">
        <f t="shared" si="15"/>
        <v>0</v>
      </c>
      <c r="CH53" s="1">
        <f>MIN(35,AD53+IF(L53="J_HARD",6,0)+IF(L53="J_COUNTER",Boss参数!$B$30,0))</f>
        <v>24</v>
      </c>
      <c r="CI53" s="1">
        <f>MIN(Boss参数!$I$4,AE53+IF(L53="J_HARD",6,0)+IF(L53="J_ULT",AD53,0)+IF(L53="J_COUNTER",Boss参数!$B$30,0))</f>
        <v>15</v>
      </c>
      <c r="CJ53" s="10">
        <f>IF(L53="J_ULT",AD53*Boss参数!$B$41,IF(B53&lt;=AG53,AF53,0))</f>
        <v>0.4</v>
      </c>
      <c r="CK53" s="1">
        <f t="shared" si="16"/>
        <v>5</v>
      </c>
      <c r="CL53" s="1">
        <f t="shared" si="17"/>
        <v>5</v>
      </c>
      <c r="CM53" s="1">
        <f t="shared" si="18"/>
        <v>4</v>
      </c>
      <c r="CN53" s="1">
        <f t="shared" si="19"/>
        <v>5</v>
      </c>
      <c r="CO53" s="1">
        <f t="shared" si="20"/>
        <v>4</v>
      </c>
      <c r="CP53" s="1">
        <f t="shared" si="21"/>
        <v>3</v>
      </c>
      <c r="CQ53" s="1">
        <f t="shared" si="22"/>
        <v>20</v>
      </c>
      <c r="CR53" s="1">
        <f t="shared" si="23"/>
        <v>4</v>
      </c>
      <c r="CS53" s="1">
        <f t="shared" si="24"/>
        <v>0</v>
      </c>
      <c r="CT53" s="10">
        <f t="shared" si="25"/>
        <v>0.12</v>
      </c>
      <c r="CU53" s="1">
        <f t="shared" si="26"/>
        <v>5</v>
      </c>
      <c r="CV53" s="10">
        <f t="shared" si="27"/>
        <v>0.3</v>
      </c>
      <c r="CW53" s="1">
        <f t="shared" si="28"/>
        <v>5</v>
      </c>
      <c r="CX53" s="10">
        <f t="shared" si="29"/>
        <v>0.3</v>
      </c>
      <c r="CY53" s="1">
        <f t="shared" si="30"/>
        <v>5</v>
      </c>
      <c r="CZ53" s="1"/>
      <c r="DA53" s="1"/>
      <c r="DB53" s="1"/>
      <c r="DC53" s="1"/>
      <c r="DD53" s="1"/>
      <c r="DE53" s="1"/>
      <c r="DF53" s="1"/>
      <c r="DG53" s="1" t="str">
        <f>IF(D53="","",行动模拟!B59)</f>
        <v>小瑞安侬额外回合</v>
      </c>
      <c r="DH53" s="1" t="str">
        <f>IF(L53="END_TURN","回合结束",IF(D53="","",IF(INDEX(回合状态!$C$7:$C$17,MATCH(DG53,回合状态!$A$7:$A$17,0))="洞穿","洞穿",IF(OR(L53="J_COUNTER",L53="BOSS_ACTION",L53="BOSS_CONSERVATIVE"),"敌方",IF(AND(L53="37_FOLLOW",DG53=DG52,DH52="敌方"),"敌方",IF(INDEX(回合状态!$C$7:$C$17,MATCH(DG53,回合状态!$A$7:$A$17,0))="普通","出牌",INDEX(回合状态!$C$7:$C$17,MATCH(DG53,回合状态!$A$7:$A$17,0))))))))</f>
        <v>额外</v>
      </c>
      <c r="DI53" s="1">
        <f t="shared" si="31"/>
        <v>3</v>
      </c>
      <c r="DJ53" s="1">
        <f>IF(D53="",0,MIN(Boss参数!$B$25,IF(OR(AND(DH53="敌方",OR(DH52&lt;&gt;"敌方",DG53&lt;&gt;DG52)),AND(L53="END_TURN",DH53&lt;&gt;"洞穿"),AND(DG53&lt;&gt;DG52,DH52&lt;&gt;"洞穿",L52&lt;&gt;"END_TURN",COUNTIFS($DG$3:DG52,DG52,$DH$3:DH52,"敌方")=0)),EW53,DN52)))</f>
        <v>1</v>
      </c>
      <c r="DK53" s="1">
        <f>IF(D53="",0,MIN(Boss参数!$B$25,IF(OR(AND(DH53="敌方",OR(DH52&lt;&gt;"敌方",DG53&lt;&gt;DG52)),AND(L53="END_TURN",DH53&lt;&gt;"洞穿"),AND(DG53&lt;&gt;DG52,DH52&lt;&gt;"洞穿",L52&lt;&gt;"END_TURN",COUNTIFS($DG$3:DG52,DG52,$DH$3:DH52,"敌方")=0)),EW53,DO52)))</f>
        <v>3</v>
      </c>
      <c r="DL53" s="1">
        <f>IF(D53="",0,MIN(Boss参数!$B$25,IF(OR(AND(DH53="敌方",OR(DH52&lt;&gt;"敌方",DG53&lt;&gt;DG52)),AND(L53="END_TURN",DH53&lt;&gt;"洞穿"),AND(DG53&lt;&gt;DG52,DH52&lt;&gt;"洞穿",L52&lt;&gt;"END_TURN",COUNTIFS($DG$3:DG52,DG52,$DH$3:DH52,"敌方")=0)),EW53,DP52)))</f>
        <v>5</v>
      </c>
      <c r="DM53" s="1">
        <f>IF(D53="",0,MIN(Boss参数!$B$25,IF(OR(AND(DH53="敌方",OR(DH52&lt;&gt;"敌方",DG53&lt;&gt;DG52)),AND(L53="END_TURN",DH53&lt;&gt;"洞穿"),AND(DG53&lt;&gt;DG52,DH52&lt;&gt;"洞穿",L52&lt;&gt;"END_TURN",COUNTIFS($DG$3:DG52,DG52,$DH$3:DH52,"敌方")=0)),EW53,DQ52)))</f>
        <v>5</v>
      </c>
      <c r="DN53" s="1">
        <f>MAX(0,MIN(Boss参数!$B$25,DJ53+DR53)-IF(E53="红弩箭",2*DR53,0))</f>
        <v>2</v>
      </c>
      <c r="DO53" s="1">
        <f>MAX(0,MIN(Boss参数!$B$25,DK53+DR53)-IF(E53="37",2*DR53,0))</f>
        <v>2</v>
      </c>
      <c r="DP53" s="1">
        <f>MAX(0,MIN(Boss参数!$B$25,DL53+DR53)-IF(E53="小瑞安侬",2*DR53,0))</f>
        <v>5</v>
      </c>
      <c r="DQ53" s="1">
        <f>MAX(0,MIN(Boss参数!$B$25,DM53+DR53)-IF(E53="J",2*DR53,0))</f>
        <v>5</v>
      </c>
      <c r="DR53" s="1">
        <f t="shared" si="32"/>
        <v>1</v>
      </c>
      <c r="DS53" s="1">
        <f t="shared" si="33"/>
        <v>0</v>
      </c>
      <c r="DT53" s="1">
        <f>IF(OR(E53="",E53="系统"),0,IF(OR(AND(DS53=1,Boss参数!$B$32=1),L53="RHI_BERRY",OR(AND(INDEX(角色面板!$B$18:$B$21,MATCH(E53,角色面板!$A$18:$A$21,0))="星",Boss参数!$B$4="岩"),AND(INDEX(角色面板!$B$18:$B$21,MATCH(E53,角色面板!$A$18:$A$21,0))="岩",Boss参数!$B$4="兽"),AND(INDEX(角色面板!$B$18:$B$21,MATCH(E53,角色面板!$A$18:$A$21,0))="兽",Boss参数!$B$4="木"),AND(INDEX(角色面板!$B$18:$B$21,MATCH(E53,角色面板!$A$18:$A$21,0))="木",Boss参数!$B$4="星"),AND(INDEX(角色面板!$B$18:$B$21,MATCH(E53,角色面板!$A$18:$A$21,0))="智",Boss参数!$B$4="灵"),AND(INDEX(角色面板!$B$18:$B$21,MATCH(E53,角色面板!$A$18:$A$21,0))="灵",Boss参数!$B$4="智"))),1,0))</f>
        <v>1</v>
      </c>
      <c r="DU53" s="1">
        <f>IF(D53="",0,INDEX(回合状态!$E$7:$E$17,MATCH(DG53,回合状态!$A$7:$A$17,0))+IF(AND(DH53="敌方",OR(INDEX(回合状态!$C$7:$C$17,MATCH(DG53,回合状态!$A$7:$A$17,0))="普通",INDEX(回合状态!$C$7:$C$17,MATCH(DG53,回合状态!$A$7:$A$17,0))="额外")),0.05,0))</f>
        <v>0.15000000000000002</v>
      </c>
      <c r="DV53" s="1">
        <f>MAX(Boss参数!$B$28,1+IF(AND(E53="37",AC53&gt;0,BH53&gt;0),Boss参数!$B$42,0)-DI53*Boss参数!$B$24+EA53-ER53)</f>
        <v>0</v>
      </c>
      <c r="DW53" s="1">
        <f>MIN(IF(Boss参数!$B$77=1,Boss参数!$B$63*Boss参数!$B$62,Boss参数!$B$61*Boss参数!$B$62),ROUNDDOWN(BQ53*(1-ES53),0))</f>
        <v>2546</v>
      </c>
      <c r="DX53" s="1">
        <f>MIN(IF(Boss参数!$B$77=1,Boss参数!$B$63*Boss参数!$B$62,Boss参数!$B$61*Boss参数!$B$62),ROUNDDOWN(BR53*(1-ES53),0))</f>
        <v>5953</v>
      </c>
      <c r="DY53" s="1">
        <f t="shared" si="65"/>
        <v>238</v>
      </c>
      <c r="DZ53" s="1">
        <f>IF(L53="RHI_ULT",MIN(Boss参数!$B$48,ROUNDDOWN(AY53*Boss参数!$B$47,0)),DY53)</f>
        <v>238</v>
      </c>
      <c r="EA53" s="11">
        <v>0</v>
      </c>
      <c r="EB53" s="1">
        <f t="shared" si="34"/>
        <v>0</v>
      </c>
      <c r="EC53" s="1">
        <f>SUMIFS($EB$3:EB53,$B$3:B53,"&gt;="&amp;MAX(1,B53-2),$B$3:B53,"&lt;="&amp;B53)*Boss参数!$B$51</f>
        <v>14</v>
      </c>
      <c r="ED53" s="1">
        <f>IF(D53="",EG52,IF(AND(DG53&lt;&gt;DG52,DH53&lt;&gt;"洞穿"),MIN(Boss参数!$B$55,EG52+2),EG52))</f>
        <v>1</v>
      </c>
      <c r="EE53" s="1">
        <f t="shared" si="35"/>
        <v>0</v>
      </c>
      <c r="EF53" s="1">
        <f>IF(AND(OR(L53="END_TURN",AND(DH53="敌方",OR(DH52&lt;&gt;"敌方",DG53&lt;&gt;DG52))),SUMIFS($EF$3:EF52,$DG$3:DG52,DG53)=0),MIN(1,MAX(0,ED53-EE53)),0)</f>
        <v>0</v>
      </c>
      <c r="EG53" s="1">
        <f t="shared" si="36"/>
        <v>1</v>
      </c>
      <c r="EH53" s="11">
        <f>Boss参数!$B$53-IF(Y53=1,Boss参数!$B$54,0)</f>
        <v>0</v>
      </c>
      <c r="EI53" s="11">
        <f t="shared" si="37"/>
        <v>0.3</v>
      </c>
      <c r="EJ53" s="11">
        <f t="shared" si="38"/>
        <v>0.3</v>
      </c>
      <c r="EK53" s="11">
        <f t="shared" si="39"/>
        <v>1</v>
      </c>
      <c r="EL53" s="1">
        <f t="shared" si="66"/>
        <v>0</v>
      </c>
      <c r="EM53" s="1">
        <f>IF(AND(DG53&lt;&gt;DG52,DH53="洞穿"),0,IF(L53="ENTER_INSIGHT",Boss参数!$B$57,EO52))</f>
        <v>0</v>
      </c>
      <c r="EN53" s="11">
        <f>IF(AND(Y53=1,H53="洞知",EM53&gt;0),Boss参数!$B$56,0)</f>
        <v>0</v>
      </c>
      <c r="EO53" s="1">
        <f t="shared" si="40"/>
        <v>0</v>
      </c>
      <c r="EP53" s="12">
        <f t="shared" si="67"/>
        <v>13318276</v>
      </c>
      <c r="EQ53" s="12">
        <f>ROUNDDOWN(EP53/Boss参数!$B$62,0)</f>
        <v>133</v>
      </c>
      <c r="ER53" s="11">
        <f>IF(EQ53&gt;=Boss参数!$B$66,Boss参数!$B$69,IF(EQ53&gt;=Boss参数!$B$65,Boss参数!$B$68,IF(EQ53&gt;=Boss参数!$B$64,Boss参数!$B$67,0)))</f>
        <v>0.9</v>
      </c>
      <c r="ES53" s="11">
        <f>MIN(1,IF(EQ53&gt;=Boss参数!$B$66,Boss参数!$B$72+ROUNDDOWN((EQ53-Boss参数!$B$66)/Boss参数!$B$73,0)*Boss参数!$B$74,IF(EQ53&gt;=Boss参数!$B$65,Boss参数!$B$71,IF(EQ53&gt;=Boss参数!$B$64,Boss参数!$B$70,0))))</f>
        <v>0.6</v>
      </c>
      <c r="ET53" s="12">
        <f>MIN(Boss参数!$B$61*Boss参数!$B$62,EP53+IF(AND(Boss参数!$B$60=1,ISNUMBER(验证表!H59)),验证表!H59,EU53))</f>
        <v>13324229</v>
      </c>
      <c r="EU53" s="12">
        <f>IF(D53="",0,IF(验证表!G59="是",BV53,IF(验证表!G59="否",BU53,BW53)))</f>
        <v>5953</v>
      </c>
      <c r="EV53" s="12">
        <f>IF(EQ53&gt;=Boss参数!$B$66,2,IF(EQ53&gt;=Boss参数!$B$65,1,0))</f>
        <v>2</v>
      </c>
      <c r="EW53" s="12">
        <f t="shared" si="41"/>
        <v>3</v>
      </c>
      <c r="EX53" s="1">
        <f>IF(D53="",0,INDEX(回合状态!$D$7:$D$17,MATCH(DG53,回合状态!$A$7:$A$17,0)))</f>
        <v>4</v>
      </c>
      <c r="EY53" s="1">
        <f>IF(OR(L53="RHI_ATTACK",L53="RHI_BUFF"),1,IF(L53="RHI_ULT",Boss参数!$B$52,0))</f>
        <v>0</v>
      </c>
      <c r="EZ53" s="1">
        <f>MIN(6,SUMIFS($EY$3:EY53,$EX$3:EX53,"&gt;="&amp;MAX(1,EX53-Boss参数!$B$87+1),$EX$3:EX53,"&lt;="&amp;EX53))</f>
        <v>5</v>
      </c>
      <c r="FA53" s="1">
        <f t="shared" si="68"/>
        <v>24</v>
      </c>
      <c r="FB53" s="17">
        <f>IF(L53="BOSS_CONSERVATIVE",B53+Boss参数!$B$91,FB52)</f>
        <v>0</v>
      </c>
      <c r="FC53" s="17">
        <f t="shared" si="69"/>
        <v>0</v>
      </c>
      <c r="FD53" s="17">
        <f>IF(D53="",FD52,FD52+IF(AND(DG53&lt;&gt;DG52,INDEX(回合状态!$C$7:$C$17,MATCH(DG53,回合状态!$A$7:$A$17,0))&lt;&gt;"洞穿"),1,0))</f>
        <v>4</v>
      </c>
      <c r="FE53" s="17">
        <f>IF(D53="",0,IF(AND(OR(L53="END_TURN",DH53="敌方"),INDEX(回合状态!$C$7:$C$17,MATCH(DG53,回合状态!$A$7:$A$17,0))&lt;&gt;"洞穿",SUMIFS($FE$3:FE52,$DG$3:DG52,DG53)=0),1,0))</f>
        <v>0</v>
      </c>
    </row>
    <row r="54" spans="1:161" ht="84.95" customHeight="1">
      <c r="A54" s="1">
        <f>行动模拟!A60</f>
        <v>52</v>
      </c>
      <c r="B54" s="1">
        <f>IF(D54="",0,INDEX(回合状态!$B$7:$B$17,MATCH(DG54,回合状态!$A$7:$A$17,0)))</f>
        <v>3</v>
      </c>
      <c r="C54" s="1">
        <f>行动模拟!C60</f>
        <v>3</v>
      </c>
      <c r="D54" s="1" t="str">
        <f>IF(行动模拟!D60="","",行动模拟!D60)</f>
        <v>小瑞安侬｜囫囵囵咒Ⅰ</v>
      </c>
      <c r="E54" s="1" t="str">
        <f>IF($D54="","",IFERROR(INDEX(技能数据库!$B$4:$B$38,MATCH($D54,技能数据库!$A$4:$A$38,0)),""))</f>
        <v>小瑞安侬</v>
      </c>
      <c r="F54" s="1" t="str">
        <f>IF($D54="","",IFERROR(INDEX(技能数据库!$C$4:$C$38,MATCH($D54,技能数据库!$A$4:$A$38,0)),""))</f>
        <v>囫囵囵咒</v>
      </c>
      <c r="G54" s="1">
        <f>IF($D54="","",IFERROR(INDEX(技能数据库!$D$4:$D$38,MATCH($D54,技能数据库!$A$4:$A$38,0)),""))</f>
        <v>1</v>
      </c>
      <c r="H54" s="1" t="str">
        <f>IF($D54="","",IFERROR(INDEX(技能数据库!$E$4:$E$38,MATCH($D54,技能数据库!$A$4:$A$38,0)),""))</f>
        <v>术法</v>
      </c>
      <c r="I54" s="1" t="str">
        <f>IF($D54="","",IFERROR(INDEX(技能数据库!$F$4:$F$38,MATCH($D54,技能数据库!$A$4:$A$38,0)),""))</f>
        <v>精神</v>
      </c>
      <c r="J54" s="1">
        <f>IF($D54="","",IFERROR(INDEX(技能数据库!$G$4:$G$38,MATCH($D54,技能数据库!$A$4:$A$38,0)),""))</f>
        <v>2</v>
      </c>
      <c r="K54" s="1">
        <f>IF($D54="","",IFERROR(INDEX(技能数据库!$H$4:$H$38,MATCH($D54,技能数据库!$A$4:$A$38,0)),""))</f>
        <v>0</v>
      </c>
      <c r="L54" s="1" t="str">
        <f>IF($D54="","",IFERROR(INDEX(技能数据库!$I$4:$I$38,MATCH($D54,技能数据库!$A$4:$A$38,0)),""))</f>
        <v>RHI_ATTACK</v>
      </c>
      <c r="M54" s="10">
        <v>1</v>
      </c>
      <c r="N54" s="1"/>
      <c r="O54" s="1"/>
      <c r="P54" s="1"/>
      <c r="Q54" s="10">
        <f t="shared" si="0"/>
        <v>0</v>
      </c>
      <c r="R54" s="10">
        <v>0</v>
      </c>
      <c r="S54" s="10">
        <v>0</v>
      </c>
      <c r="T54" s="1">
        <f>行动模拟!I60</f>
        <v>0</v>
      </c>
      <c r="U54" s="1">
        <f>IF(FD54&lt;&gt;FD53,IF(BY53=1,IF(MIN(10,CA53+IF(AND(DG54&lt;&gt;DG53,DH53&lt;&gt;"洞穿",SUMIFS($FE$3:FE53,$DG$3:DG53,DG53)=0,BY53=1),3,0))&gt;=10,2,1),IF(BY53=2,IF(BZ53&lt;=1,0,2),0)),BY53)</f>
        <v>0</v>
      </c>
      <c r="V54" s="1">
        <f>IF(FD54&lt;&gt;FD53,IF(BY53=1,IF(MIN(10,CA53+IF(AND(DG54&lt;&gt;DG53,DH53&lt;&gt;"洞穿",SUMIFS($FE$3:FE53,$DG$3:DG53,DG53)=0,BY53=1),3,0))&gt;=10,2,0),IF(BY53=2,MAX(0,BZ53-1),0)),BZ53)</f>
        <v>0</v>
      </c>
      <c r="W54" s="1">
        <f>IF(AND(FD54&lt;&gt;FD53,BY53=2,BZ53&lt;=1),0,MIN(10,CA53+IF(AND(DG54&lt;&gt;DG53,DH53&lt;&gt;"洞穿",SUMIFS($FE$3:FE53,$DG$3:DG53,DG53)=0,BY53=1),3,0)))</f>
        <v>0</v>
      </c>
      <c r="X54" s="1">
        <f t="shared" si="42"/>
        <v>11</v>
      </c>
      <c r="Y54" s="1">
        <f t="shared" si="43"/>
        <v>0</v>
      </c>
      <c r="Z54" s="1">
        <f t="shared" si="44"/>
        <v>0</v>
      </c>
      <c r="AA54" s="1">
        <f t="shared" si="45"/>
        <v>0</v>
      </c>
      <c r="AB54" s="1">
        <f t="shared" si="46"/>
        <v>5</v>
      </c>
      <c r="AC54" s="1">
        <f t="shared" si="47"/>
        <v>0</v>
      </c>
      <c r="AD54" s="1">
        <f t="shared" si="48"/>
        <v>24</v>
      </c>
      <c r="AE54" s="1">
        <f>IF(D54="",0,IF(DG54&lt;&gt;DG53,IFERROR(INDEX(回合状态!$F$7:$F$17,MATCH(DG54,回合状态!$A$7:$A$17,0)),0),CI53))</f>
        <v>15</v>
      </c>
      <c r="AF54" s="10">
        <f t="shared" si="49"/>
        <v>0.4</v>
      </c>
      <c r="AG54" s="1">
        <f t="shared" si="50"/>
        <v>5</v>
      </c>
      <c r="AH54" s="1">
        <f t="shared" si="51"/>
        <v>5</v>
      </c>
      <c r="AI54" s="1">
        <f t="shared" si="52"/>
        <v>4</v>
      </c>
      <c r="AJ54" s="1">
        <f t="shared" si="53"/>
        <v>5</v>
      </c>
      <c r="AK54" s="1">
        <f t="shared" si="54"/>
        <v>4</v>
      </c>
      <c r="AL54" s="1">
        <f t="shared" si="55"/>
        <v>3</v>
      </c>
      <c r="AM54" s="1">
        <f t="shared" si="56"/>
        <v>20</v>
      </c>
      <c r="AN54" s="1">
        <f t="shared" si="57"/>
        <v>4</v>
      </c>
      <c r="AO54" s="1">
        <f t="shared" si="58"/>
        <v>0</v>
      </c>
      <c r="AP54" s="10">
        <f t="shared" si="59"/>
        <v>0.12</v>
      </c>
      <c r="AQ54" s="1">
        <f t="shared" si="60"/>
        <v>5</v>
      </c>
      <c r="AR54" s="10">
        <f t="shared" si="61"/>
        <v>0.3</v>
      </c>
      <c r="AS54" s="1">
        <f t="shared" si="62"/>
        <v>5</v>
      </c>
      <c r="AT54" s="10">
        <f t="shared" si="63"/>
        <v>0.3</v>
      </c>
      <c r="AU54" s="1">
        <f t="shared" si="64"/>
        <v>5</v>
      </c>
      <c r="AV54" s="1">
        <f>MIN(5,SUMIFS($EL$3:EL54,$B$3:B54,"&gt;="&amp;MAX(1,B54-2),$B$3:B54,"&lt;="&amp;B54)+EC54)</f>
        <v>5</v>
      </c>
      <c r="AW54" s="1">
        <f>MIN(6,SUMIFS($EY$3:EY53,$EX$3:EX53,"&gt;="&amp;MAX(1,EX54-Boss参数!$B$87+1),$EX$3:EX53,"&lt;="&amp;EX54))</f>
        <v>5</v>
      </c>
      <c r="AX54" s="1">
        <f>MIN(4,COUNTIFS($B$3:$B$53,"&gt;="&amp;MAX(1,$B54-2),$B$3:$B$53,"&lt;="&amp;$B54,$L$3:$L$53,"37_FOLLOW"))</f>
        <v>4</v>
      </c>
      <c r="AY54" s="9">
        <f>IF($E54="","",IF($E54="系统",0,ROUNDDOWN(INDEX(角色面板!$C$4:$C$7,MATCH($E54,角色面板!$A$4:$A$7,0))*(1+INDEX(角色面板!$C$11:$C$14,MATCH($E54,角色面板!$A$11:$A$14,0))+IF($E54="小瑞安侬",MAX(IF($B54&lt;=$AQ54,$AP54,0),IF(AND($L54="RHI_ATTACK",$EE54&gt;0),0.11+0.01*$G54,0)),0)+IF($E54="J",$AD54*Boss参数!$B$18,0))+IF(FD54&lt;=$AN54,MIN(Boss参数!$B$21,ROUNDDOWN(角色面板!$C$19*Boss参数!$B$20,0)),0)+IF(AND($B54&lt;=$AK54,$E54&lt;&gt;"小瑞安侬"),$DY54,0),0)))</f>
        <v>3798</v>
      </c>
      <c r="AZ54" s="10">
        <f>IF($E54="","",MAX(0,MIN(1,IFERROR(INDEX(角色面板!$G$18:$G$21,MATCH($E54,角色面板!$A$18:$A$21,0)),0)-FC54*Boss参数!$B$89-Boss参数!$E$4)))</f>
        <v>0.55499999999999994</v>
      </c>
      <c r="BA54" s="10">
        <f>IF(E54="","",(IF($E54="","",IF($E54="红弩箭",Boss参数!$B$80,IF($E54="J",Boss参数!$B$81,IFERROR(INDEX(角色面板!$H$18:$H$21,MATCH($E54,角色面板!$A$18:$A$21,0)),0)))+IF($B54&lt;=$AI54,Boss参数!$B$13,0)+MIN(30,$AM54)*Boss参数!$B$17+IF(AND($L54="LILYA_ULT",$X54&gt;=6),1,0)+IF(AND($Y54=1,$L54="LILYA_INSIGHT"),IF(MOD($AA54+1,3)=0,Boss参数!$B$83,Boss参数!$B$82),IF(AND($Y54=1,$L54="LILYA_FINISH"),Boss参数!$B$84,0))))-FC54*Boss参数!$B$90)</f>
        <v>1.79</v>
      </c>
      <c r="BB54" s="10">
        <f>IF($E54="","",IFERROR(INDEX(角色面板!$M$18:$M$21,MATCH($E54,角色面板!$A$18:$A$21,0)),0)+$AW54*Boss参数!$B$12+IF($B54&lt;=$AG54,$AF54,0)+$EI54+IF($L54="LILYA_DIVE",IF($U54=1,IF($G54=1,0.3,IF($G54=2,0.4,0.5)),IF($U54=2,IF($G54=1,0.6,IF($G54=2,0.8,1)),0)),0)+$R54+IF(AND($E54="J",OR($L54="J_COUNTER",$L54="J_HARD")),Boss参数!$B$79,0)+IF(AND(OR(L54="J_COUNTER",L54="J_HARD"),FA54&gt;=Boss参数!$B$59),FA54*Boss参数!$B$40,0))</f>
        <v>0.8</v>
      </c>
      <c r="BC54" s="10">
        <f>IF($E54="","",IFERROR(INDEX(角色面板!$K$18:$K$21,MATCH($E54,角色面板!$A$18:$A$21,0)),0)+IF($B54&lt;=$AH54,Boss参数!$B$46,0)+IF($E54="红弩箭",IF($U54=1,0.6,IF($U54=2,1.2,0))+$W54*0.06,0))-DI54*Boss参数!$B$23</f>
        <v>-0.85000000000000009</v>
      </c>
      <c r="BD54" s="10">
        <f>IF($E54="","",IFERROR(INDEX(角色面板!$L$18:$L$21,MATCH($E54,角色面板!$A$18:$A$21,0)),0)+IF($B54&lt;=$AH54,Boss参数!$B$46,0)+IF($E54="J",$AL54*Boss参数!$B$16,0)+IF($E54="红弩箭",$X54*0.025,0)+IF(AND($L54="LILYA_ULT",$X54&gt;=6),1,0))-DI54*Boss参数!$B$23</f>
        <v>-0.45</v>
      </c>
      <c r="BE54" s="10">
        <f>IF($E54="","",IF($H54="洞知",IF($E54="红弩箭",$AO54*Boss参数!$B$15,0)+$AX54*Boss参数!$B$14,0))</f>
        <v>0</v>
      </c>
      <c r="BF54" s="10">
        <f t="shared" si="1"/>
        <v>0</v>
      </c>
      <c r="BG54" s="10">
        <f>IF($D54="",0,IF(AND($L54&lt;&gt;"LILYA_DIVE",$L54&lt;&gt;"LILYA_ULT",$L54&lt;&gt;"LILYA_INSIGHT",$L54&lt;&gt;"LILYA_FINISH",$L54&lt;&gt;"37_FOLLOW",$L54&lt;&gt;"RHI_ATTACK",$L54&lt;&gt;"RHI_BERRY",$L54&lt;&gt;"J_COUNTER",$L54&lt;&gt;"J_ULT"),$J54,0)+IF($L54="LILYA_DIVE",$J54+IF($U54=1,IF($G54=1,6,IF($G54=2,12,18)),IF($U54=2,IF($G54=1,12,IF($G54=2,24,36)),0)),0)+IF($L54="LILYA_ULT",$J54+IF($X54&gt;=6,18,0),0)+IF($L54="LILYA_INSIGHT",IF($Y54=1,IF(MOD($AA54+1,3)=0,32,15),0),0)+IF($L54="LILYA_FINISH",IF($Y54=1,50+2.5*$Z54,0),0)+IF($L54="37_FOLLOW",$J54,0)+IF($L54="RHI_ATTACK",$J54*IF($B54&lt;=$AJ54,2,1),0)+IF($L54="RHI_BERRY",15+1.5*$AV54,0)+IF($L54="J_COUNTER",$J54+$AD54*Boss参数!$B$39,0)+IF($L54="J_ULT",$J54+Boss参数!$B$45*MAX(0,$AE54+$AD54-Boss参数!$I$4),0)+$S54)</f>
        <v>4</v>
      </c>
      <c r="BH54" s="10">
        <f t="shared" si="2"/>
        <v>0</v>
      </c>
      <c r="BI54" s="10">
        <f>IF(E54="","",IF(DT54=1,1+Boss参数!$B$8+AV54*Boss参数!$B$19,1))</f>
        <v>1.5</v>
      </c>
      <c r="BJ54" s="9">
        <f>IF($I54="现实",Boss参数!$C$4,IF($I54="精神",Boss参数!$D$4,0))</f>
        <v>1000</v>
      </c>
      <c r="BK54" s="9">
        <f>IF($E54="","",MAX($AY54*Boss参数!$B$9,$AY54-$BJ54*(1-$BF54)))</f>
        <v>2798</v>
      </c>
      <c r="BL54" s="10">
        <f>MAX(0,Boss参数!$F$4+IF(DT54=0,Boss参数!$B$27,0)-EJ54)</f>
        <v>0.10000000000000003</v>
      </c>
      <c r="BM54" s="10">
        <f>Boss参数!$G$4+DU54-IF(Y54=1,Boss参数!$B$11,0)</f>
        <v>0.55000000000000004</v>
      </c>
      <c r="BN54" s="10">
        <f>IF($E54="","",MAX(Boss参数!$B$10,1+IFERROR(INDEX(角色面板!$I$18:$I$21,MATCH($E54,角色面板!$A$18:$A$21,0)),0)+$BB54+Boss参数!$H$4-$BM54))</f>
        <v>1.2849999999999999</v>
      </c>
      <c r="BO54" s="10">
        <f>IF(E54="","",IF(OR(L54="J_COUNTER",L54="J_HARD"),MAX(0,1+INDEX(角色面板!$K$18:$K$21,MATCH(E54,角色面板!$A$18:$A$21,0))-DI54*Boss参数!$B$23+IF(OR(Boss参数!$B$43=1,L54="J_HARD"),IF(B54&lt;=AH54,Boss参数!$B$46,0),0)),MAX(0,IF(OR(H54="术法",L54="RHI_BERRY",AND(L54="37_FOLLOW",Boss参数!$B$31=1)),1+BC54,IF(H54="仪式",1+BD54,IF(H54="洞知",EK54,1))))))</f>
        <v>0.14999999999999991</v>
      </c>
      <c r="BP54" s="10">
        <f t="shared" si="3"/>
        <v>1.69</v>
      </c>
      <c r="BQ54" s="1">
        <f t="shared" si="4"/>
        <v>3235.8869999999979</v>
      </c>
      <c r="BR54" s="1">
        <f t="shared" si="5"/>
        <v>5468.6490299999959</v>
      </c>
      <c r="BS54" s="1">
        <f>IF(BH54=0,0,ROUNDDOWN(AY54*BH54,0)*DV54*IF(Boss参数!$B$29=1,BN54,1)*IF(Boss参数!$B$33=1,BO54,1)*IF(Boss参数!$B$76=1,1-ES54,1))</f>
        <v>0</v>
      </c>
      <c r="BT54" s="1">
        <f t="shared" si="6"/>
        <v>0</v>
      </c>
      <c r="BU54" s="9">
        <f>IF(D54="",0,MIN(IF(Boss参数!$B$77=1,Boss参数!$B$63*Boss参数!$B$62,Boss参数!$B$61*Boss参数!$B$62),DW54+ROUNDDOWN(BS54,0)+ROUNDDOWN(DW54*Q54,0)))</f>
        <v>1294</v>
      </c>
      <c r="BV54" s="9">
        <f>IF(D54="",0,MIN(IF(Boss参数!$B$77=1,Boss参数!$B$63*Boss参数!$B$62,Boss参数!$B$61*Boss参数!$B$62),DX54+ROUNDDOWN(BT54,0)+ROUNDDOWN(DX54*Q54,0)))</f>
        <v>2187</v>
      </c>
      <c r="BW54" s="9">
        <f t="shared" si="7"/>
        <v>1789</v>
      </c>
      <c r="BX54" s="1" t="str">
        <f t="shared" si="8"/>
        <v/>
      </c>
      <c r="BY54" s="1">
        <f t="shared" si="9"/>
        <v>0</v>
      </c>
      <c r="BZ54" s="1">
        <f t="shared" si="10"/>
        <v>0</v>
      </c>
      <c r="CA54" s="1">
        <f>MIN(10,W54+IF(AND(L54="LILYA_COBRA",COUNTIF($L$3:L54,"LILYA_COBRA")=1),5,0)+IF(AND(L54="LILYA_DIVE",U54=1,COUNTIFS($DG$3:DG54,DG54,$L$3:L54,"LILYA_DIVE")=1),2,0)+IF(AND(FE54=1,U54=1),3,0))</f>
        <v>0</v>
      </c>
      <c r="CB54" s="1">
        <f>MIN(20,MAX(0,X54+IF(L54="LILYA_COBRA",IF(COUNTIF($L$3:L54,"LILYA_COBRA")=1,6,IF(U54=1,MAX(1,G54),IF(U54=2,2*MAX(1,G54),0))),0)+IF(AND(Y54=1,E54="红弩箭",L54&lt;&gt;"ENTER_INSIGHT"),1,0)-IF(AND(L54="LILYA_ULT",X54&gt;=6),6,0)))</f>
        <v>11</v>
      </c>
      <c r="CC54" s="1">
        <f t="shared" si="11"/>
        <v>0</v>
      </c>
      <c r="CD54" s="1">
        <f t="shared" si="12"/>
        <v>0</v>
      </c>
      <c r="CE54" s="1">
        <f t="shared" si="13"/>
        <v>0</v>
      </c>
      <c r="CF54" s="1">
        <f t="shared" si="14"/>
        <v>6</v>
      </c>
      <c r="CG54" s="1">
        <f t="shared" si="15"/>
        <v>0</v>
      </c>
      <c r="CH54" s="1">
        <f>MIN(35,AD54+IF(L54="J_HARD",6,0)+IF(L54="J_COUNTER",Boss参数!$B$30,0))</f>
        <v>24</v>
      </c>
      <c r="CI54" s="1">
        <f>MIN(Boss参数!$I$4,AE54+IF(L54="J_HARD",6,0)+IF(L54="J_ULT",AD54,0)+IF(L54="J_COUNTER",Boss参数!$B$30,0))</f>
        <v>15</v>
      </c>
      <c r="CJ54" s="10">
        <f>IF(L54="J_ULT",AD54*Boss参数!$B$41,IF(B54&lt;=AG54,AF54,0))</f>
        <v>0.4</v>
      </c>
      <c r="CK54" s="1">
        <f t="shared" si="16"/>
        <v>5</v>
      </c>
      <c r="CL54" s="1">
        <f t="shared" si="17"/>
        <v>5</v>
      </c>
      <c r="CM54" s="1">
        <f t="shared" si="18"/>
        <v>4</v>
      </c>
      <c r="CN54" s="1">
        <f t="shared" si="19"/>
        <v>5</v>
      </c>
      <c r="CO54" s="1">
        <f t="shared" si="20"/>
        <v>4</v>
      </c>
      <c r="CP54" s="1">
        <f t="shared" si="21"/>
        <v>3</v>
      </c>
      <c r="CQ54" s="1">
        <f t="shared" si="22"/>
        <v>20</v>
      </c>
      <c r="CR54" s="1">
        <f t="shared" si="23"/>
        <v>4</v>
      </c>
      <c r="CS54" s="1">
        <f t="shared" si="24"/>
        <v>0</v>
      </c>
      <c r="CT54" s="10">
        <f t="shared" si="25"/>
        <v>0.12</v>
      </c>
      <c r="CU54" s="1">
        <f t="shared" si="26"/>
        <v>5</v>
      </c>
      <c r="CV54" s="10">
        <f t="shared" si="27"/>
        <v>0.3</v>
      </c>
      <c r="CW54" s="1">
        <f t="shared" si="28"/>
        <v>5</v>
      </c>
      <c r="CX54" s="10">
        <f t="shared" si="29"/>
        <v>0.3</v>
      </c>
      <c r="CY54" s="1">
        <f t="shared" si="30"/>
        <v>5</v>
      </c>
      <c r="CZ54" s="1"/>
      <c r="DA54" s="1"/>
      <c r="DB54" s="1"/>
      <c r="DC54" s="1"/>
      <c r="DD54" s="1"/>
      <c r="DE54" s="1"/>
      <c r="DF54" s="1"/>
      <c r="DG54" s="1" t="str">
        <f>IF(D54="","",行动模拟!B60)</f>
        <v>小瑞安侬额外回合</v>
      </c>
      <c r="DH54" s="1" t="str">
        <f>IF(L54="END_TURN","回合结束",IF(D54="","",IF(INDEX(回合状态!$C$7:$C$17,MATCH(DG54,回合状态!$A$7:$A$17,0))="洞穿","洞穿",IF(OR(L54="J_COUNTER",L54="BOSS_ACTION",L54="BOSS_CONSERVATIVE"),"敌方",IF(AND(L54="37_FOLLOW",DG54=DG53,DH53="敌方"),"敌方",IF(INDEX(回合状态!$C$7:$C$17,MATCH(DG54,回合状态!$A$7:$A$17,0))="普通","出牌",INDEX(回合状态!$C$7:$C$17,MATCH(DG54,回合状态!$A$7:$A$17,0))))))))</f>
        <v>额外</v>
      </c>
      <c r="DI54" s="1">
        <f t="shared" si="31"/>
        <v>5</v>
      </c>
      <c r="DJ54" s="1">
        <f>IF(D54="",0,MIN(Boss参数!$B$25,IF(OR(AND(DH54="敌方",OR(DH53&lt;&gt;"敌方",DG54&lt;&gt;DG53)),AND(L54="END_TURN",DH54&lt;&gt;"洞穿"),AND(DG54&lt;&gt;DG53,DH53&lt;&gt;"洞穿",L53&lt;&gt;"END_TURN",COUNTIFS($DG$3:DG53,DG53,$DH$3:DH53,"敌方")=0)),EW54,DN53)))</f>
        <v>2</v>
      </c>
      <c r="DK54" s="1">
        <f>IF(D54="",0,MIN(Boss参数!$B$25,IF(OR(AND(DH54="敌方",OR(DH53&lt;&gt;"敌方",DG54&lt;&gt;DG53)),AND(L54="END_TURN",DH54&lt;&gt;"洞穿"),AND(DG54&lt;&gt;DG53,DH53&lt;&gt;"洞穿",L53&lt;&gt;"END_TURN",COUNTIFS($DG$3:DG53,DG53,$DH$3:DH53,"敌方")=0)),EW54,DO53)))</f>
        <v>2</v>
      </c>
      <c r="DL54" s="1">
        <f>IF(D54="",0,MIN(Boss参数!$B$25,IF(OR(AND(DH54="敌方",OR(DH53&lt;&gt;"敌方",DG54&lt;&gt;DG53)),AND(L54="END_TURN",DH54&lt;&gt;"洞穿"),AND(DG54&lt;&gt;DG53,DH53&lt;&gt;"洞穿",L53&lt;&gt;"END_TURN",COUNTIFS($DG$3:DG53,DG53,$DH$3:DH53,"敌方")=0)),EW54,DP53)))</f>
        <v>5</v>
      </c>
      <c r="DM54" s="1">
        <f>IF(D54="",0,MIN(Boss参数!$B$25,IF(OR(AND(DH54="敌方",OR(DH53&lt;&gt;"敌方",DG54&lt;&gt;DG53)),AND(L54="END_TURN",DH54&lt;&gt;"洞穿"),AND(DG54&lt;&gt;DG53,DH53&lt;&gt;"洞穿",L53&lt;&gt;"END_TURN",COUNTIFS($DG$3:DG53,DG53,$DH$3:DH53,"敌方")=0)),EW54,DQ53)))</f>
        <v>5</v>
      </c>
      <c r="DN54" s="1">
        <f>MAX(0,MIN(Boss参数!$B$25,DJ54+DR54)-IF(E54="红弩箭",2*DR54,0))</f>
        <v>3</v>
      </c>
      <c r="DO54" s="1">
        <f>MAX(0,MIN(Boss参数!$B$25,DK54+DR54)-IF(E54="37",2*DR54,0))</f>
        <v>3</v>
      </c>
      <c r="DP54" s="1">
        <f>MAX(0,MIN(Boss参数!$B$25,DL54+DR54)-IF(E54="小瑞安侬",2*DR54,0))</f>
        <v>3</v>
      </c>
      <c r="DQ54" s="1">
        <f>MAX(0,MIN(Boss参数!$B$25,DM54+DR54)-IF(E54="J",2*DR54,0))</f>
        <v>5</v>
      </c>
      <c r="DR54" s="1">
        <f t="shared" si="32"/>
        <v>1</v>
      </c>
      <c r="DS54" s="1">
        <f t="shared" si="33"/>
        <v>1</v>
      </c>
      <c r="DT54" s="1">
        <f>IF(OR(E54="",E54="系统"),0,IF(OR(AND(DS54=1,Boss参数!$B$32=1),L54="RHI_BERRY",OR(AND(INDEX(角色面板!$B$18:$B$21,MATCH(E54,角色面板!$A$18:$A$21,0))="星",Boss参数!$B$4="岩"),AND(INDEX(角色面板!$B$18:$B$21,MATCH(E54,角色面板!$A$18:$A$21,0))="岩",Boss参数!$B$4="兽"),AND(INDEX(角色面板!$B$18:$B$21,MATCH(E54,角色面板!$A$18:$A$21,0))="兽",Boss参数!$B$4="木"),AND(INDEX(角色面板!$B$18:$B$21,MATCH(E54,角色面板!$A$18:$A$21,0))="木",Boss参数!$B$4="星"),AND(INDEX(角色面板!$B$18:$B$21,MATCH(E54,角色面板!$A$18:$A$21,0))="智",Boss参数!$B$4="灵"),AND(INDEX(角色面板!$B$18:$B$21,MATCH(E54,角色面板!$A$18:$A$21,0))="灵",Boss参数!$B$4="智"))),1,0))</f>
        <v>1</v>
      </c>
      <c r="DU54" s="1">
        <f>IF(D54="",0,INDEX(回合状态!$E$7:$E$17,MATCH(DG54,回合状态!$A$7:$A$17,0))+IF(AND(DH54="敌方",OR(INDEX(回合状态!$C$7:$C$17,MATCH(DG54,回合状态!$A$7:$A$17,0))="普通",INDEX(回合状态!$C$7:$C$17,MATCH(DG54,回合状态!$A$7:$A$17,0))="额外")),0.05,0))</f>
        <v>0.15000000000000002</v>
      </c>
      <c r="DV54" s="1">
        <f>MAX(Boss参数!$B$28,1+IF(AND(E54="37",AC54&gt;0,BH54&gt;0),Boss参数!$B$42,0)-DI54*Boss参数!$B$24+EA54-ER54)</f>
        <v>0</v>
      </c>
      <c r="DW54" s="1">
        <f>MIN(IF(Boss参数!$B$77=1,Boss参数!$B$63*Boss参数!$B$62,Boss参数!$B$61*Boss参数!$B$62),ROUNDDOWN(BQ54*(1-ES54),0))</f>
        <v>1294</v>
      </c>
      <c r="DX54" s="1">
        <f>MIN(IF(Boss参数!$B$77=1,Boss参数!$B$63*Boss参数!$B$62,Boss参数!$B$61*Boss参数!$B$62),ROUNDDOWN(BR54*(1-ES54),0))</f>
        <v>2187</v>
      </c>
      <c r="DY54" s="1">
        <f t="shared" si="65"/>
        <v>238</v>
      </c>
      <c r="DZ54" s="1">
        <f>IF(L54="RHI_ULT",MIN(Boss参数!$B$48,ROUNDDOWN(AY54*Boss参数!$B$47,0)),DY54)</f>
        <v>238</v>
      </c>
      <c r="EA54" s="11">
        <v>0</v>
      </c>
      <c r="EB54" s="1">
        <f t="shared" si="34"/>
        <v>1</v>
      </c>
      <c r="EC54" s="1">
        <f>SUMIFS($EB$3:EB54,$B$3:B54,"&gt;="&amp;MAX(1,B54-2),$B$3:B54,"&lt;="&amp;B54)*Boss参数!$B$51</f>
        <v>16</v>
      </c>
      <c r="ED54" s="1">
        <f>IF(D54="",EG53,IF(AND(DG54&lt;&gt;DG53,DH54&lt;&gt;"洞穿"),MIN(Boss参数!$B$55,EG53+2),EG53))</f>
        <v>1</v>
      </c>
      <c r="EE54" s="1">
        <f t="shared" si="35"/>
        <v>1</v>
      </c>
      <c r="EF54" s="1">
        <f>IF(AND(OR(L54="END_TURN",AND(DH54="敌方",OR(DH53&lt;&gt;"敌方",DG54&lt;&gt;DG53))),SUMIFS($EF$3:EF53,$DG$3:DG53,DG54)=0),MIN(1,MAX(0,ED54-EE54)),0)</f>
        <v>0</v>
      </c>
      <c r="EG54" s="1">
        <f t="shared" si="36"/>
        <v>0</v>
      </c>
      <c r="EH54" s="11">
        <f>Boss参数!$B$53-IF(Y54=1,Boss参数!$B$54,0)</f>
        <v>0</v>
      </c>
      <c r="EI54" s="11">
        <f t="shared" si="37"/>
        <v>0.3</v>
      </c>
      <c r="EJ54" s="11">
        <f t="shared" si="38"/>
        <v>0.3</v>
      </c>
      <c r="EK54" s="11">
        <f t="shared" si="39"/>
        <v>1</v>
      </c>
      <c r="EL54" s="1">
        <f t="shared" si="66"/>
        <v>0</v>
      </c>
      <c r="EM54" s="1">
        <f>IF(AND(DG54&lt;&gt;DG53,DH54="洞穿"),0,IF(L54="ENTER_INSIGHT",Boss参数!$B$57,EO53))</f>
        <v>0</v>
      </c>
      <c r="EN54" s="11">
        <f>IF(AND(Y54=1,H54="洞知",EM54&gt;0),Boss参数!$B$56,0)</f>
        <v>0</v>
      </c>
      <c r="EO54" s="1">
        <f t="shared" si="40"/>
        <v>0</v>
      </c>
      <c r="EP54" s="12">
        <f t="shared" si="67"/>
        <v>13324229</v>
      </c>
      <c r="EQ54" s="12">
        <f>ROUNDDOWN(EP54/Boss参数!$B$62,0)</f>
        <v>133</v>
      </c>
      <c r="ER54" s="11">
        <f>IF(EQ54&gt;=Boss参数!$B$66,Boss参数!$B$69,IF(EQ54&gt;=Boss参数!$B$65,Boss参数!$B$68,IF(EQ54&gt;=Boss参数!$B$64,Boss参数!$B$67,0)))</f>
        <v>0.9</v>
      </c>
      <c r="ES54" s="11">
        <f>MIN(1,IF(EQ54&gt;=Boss参数!$B$66,Boss参数!$B$72+ROUNDDOWN((EQ54-Boss参数!$B$66)/Boss参数!$B$73,0)*Boss参数!$B$74,IF(EQ54&gt;=Boss参数!$B$65,Boss参数!$B$71,IF(EQ54&gt;=Boss参数!$B$64,Boss参数!$B$70,0))))</f>
        <v>0.6</v>
      </c>
      <c r="ET54" s="12">
        <f>MIN(Boss参数!$B$61*Boss参数!$B$62,EP54+IF(AND(Boss参数!$B$60=1,ISNUMBER(验证表!H60)),验证表!H60,EU54))</f>
        <v>13325523</v>
      </c>
      <c r="EU54" s="12">
        <f>IF(D54="",0,IF(验证表!G60="是",BV54,IF(验证表!G60="否",BU54,BW54)))</f>
        <v>1294</v>
      </c>
      <c r="EV54" s="12">
        <f>IF(EQ54&gt;=Boss参数!$B$66,2,IF(EQ54&gt;=Boss参数!$B$65,1,0))</f>
        <v>2</v>
      </c>
      <c r="EW54" s="12">
        <f t="shared" si="41"/>
        <v>3</v>
      </c>
      <c r="EX54" s="1">
        <f>IF(D54="",0,INDEX(回合状态!$D$7:$D$17,MATCH(DG54,回合状态!$A$7:$A$17,0)))</f>
        <v>4</v>
      </c>
      <c r="EY54" s="1">
        <f>IF(OR(L54="RHI_ATTACK",L54="RHI_BUFF"),1,IF(L54="RHI_ULT",Boss参数!$B$52,0))</f>
        <v>1</v>
      </c>
      <c r="EZ54" s="1">
        <f>MIN(6,SUMIFS($EY$3:EY54,$EX$3:EX54,"&gt;="&amp;MAX(1,EX54-Boss参数!$B$87+1),$EX$3:EX54,"&lt;="&amp;EX54))</f>
        <v>6</v>
      </c>
      <c r="FA54" s="1">
        <f t="shared" si="68"/>
        <v>24</v>
      </c>
      <c r="FB54" s="17">
        <f>IF(L54="BOSS_CONSERVATIVE",B54+Boss参数!$B$91,FB53)</f>
        <v>0</v>
      </c>
      <c r="FC54" s="17">
        <f t="shared" si="69"/>
        <v>0</v>
      </c>
      <c r="FD54" s="17">
        <f>IF(D54="",FD53,FD53+IF(AND(DG54&lt;&gt;DG53,INDEX(回合状态!$C$7:$C$17,MATCH(DG54,回合状态!$A$7:$A$17,0))&lt;&gt;"洞穿"),1,0))</f>
        <v>4</v>
      </c>
      <c r="FE54" s="17">
        <f>IF(D54="",0,IF(AND(OR(L54="END_TURN",DH54="敌方"),INDEX(回合状态!$C$7:$C$17,MATCH(DG54,回合状态!$A$7:$A$17,0))&lt;&gt;"洞穿",SUMIFS($FE$3:FE53,$DG$3:DG53,DG54)=0),1,0))</f>
        <v>0</v>
      </c>
    </row>
    <row r="55" spans="1:161" ht="84.95" customHeight="1">
      <c r="A55" s="1">
        <f>行动模拟!A61</f>
        <v>53</v>
      </c>
      <c r="B55" s="1">
        <f>IF(D55="",0,INDEX(回合状态!$B$7:$B$17,MATCH(DG55,回合状态!$A$7:$A$17,0)))</f>
        <v>3</v>
      </c>
      <c r="C55" s="1">
        <f>行动模拟!C61</f>
        <v>4</v>
      </c>
      <c r="D55" s="1" t="str">
        <f>IF(行动模拟!D61="","",行动模拟!D61)</f>
        <v>37｜补充算式</v>
      </c>
      <c r="E55" s="1" t="str">
        <f>IF($D55="","",IFERROR(INDEX(技能数据库!$B$4:$B$38,MATCH($D55,技能数据库!$A$4:$A$38,0)),""))</f>
        <v>37</v>
      </c>
      <c r="F55" s="1" t="str">
        <f>IF($D55="","",IFERROR(INDEX(技能数据库!$C$4:$C$38,MATCH($D55,技能数据库!$A$4:$A$38,0)),""))</f>
        <v>补充算式</v>
      </c>
      <c r="G55" s="1">
        <f>IF($D55="","",IFERROR(INDEX(技能数据库!$D$4:$D$38,MATCH($D55,技能数据库!$A$4:$A$38,0)),""))</f>
        <v>0</v>
      </c>
      <c r="H55" s="1" t="str">
        <f>IF($D55="","",IFERROR(INDEX(技能数据库!$E$4:$E$38,MATCH($D55,技能数据库!$A$4:$A$38,0)),""))</f>
        <v>额外行动</v>
      </c>
      <c r="I55" s="1" t="str">
        <f>IF($D55="","",IFERROR(INDEX(技能数据库!$F$4:$F$38,MATCH($D55,技能数据库!$A$4:$A$38,0)),""))</f>
        <v>精神</v>
      </c>
      <c r="J55" s="1">
        <f>IF($D55="","",IFERROR(INDEX(技能数据库!$G$4:$G$38,MATCH($D55,技能数据库!$A$4:$A$38,0)),""))</f>
        <v>3</v>
      </c>
      <c r="K55" s="1">
        <f>IF($D55="","",IFERROR(INDEX(技能数据库!$H$4:$H$38,MATCH($D55,技能数据库!$A$4:$A$38,0)),""))</f>
        <v>1</v>
      </c>
      <c r="L55" s="1" t="str">
        <f>IF($D55="","",IFERROR(INDEX(技能数据库!$I$4:$I$38,MATCH($D55,技能数据库!$A$4:$A$38,0)),""))</f>
        <v>37_FOLLOW</v>
      </c>
      <c r="M55" s="10">
        <v>1</v>
      </c>
      <c r="N55" s="1"/>
      <c r="O55" s="1"/>
      <c r="P55" s="1"/>
      <c r="Q55" s="10">
        <f t="shared" si="0"/>
        <v>0</v>
      </c>
      <c r="R55" s="10">
        <v>0</v>
      </c>
      <c r="S55" s="10">
        <v>0</v>
      </c>
      <c r="T55" s="1">
        <f>行动模拟!I61</f>
        <v>0</v>
      </c>
      <c r="U55" s="1">
        <f>IF(FD55&lt;&gt;FD54,IF(BY54=1,IF(MIN(10,CA54+IF(AND(DG55&lt;&gt;DG54,DH54&lt;&gt;"洞穿",SUMIFS($FE$3:FE54,$DG$3:DG54,DG54)=0,BY54=1),3,0))&gt;=10,2,1),IF(BY54=2,IF(BZ54&lt;=1,0,2),0)),BY54)</f>
        <v>0</v>
      </c>
      <c r="V55" s="1">
        <f>IF(FD55&lt;&gt;FD54,IF(BY54=1,IF(MIN(10,CA54+IF(AND(DG55&lt;&gt;DG54,DH54&lt;&gt;"洞穿",SUMIFS($FE$3:FE54,$DG$3:DG54,DG54)=0,BY54=1),3,0))&gt;=10,2,0),IF(BY54=2,MAX(0,BZ54-1),0)),BZ54)</f>
        <v>0</v>
      </c>
      <c r="W55" s="1">
        <f>IF(AND(FD55&lt;&gt;FD54,BY54=2,BZ54&lt;=1),0,MIN(10,CA54+IF(AND(DG55&lt;&gt;DG54,DH54&lt;&gt;"洞穿",SUMIFS($FE$3:FE54,$DG$3:DG54,DG54)=0,BY54=1),3,0)))</f>
        <v>0</v>
      </c>
      <c r="X55" s="1">
        <f t="shared" si="42"/>
        <v>11</v>
      </c>
      <c r="Y55" s="1">
        <f t="shared" si="43"/>
        <v>0</v>
      </c>
      <c r="Z55" s="1">
        <f t="shared" si="44"/>
        <v>0</v>
      </c>
      <c r="AA55" s="1">
        <f t="shared" si="45"/>
        <v>0</v>
      </c>
      <c r="AB55" s="1">
        <f t="shared" si="46"/>
        <v>6</v>
      </c>
      <c r="AC55" s="1">
        <f t="shared" si="47"/>
        <v>0</v>
      </c>
      <c r="AD55" s="1">
        <f t="shared" si="48"/>
        <v>24</v>
      </c>
      <c r="AE55" s="1">
        <f>IF(D55="",0,IF(DG55&lt;&gt;DG54,IFERROR(INDEX(回合状态!$F$7:$F$17,MATCH(DG55,回合状态!$A$7:$A$17,0)),0),CI54))</f>
        <v>15</v>
      </c>
      <c r="AF55" s="10">
        <f t="shared" si="49"/>
        <v>0.4</v>
      </c>
      <c r="AG55" s="1">
        <f t="shared" si="50"/>
        <v>5</v>
      </c>
      <c r="AH55" s="1">
        <f t="shared" si="51"/>
        <v>5</v>
      </c>
      <c r="AI55" s="1">
        <f t="shared" si="52"/>
        <v>4</v>
      </c>
      <c r="AJ55" s="1">
        <f t="shared" si="53"/>
        <v>5</v>
      </c>
      <c r="AK55" s="1">
        <f t="shared" si="54"/>
        <v>4</v>
      </c>
      <c r="AL55" s="1">
        <f t="shared" si="55"/>
        <v>3</v>
      </c>
      <c r="AM55" s="1">
        <f t="shared" si="56"/>
        <v>20</v>
      </c>
      <c r="AN55" s="1">
        <f t="shared" si="57"/>
        <v>4</v>
      </c>
      <c r="AO55" s="1">
        <f t="shared" si="58"/>
        <v>0</v>
      </c>
      <c r="AP55" s="10">
        <f t="shared" si="59"/>
        <v>0.12</v>
      </c>
      <c r="AQ55" s="1">
        <f t="shared" si="60"/>
        <v>5</v>
      </c>
      <c r="AR55" s="10">
        <f t="shared" si="61"/>
        <v>0.3</v>
      </c>
      <c r="AS55" s="1">
        <f t="shared" si="62"/>
        <v>5</v>
      </c>
      <c r="AT55" s="10">
        <f t="shared" si="63"/>
        <v>0.3</v>
      </c>
      <c r="AU55" s="1">
        <f t="shared" si="64"/>
        <v>5</v>
      </c>
      <c r="AV55" s="1">
        <f>MIN(5,SUMIFS($EL$3:EL55,$B$3:B55,"&gt;="&amp;MAX(1,B55-2),$B$3:B55,"&lt;="&amp;B55)+EC55)</f>
        <v>5</v>
      </c>
      <c r="AW55" s="1">
        <f>MIN(6,SUMIFS($EY$3:EY54,$EX$3:EX54,"&gt;="&amp;MAX(1,EX55-Boss参数!$B$87+1),$EX$3:EX54,"&lt;="&amp;EX55))</f>
        <v>6</v>
      </c>
      <c r="AX55" s="1">
        <f>MIN(4,COUNTIFS($B$3:$B$54,"&gt;="&amp;MAX(1,$B55-2),$B$3:$B$54,"&lt;="&amp;$B55,$L$3:$L$54,"37_FOLLOW"))</f>
        <v>4</v>
      </c>
      <c r="AY55" s="9">
        <f>IF($E55="","",IF($E55="系统",0,ROUNDDOWN(INDEX(角色面板!$C$4:$C$7,MATCH($E55,角色面板!$A$4:$A$7,0))*(1+INDEX(角色面板!$C$11:$C$14,MATCH($E55,角色面板!$A$11:$A$14,0))+IF($E55="小瑞安侬",MAX(IF($B55&lt;=$AQ55,$AP55,0),IF(AND($L55="RHI_ATTACK",$EE55&gt;0),0.11+0.01*$G55,0)),0)+IF($E55="J",$AD55*Boss参数!$B$18,0))+IF(FD55&lt;=$AN55,MIN(Boss参数!$B$21,ROUNDDOWN(角色面板!$C$19*Boss参数!$B$20,0)),0)+IF(AND($B55&lt;=$AK55,$E55&lt;&gt;"小瑞安侬"),$DY55,0),0)))</f>
        <v>3505</v>
      </c>
      <c r="AZ55" s="10">
        <f>IF($E55="","",MAX(0,MIN(1,IFERROR(INDEX(角色面板!$G$18:$G$21,MATCH($E55,角色面板!$A$18:$A$21,0)),0)-FC55*Boss参数!$B$89-Boss参数!$E$4)))</f>
        <v>0.76</v>
      </c>
      <c r="BA55" s="10">
        <f>IF(E55="","",(IF($E55="","",IF($E55="红弩箭",Boss参数!$B$80,IF($E55="J",Boss参数!$B$81,IFERROR(INDEX(角色面板!$H$18:$H$21,MATCH($E55,角色面板!$A$18:$A$21,0)),0)))+IF($B55&lt;=$AI55,Boss参数!$B$13,0)+MIN(30,$AM55)*Boss参数!$B$17+IF(AND($L55="LILYA_ULT",$X55&gt;=6),1,0)+IF(AND($Y55=1,$L55="LILYA_INSIGHT"),IF(MOD($AA55+1,3)=0,Boss参数!$B$83,Boss参数!$B$82),IF(AND($Y55=1,$L55="LILYA_FINISH"),Boss参数!$B$84,0))))-FC55*Boss参数!$B$90)</f>
        <v>2.4380000000000002</v>
      </c>
      <c r="BB55" s="10">
        <f>IF($E55="","",IFERROR(INDEX(角色面板!$M$18:$M$21,MATCH($E55,角色面板!$A$18:$A$21,0)),0)+$AW55*Boss参数!$B$12+IF($B55&lt;=$AG55,$AF55,0)+$EI55+IF($L55="LILYA_DIVE",IF($U55=1,IF($G55=1,0.3,IF($G55=2,0.4,0.5)),IF($U55=2,IF($G55=1,0.6,IF($G55=2,0.8,1)),0)),0)+$R55+IF(AND($E55="J",OR($L55="J_COUNTER",$L55="J_HARD")),Boss参数!$B$79,0)+IF(AND(OR(L55="J_COUNTER",L55="J_HARD"),FA55&gt;=Boss参数!$B$59),FA55*Boss参数!$B$40,0))</f>
        <v>0.82000000000000006</v>
      </c>
      <c r="BC55" s="10">
        <f>IF($E55="","",IFERROR(INDEX(角色面板!$K$18:$K$21,MATCH($E55,角色面板!$A$18:$A$21,0)),0)+IF($B55&lt;=$AH55,Boss参数!$B$46,0)+IF($E55="红弩箭",IF($U55=1,0.6,IF($U55=2,1.2,0))+$W55*0.06,0))-DI55*Boss参数!$B$23</f>
        <v>-0.55000000000000004</v>
      </c>
      <c r="BD55" s="10">
        <f>IF($E55="","",IFERROR(INDEX(角色面板!$L$18:$L$21,MATCH($E55,角色面板!$A$18:$A$21,0)),0)+IF($B55&lt;=$AH55,Boss参数!$B$46,0)+IF($E55="J",$AL55*Boss参数!$B$16,0)+IF($E55="红弩箭",$X55*0.025,0)+IF(AND($L55="LILYA_ULT",$X55&gt;=6),1,0))-DI55*Boss参数!$B$23</f>
        <v>-0.14999999999999997</v>
      </c>
      <c r="BE55" s="10">
        <f>IF($E55="","",IF($H55="洞知",IF($E55="红弩箭",$AO55*Boss参数!$B$15,0)+$AX55*Boss参数!$B$14,0))</f>
        <v>0</v>
      </c>
      <c r="BF55" s="10">
        <f t="shared" si="1"/>
        <v>0</v>
      </c>
      <c r="BG55" s="10">
        <f>IF($D55="",0,IF(AND($L55&lt;&gt;"LILYA_DIVE",$L55&lt;&gt;"LILYA_ULT",$L55&lt;&gt;"LILYA_INSIGHT",$L55&lt;&gt;"LILYA_FINISH",$L55&lt;&gt;"37_FOLLOW",$L55&lt;&gt;"RHI_ATTACK",$L55&lt;&gt;"RHI_BERRY",$L55&lt;&gt;"J_COUNTER",$L55&lt;&gt;"J_ULT"),$J55,0)+IF($L55="LILYA_DIVE",$J55+IF($U55=1,IF($G55=1,6,IF($G55=2,12,18)),IF($U55=2,IF($G55=1,12,IF($G55=2,24,36)),0)),0)+IF($L55="LILYA_ULT",$J55+IF($X55&gt;=6,18,0),0)+IF($L55="LILYA_INSIGHT",IF($Y55=1,IF(MOD($AA55+1,3)=0,32,15),0),0)+IF($L55="LILYA_FINISH",IF($Y55=1,50+2.5*$Z55,0),0)+IF($L55="37_FOLLOW",$J55,0)+IF($L55="RHI_ATTACK",$J55*IF($B55&lt;=$AJ55,2,1),0)+IF($L55="RHI_BERRY",15+1.5*$AV55,0)+IF($L55="J_COUNTER",$J55+$AD55*Boss参数!$B$39,0)+IF($L55="J_ULT",$J55+Boss参数!$B$45*MAX(0,$AE55+$AD55-Boss参数!$I$4),0)+$S55)</f>
        <v>3</v>
      </c>
      <c r="BH55" s="10">
        <f t="shared" si="2"/>
        <v>1</v>
      </c>
      <c r="BI55" s="10">
        <f>IF(E55="","",IF(DT55=1,1+Boss参数!$B$8+AV55*Boss参数!$B$19,1))</f>
        <v>1.5</v>
      </c>
      <c r="BJ55" s="9">
        <f>IF($I55="现实",Boss参数!$C$4,IF($I55="精神",Boss参数!$D$4,0))</f>
        <v>1000</v>
      </c>
      <c r="BK55" s="9">
        <f>IF($E55="","",MAX($AY55*Boss参数!$B$9,$AY55-$BJ55*(1-$BF55)))</f>
        <v>2505</v>
      </c>
      <c r="BL55" s="10">
        <f>MAX(0,Boss参数!$F$4+IF(DT55=0,Boss参数!$B$27,0)-EJ55)</f>
        <v>0.10000000000000003</v>
      </c>
      <c r="BM55" s="10">
        <f>Boss参数!$G$4+DU55-IF(Y55=1,Boss参数!$B$11,0)</f>
        <v>0.55000000000000004</v>
      </c>
      <c r="BN55" s="10">
        <f>IF($E55="","",MAX(Boss参数!$B$10,1+IFERROR(INDEX(角色面板!$I$18:$I$21,MATCH($E55,角色面板!$A$18:$A$21,0)),0)+$BB55+Boss参数!$H$4-$BM55))</f>
        <v>1.2749999999999999</v>
      </c>
      <c r="BO55" s="10">
        <f>IF(E55="","",IF(OR(L55="J_COUNTER",L55="J_HARD"),MAX(0,1+INDEX(角色面板!$K$18:$K$21,MATCH(E55,角色面板!$A$18:$A$21,0))-DI55*Boss参数!$B$23+IF(OR(Boss参数!$B$43=1,L55="J_HARD"),IF(B55&lt;=AH55,Boss参数!$B$46,0),0)),MAX(0,IF(OR(H55="术法",L55="RHI_BERRY",AND(L55="37_FOLLOW",Boss参数!$B$31=1)),1+BC55,IF(H55="仪式",1+BD55,IF(H55="洞知",EK55,1))))))</f>
        <v>0.44999999999999996</v>
      </c>
      <c r="BP55" s="10">
        <f t="shared" si="3"/>
        <v>2.3380000000000001</v>
      </c>
      <c r="BQ55" s="1">
        <f t="shared" si="4"/>
        <v>6467.5968749999993</v>
      </c>
      <c r="BR55" s="1">
        <f t="shared" si="5"/>
        <v>15121.241493749998</v>
      </c>
      <c r="BS55" s="1">
        <f>IF(BH55=0,0,ROUNDDOWN(AY55*BH55,0)*DV55*IF(Boss参数!$B$29=1,BN55,1)*IF(Boss参数!$B$33=1,BO55,1)*IF(Boss参数!$B$76=1,1-ES55,1))</f>
        <v>0</v>
      </c>
      <c r="BT55" s="1">
        <f t="shared" si="6"/>
        <v>0</v>
      </c>
      <c r="BU55" s="9">
        <f>IF(D55="",0,MIN(IF(Boss参数!$B$77=1,Boss参数!$B$63*Boss参数!$B$62,Boss参数!$B$61*Boss参数!$B$62),DW55+ROUNDDOWN(BS55,0)+ROUNDDOWN(DW55*Q55,0)))</f>
        <v>2587</v>
      </c>
      <c r="BV55" s="9">
        <f>IF(D55="",0,MIN(IF(Boss参数!$B$77=1,Boss参数!$B$63*Boss参数!$B$62,Boss参数!$B$61*Boss参数!$B$62),DX55+ROUNDDOWN(BT55,0)+ROUNDDOWN(DX55*Q55,0)))</f>
        <v>6048</v>
      </c>
      <c r="BW55" s="9">
        <f t="shared" si="7"/>
        <v>5217</v>
      </c>
      <c r="BX55" s="1" t="str">
        <f t="shared" si="8"/>
        <v/>
      </c>
      <c r="BY55" s="1">
        <f t="shared" si="9"/>
        <v>0</v>
      </c>
      <c r="BZ55" s="1">
        <f t="shared" si="10"/>
        <v>0</v>
      </c>
      <c r="CA55" s="1">
        <f>MIN(10,W55+IF(AND(L55="LILYA_COBRA",COUNTIF($L$3:L55,"LILYA_COBRA")=1),5,0)+IF(AND(L55="LILYA_DIVE",U55=1,COUNTIFS($DG$3:DG55,DG55,$L$3:L55,"LILYA_DIVE")=1),2,0)+IF(AND(FE55=1,U55=1),3,0))</f>
        <v>0</v>
      </c>
      <c r="CB55" s="1">
        <f>MIN(20,MAX(0,X55+IF(L55="LILYA_COBRA",IF(COUNTIF($L$3:L55,"LILYA_COBRA")=1,6,IF(U55=1,MAX(1,G55),IF(U55=2,2*MAX(1,G55),0))),0)+IF(AND(Y55=1,E55="红弩箭",L55&lt;&gt;"ENTER_INSIGHT"),1,0)-IF(AND(L55="LILYA_ULT",X55&gt;=6),6,0)))</f>
        <v>11</v>
      </c>
      <c r="CC55" s="1">
        <f t="shared" si="11"/>
        <v>0</v>
      </c>
      <c r="CD55" s="1">
        <f t="shared" si="12"/>
        <v>0</v>
      </c>
      <c r="CE55" s="1">
        <f t="shared" si="13"/>
        <v>0</v>
      </c>
      <c r="CF55" s="1">
        <f t="shared" si="14"/>
        <v>1</v>
      </c>
      <c r="CG55" s="1">
        <f t="shared" si="15"/>
        <v>0</v>
      </c>
      <c r="CH55" s="1">
        <f>MIN(35,AD55+IF(L55="J_HARD",6,0)+IF(L55="J_COUNTER",Boss参数!$B$30,0))</f>
        <v>24</v>
      </c>
      <c r="CI55" s="1">
        <f>MIN(Boss参数!$I$4,AE55+IF(L55="J_HARD",6,0)+IF(L55="J_ULT",AD55,0)+IF(L55="J_COUNTER",Boss参数!$B$30,0))</f>
        <v>15</v>
      </c>
      <c r="CJ55" s="10">
        <f>IF(L55="J_ULT",AD55*Boss参数!$B$41,IF(B55&lt;=AG55,AF55,0))</f>
        <v>0.4</v>
      </c>
      <c r="CK55" s="1">
        <f t="shared" si="16"/>
        <v>5</v>
      </c>
      <c r="CL55" s="1">
        <f t="shared" si="17"/>
        <v>5</v>
      </c>
      <c r="CM55" s="1">
        <f t="shared" si="18"/>
        <v>4</v>
      </c>
      <c r="CN55" s="1">
        <f t="shared" si="19"/>
        <v>5</v>
      </c>
      <c r="CO55" s="1">
        <f t="shared" si="20"/>
        <v>4</v>
      </c>
      <c r="CP55" s="1">
        <f t="shared" si="21"/>
        <v>3</v>
      </c>
      <c r="CQ55" s="1">
        <f t="shared" si="22"/>
        <v>20</v>
      </c>
      <c r="CR55" s="1">
        <f t="shared" si="23"/>
        <v>4</v>
      </c>
      <c r="CS55" s="1">
        <f t="shared" si="24"/>
        <v>0</v>
      </c>
      <c r="CT55" s="10">
        <f t="shared" si="25"/>
        <v>0.12</v>
      </c>
      <c r="CU55" s="1">
        <f t="shared" si="26"/>
        <v>5</v>
      </c>
      <c r="CV55" s="10">
        <f t="shared" si="27"/>
        <v>0.3</v>
      </c>
      <c r="CW55" s="1">
        <f t="shared" si="28"/>
        <v>5</v>
      </c>
      <c r="CX55" s="10">
        <f t="shared" si="29"/>
        <v>0.3</v>
      </c>
      <c r="CY55" s="1">
        <f t="shared" si="30"/>
        <v>5</v>
      </c>
      <c r="CZ55" s="1"/>
      <c r="DA55" s="1"/>
      <c r="DB55" s="1"/>
      <c r="DC55" s="1"/>
      <c r="DD55" s="1"/>
      <c r="DE55" s="1"/>
      <c r="DF55" s="1"/>
      <c r="DG55" s="1" t="str">
        <f>IF(D55="","",行动模拟!B61)</f>
        <v>小瑞安侬额外回合</v>
      </c>
      <c r="DH55" s="1" t="str">
        <f>IF(L55="END_TURN","回合结束",IF(D55="","",IF(INDEX(回合状态!$C$7:$C$17,MATCH(DG55,回合状态!$A$7:$A$17,0))="洞穿","洞穿",IF(OR(L55="J_COUNTER",L55="BOSS_ACTION",L55="BOSS_CONSERVATIVE"),"敌方",IF(AND(L55="37_FOLLOW",DG55=DG54,DH54="敌方"),"敌方",IF(INDEX(回合状态!$C$7:$C$17,MATCH(DG55,回合状态!$A$7:$A$17,0))="普通","出牌",INDEX(回合状态!$C$7:$C$17,MATCH(DG55,回合状态!$A$7:$A$17,0))))))))</f>
        <v>额外</v>
      </c>
      <c r="DI55" s="1">
        <f t="shared" si="31"/>
        <v>3</v>
      </c>
      <c r="DJ55" s="1">
        <f>IF(D55="",0,MIN(Boss参数!$B$25,IF(OR(AND(DH55="敌方",OR(DH54&lt;&gt;"敌方",DG55&lt;&gt;DG54)),AND(L55="END_TURN",DH55&lt;&gt;"洞穿"),AND(DG55&lt;&gt;DG54,DH54&lt;&gt;"洞穿",L54&lt;&gt;"END_TURN",COUNTIFS($DG$3:DG54,DG54,$DH$3:DH54,"敌方")=0)),EW55,DN54)))</f>
        <v>3</v>
      </c>
      <c r="DK55" s="1">
        <f>IF(D55="",0,MIN(Boss参数!$B$25,IF(OR(AND(DH55="敌方",OR(DH54&lt;&gt;"敌方",DG55&lt;&gt;DG54)),AND(L55="END_TURN",DH55&lt;&gt;"洞穿"),AND(DG55&lt;&gt;DG54,DH54&lt;&gt;"洞穿",L54&lt;&gt;"END_TURN",COUNTIFS($DG$3:DG54,DG54,$DH$3:DH54,"敌方")=0)),EW55,DO54)))</f>
        <v>3</v>
      </c>
      <c r="DL55" s="1">
        <f>IF(D55="",0,MIN(Boss参数!$B$25,IF(OR(AND(DH55="敌方",OR(DH54&lt;&gt;"敌方",DG55&lt;&gt;DG54)),AND(L55="END_TURN",DH55&lt;&gt;"洞穿"),AND(DG55&lt;&gt;DG54,DH54&lt;&gt;"洞穿",L54&lt;&gt;"END_TURN",COUNTIFS($DG$3:DG54,DG54,$DH$3:DH54,"敌方")=0)),EW55,DP54)))</f>
        <v>3</v>
      </c>
      <c r="DM55" s="1">
        <f>IF(D55="",0,MIN(Boss参数!$B$25,IF(OR(AND(DH55="敌方",OR(DH54&lt;&gt;"敌方",DG55&lt;&gt;DG54)),AND(L55="END_TURN",DH55&lt;&gt;"洞穿"),AND(DG55&lt;&gt;DG54,DH54&lt;&gt;"洞穿",L54&lt;&gt;"END_TURN",COUNTIFS($DG$3:DG54,DG54,$DH$3:DH54,"敌方")=0)),EW55,DQ54)))</f>
        <v>5</v>
      </c>
      <c r="DN55" s="1">
        <f>MAX(0,MIN(Boss参数!$B$25,DJ55+DR55)-IF(E55="红弩箭",2*DR55,0))</f>
        <v>4</v>
      </c>
      <c r="DO55" s="1">
        <f>MAX(0,MIN(Boss参数!$B$25,DK55+DR55)-IF(E55="37",2*DR55,0))</f>
        <v>2</v>
      </c>
      <c r="DP55" s="1">
        <f>MAX(0,MIN(Boss参数!$B$25,DL55+DR55)-IF(E55="小瑞安侬",2*DR55,0))</f>
        <v>4</v>
      </c>
      <c r="DQ55" s="1">
        <f>MAX(0,MIN(Boss参数!$B$25,DM55+DR55)-IF(E55="J",2*DR55,0))</f>
        <v>5</v>
      </c>
      <c r="DR55" s="1">
        <f t="shared" si="32"/>
        <v>1</v>
      </c>
      <c r="DS55" s="1">
        <f t="shared" si="33"/>
        <v>0</v>
      </c>
      <c r="DT55" s="1">
        <f>IF(OR(E55="",E55="系统"),0,IF(OR(AND(DS55=1,Boss参数!$B$32=1),L55="RHI_BERRY",OR(AND(INDEX(角色面板!$B$18:$B$21,MATCH(E55,角色面板!$A$18:$A$21,0))="星",Boss参数!$B$4="岩"),AND(INDEX(角色面板!$B$18:$B$21,MATCH(E55,角色面板!$A$18:$A$21,0))="岩",Boss参数!$B$4="兽"),AND(INDEX(角色面板!$B$18:$B$21,MATCH(E55,角色面板!$A$18:$A$21,0))="兽",Boss参数!$B$4="木"),AND(INDEX(角色面板!$B$18:$B$21,MATCH(E55,角色面板!$A$18:$A$21,0))="木",Boss参数!$B$4="星"),AND(INDEX(角色面板!$B$18:$B$21,MATCH(E55,角色面板!$A$18:$A$21,0))="智",Boss参数!$B$4="灵"),AND(INDEX(角色面板!$B$18:$B$21,MATCH(E55,角色面板!$A$18:$A$21,0))="灵",Boss参数!$B$4="智"))),1,0))</f>
        <v>1</v>
      </c>
      <c r="DU55" s="1">
        <f>IF(D55="",0,INDEX(回合状态!$E$7:$E$17,MATCH(DG55,回合状态!$A$7:$A$17,0))+IF(AND(DH55="敌方",OR(INDEX(回合状态!$C$7:$C$17,MATCH(DG55,回合状态!$A$7:$A$17,0))="普通",INDEX(回合状态!$C$7:$C$17,MATCH(DG55,回合状态!$A$7:$A$17,0))="额外")),0.05,0))</f>
        <v>0.15000000000000002</v>
      </c>
      <c r="DV55" s="1">
        <f>MAX(Boss参数!$B$28,1+IF(AND(E55="37",AC55&gt;0,BH55&gt;0),Boss参数!$B$42,0)-DI55*Boss参数!$B$24+EA55-ER55)</f>
        <v>0</v>
      </c>
      <c r="DW55" s="1">
        <f>MIN(IF(Boss参数!$B$77=1,Boss参数!$B$63*Boss参数!$B$62,Boss参数!$B$61*Boss参数!$B$62),ROUNDDOWN(BQ55*(1-ES55),0))</f>
        <v>2587</v>
      </c>
      <c r="DX55" s="1">
        <f>MIN(IF(Boss参数!$B$77=1,Boss参数!$B$63*Boss参数!$B$62,Boss参数!$B$61*Boss参数!$B$62),ROUNDDOWN(BR55*(1-ES55),0))</f>
        <v>6048</v>
      </c>
      <c r="DY55" s="1">
        <f t="shared" si="65"/>
        <v>238</v>
      </c>
      <c r="DZ55" s="1">
        <f>IF(L55="RHI_ULT",MIN(Boss参数!$B$48,ROUNDDOWN(AY55*Boss参数!$B$47,0)),DY55)</f>
        <v>238</v>
      </c>
      <c r="EA55" s="11">
        <v>0</v>
      </c>
      <c r="EB55" s="1">
        <f t="shared" si="34"/>
        <v>0</v>
      </c>
      <c r="EC55" s="1">
        <f>SUMIFS($EB$3:EB55,$B$3:B55,"&gt;="&amp;MAX(1,B55-2),$B$3:B55,"&lt;="&amp;B55)*Boss参数!$B$51</f>
        <v>16</v>
      </c>
      <c r="ED55" s="1">
        <f>IF(D55="",EG54,IF(AND(DG55&lt;&gt;DG54,DH55&lt;&gt;"洞穿"),MIN(Boss参数!$B$55,EG54+2),EG54))</f>
        <v>0</v>
      </c>
      <c r="EE55" s="1">
        <f t="shared" si="35"/>
        <v>0</v>
      </c>
      <c r="EF55" s="1">
        <f>IF(AND(OR(L55="END_TURN",AND(DH55="敌方",OR(DH54&lt;&gt;"敌方",DG55&lt;&gt;DG54))),SUMIFS($EF$3:EF54,$DG$3:DG54,DG55)=0),MIN(1,MAX(0,ED55-EE55)),0)</f>
        <v>0</v>
      </c>
      <c r="EG55" s="1">
        <f t="shared" si="36"/>
        <v>0</v>
      </c>
      <c r="EH55" s="11">
        <f>Boss参数!$B$53-IF(Y55=1,Boss参数!$B$54,0)</f>
        <v>0</v>
      </c>
      <c r="EI55" s="11">
        <f t="shared" si="37"/>
        <v>0.3</v>
      </c>
      <c r="EJ55" s="11">
        <f t="shared" si="38"/>
        <v>0.3</v>
      </c>
      <c r="EK55" s="11">
        <f t="shared" si="39"/>
        <v>1</v>
      </c>
      <c r="EL55" s="1">
        <f t="shared" si="66"/>
        <v>0</v>
      </c>
      <c r="EM55" s="1">
        <f>IF(AND(DG55&lt;&gt;DG54,DH55="洞穿"),0,IF(L55="ENTER_INSIGHT",Boss参数!$B$57,EO54))</f>
        <v>0</v>
      </c>
      <c r="EN55" s="11">
        <f>IF(AND(Y55=1,H55="洞知",EM55&gt;0),Boss参数!$B$56,0)</f>
        <v>0</v>
      </c>
      <c r="EO55" s="1">
        <f t="shared" si="40"/>
        <v>0</v>
      </c>
      <c r="EP55" s="12">
        <f t="shared" si="67"/>
        <v>13325523</v>
      </c>
      <c r="EQ55" s="12">
        <f>ROUNDDOWN(EP55/Boss参数!$B$62,0)</f>
        <v>133</v>
      </c>
      <c r="ER55" s="11">
        <f>IF(EQ55&gt;=Boss参数!$B$66,Boss参数!$B$69,IF(EQ55&gt;=Boss参数!$B$65,Boss参数!$B$68,IF(EQ55&gt;=Boss参数!$B$64,Boss参数!$B$67,0)))</f>
        <v>0.9</v>
      </c>
      <c r="ES55" s="11">
        <f>MIN(1,IF(EQ55&gt;=Boss参数!$B$66,Boss参数!$B$72+ROUNDDOWN((EQ55-Boss参数!$B$66)/Boss参数!$B$73,0)*Boss参数!$B$74,IF(EQ55&gt;=Boss参数!$B$65,Boss参数!$B$71,IF(EQ55&gt;=Boss参数!$B$64,Boss参数!$B$70,0))))</f>
        <v>0.6</v>
      </c>
      <c r="ET55" s="12">
        <f>MIN(Boss参数!$B$61*Boss参数!$B$62,EP55+IF(AND(Boss参数!$B$60=1,ISNUMBER(验证表!H61)),验证表!H61,EU55))</f>
        <v>13328110</v>
      </c>
      <c r="EU55" s="12">
        <f>IF(D55="",0,IF(验证表!G61="是",BV55,IF(验证表!G61="否",BU55,BW55)))</f>
        <v>2587</v>
      </c>
      <c r="EV55" s="12">
        <f>IF(EQ55&gt;=Boss参数!$B$66,2,IF(EQ55&gt;=Boss参数!$B$65,1,0))</f>
        <v>2</v>
      </c>
      <c r="EW55" s="12">
        <f t="shared" si="41"/>
        <v>3</v>
      </c>
      <c r="EX55" s="1">
        <f>IF(D55="",0,INDEX(回合状态!$D$7:$D$17,MATCH(DG55,回合状态!$A$7:$A$17,0)))</f>
        <v>4</v>
      </c>
      <c r="EY55" s="1">
        <f>IF(OR(L55="RHI_ATTACK",L55="RHI_BUFF"),1,IF(L55="RHI_ULT",Boss参数!$B$52,0))</f>
        <v>0</v>
      </c>
      <c r="EZ55" s="1">
        <f>MIN(6,SUMIFS($EY$3:EY55,$EX$3:EX55,"&gt;="&amp;MAX(1,EX55-Boss参数!$B$87+1),$EX$3:EX55,"&lt;="&amp;EX55))</f>
        <v>6</v>
      </c>
      <c r="FA55" s="1">
        <f t="shared" si="68"/>
        <v>24</v>
      </c>
      <c r="FB55" s="17">
        <f>IF(L55="BOSS_CONSERVATIVE",B55+Boss参数!$B$91,FB54)</f>
        <v>0</v>
      </c>
      <c r="FC55" s="17">
        <f t="shared" si="69"/>
        <v>0</v>
      </c>
      <c r="FD55" s="17">
        <f>IF(D55="",FD54,FD54+IF(AND(DG55&lt;&gt;DG54,INDEX(回合状态!$C$7:$C$17,MATCH(DG55,回合状态!$A$7:$A$17,0))&lt;&gt;"洞穿"),1,0))</f>
        <v>4</v>
      </c>
      <c r="FE55" s="17">
        <f>IF(D55="",0,IF(AND(OR(L55="END_TURN",DH55="敌方"),INDEX(回合状态!$C$7:$C$17,MATCH(DG55,回合状态!$A$7:$A$17,0))&lt;&gt;"洞穿",SUMIFS($FE$3:FE54,$DG$3:DG54,DG55)=0),1,0))</f>
        <v>0</v>
      </c>
    </row>
    <row r="56" spans="1:161" ht="84.95" customHeight="1">
      <c r="A56" s="1">
        <f>行动模拟!A62</f>
        <v>54</v>
      </c>
      <c r="B56" s="1">
        <f>IF(D56="",0,INDEX(回合状态!$B$7:$B$17,MATCH(DG56,回合状态!$A$7:$A$17,0)))</f>
        <v>3</v>
      </c>
      <c r="C56" s="1">
        <f>行动模拟!C62</f>
        <v>5</v>
      </c>
      <c r="D56" s="1" t="str">
        <f>IF(行动模拟!D62="","",行动模拟!D62)</f>
        <v>37｜曲线映射Ⅱ</v>
      </c>
      <c r="E56" s="1" t="str">
        <f>IF($D56="","",IFERROR(INDEX(技能数据库!$B$4:$B$38,MATCH($D56,技能数据库!$A$4:$A$38,0)),""))</f>
        <v>37</v>
      </c>
      <c r="F56" s="1" t="str">
        <f>IF($D56="","",IFERROR(INDEX(技能数据库!$C$4:$C$38,MATCH($D56,技能数据库!$A$4:$A$38,0)),""))</f>
        <v>曲线映射</v>
      </c>
      <c r="G56" s="1">
        <f>IF($D56="","",IFERROR(INDEX(技能数据库!$D$4:$D$38,MATCH($D56,技能数据库!$A$4:$A$38,0)),""))</f>
        <v>2</v>
      </c>
      <c r="H56" s="1" t="str">
        <f>IF($D56="","",IFERROR(INDEX(技能数据库!$E$4:$E$38,MATCH($D56,技能数据库!$A$4:$A$38,0)),""))</f>
        <v>术法</v>
      </c>
      <c r="I56" s="1" t="str">
        <f>IF($D56="","",IFERROR(INDEX(技能数据库!$F$4:$F$38,MATCH($D56,技能数据库!$A$4:$A$38,0)),""))</f>
        <v>精神</v>
      </c>
      <c r="J56" s="1">
        <f>IF($D56="","",IFERROR(INDEX(技能数据库!$G$4:$G$38,MATCH($D56,技能数据库!$A$4:$A$38,0)),""))</f>
        <v>2.1</v>
      </c>
      <c r="K56" s="1">
        <f>IF($D56="","",IFERROR(INDEX(技能数据库!$H$4:$H$38,MATCH($D56,技能数据库!$A$4:$A$38,0)),""))</f>
        <v>1.2</v>
      </c>
      <c r="L56" s="1" t="str">
        <f>IF($D56="","",IFERROR(INDEX(技能数据库!$I$4:$I$38,MATCH($D56,技能数据库!$A$4:$A$38,0)),""))</f>
        <v>37_CURVE</v>
      </c>
      <c r="M56" s="10">
        <v>1</v>
      </c>
      <c r="N56" s="1"/>
      <c r="O56" s="1"/>
      <c r="P56" s="1"/>
      <c r="Q56" s="10">
        <f t="shared" si="0"/>
        <v>0</v>
      </c>
      <c r="R56" s="10">
        <v>0</v>
      </c>
      <c r="S56" s="10">
        <v>0</v>
      </c>
      <c r="T56" s="1">
        <f>行动模拟!I62</f>
        <v>0</v>
      </c>
      <c r="U56" s="1">
        <f>IF(FD56&lt;&gt;FD55,IF(BY55=1,IF(MIN(10,CA55+IF(AND(DG56&lt;&gt;DG55,DH55&lt;&gt;"洞穿",SUMIFS($FE$3:FE55,$DG$3:DG55,DG55)=0,BY55=1),3,0))&gt;=10,2,1),IF(BY55=2,IF(BZ55&lt;=1,0,2),0)),BY55)</f>
        <v>0</v>
      </c>
      <c r="V56" s="1">
        <f>IF(FD56&lt;&gt;FD55,IF(BY55=1,IF(MIN(10,CA55+IF(AND(DG56&lt;&gt;DG55,DH55&lt;&gt;"洞穿",SUMIFS($FE$3:FE55,$DG$3:DG55,DG55)=0,BY55=1),3,0))&gt;=10,2,0),IF(BY55=2,MAX(0,BZ55-1),0)),BZ55)</f>
        <v>0</v>
      </c>
      <c r="W56" s="1">
        <f>IF(AND(FD56&lt;&gt;FD55,BY55=2,BZ55&lt;=1),0,MIN(10,CA55+IF(AND(DG56&lt;&gt;DG55,DH55&lt;&gt;"洞穿",SUMIFS($FE$3:FE55,$DG$3:DG55,DG55)=0,BY55=1),3,0)))</f>
        <v>0</v>
      </c>
      <c r="X56" s="1">
        <f t="shared" si="42"/>
        <v>11</v>
      </c>
      <c r="Y56" s="1">
        <f t="shared" si="43"/>
        <v>0</v>
      </c>
      <c r="Z56" s="1">
        <f t="shared" si="44"/>
        <v>0</v>
      </c>
      <c r="AA56" s="1">
        <f t="shared" si="45"/>
        <v>0</v>
      </c>
      <c r="AB56" s="1">
        <f t="shared" si="46"/>
        <v>1</v>
      </c>
      <c r="AC56" s="1">
        <f t="shared" si="47"/>
        <v>0</v>
      </c>
      <c r="AD56" s="1">
        <f t="shared" si="48"/>
        <v>24</v>
      </c>
      <c r="AE56" s="1">
        <f>IF(D56="",0,IF(DG56&lt;&gt;DG55,IFERROR(INDEX(回合状态!$F$7:$F$17,MATCH(DG56,回合状态!$A$7:$A$17,0)),0),CI55))</f>
        <v>15</v>
      </c>
      <c r="AF56" s="10">
        <f t="shared" si="49"/>
        <v>0.4</v>
      </c>
      <c r="AG56" s="1">
        <f t="shared" si="50"/>
        <v>5</v>
      </c>
      <c r="AH56" s="1">
        <f t="shared" si="51"/>
        <v>5</v>
      </c>
      <c r="AI56" s="1">
        <f t="shared" si="52"/>
        <v>4</v>
      </c>
      <c r="AJ56" s="1">
        <f t="shared" si="53"/>
        <v>5</v>
      </c>
      <c r="AK56" s="1">
        <f t="shared" si="54"/>
        <v>4</v>
      </c>
      <c r="AL56" s="1">
        <f t="shared" si="55"/>
        <v>3</v>
      </c>
      <c r="AM56" s="1">
        <f t="shared" si="56"/>
        <v>20</v>
      </c>
      <c r="AN56" s="1">
        <f t="shared" si="57"/>
        <v>4</v>
      </c>
      <c r="AO56" s="1">
        <f t="shared" si="58"/>
        <v>0</v>
      </c>
      <c r="AP56" s="10">
        <f t="shared" si="59"/>
        <v>0.12</v>
      </c>
      <c r="AQ56" s="1">
        <f t="shared" si="60"/>
        <v>5</v>
      </c>
      <c r="AR56" s="10">
        <f t="shared" si="61"/>
        <v>0.3</v>
      </c>
      <c r="AS56" s="1">
        <f t="shared" si="62"/>
        <v>5</v>
      </c>
      <c r="AT56" s="10">
        <f t="shared" si="63"/>
        <v>0.3</v>
      </c>
      <c r="AU56" s="1">
        <f t="shared" si="64"/>
        <v>5</v>
      </c>
      <c r="AV56" s="1">
        <f>MIN(5,SUMIFS($EL$3:EL56,$B$3:B56,"&gt;="&amp;MAX(1,B56-2),$B$3:B56,"&lt;="&amp;B56)+EC56)</f>
        <v>5</v>
      </c>
      <c r="AW56" s="1">
        <f>MIN(6,SUMIFS($EY$3:EY55,$EX$3:EX55,"&gt;="&amp;MAX(1,EX56-Boss参数!$B$87+1),$EX$3:EX55,"&lt;="&amp;EX56))</f>
        <v>6</v>
      </c>
      <c r="AX56" s="1">
        <f>MIN(4,COUNTIFS($B$3:$B$55,"&gt;="&amp;MAX(1,$B56-2),$B$3:$B$55,"&lt;="&amp;$B56,$L$3:$L$55,"37_FOLLOW"))</f>
        <v>4</v>
      </c>
      <c r="AY56" s="9">
        <f>IF($E56="","",IF($E56="系统",0,ROUNDDOWN(INDEX(角色面板!$C$4:$C$7,MATCH($E56,角色面板!$A$4:$A$7,0))*(1+INDEX(角色面板!$C$11:$C$14,MATCH($E56,角色面板!$A$11:$A$14,0))+IF($E56="小瑞安侬",MAX(IF($B56&lt;=$AQ56,$AP56,0),IF(AND($L56="RHI_ATTACK",$EE56&gt;0),0.11+0.01*$G56,0)),0)+IF($E56="J",$AD56*Boss参数!$B$18,0))+IF(FD56&lt;=$AN56,MIN(Boss参数!$B$21,ROUNDDOWN(角色面板!$C$19*Boss参数!$B$20,0)),0)+IF(AND($B56&lt;=$AK56,$E56&lt;&gt;"小瑞安侬"),$DY56,0),0)))</f>
        <v>3505</v>
      </c>
      <c r="AZ56" s="10">
        <f>IF($E56="","",MAX(0,MIN(1,IFERROR(INDEX(角色面板!$G$18:$G$21,MATCH($E56,角色面板!$A$18:$A$21,0)),0)-FC56*Boss参数!$B$89-Boss参数!$E$4)))</f>
        <v>0.76</v>
      </c>
      <c r="BA56" s="10">
        <f>IF(E56="","",(IF($E56="","",IF($E56="红弩箭",Boss参数!$B$80,IF($E56="J",Boss参数!$B$81,IFERROR(INDEX(角色面板!$H$18:$H$21,MATCH($E56,角色面板!$A$18:$A$21,0)),0)))+IF($B56&lt;=$AI56,Boss参数!$B$13,0)+MIN(30,$AM56)*Boss参数!$B$17+IF(AND($L56="LILYA_ULT",$X56&gt;=6),1,0)+IF(AND($Y56=1,$L56="LILYA_INSIGHT"),IF(MOD($AA56+1,3)=0,Boss参数!$B$83,Boss参数!$B$82),IF(AND($Y56=1,$L56="LILYA_FINISH"),Boss参数!$B$84,0))))-FC56*Boss参数!$B$90)</f>
        <v>2.4380000000000002</v>
      </c>
      <c r="BB56" s="10">
        <f>IF($E56="","",IFERROR(INDEX(角色面板!$M$18:$M$21,MATCH($E56,角色面板!$A$18:$A$21,0)),0)+$AW56*Boss参数!$B$12+IF($B56&lt;=$AG56,$AF56,0)+$EI56+IF($L56="LILYA_DIVE",IF($U56=1,IF($G56=1,0.3,IF($G56=2,0.4,0.5)),IF($U56=2,IF($G56=1,0.6,IF($G56=2,0.8,1)),0)),0)+$R56+IF(AND($E56="J",OR($L56="J_COUNTER",$L56="J_HARD")),Boss参数!$B$79,0)+IF(AND(OR(L56="J_COUNTER",L56="J_HARD"),FA56&gt;=Boss参数!$B$59),FA56*Boss参数!$B$40,0))</f>
        <v>0.82000000000000006</v>
      </c>
      <c r="BC56" s="10">
        <f>IF($E56="","",IFERROR(INDEX(角色面板!$K$18:$K$21,MATCH($E56,角色面板!$A$18:$A$21,0)),0)+IF($B56&lt;=$AH56,Boss参数!$B$46,0)+IF($E56="红弩箭",IF($U56=1,0.6,IF($U56=2,1.2,0))+$W56*0.06,0))-DI56*Boss参数!$B$23</f>
        <v>-0.4</v>
      </c>
      <c r="BD56" s="10">
        <f>IF($E56="","",IFERROR(INDEX(角色面板!$L$18:$L$21,MATCH($E56,角色面板!$A$18:$A$21,0)),0)+IF($B56&lt;=$AH56,Boss参数!$B$46,0)+IF($E56="J",$AL56*Boss参数!$B$16,0)+IF($E56="红弩箭",$X56*0.025,0)+IF(AND($L56="LILYA_ULT",$X56&gt;=6),1,0))-DI56*Boss参数!$B$23</f>
        <v>0</v>
      </c>
      <c r="BE56" s="10">
        <f>IF($E56="","",IF($H56="洞知",IF($E56="红弩箭",$AO56*Boss参数!$B$15,0)+$AX56*Boss参数!$B$14,0))</f>
        <v>0</v>
      </c>
      <c r="BF56" s="10">
        <f t="shared" si="1"/>
        <v>0</v>
      </c>
      <c r="BG56" s="10">
        <f>IF($D56="",0,IF(AND($L56&lt;&gt;"LILYA_DIVE",$L56&lt;&gt;"LILYA_ULT",$L56&lt;&gt;"LILYA_INSIGHT",$L56&lt;&gt;"LILYA_FINISH",$L56&lt;&gt;"37_FOLLOW",$L56&lt;&gt;"RHI_ATTACK",$L56&lt;&gt;"RHI_BERRY",$L56&lt;&gt;"J_COUNTER",$L56&lt;&gt;"J_ULT"),$J56,0)+IF($L56="LILYA_DIVE",$J56+IF($U56=1,IF($G56=1,6,IF($G56=2,12,18)),IF($U56=2,IF($G56=1,12,IF($G56=2,24,36)),0)),0)+IF($L56="LILYA_ULT",$J56+IF($X56&gt;=6,18,0),0)+IF($L56="LILYA_INSIGHT",IF($Y56=1,IF(MOD($AA56+1,3)=0,32,15),0),0)+IF($L56="LILYA_FINISH",IF($Y56=1,50+2.5*$Z56,0),0)+IF($L56="37_FOLLOW",$J56,0)+IF($L56="RHI_ATTACK",$J56*IF($B56&lt;=$AJ56,2,1),0)+IF($L56="RHI_BERRY",15+1.5*$AV56,0)+IF($L56="J_COUNTER",$J56+$AD56*Boss参数!$B$39,0)+IF($L56="J_ULT",$J56+Boss参数!$B$45*MAX(0,$AE56+$AD56-Boss参数!$I$4),0)+$S56)</f>
        <v>2.1</v>
      </c>
      <c r="BH56" s="10">
        <f t="shared" si="2"/>
        <v>1.2</v>
      </c>
      <c r="BI56" s="10">
        <f>IF(E56="","",IF(DT56=1,1+Boss参数!$B$8+AV56*Boss参数!$B$19,1))</f>
        <v>1.5</v>
      </c>
      <c r="BJ56" s="9">
        <f>IF($I56="现实",Boss参数!$C$4,IF($I56="精神",Boss参数!$D$4,0))</f>
        <v>1000</v>
      </c>
      <c r="BK56" s="9">
        <f>IF($E56="","",MAX($AY56*Boss参数!$B$9,$AY56-$BJ56*(1-$BF56)))</f>
        <v>2505</v>
      </c>
      <c r="BL56" s="10">
        <f>MAX(0,Boss参数!$F$4+IF(DT56=0,Boss参数!$B$27,0)-EJ56)</f>
        <v>0.10000000000000003</v>
      </c>
      <c r="BM56" s="10">
        <f>Boss参数!$G$4+DU56-IF(Y56=1,Boss参数!$B$11,0)</f>
        <v>0.55000000000000004</v>
      </c>
      <c r="BN56" s="10">
        <f>IF($E56="","",MAX(Boss参数!$B$10,1+IFERROR(INDEX(角色面板!$I$18:$I$21,MATCH($E56,角色面板!$A$18:$A$21,0)),0)+$BB56+Boss参数!$H$4-$BM56))</f>
        <v>1.2749999999999999</v>
      </c>
      <c r="BO56" s="10">
        <f>IF(E56="","",IF(OR(L56="J_COUNTER",L56="J_HARD"),MAX(0,1+INDEX(角色面板!$K$18:$K$21,MATCH(E56,角色面板!$A$18:$A$21,0))-DI56*Boss参数!$B$23+IF(OR(Boss参数!$B$43=1,L56="J_HARD"),IF(B56&lt;=AH56,Boss参数!$B$46,0),0)),MAX(0,IF(OR(H56="术法",L56="RHI_BERRY",AND(L56="37_FOLLOW",Boss参数!$B$31=1)),1+BC56,IF(H56="仪式",1+BD56,IF(H56="洞知",EK56,1))))))</f>
        <v>0.6</v>
      </c>
      <c r="BP56" s="10">
        <f t="shared" si="3"/>
        <v>2.3380000000000001</v>
      </c>
      <c r="BQ56" s="1">
        <f t="shared" si="4"/>
        <v>6036.4237499999999</v>
      </c>
      <c r="BR56" s="1">
        <f t="shared" si="5"/>
        <v>14113.1587275</v>
      </c>
      <c r="BS56" s="1">
        <f>IF(BH56=0,0,ROUNDDOWN(AY56*BH56,0)*DV56*IF(Boss参数!$B$29=1,BN56,1)*IF(Boss参数!$B$33=1,BO56,1)*IF(Boss参数!$B$76=1,1-ES56,1))</f>
        <v>0</v>
      </c>
      <c r="BT56" s="1">
        <f t="shared" si="6"/>
        <v>0</v>
      </c>
      <c r="BU56" s="9">
        <f>IF(D56="",0,MIN(IF(Boss参数!$B$77=1,Boss参数!$B$63*Boss参数!$B$62,Boss参数!$B$61*Boss参数!$B$62),DW56+ROUNDDOWN(BS56,0)+ROUNDDOWN(DW56*Q56,0)))</f>
        <v>2414</v>
      </c>
      <c r="BV56" s="9">
        <f>IF(D56="",0,MIN(IF(Boss参数!$B$77=1,Boss参数!$B$63*Boss参数!$B$62,Boss参数!$B$61*Boss参数!$B$62),DX56+ROUNDDOWN(BT56,0)+ROUNDDOWN(DX56*Q56,0)))</f>
        <v>5645</v>
      </c>
      <c r="BW56" s="9">
        <f t="shared" si="7"/>
        <v>4869</v>
      </c>
      <c r="BX56" s="1" t="str">
        <f t="shared" si="8"/>
        <v/>
      </c>
      <c r="BY56" s="1">
        <f t="shared" si="9"/>
        <v>0</v>
      </c>
      <c r="BZ56" s="1">
        <f t="shared" si="10"/>
        <v>0</v>
      </c>
      <c r="CA56" s="1">
        <f>MIN(10,W56+IF(AND(L56="LILYA_COBRA",COUNTIF($L$3:L56,"LILYA_COBRA")=1),5,0)+IF(AND(L56="LILYA_DIVE",U56=1,COUNTIFS($DG$3:DG56,DG56,$L$3:L56,"LILYA_DIVE")=1),2,0)+IF(AND(FE56=1,U56=1),3,0))</f>
        <v>0</v>
      </c>
      <c r="CB56" s="1">
        <f>MIN(20,MAX(0,X56+IF(L56="LILYA_COBRA",IF(COUNTIF($L$3:L56,"LILYA_COBRA")=1,6,IF(U56=1,MAX(1,G56),IF(U56=2,2*MAX(1,G56),0))),0)+IF(AND(Y56=1,E56="红弩箭",L56&lt;&gt;"ENTER_INSIGHT"),1,0)-IF(AND(L56="LILYA_ULT",X56&gt;=6),6,0)))</f>
        <v>11</v>
      </c>
      <c r="CC56" s="1">
        <f t="shared" si="11"/>
        <v>0</v>
      </c>
      <c r="CD56" s="1">
        <f t="shared" si="12"/>
        <v>0</v>
      </c>
      <c r="CE56" s="1">
        <f t="shared" si="13"/>
        <v>0</v>
      </c>
      <c r="CF56" s="1">
        <f t="shared" si="14"/>
        <v>2</v>
      </c>
      <c r="CG56" s="1">
        <f t="shared" si="15"/>
        <v>0</v>
      </c>
      <c r="CH56" s="1">
        <f>MIN(35,AD56+IF(L56="J_HARD",6,0)+IF(L56="J_COUNTER",Boss参数!$B$30,0))</f>
        <v>24</v>
      </c>
      <c r="CI56" s="1">
        <f>MIN(Boss参数!$I$4,AE56+IF(L56="J_HARD",6,0)+IF(L56="J_ULT",AD56,0)+IF(L56="J_COUNTER",Boss参数!$B$30,0))</f>
        <v>15</v>
      </c>
      <c r="CJ56" s="10">
        <f>IF(L56="J_ULT",AD56*Boss参数!$B$41,IF(B56&lt;=AG56,AF56,0))</f>
        <v>0.4</v>
      </c>
      <c r="CK56" s="1">
        <f t="shared" si="16"/>
        <v>5</v>
      </c>
      <c r="CL56" s="1">
        <f t="shared" si="17"/>
        <v>5</v>
      </c>
      <c r="CM56" s="1">
        <f t="shared" si="18"/>
        <v>4</v>
      </c>
      <c r="CN56" s="1">
        <f t="shared" si="19"/>
        <v>5</v>
      </c>
      <c r="CO56" s="1">
        <f t="shared" si="20"/>
        <v>4</v>
      </c>
      <c r="CP56" s="1">
        <f t="shared" si="21"/>
        <v>3</v>
      </c>
      <c r="CQ56" s="1">
        <f t="shared" si="22"/>
        <v>20</v>
      </c>
      <c r="CR56" s="1">
        <f t="shared" si="23"/>
        <v>4</v>
      </c>
      <c r="CS56" s="1">
        <f t="shared" si="24"/>
        <v>0</v>
      </c>
      <c r="CT56" s="10">
        <f t="shared" si="25"/>
        <v>0.12</v>
      </c>
      <c r="CU56" s="1">
        <f t="shared" si="26"/>
        <v>5</v>
      </c>
      <c r="CV56" s="10">
        <f t="shared" si="27"/>
        <v>0.3</v>
      </c>
      <c r="CW56" s="1">
        <f t="shared" si="28"/>
        <v>5</v>
      </c>
      <c r="CX56" s="10">
        <f t="shared" si="29"/>
        <v>0.3</v>
      </c>
      <c r="CY56" s="1">
        <f t="shared" si="30"/>
        <v>5</v>
      </c>
      <c r="CZ56" s="1"/>
      <c r="DA56" s="1"/>
      <c r="DB56" s="1"/>
      <c r="DC56" s="1"/>
      <c r="DD56" s="1"/>
      <c r="DE56" s="1"/>
      <c r="DF56" s="1"/>
      <c r="DG56" s="1" t="str">
        <f>IF(D56="","",行动模拟!B62)</f>
        <v>小瑞安侬额外回合</v>
      </c>
      <c r="DH56" s="1" t="str">
        <f>IF(L56="END_TURN","回合结束",IF(D56="","",IF(INDEX(回合状态!$C$7:$C$17,MATCH(DG56,回合状态!$A$7:$A$17,0))="洞穿","洞穿",IF(OR(L56="J_COUNTER",L56="BOSS_ACTION",L56="BOSS_CONSERVATIVE"),"敌方",IF(AND(L56="37_FOLLOW",DG56=DG55,DH55="敌方"),"敌方",IF(INDEX(回合状态!$C$7:$C$17,MATCH(DG56,回合状态!$A$7:$A$17,0))="普通","出牌",INDEX(回合状态!$C$7:$C$17,MATCH(DG56,回合状态!$A$7:$A$17,0))))))))</f>
        <v>额外</v>
      </c>
      <c r="DI56" s="1">
        <f t="shared" si="31"/>
        <v>2</v>
      </c>
      <c r="DJ56" s="1">
        <f>IF(D56="",0,MIN(Boss参数!$B$25,IF(OR(AND(DH56="敌方",OR(DH55&lt;&gt;"敌方",DG56&lt;&gt;DG55)),AND(L56="END_TURN",DH56&lt;&gt;"洞穿"),AND(DG56&lt;&gt;DG55,DH55&lt;&gt;"洞穿",L55&lt;&gt;"END_TURN",COUNTIFS($DG$3:DG55,DG55,$DH$3:DH55,"敌方")=0)),EW56,DN55)))</f>
        <v>4</v>
      </c>
      <c r="DK56" s="1">
        <f>IF(D56="",0,MIN(Boss参数!$B$25,IF(OR(AND(DH56="敌方",OR(DH55&lt;&gt;"敌方",DG56&lt;&gt;DG55)),AND(L56="END_TURN",DH56&lt;&gt;"洞穿"),AND(DG56&lt;&gt;DG55,DH55&lt;&gt;"洞穿",L55&lt;&gt;"END_TURN",COUNTIFS($DG$3:DG55,DG55,$DH$3:DH55,"敌方")=0)),EW56,DO55)))</f>
        <v>2</v>
      </c>
      <c r="DL56" s="1">
        <f>IF(D56="",0,MIN(Boss参数!$B$25,IF(OR(AND(DH56="敌方",OR(DH55&lt;&gt;"敌方",DG56&lt;&gt;DG55)),AND(L56="END_TURN",DH56&lt;&gt;"洞穿"),AND(DG56&lt;&gt;DG55,DH55&lt;&gt;"洞穿",L55&lt;&gt;"END_TURN",COUNTIFS($DG$3:DG55,DG55,$DH$3:DH55,"敌方")=0)),EW56,DP55)))</f>
        <v>4</v>
      </c>
      <c r="DM56" s="1">
        <f>IF(D56="",0,MIN(Boss参数!$B$25,IF(OR(AND(DH56="敌方",OR(DH55&lt;&gt;"敌方",DG56&lt;&gt;DG55)),AND(L56="END_TURN",DH56&lt;&gt;"洞穿"),AND(DG56&lt;&gt;DG55,DH55&lt;&gt;"洞穿",L55&lt;&gt;"END_TURN",COUNTIFS($DG$3:DG55,DG55,$DH$3:DH55,"敌方")=0)),EW56,DQ55)))</f>
        <v>5</v>
      </c>
      <c r="DN56" s="1">
        <f>MAX(0,MIN(Boss参数!$B$25,DJ56+DR56)-IF(E56="红弩箭",2*DR56,0))</f>
        <v>5</v>
      </c>
      <c r="DO56" s="1">
        <f>MAX(0,MIN(Boss参数!$B$25,DK56+DR56)-IF(E56="37",2*DR56,0))</f>
        <v>1</v>
      </c>
      <c r="DP56" s="1">
        <f>MAX(0,MIN(Boss参数!$B$25,DL56+DR56)-IF(E56="小瑞安侬",2*DR56,0))</f>
        <v>5</v>
      </c>
      <c r="DQ56" s="1">
        <f>MAX(0,MIN(Boss参数!$B$25,DM56+DR56)-IF(E56="J",2*DR56,0))</f>
        <v>5</v>
      </c>
      <c r="DR56" s="1">
        <f t="shared" si="32"/>
        <v>1</v>
      </c>
      <c r="DS56" s="1">
        <f t="shared" si="33"/>
        <v>1</v>
      </c>
      <c r="DT56" s="1">
        <f>IF(OR(E56="",E56="系统"),0,IF(OR(AND(DS56=1,Boss参数!$B$32=1),L56="RHI_BERRY",OR(AND(INDEX(角色面板!$B$18:$B$21,MATCH(E56,角色面板!$A$18:$A$21,0))="星",Boss参数!$B$4="岩"),AND(INDEX(角色面板!$B$18:$B$21,MATCH(E56,角色面板!$A$18:$A$21,0))="岩",Boss参数!$B$4="兽"),AND(INDEX(角色面板!$B$18:$B$21,MATCH(E56,角色面板!$A$18:$A$21,0))="兽",Boss参数!$B$4="木"),AND(INDEX(角色面板!$B$18:$B$21,MATCH(E56,角色面板!$A$18:$A$21,0))="木",Boss参数!$B$4="星"),AND(INDEX(角色面板!$B$18:$B$21,MATCH(E56,角色面板!$A$18:$A$21,0))="智",Boss参数!$B$4="灵"),AND(INDEX(角色面板!$B$18:$B$21,MATCH(E56,角色面板!$A$18:$A$21,0))="灵",Boss参数!$B$4="智"))),1,0))</f>
        <v>1</v>
      </c>
      <c r="DU56" s="1">
        <f>IF(D56="",0,INDEX(回合状态!$E$7:$E$17,MATCH(DG56,回合状态!$A$7:$A$17,0))+IF(AND(DH56="敌方",OR(INDEX(回合状态!$C$7:$C$17,MATCH(DG56,回合状态!$A$7:$A$17,0))="普通",INDEX(回合状态!$C$7:$C$17,MATCH(DG56,回合状态!$A$7:$A$17,0))="额外")),0.05,0))</f>
        <v>0.15000000000000002</v>
      </c>
      <c r="DV56" s="1">
        <f>MAX(Boss参数!$B$28,1+IF(AND(E56="37",AC56&gt;0,BH56&gt;0),Boss参数!$B$42,0)-DI56*Boss参数!$B$24+EA56-ER56)</f>
        <v>0</v>
      </c>
      <c r="DW56" s="1">
        <f>MIN(IF(Boss参数!$B$77=1,Boss参数!$B$63*Boss参数!$B$62,Boss参数!$B$61*Boss参数!$B$62),ROUNDDOWN(BQ56*(1-ES56),0))</f>
        <v>2414</v>
      </c>
      <c r="DX56" s="1">
        <f>MIN(IF(Boss参数!$B$77=1,Boss参数!$B$63*Boss参数!$B$62,Boss参数!$B$61*Boss参数!$B$62),ROUNDDOWN(BR56*(1-ES56),0))</f>
        <v>5645</v>
      </c>
      <c r="DY56" s="1">
        <f t="shared" si="65"/>
        <v>238</v>
      </c>
      <c r="DZ56" s="1">
        <f>IF(L56="RHI_ULT",MIN(Boss参数!$B$48,ROUNDDOWN(AY56*Boss参数!$B$47,0)),DY56)</f>
        <v>238</v>
      </c>
      <c r="EA56" s="11">
        <v>0</v>
      </c>
      <c r="EB56" s="1">
        <f t="shared" si="34"/>
        <v>0</v>
      </c>
      <c r="EC56" s="1">
        <f>SUMIFS($EB$3:EB56,$B$3:B56,"&gt;="&amp;MAX(1,B56-2),$B$3:B56,"&lt;="&amp;B56)*Boss参数!$B$51</f>
        <v>16</v>
      </c>
      <c r="ED56" s="1">
        <f>IF(D56="",EG55,IF(AND(DG56&lt;&gt;DG55,DH56&lt;&gt;"洞穿"),MIN(Boss参数!$B$55,EG55+2),EG55))</f>
        <v>0</v>
      </c>
      <c r="EE56" s="1">
        <f t="shared" si="35"/>
        <v>0</v>
      </c>
      <c r="EF56" s="1">
        <f>IF(AND(OR(L56="END_TURN",AND(DH56="敌方",OR(DH55&lt;&gt;"敌方",DG56&lt;&gt;DG55))),SUMIFS($EF$3:EF55,$DG$3:DG55,DG56)=0),MIN(1,MAX(0,ED56-EE56)),0)</f>
        <v>0</v>
      </c>
      <c r="EG56" s="1">
        <f t="shared" si="36"/>
        <v>0</v>
      </c>
      <c r="EH56" s="11">
        <f>Boss参数!$B$53-IF(Y56=1,Boss参数!$B$54,0)</f>
        <v>0</v>
      </c>
      <c r="EI56" s="11">
        <f t="shared" si="37"/>
        <v>0.3</v>
      </c>
      <c r="EJ56" s="11">
        <f t="shared" si="38"/>
        <v>0.3</v>
      </c>
      <c r="EK56" s="11">
        <f t="shared" si="39"/>
        <v>1</v>
      </c>
      <c r="EL56" s="1">
        <f t="shared" si="66"/>
        <v>0</v>
      </c>
      <c r="EM56" s="1">
        <f>IF(AND(DG56&lt;&gt;DG55,DH56="洞穿"),0,IF(L56="ENTER_INSIGHT",Boss参数!$B$57,EO55))</f>
        <v>0</v>
      </c>
      <c r="EN56" s="11">
        <f>IF(AND(Y56=1,H56="洞知",EM56&gt;0),Boss参数!$B$56,0)</f>
        <v>0</v>
      </c>
      <c r="EO56" s="1">
        <f t="shared" si="40"/>
        <v>0</v>
      </c>
      <c r="EP56" s="12">
        <f t="shared" si="67"/>
        <v>13328110</v>
      </c>
      <c r="EQ56" s="12">
        <f>ROUNDDOWN(EP56/Boss参数!$B$62,0)</f>
        <v>133</v>
      </c>
      <c r="ER56" s="11">
        <f>IF(EQ56&gt;=Boss参数!$B$66,Boss参数!$B$69,IF(EQ56&gt;=Boss参数!$B$65,Boss参数!$B$68,IF(EQ56&gt;=Boss参数!$B$64,Boss参数!$B$67,0)))</f>
        <v>0.9</v>
      </c>
      <c r="ES56" s="11">
        <f>MIN(1,IF(EQ56&gt;=Boss参数!$B$66,Boss参数!$B$72+ROUNDDOWN((EQ56-Boss参数!$B$66)/Boss参数!$B$73,0)*Boss参数!$B$74,IF(EQ56&gt;=Boss参数!$B$65,Boss参数!$B$71,IF(EQ56&gt;=Boss参数!$B$64,Boss参数!$B$70,0))))</f>
        <v>0.6</v>
      </c>
      <c r="ET56" s="12">
        <f>MIN(Boss参数!$B$61*Boss参数!$B$62,EP56+IF(AND(Boss参数!$B$60=1,ISNUMBER(验证表!H62)),验证表!H62,EU56))</f>
        <v>13330524</v>
      </c>
      <c r="EU56" s="12">
        <f>IF(D56="",0,IF(验证表!G62="是",BV56,IF(验证表!G62="否",BU56,BW56)))</f>
        <v>2414</v>
      </c>
      <c r="EV56" s="12">
        <f>IF(EQ56&gt;=Boss参数!$B$66,2,IF(EQ56&gt;=Boss参数!$B$65,1,0))</f>
        <v>2</v>
      </c>
      <c r="EW56" s="12">
        <f t="shared" si="41"/>
        <v>3</v>
      </c>
      <c r="EX56" s="1">
        <f>IF(D56="",0,INDEX(回合状态!$D$7:$D$17,MATCH(DG56,回合状态!$A$7:$A$17,0)))</f>
        <v>4</v>
      </c>
      <c r="EY56" s="1">
        <f>IF(OR(L56="RHI_ATTACK",L56="RHI_BUFF"),1,IF(L56="RHI_ULT",Boss参数!$B$52,0))</f>
        <v>0</v>
      </c>
      <c r="EZ56" s="1">
        <f>MIN(6,SUMIFS($EY$3:EY56,$EX$3:EX56,"&gt;="&amp;MAX(1,EX56-Boss参数!$B$87+1),$EX$3:EX56,"&lt;="&amp;EX56))</f>
        <v>6</v>
      </c>
      <c r="FA56" s="1">
        <f t="shared" si="68"/>
        <v>24</v>
      </c>
      <c r="FB56" s="17">
        <f>IF(L56="BOSS_CONSERVATIVE",B56+Boss参数!$B$91,FB55)</f>
        <v>0</v>
      </c>
      <c r="FC56" s="17">
        <f t="shared" si="69"/>
        <v>0</v>
      </c>
      <c r="FD56" s="17">
        <f>IF(D56="",FD55,FD55+IF(AND(DG56&lt;&gt;DG55,INDEX(回合状态!$C$7:$C$17,MATCH(DG56,回合状态!$A$7:$A$17,0))&lt;&gt;"洞穿"),1,0))</f>
        <v>4</v>
      </c>
      <c r="FE56" s="17">
        <f>IF(D56="",0,IF(AND(OR(L56="END_TURN",DH56="敌方"),INDEX(回合状态!$C$7:$C$17,MATCH(DG56,回合状态!$A$7:$A$17,0))&lt;&gt;"洞穿",SUMIFS($FE$3:FE55,$DG$3:DG55,DG56)=0),1,0))</f>
        <v>0</v>
      </c>
    </row>
    <row r="57" spans="1:161" ht="84.95" customHeight="1">
      <c r="A57" s="1">
        <f>行动模拟!A63</f>
        <v>55</v>
      </c>
      <c r="B57" s="1">
        <f>IF(D57="",0,INDEX(回合状态!$B$7:$B$17,MATCH(DG57,回合状态!$A$7:$A$17,0)))</f>
        <v>3</v>
      </c>
      <c r="C57" s="1">
        <f>行动模拟!C63</f>
        <v>6</v>
      </c>
      <c r="D57" s="1" t="str">
        <f>IF(行动模拟!D63="","",行动模拟!D63)</f>
        <v>J｜硬度测试Ⅱ</v>
      </c>
      <c r="E57" s="1" t="str">
        <f>IF($D57="","",IFERROR(INDEX(技能数据库!$B$4:$B$38,MATCH($D57,技能数据库!$A$4:$A$38,0)),""))</f>
        <v>J</v>
      </c>
      <c r="F57" s="1" t="str">
        <f>IF($D57="","",IFERROR(INDEX(技能数据库!$C$4:$C$38,MATCH($D57,技能数据库!$A$4:$A$38,0)),""))</f>
        <v>硬度测试</v>
      </c>
      <c r="G57" s="1">
        <f>IF($D57="","",IFERROR(INDEX(技能数据库!$D$4:$D$38,MATCH($D57,技能数据库!$A$4:$A$38,0)),""))</f>
        <v>2</v>
      </c>
      <c r="H57" s="1" t="str">
        <f>IF($D57="","",IFERROR(INDEX(技能数据库!$E$4:$E$38,MATCH($D57,技能数据库!$A$4:$A$38,0)),""))</f>
        <v>术法</v>
      </c>
      <c r="I57" s="1" t="str">
        <f>IF($D57="","",IFERROR(INDEX(技能数据库!$F$4:$F$38,MATCH($D57,技能数据库!$A$4:$A$38,0)),""))</f>
        <v>现实</v>
      </c>
      <c r="J57" s="1">
        <f>IF($D57="","",IFERROR(INDEX(技能数据库!$G$4:$G$38,MATCH($D57,技能数据库!$A$4:$A$38,0)),""))</f>
        <v>5.4</v>
      </c>
      <c r="K57" s="1">
        <f>IF($D57="","",IFERROR(INDEX(技能数据库!$H$4:$H$38,MATCH($D57,技能数据库!$A$4:$A$38,0)),""))</f>
        <v>0</v>
      </c>
      <c r="L57" s="1" t="str">
        <f>IF($D57="","",IFERROR(INDEX(技能数据库!$I$4:$I$38,MATCH($D57,技能数据库!$A$4:$A$38,0)),""))</f>
        <v>J_HARD</v>
      </c>
      <c r="M57" s="10">
        <v>1</v>
      </c>
      <c r="N57" s="1"/>
      <c r="O57" s="1"/>
      <c r="P57" s="1"/>
      <c r="Q57" s="10">
        <f t="shared" si="0"/>
        <v>0</v>
      </c>
      <c r="R57" s="10">
        <v>0</v>
      </c>
      <c r="S57" s="10">
        <v>0</v>
      </c>
      <c r="T57" s="1">
        <f>行动模拟!I63</f>
        <v>0</v>
      </c>
      <c r="U57" s="1">
        <f>IF(FD57&lt;&gt;FD56,IF(BY56=1,IF(MIN(10,CA56+IF(AND(DG57&lt;&gt;DG56,DH56&lt;&gt;"洞穿",SUMIFS($FE$3:FE56,$DG$3:DG56,DG56)=0,BY56=1),3,0))&gt;=10,2,1),IF(BY56=2,IF(BZ56&lt;=1,0,2),0)),BY56)</f>
        <v>0</v>
      </c>
      <c r="V57" s="1">
        <f>IF(FD57&lt;&gt;FD56,IF(BY56=1,IF(MIN(10,CA56+IF(AND(DG57&lt;&gt;DG56,DH56&lt;&gt;"洞穿",SUMIFS($FE$3:FE56,$DG$3:DG56,DG56)=0,BY56=1),3,0))&gt;=10,2,0),IF(BY56=2,MAX(0,BZ56-1),0)),BZ56)</f>
        <v>0</v>
      </c>
      <c r="W57" s="1">
        <f>IF(AND(FD57&lt;&gt;FD56,BY56=2,BZ56&lt;=1),0,MIN(10,CA56+IF(AND(DG57&lt;&gt;DG56,DH56&lt;&gt;"洞穿",SUMIFS($FE$3:FE56,$DG$3:DG56,DG56)=0,BY56=1),3,0)))</f>
        <v>0</v>
      </c>
      <c r="X57" s="1">
        <f t="shared" si="42"/>
        <v>11</v>
      </c>
      <c r="Y57" s="1">
        <f t="shared" si="43"/>
        <v>0</v>
      </c>
      <c r="Z57" s="1">
        <f t="shared" si="44"/>
        <v>0</v>
      </c>
      <c r="AA57" s="1">
        <f t="shared" si="45"/>
        <v>0</v>
      </c>
      <c r="AB57" s="1">
        <f t="shared" si="46"/>
        <v>2</v>
      </c>
      <c r="AC57" s="1">
        <f t="shared" si="47"/>
        <v>0</v>
      </c>
      <c r="AD57" s="1">
        <f t="shared" si="48"/>
        <v>24</v>
      </c>
      <c r="AE57" s="1">
        <f>IF(D57="",0,IF(DG57&lt;&gt;DG56,IFERROR(INDEX(回合状态!$F$7:$F$17,MATCH(DG57,回合状态!$A$7:$A$17,0)),0),CI56))</f>
        <v>15</v>
      </c>
      <c r="AF57" s="10">
        <f t="shared" si="49"/>
        <v>0.4</v>
      </c>
      <c r="AG57" s="1">
        <f t="shared" si="50"/>
        <v>5</v>
      </c>
      <c r="AH57" s="1">
        <f t="shared" si="51"/>
        <v>5</v>
      </c>
      <c r="AI57" s="1">
        <f t="shared" si="52"/>
        <v>4</v>
      </c>
      <c r="AJ57" s="1">
        <f t="shared" si="53"/>
        <v>5</v>
      </c>
      <c r="AK57" s="1">
        <f t="shared" si="54"/>
        <v>4</v>
      </c>
      <c r="AL57" s="1">
        <f t="shared" si="55"/>
        <v>3</v>
      </c>
      <c r="AM57" s="1">
        <f t="shared" si="56"/>
        <v>20</v>
      </c>
      <c r="AN57" s="1">
        <f t="shared" si="57"/>
        <v>4</v>
      </c>
      <c r="AO57" s="1">
        <f t="shared" si="58"/>
        <v>0</v>
      </c>
      <c r="AP57" s="10">
        <f t="shared" si="59"/>
        <v>0.12</v>
      </c>
      <c r="AQ57" s="1">
        <f t="shared" si="60"/>
        <v>5</v>
      </c>
      <c r="AR57" s="10">
        <f t="shared" si="61"/>
        <v>0.3</v>
      </c>
      <c r="AS57" s="1">
        <f t="shared" si="62"/>
        <v>5</v>
      </c>
      <c r="AT57" s="10">
        <f t="shared" si="63"/>
        <v>0.3</v>
      </c>
      <c r="AU57" s="1">
        <f t="shared" si="64"/>
        <v>5</v>
      </c>
      <c r="AV57" s="1">
        <f>MIN(5,SUMIFS($EL$3:EL57,$B$3:B57,"&gt;="&amp;MAX(1,B57-2),$B$3:B57,"&lt;="&amp;B57)+EC57)</f>
        <v>5</v>
      </c>
      <c r="AW57" s="1">
        <f>MIN(6,SUMIFS($EY$3:EY56,$EX$3:EX56,"&gt;="&amp;MAX(1,EX57-Boss参数!$B$87+1),$EX$3:EX56,"&lt;="&amp;EX57))</f>
        <v>6</v>
      </c>
      <c r="AX57" s="1">
        <f>MIN(4,COUNTIFS($B$3:$B$56,"&gt;="&amp;MAX(1,$B57-2),$B$3:$B$56,"&lt;="&amp;$B57,$L$3:$L$56,"37_FOLLOW"))</f>
        <v>4</v>
      </c>
      <c r="AY57" s="9">
        <f>IF($E57="","",IF($E57="系统",0,ROUNDDOWN(INDEX(角色面板!$C$4:$C$7,MATCH($E57,角色面板!$A$4:$A$7,0))*(1+INDEX(角色面板!$C$11:$C$14,MATCH($E57,角色面板!$A$11:$A$14,0))+IF($E57="小瑞安侬",MAX(IF($B57&lt;=$AQ57,$AP57,0),IF(AND($L57="RHI_ATTACK",$EE57&gt;0),0.11+0.01*$G57,0)),0)+IF($E57="J",$AD57*Boss参数!$B$18,0))+IF(FD57&lt;=$AN57,MIN(Boss参数!$B$21,ROUNDDOWN(角色面板!$C$19*Boss参数!$B$20,0)),0)+IF(AND($B57&lt;=$AK57,$E57&lt;&gt;"小瑞安侬"),$DY57,0),0)))</f>
        <v>3101</v>
      </c>
      <c r="AZ57" s="10">
        <f>IF($E57="","",MAX(0,MIN(1,IFERROR(INDEX(角色面板!$G$18:$G$21,MATCH($E57,角色面板!$A$18:$A$21,0)),0)-FC57*Boss参数!$B$89-Boss参数!$E$4)))</f>
        <v>0.66700000000000004</v>
      </c>
      <c r="BA57" s="10">
        <f>IF(E57="","",(IF($E57="","",IF($E57="红弩箭",Boss参数!$B$80,IF($E57="J",Boss参数!$B$81,IFERROR(INDEX(角色面板!$H$18:$H$21,MATCH($E57,角色面板!$A$18:$A$21,0)),0)))+IF($B57&lt;=$AI57,Boss参数!$B$13,0)+MIN(30,$AM57)*Boss参数!$B$17+IF(AND($L57="LILYA_ULT",$X57&gt;=6),1,0)+IF(AND($Y57=1,$L57="LILYA_INSIGHT"),IF(MOD($AA57+1,3)=0,Boss参数!$B$83,Boss参数!$B$82),IF(AND($Y57=1,$L57="LILYA_FINISH"),Boss参数!$B$84,0))))-FC57*Boss参数!$B$90)</f>
        <v>1.9570000000000001</v>
      </c>
      <c r="BB57" s="10">
        <f>IF($E57="","",IFERROR(INDEX(角色面板!$M$18:$M$21,MATCH($E57,角色面板!$A$18:$A$21,0)),0)+$AW57*Boss参数!$B$12+IF($B57&lt;=$AG57,$AF57,0)+$EI57+IF($L57="LILYA_DIVE",IF($U57=1,IF($G57=1,0.3,IF($G57=2,0.4,0.5)),IF($U57=2,IF($G57=1,0.6,IF($G57=2,0.8,1)),0)),0)+$R57+IF(AND($E57="J",OR($L57="J_COUNTER",$L57="J_HARD")),Boss参数!$B$79,0)+IF(AND(OR(L57="J_COUNTER",L57="J_HARD"),FA57&gt;=Boss参数!$B$59),FA57*Boss参数!$B$40,0))</f>
        <v>1.0000000000000002</v>
      </c>
      <c r="BC57" s="10">
        <f>IF($E57="","",IFERROR(INDEX(角色面板!$K$18:$K$21,MATCH($E57,角色面板!$A$18:$A$21,0)),0)+IF($B57&lt;=$AH57,Boss参数!$B$46,0)+IF($E57="红弩箭",IF($U57=1,0.6,IF($U57=2,1.2,0))+$W57*0.06,0))-DI57*Boss参数!$B$23</f>
        <v>-0.85000000000000009</v>
      </c>
      <c r="BD57" s="10">
        <f>IF($E57="","",IFERROR(INDEX(角色面板!$L$18:$L$21,MATCH($E57,角色面板!$A$18:$A$21,0)),0)+IF($B57&lt;=$AH57,Boss参数!$B$46,0)+IF($E57="J",$AL57*Boss参数!$B$16,0)+IF($E57="红弩箭",$X57*0.025,0)+IF(AND($L57="LILYA_ULT",$X57&gt;=6),1,0))-DI57*Boss参数!$B$23</f>
        <v>-0.33</v>
      </c>
      <c r="BE57" s="10">
        <f>IF($E57="","",IF($H57="洞知",IF($E57="红弩箭",$AO57*Boss参数!$B$15,0)+$AX57*Boss参数!$B$14,0))</f>
        <v>0</v>
      </c>
      <c r="BF57" s="10">
        <f t="shared" si="1"/>
        <v>0</v>
      </c>
      <c r="BG57" s="10">
        <f>IF($D57="",0,IF(AND($L57&lt;&gt;"LILYA_DIVE",$L57&lt;&gt;"LILYA_ULT",$L57&lt;&gt;"LILYA_INSIGHT",$L57&lt;&gt;"LILYA_FINISH",$L57&lt;&gt;"37_FOLLOW",$L57&lt;&gt;"RHI_ATTACK",$L57&lt;&gt;"RHI_BERRY",$L57&lt;&gt;"J_COUNTER",$L57&lt;&gt;"J_ULT"),$J57,0)+IF($L57="LILYA_DIVE",$J57+IF($U57=1,IF($G57=1,6,IF($G57=2,12,18)),IF($U57=2,IF($G57=1,12,IF($G57=2,24,36)),0)),0)+IF($L57="LILYA_ULT",$J57+IF($X57&gt;=6,18,0),0)+IF($L57="LILYA_INSIGHT",IF($Y57=1,IF(MOD($AA57+1,3)=0,32,15),0),0)+IF($L57="LILYA_FINISH",IF($Y57=1,50+2.5*$Z57,0),0)+IF($L57="37_FOLLOW",$J57,0)+IF($L57="RHI_ATTACK",$J57*IF($B57&lt;=$AJ57,2,1),0)+IF($L57="RHI_BERRY",15+1.5*$AV57,0)+IF($L57="J_COUNTER",$J57+$AD57*Boss参数!$B$39,0)+IF($L57="J_ULT",$J57+Boss参数!$B$45*MAX(0,$AE57+$AD57-Boss参数!$I$4),0)+$S57)</f>
        <v>5.4</v>
      </c>
      <c r="BH57" s="10">
        <f t="shared" si="2"/>
        <v>0</v>
      </c>
      <c r="BI57" s="10">
        <f>IF(E57="","",IF(DT57=1,1+Boss参数!$B$8+AV57*Boss参数!$B$19,1))</f>
        <v>1.5</v>
      </c>
      <c r="BJ57" s="9">
        <f>IF($I57="现实",Boss参数!$C$4,IF($I57="精神",Boss参数!$D$4,0))</f>
        <v>1200</v>
      </c>
      <c r="BK57" s="9">
        <f>IF($E57="","",MAX($AY57*Boss参数!$B$9,$AY57-$BJ57*(1-$BF57)))</f>
        <v>1901</v>
      </c>
      <c r="BL57" s="10">
        <f>MAX(0,Boss参数!$F$4+IF(DT57=0,Boss参数!$B$27,0)-EJ57)</f>
        <v>0.10000000000000003</v>
      </c>
      <c r="BM57" s="10">
        <f>Boss参数!$G$4+DU57-IF(Y57=1,Boss参数!$B$11,0)</f>
        <v>0.55000000000000004</v>
      </c>
      <c r="BN57" s="10">
        <f>IF($E57="","",MAX(Boss参数!$B$10,1+IFERROR(INDEX(角色面板!$I$18:$I$21,MATCH($E57,角色面板!$A$18:$A$21,0)),0)+$BB57+Boss参数!$H$4-$BM57))</f>
        <v>1.4750000000000003</v>
      </c>
      <c r="BO57" s="10">
        <f>IF(E57="","",IF(OR(L57="J_COUNTER",L57="J_HARD"),MAX(0,1+INDEX(角色面板!$K$18:$K$21,MATCH(E57,角色面板!$A$18:$A$21,0))-DI57*Boss参数!$B$23+IF(OR(Boss参数!$B$43=1,L57="J_HARD"),IF(B57&lt;=AH57,Boss参数!$B$46,0),0)),MAX(0,IF(OR(H57="术法",L57="RHI_BERRY",AND(L57="37_FOLLOW",Boss参数!$B$31=1)),1+BC57,IF(H57="仪式",1+BD57,IF(H57="洞知",EK57,1))))))</f>
        <v>0.14999999999999997</v>
      </c>
      <c r="BP57" s="10">
        <f t="shared" si="3"/>
        <v>1.857</v>
      </c>
      <c r="BQ57" s="1">
        <f t="shared" si="4"/>
        <v>3406.8296250000003</v>
      </c>
      <c r="BR57" s="1">
        <f t="shared" si="5"/>
        <v>6326.4826136250003</v>
      </c>
      <c r="BS57" s="1">
        <f>IF(BH57=0,0,ROUNDDOWN(AY57*BH57,0)*DV57*IF(Boss参数!$B$29=1,BN57,1)*IF(Boss参数!$B$33=1,BO57,1)*IF(Boss参数!$B$76=1,1-ES57,1))</f>
        <v>0</v>
      </c>
      <c r="BT57" s="1">
        <f t="shared" si="6"/>
        <v>0</v>
      </c>
      <c r="BU57" s="9">
        <f>IF(D57="",0,MIN(IF(Boss参数!$B$77=1,Boss参数!$B$63*Boss参数!$B$62,Boss参数!$B$61*Boss参数!$B$62),DW57+ROUNDDOWN(BS57,0)+ROUNDDOWN(DW57*Q57,0)))</f>
        <v>1362</v>
      </c>
      <c r="BV57" s="9">
        <f>IF(D57="",0,MIN(IF(Boss参数!$B$77=1,Boss参数!$B$63*Boss参数!$B$62,Boss参数!$B$61*Boss参数!$B$62),DX57+ROUNDDOWN(BT57,0)+ROUNDDOWN(DX57*Q57,0)))</f>
        <v>2530</v>
      </c>
      <c r="BW57" s="9">
        <f t="shared" si="7"/>
        <v>2141</v>
      </c>
      <c r="BX57" s="1" t="str">
        <f t="shared" si="8"/>
        <v/>
      </c>
      <c r="BY57" s="1">
        <f t="shared" si="9"/>
        <v>0</v>
      </c>
      <c r="BZ57" s="1">
        <f t="shared" si="10"/>
        <v>0</v>
      </c>
      <c r="CA57" s="1">
        <f>MIN(10,W57+IF(AND(L57="LILYA_COBRA",COUNTIF($L$3:L57,"LILYA_COBRA")=1),5,0)+IF(AND(L57="LILYA_DIVE",U57=1,COUNTIFS($DG$3:DG57,DG57,$L$3:L57,"LILYA_DIVE")=1),2,0)+IF(AND(FE57=1,U57=1),3,0))</f>
        <v>0</v>
      </c>
      <c r="CB57" s="1">
        <f>MIN(20,MAX(0,X57+IF(L57="LILYA_COBRA",IF(COUNTIF($L$3:L57,"LILYA_COBRA")=1,6,IF(U57=1,MAX(1,G57),IF(U57=2,2*MAX(1,G57),0))),0)+IF(AND(Y57=1,E57="红弩箭",L57&lt;&gt;"ENTER_INSIGHT"),1,0)-IF(AND(L57="LILYA_ULT",X57&gt;=6),6,0)))</f>
        <v>11</v>
      </c>
      <c r="CC57" s="1">
        <f t="shared" si="11"/>
        <v>0</v>
      </c>
      <c r="CD57" s="1">
        <f t="shared" si="12"/>
        <v>0</v>
      </c>
      <c r="CE57" s="1">
        <f t="shared" si="13"/>
        <v>0</v>
      </c>
      <c r="CF57" s="1">
        <f t="shared" si="14"/>
        <v>3</v>
      </c>
      <c r="CG57" s="1">
        <f t="shared" si="15"/>
        <v>0</v>
      </c>
      <c r="CH57" s="1">
        <f>MIN(35,AD57+IF(L57="J_HARD",6,0)+IF(L57="J_COUNTER",Boss参数!$B$30,0))</f>
        <v>30</v>
      </c>
      <c r="CI57" s="1">
        <f>MIN(Boss参数!$I$4,AE57+IF(L57="J_HARD",6,0)+IF(L57="J_ULT",AD57,0)+IF(L57="J_COUNTER",Boss参数!$B$30,0))</f>
        <v>21</v>
      </c>
      <c r="CJ57" s="10">
        <f>IF(L57="J_ULT",AD57*Boss参数!$B$41,IF(B57&lt;=AG57,AF57,0))</f>
        <v>0.4</v>
      </c>
      <c r="CK57" s="1">
        <f t="shared" si="16"/>
        <v>5</v>
      </c>
      <c r="CL57" s="1">
        <f t="shared" si="17"/>
        <v>5</v>
      </c>
      <c r="CM57" s="1">
        <f t="shared" si="18"/>
        <v>4</v>
      </c>
      <c r="CN57" s="1">
        <f t="shared" si="19"/>
        <v>5</v>
      </c>
      <c r="CO57" s="1">
        <f t="shared" si="20"/>
        <v>4</v>
      </c>
      <c r="CP57" s="1">
        <f t="shared" si="21"/>
        <v>3</v>
      </c>
      <c r="CQ57" s="1">
        <f t="shared" si="22"/>
        <v>20</v>
      </c>
      <c r="CR57" s="1">
        <f t="shared" si="23"/>
        <v>4</v>
      </c>
      <c r="CS57" s="1">
        <f t="shared" si="24"/>
        <v>0</v>
      </c>
      <c r="CT57" s="10">
        <f t="shared" si="25"/>
        <v>0.12</v>
      </c>
      <c r="CU57" s="1">
        <f t="shared" si="26"/>
        <v>5</v>
      </c>
      <c r="CV57" s="10">
        <f t="shared" si="27"/>
        <v>0.3</v>
      </c>
      <c r="CW57" s="1">
        <f t="shared" si="28"/>
        <v>5</v>
      </c>
      <c r="CX57" s="10">
        <f t="shared" si="29"/>
        <v>0.3</v>
      </c>
      <c r="CY57" s="1">
        <f t="shared" si="30"/>
        <v>5</v>
      </c>
      <c r="CZ57" s="1"/>
      <c r="DA57" s="1"/>
      <c r="DB57" s="1"/>
      <c r="DC57" s="1"/>
      <c r="DD57" s="1"/>
      <c r="DE57" s="1"/>
      <c r="DF57" s="1"/>
      <c r="DG57" s="1" t="str">
        <f>IF(D57="","",行动模拟!B63)</f>
        <v>小瑞安侬额外回合</v>
      </c>
      <c r="DH57" s="1" t="str">
        <f>IF(L57="END_TURN","回合结束",IF(D57="","",IF(INDEX(回合状态!$C$7:$C$17,MATCH(DG57,回合状态!$A$7:$A$17,0))="洞穿","洞穿",IF(OR(L57="J_COUNTER",L57="BOSS_ACTION",L57="BOSS_CONSERVATIVE"),"敌方",IF(AND(L57="37_FOLLOW",DG57=DG56,DH56="敌方"),"敌方",IF(INDEX(回合状态!$C$7:$C$17,MATCH(DG57,回合状态!$A$7:$A$17,0))="普通","出牌",INDEX(回合状态!$C$7:$C$17,MATCH(DG57,回合状态!$A$7:$A$17,0))))))))</f>
        <v>额外</v>
      </c>
      <c r="DI57" s="1">
        <f t="shared" si="31"/>
        <v>5</v>
      </c>
      <c r="DJ57" s="1">
        <f>IF(D57="",0,MIN(Boss参数!$B$25,IF(OR(AND(DH57="敌方",OR(DH56&lt;&gt;"敌方",DG57&lt;&gt;DG56)),AND(L57="END_TURN",DH57&lt;&gt;"洞穿"),AND(DG57&lt;&gt;DG56,DH56&lt;&gt;"洞穿",L56&lt;&gt;"END_TURN",COUNTIFS($DG$3:DG56,DG56,$DH$3:DH56,"敌方")=0)),EW57,DN56)))</f>
        <v>5</v>
      </c>
      <c r="DK57" s="1">
        <f>IF(D57="",0,MIN(Boss参数!$B$25,IF(OR(AND(DH57="敌方",OR(DH56&lt;&gt;"敌方",DG57&lt;&gt;DG56)),AND(L57="END_TURN",DH57&lt;&gt;"洞穿"),AND(DG57&lt;&gt;DG56,DH56&lt;&gt;"洞穿",L56&lt;&gt;"END_TURN",COUNTIFS($DG$3:DG56,DG56,$DH$3:DH56,"敌方")=0)),EW57,DO56)))</f>
        <v>1</v>
      </c>
      <c r="DL57" s="1">
        <f>IF(D57="",0,MIN(Boss参数!$B$25,IF(OR(AND(DH57="敌方",OR(DH56&lt;&gt;"敌方",DG57&lt;&gt;DG56)),AND(L57="END_TURN",DH57&lt;&gt;"洞穿"),AND(DG57&lt;&gt;DG56,DH56&lt;&gt;"洞穿",L56&lt;&gt;"END_TURN",COUNTIFS($DG$3:DG56,DG56,$DH$3:DH56,"敌方")=0)),EW57,DP56)))</f>
        <v>5</v>
      </c>
      <c r="DM57" s="1">
        <f>IF(D57="",0,MIN(Boss参数!$B$25,IF(OR(AND(DH57="敌方",OR(DH56&lt;&gt;"敌方",DG57&lt;&gt;DG56)),AND(L57="END_TURN",DH57&lt;&gt;"洞穿"),AND(DG57&lt;&gt;DG56,DH56&lt;&gt;"洞穿",L56&lt;&gt;"END_TURN",COUNTIFS($DG$3:DG56,DG56,$DH$3:DH56,"敌方")=0)),EW57,DQ56)))</f>
        <v>5</v>
      </c>
      <c r="DN57" s="1">
        <f>MAX(0,MIN(Boss参数!$B$25,DJ57+DR57)-IF(E57="红弩箭",2*DR57,0))</f>
        <v>5</v>
      </c>
      <c r="DO57" s="1">
        <f>MAX(0,MIN(Boss参数!$B$25,DK57+DR57)-IF(E57="37",2*DR57,0))</f>
        <v>2</v>
      </c>
      <c r="DP57" s="1">
        <f>MAX(0,MIN(Boss参数!$B$25,DL57+DR57)-IF(E57="小瑞安侬",2*DR57,0))</f>
        <v>5</v>
      </c>
      <c r="DQ57" s="1">
        <f>MAX(0,MIN(Boss参数!$B$25,DM57+DR57)-IF(E57="J",2*DR57,0))</f>
        <v>3</v>
      </c>
      <c r="DR57" s="1">
        <f t="shared" si="32"/>
        <v>1</v>
      </c>
      <c r="DS57" s="1">
        <f t="shared" si="33"/>
        <v>1</v>
      </c>
      <c r="DT57" s="1">
        <f>IF(OR(E57="",E57="系统"),0,IF(OR(AND(DS57=1,Boss参数!$B$32=1),L57="RHI_BERRY",OR(AND(INDEX(角色面板!$B$18:$B$21,MATCH(E57,角色面板!$A$18:$A$21,0))="星",Boss参数!$B$4="岩"),AND(INDEX(角色面板!$B$18:$B$21,MATCH(E57,角色面板!$A$18:$A$21,0))="岩",Boss参数!$B$4="兽"),AND(INDEX(角色面板!$B$18:$B$21,MATCH(E57,角色面板!$A$18:$A$21,0))="兽",Boss参数!$B$4="木"),AND(INDEX(角色面板!$B$18:$B$21,MATCH(E57,角色面板!$A$18:$A$21,0))="木",Boss参数!$B$4="星"),AND(INDEX(角色面板!$B$18:$B$21,MATCH(E57,角色面板!$A$18:$A$21,0))="智",Boss参数!$B$4="灵"),AND(INDEX(角色面板!$B$18:$B$21,MATCH(E57,角色面板!$A$18:$A$21,0))="灵",Boss参数!$B$4="智"))),1,0))</f>
        <v>1</v>
      </c>
      <c r="DU57" s="1">
        <f>IF(D57="",0,INDEX(回合状态!$E$7:$E$17,MATCH(DG57,回合状态!$A$7:$A$17,0))+IF(AND(DH57="敌方",OR(INDEX(回合状态!$C$7:$C$17,MATCH(DG57,回合状态!$A$7:$A$17,0))="普通",INDEX(回合状态!$C$7:$C$17,MATCH(DG57,回合状态!$A$7:$A$17,0))="额外")),0.05,0))</f>
        <v>0.15000000000000002</v>
      </c>
      <c r="DV57" s="1">
        <f>MAX(Boss参数!$B$28,1+IF(AND(E57="37",AC57&gt;0,BH57&gt;0),Boss参数!$B$42,0)-DI57*Boss参数!$B$24+EA57-ER57)</f>
        <v>0</v>
      </c>
      <c r="DW57" s="1">
        <f>MIN(IF(Boss参数!$B$77=1,Boss参数!$B$63*Boss参数!$B$62,Boss参数!$B$61*Boss参数!$B$62),ROUNDDOWN(BQ57*(1-ES57),0))</f>
        <v>1362</v>
      </c>
      <c r="DX57" s="1">
        <f>MIN(IF(Boss参数!$B$77=1,Boss参数!$B$63*Boss参数!$B$62,Boss参数!$B$61*Boss参数!$B$62),ROUNDDOWN(BR57*(1-ES57),0))</f>
        <v>2530</v>
      </c>
      <c r="DY57" s="1">
        <f t="shared" si="65"/>
        <v>238</v>
      </c>
      <c r="DZ57" s="1">
        <f>IF(L57="RHI_ULT",MIN(Boss参数!$B$48,ROUNDDOWN(AY57*Boss参数!$B$47,0)),DY57)</f>
        <v>238</v>
      </c>
      <c r="EA57" s="11">
        <v>0</v>
      </c>
      <c r="EB57" s="1">
        <f t="shared" si="34"/>
        <v>0</v>
      </c>
      <c r="EC57" s="1">
        <f>SUMIFS($EB$3:EB57,$B$3:B57,"&gt;="&amp;MAX(1,B57-2),$B$3:B57,"&lt;="&amp;B57)*Boss参数!$B$51</f>
        <v>16</v>
      </c>
      <c r="ED57" s="1">
        <f>IF(D57="",EG56,IF(AND(DG57&lt;&gt;DG56,DH57&lt;&gt;"洞穿"),MIN(Boss参数!$B$55,EG56+2),EG56))</f>
        <v>0</v>
      </c>
      <c r="EE57" s="1">
        <f t="shared" si="35"/>
        <v>0</v>
      </c>
      <c r="EF57" s="1">
        <f>IF(AND(OR(L57="END_TURN",AND(DH57="敌方",OR(DH56&lt;&gt;"敌方",DG57&lt;&gt;DG56))),SUMIFS($EF$3:EF56,$DG$3:DG56,DG57)=0),MIN(1,MAX(0,ED57-EE57)),0)</f>
        <v>0</v>
      </c>
      <c r="EG57" s="1">
        <f t="shared" si="36"/>
        <v>0</v>
      </c>
      <c r="EH57" s="11">
        <f>Boss参数!$B$53-IF(Y57=1,Boss参数!$B$54,0)</f>
        <v>0</v>
      </c>
      <c r="EI57" s="11">
        <f t="shared" si="37"/>
        <v>0.3</v>
      </c>
      <c r="EJ57" s="11">
        <f t="shared" si="38"/>
        <v>0.3</v>
      </c>
      <c r="EK57" s="11">
        <f t="shared" si="39"/>
        <v>1</v>
      </c>
      <c r="EL57" s="1">
        <f t="shared" si="66"/>
        <v>0</v>
      </c>
      <c r="EM57" s="1">
        <f>IF(AND(DG57&lt;&gt;DG56,DH57="洞穿"),0,IF(L57="ENTER_INSIGHT",Boss参数!$B$57,EO56))</f>
        <v>0</v>
      </c>
      <c r="EN57" s="11">
        <f>IF(AND(Y57=1,H57="洞知",EM57&gt;0),Boss参数!$B$56,0)</f>
        <v>0</v>
      </c>
      <c r="EO57" s="1">
        <f t="shared" si="40"/>
        <v>0</v>
      </c>
      <c r="EP57" s="12">
        <f t="shared" si="67"/>
        <v>13330524</v>
      </c>
      <c r="EQ57" s="12">
        <f>ROUNDDOWN(EP57/Boss参数!$B$62,0)</f>
        <v>133</v>
      </c>
      <c r="ER57" s="11">
        <f>IF(EQ57&gt;=Boss参数!$B$66,Boss参数!$B$69,IF(EQ57&gt;=Boss参数!$B$65,Boss参数!$B$68,IF(EQ57&gt;=Boss参数!$B$64,Boss参数!$B$67,0)))</f>
        <v>0.9</v>
      </c>
      <c r="ES57" s="11">
        <f>MIN(1,IF(EQ57&gt;=Boss参数!$B$66,Boss参数!$B$72+ROUNDDOWN((EQ57-Boss参数!$B$66)/Boss参数!$B$73,0)*Boss参数!$B$74,IF(EQ57&gt;=Boss参数!$B$65,Boss参数!$B$71,IF(EQ57&gt;=Boss参数!$B$64,Boss参数!$B$70,0))))</f>
        <v>0.6</v>
      </c>
      <c r="ET57" s="12">
        <f>MIN(Boss参数!$B$61*Boss参数!$B$62,EP57+IF(AND(Boss参数!$B$60=1,ISNUMBER(验证表!H63)),验证表!H63,EU57))</f>
        <v>13331886</v>
      </c>
      <c r="EU57" s="12">
        <f>IF(D57="",0,IF(验证表!G63="是",BV57,IF(验证表!G63="否",BU57,BW57)))</f>
        <v>1362</v>
      </c>
      <c r="EV57" s="12">
        <f>IF(EQ57&gt;=Boss参数!$B$66,2,IF(EQ57&gt;=Boss参数!$B$65,1,0))</f>
        <v>2</v>
      </c>
      <c r="EW57" s="12">
        <f t="shared" si="41"/>
        <v>3</v>
      </c>
      <c r="EX57" s="1">
        <f>IF(D57="",0,INDEX(回合状态!$D$7:$D$17,MATCH(DG57,回合状态!$A$7:$A$17,0)))</f>
        <v>4</v>
      </c>
      <c r="EY57" s="1">
        <f>IF(OR(L57="RHI_ATTACK",L57="RHI_BUFF"),1,IF(L57="RHI_ULT",Boss参数!$B$52,0))</f>
        <v>0</v>
      </c>
      <c r="EZ57" s="1">
        <f>MIN(6,SUMIFS($EY$3:EY57,$EX$3:EX57,"&gt;="&amp;MAX(1,EX57-Boss参数!$B$87+1),$EX$3:EX57,"&lt;="&amp;EX57))</f>
        <v>6</v>
      </c>
      <c r="FA57" s="1">
        <f t="shared" si="68"/>
        <v>24</v>
      </c>
      <c r="FB57" s="17">
        <f>IF(L57="BOSS_CONSERVATIVE",B57+Boss参数!$B$91,FB56)</f>
        <v>0</v>
      </c>
      <c r="FC57" s="17">
        <f t="shared" si="69"/>
        <v>0</v>
      </c>
      <c r="FD57" s="17">
        <f>IF(D57="",FD56,FD56+IF(AND(DG57&lt;&gt;DG56,INDEX(回合状态!$C$7:$C$17,MATCH(DG57,回合状态!$A$7:$A$17,0))&lt;&gt;"洞穿"),1,0))</f>
        <v>4</v>
      </c>
      <c r="FE57" s="17">
        <f>IF(D57="",0,IF(AND(OR(L57="END_TURN",DH57="敌方"),INDEX(回合状态!$C$7:$C$17,MATCH(DG57,回合状态!$A$7:$A$17,0))&lt;&gt;"洞穿",SUMIFS($FE$3:FE56,$DG$3:DG56,DG57)=0),1,0))</f>
        <v>0</v>
      </c>
    </row>
    <row r="58" spans="1:161" ht="84.95" customHeight="1">
      <c r="A58" s="1">
        <f>行动模拟!A64</f>
        <v>56</v>
      </c>
      <c r="B58" s="1">
        <f>IF(D58="",0,INDEX(回合状态!$B$7:$B$17,MATCH(DG58,回合状态!$A$7:$A$17,0)))</f>
        <v>3</v>
      </c>
      <c r="C58" s="1">
        <f>行动模拟!C64</f>
        <v>7</v>
      </c>
      <c r="D58" s="1" t="str">
        <f>IF(行动模拟!D64="","",行动模拟!D64)</f>
        <v>红弩箭｜眼镜蛇机动Ⅱ</v>
      </c>
      <c r="E58" s="1" t="str">
        <f>IF($D58="","",IFERROR(INDEX(技能数据库!$B$4:$B$38,MATCH($D58,技能数据库!$A$4:$A$38,0)),""))</f>
        <v>红弩箭</v>
      </c>
      <c r="F58" s="1" t="str">
        <f>IF($D58="","",IFERROR(INDEX(技能数据库!$C$4:$C$38,MATCH($D58,技能数据库!$A$4:$A$38,0)),""))</f>
        <v>眼镜蛇机动</v>
      </c>
      <c r="G58" s="1">
        <f>IF($D58="","",IFERROR(INDEX(技能数据库!$D$4:$D$38,MATCH($D58,技能数据库!$A$4:$A$38,0)),""))</f>
        <v>2</v>
      </c>
      <c r="H58" s="1" t="str">
        <f>IF($D58="","",IFERROR(INDEX(技能数据库!$E$4:$E$38,MATCH($D58,技能数据库!$A$4:$A$38,0)),""))</f>
        <v>增益</v>
      </c>
      <c r="I58" s="1" t="str">
        <f>IF($D58="","",IFERROR(INDEX(技能数据库!$F$4:$F$38,MATCH($D58,技能数据库!$A$4:$A$38,0)),""))</f>
        <v>无</v>
      </c>
      <c r="J58" s="1">
        <f>IF($D58="","",IFERROR(INDEX(技能数据库!$G$4:$G$38,MATCH($D58,技能数据库!$A$4:$A$38,0)),""))</f>
        <v>0</v>
      </c>
      <c r="K58" s="1">
        <f>IF($D58="","",IFERROR(INDEX(技能数据库!$H$4:$H$38,MATCH($D58,技能数据库!$A$4:$A$38,0)),""))</f>
        <v>0</v>
      </c>
      <c r="L58" s="1" t="str">
        <f>IF($D58="","",IFERROR(INDEX(技能数据库!$I$4:$I$38,MATCH($D58,技能数据库!$A$4:$A$38,0)),""))</f>
        <v>LILYA_COBRA</v>
      </c>
      <c r="M58" s="10">
        <v>1</v>
      </c>
      <c r="N58" s="1"/>
      <c r="O58" s="1"/>
      <c r="P58" s="1"/>
      <c r="Q58" s="10">
        <f t="shared" si="0"/>
        <v>0</v>
      </c>
      <c r="R58" s="10">
        <v>0</v>
      </c>
      <c r="S58" s="10">
        <v>0</v>
      </c>
      <c r="T58" s="1" t="str">
        <f>行动模拟!I64</f>
        <v>2阶，提供的弹药装填是1阶的2倍</v>
      </c>
      <c r="U58" s="1">
        <f>IF(FD58&lt;&gt;FD57,IF(BY57=1,IF(MIN(10,CA57+IF(AND(DG58&lt;&gt;DG57,DH57&lt;&gt;"洞穿",SUMIFS($FE$3:FE57,$DG$3:DG57,DG57)=0,BY57=1),3,0))&gt;=10,2,1),IF(BY57=2,IF(BZ57&lt;=1,0,2),0)),BY57)</f>
        <v>0</v>
      </c>
      <c r="V58" s="1">
        <f>IF(FD58&lt;&gt;FD57,IF(BY57=1,IF(MIN(10,CA57+IF(AND(DG58&lt;&gt;DG57,DH57&lt;&gt;"洞穿",SUMIFS($FE$3:FE57,$DG$3:DG57,DG57)=0,BY57=1),3,0))&gt;=10,2,0),IF(BY57=2,MAX(0,BZ57-1),0)),BZ57)</f>
        <v>0</v>
      </c>
      <c r="W58" s="1">
        <f>IF(AND(FD58&lt;&gt;FD57,BY57=2,BZ57&lt;=1),0,MIN(10,CA57+IF(AND(DG58&lt;&gt;DG57,DH57&lt;&gt;"洞穿",SUMIFS($FE$3:FE57,$DG$3:DG57,DG57)=0,BY57=1),3,0)))</f>
        <v>0</v>
      </c>
      <c r="X58" s="1">
        <f t="shared" si="42"/>
        <v>11</v>
      </c>
      <c r="Y58" s="1">
        <f t="shared" si="43"/>
        <v>0</v>
      </c>
      <c r="Z58" s="1">
        <f t="shared" si="44"/>
        <v>0</v>
      </c>
      <c r="AA58" s="1">
        <f t="shared" si="45"/>
        <v>0</v>
      </c>
      <c r="AB58" s="1">
        <f t="shared" si="46"/>
        <v>3</v>
      </c>
      <c r="AC58" s="1">
        <f t="shared" si="47"/>
        <v>0</v>
      </c>
      <c r="AD58" s="1">
        <f t="shared" si="48"/>
        <v>30</v>
      </c>
      <c r="AE58" s="1">
        <f>IF(D58="",0,IF(DG58&lt;&gt;DG57,IFERROR(INDEX(回合状态!$F$7:$F$17,MATCH(DG58,回合状态!$A$7:$A$17,0)),0),CI57))</f>
        <v>21</v>
      </c>
      <c r="AF58" s="10">
        <f t="shared" si="49"/>
        <v>0.4</v>
      </c>
      <c r="AG58" s="1">
        <f t="shared" si="50"/>
        <v>5</v>
      </c>
      <c r="AH58" s="1">
        <f t="shared" si="51"/>
        <v>5</v>
      </c>
      <c r="AI58" s="1">
        <f t="shared" si="52"/>
        <v>4</v>
      </c>
      <c r="AJ58" s="1">
        <f t="shared" si="53"/>
        <v>5</v>
      </c>
      <c r="AK58" s="1">
        <f t="shared" si="54"/>
        <v>4</v>
      </c>
      <c r="AL58" s="1">
        <f t="shared" si="55"/>
        <v>3</v>
      </c>
      <c r="AM58" s="1">
        <f t="shared" si="56"/>
        <v>20</v>
      </c>
      <c r="AN58" s="1">
        <f t="shared" si="57"/>
        <v>4</v>
      </c>
      <c r="AO58" s="1">
        <f t="shared" si="58"/>
        <v>0</v>
      </c>
      <c r="AP58" s="10">
        <f t="shared" si="59"/>
        <v>0.12</v>
      </c>
      <c r="AQ58" s="1">
        <f t="shared" si="60"/>
        <v>5</v>
      </c>
      <c r="AR58" s="10">
        <f t="shared" si="61"/>
        <v>0.3</v>
      </c>
      <c r="AS58" s="1">
        <f t="shared" si="62"/>
        <v>5</v>
      </c>
      <c r="AT58" s="10">
        <f t="shared" si="63"/>
        <v>0.3</v>
      </c>
      <c r="AU58" s="1">
        <f t="shared" si="64"/>
        <v>5</v>
      </c>
      <c r="AV58" s="1">
        <f>MIN(5,SUMIFS($EL$3:EL58,$B$3:B58,"&gt;="&amp;MAX(1,B58-2),$B$3:B58,"&lt;="&amp;B58)+EC58)</f>
        <v>5</v>
      </c>
      <c r="AW58" s="1">
        <f>MIN(6,SUMIFS($EY$3:EY57,$EX$3:EX57,"&gt;="&amp;MAX(1,EX58-Boss参数!$B$87+1),$EX$3:EX57,"&lt;="&amp;EX58))</f>
        <v>6</v>
      </c>
      <c r="AX58" s="1">
        <f>MIN(4,COUNTIFS($B$3:$B$57,"&gt;="&amp;MAX(1,$B58-2),$B$3:$B$57,"&lt;="&amp;$B58,$L$3:$L$57,"37_FOLLOW"))</f>
        <v>4</v>
      </c>
      <c r="AY58" s="9">
        <f>IF($E58="","",IF($E58="系统",0,ROUNDDOWN(INDEX(角色面板!$C$4:$C$7,MATCH($E58,角色面板!$A$4:$A$7,0))*(1+INDEX(角色面板!$C$11:$C$14,MATCH($E58,角色面板!$A$11:$A$14,0))+IF($E58="小瑞安侬",MAX(IF($B58&lt;=$AQ58,$AP58,0),IF(AND($L58="RHI_ATTACK",$EE58&gt;0),0.11+0.01*$G58,0)),0)+IF($E58="J",$AD58*Boss参数!$B$18,0))+IF(FD58&lt;=$AN58,MIN(Boss参数!$B$21,ROUNDDOWN(角色面板!$C$19*Boss参数!$B$20,0)),0)+IF(AND($B58&lt;=$AK58,$E58&lt;&gt;"小瑞安侬"),$DY58,0),0)))</f>
        <v>3493</v>
      </c>
      <c r="AZ58" s="10">
        <f>IF($E58="","",MAX(0,MIN(1,IFERROR(INDEX(角色面板!$G$18:$G$21,MATCH($E58,角色面板!$A$18:$A$21,0)),0)-FC58*Boss参数!$B$89-Boss参数!$E$4)))</f>
        <v>1</v>
      </c>
      <c r="BA58" s="10">
        <f>IF(E58="","",(IF($E58="","",IF($E58="红弩箭",Boss参数!$B$80,IF($E58="J",Boss参数!$B$81,IFERROR(INDEX(角色面板!$H$18:$H$21,MATCH($E58,角色面板!$A$18:$A$21,0)),0)))+IF($B58&lt;=$AI58,Boss参数!$B$13,0)+MIN(30,$AM58)*Boss参数!$B$17+IF(AND($L58="LILYA_ULT",$X58&gt;=6),1,0)+IF(AND($Y58=1,$L58="LILYA_INSIGHT"),IF(MOD($AA58+1,3)=0,Boss参数!$B$83,Boss参数!$B$82),IF(AND($Y58=1,$L58="LILYA_FINISH"),Boss参数!$B$84,0))))-FC58*Boss参数!$B$90)</f>
        <v>2.2650000000000001</v>
      </c>
      <c r="BB58" s="10">
        <f>IF($E58="","",IFERROR(INDEX(角色面板!$M$18:$M$21,MATCH($E58,角色面板!$A$18:$A$21,0)),0)+$AW58*Boss参数!$B$12+IF($B58&lt;=$AG58,$AF58,0)+$EI58+IF($L58="LILYA_DIVE",IF($U58=1,IF($G58=1,0.3,IF($G58=2,0.4,0.5)),IF($U58=2,IF($G58=1,0.6,IF($G58=2,0.8,1)),0)),0)+$R58+IF(AND($E58="J",OR($L58="J_COUNTER",$L58="J_HARD")),Boss参数!$B$79,0)+IF(AND(OR(L58="J_COUNTER",L58="J_HARD"),FA58&gt;=Boss参数!$B$59),FA58*Boss参数!$B$40,0))</f>
        <v>1.06</v>
      </c>
      <c r="BC58" s="10">
        <f>IF($E58="","",IFERROR(INDEX(角色面板!$K$18:$K$21,MATCH($E58,角色面板!$A$18:$A$21,0)),0)+IF($B58&lt;=$AH58,Boss参数!$B$46,0)+IF($E58="红弩箭",IF($U58=1,0.6,IF($U58=2,1.2,0))+$W58*0.06,0))-DI58*Boss参数!$B$23</f>
        <v>-0.85000000000000009</v>
      </c>
      <c r="BD58" s="10">
        <f>IF($E58="","",IFERROR(INDEX(角色面板!$L$18:$L$21,MATCH($E58,角色面板!$A$18:$A$21,0)),0)+IF($B58&lt;=$AH58,Boss参数!$B$46,0)+IF($E58="J",$AL58*Boss参数!$B$16,0)+IF($E58="红弩箭",$X58*0.025,0)+IF(AND($L58="LILYA_ULT",$X58&gt;=6),1,0))-DI58*Boss参数!$B$23</f>
        <v>-0.17500000000000004</v>
      </c>
      <c r="BE58" s="10">
        <f>IF($E58="","",IF($H58="洞知",IF($E58="红弩箭",$AO58*Boss参数!$B$15,0)+$AX58*Boss参数!$B$14,0))</f>
        <v>0</v>
      </c>
      <c r="BF58" s="10">
        <f t="shared" si="1"/>
        <v>0</v>
      </c>
      <c r="BG58" s="10">
        <f>IF($D58="",0,IF(AND($L58&lt;&gt;"LILYA_DIVE",$L58&lt;&gt;"LILYA_ULT",$L58&lt;&gt;"LILYA_INSIGHT",$L58&lt;&gt;"LILYA_FINISH",$L58&lt;&gt;"37_FOLLOW",$L58&lt;&gt;"RHI_ATTACK",$L58&lt;&gt;"RHI_BERRY",$L58&lt;&gt;"J_COUNTER",$L58&lt;&gt;"J_ULT"),$J58,0)+IF($L58="LILYA_DIVE",$J58+IF($U58=1,IF($G58=1,6,IF($G58=2,12,18)),IF($U58=2,IF($G58=1,12,IF($G58=2,24,36)),0)),0)+IF($L58="LILYA_ULT",$J58+IF($X58&gt;=6,18,0),0)+IF($L58="LILYA_INSIGHT",IF($Y58=1,IF(MOD($AA58+1,3)=0,32,15),0),0)+IF($L58="LILYA_FINISH",IF($Y58=1,50+2.5*$Z58,0),0)+IF($L58="37_FOLLOW",$J58,0)+IF($L58="RHI_ATTACK",$J58*IF($B58&lt;=$AJ58,2,1),0)+IF($L58="RHI_BERRY",15+1.5*$AV58,0)+IF($L58="J_COUNTER",$J58+$AD58*Boss参数!$B$39,0)+IF($L58="J_ULT",$J58+Boss参数!$B$45*MAX(0,$AE58+$AD58-Boss参数!$I$4),0)+$S58)</f>
        <v>0</v>
      </c>
      <c r="BH58" s="10">
        <f t="shared" si="2"/>
        <v>0</v>
      </c>
      <c r="BI58" s="10">
        <f>IF(E58="","",IF(DT58=1,1+Boss参数!$B$8+AV58*Boss参数!$B$19,1))</f>
        <v>1.5</v>
      </c>
      <c r="BJ58" s="9">
        <f>IF($I58="现实",Boss参数!$C$4,IF($I58="精神",Boss参数!$D$4,0))</f>
        <v>0</v>
      </c>
      <c r="BK58" s="9">
        <f>IF($E58="","",MAX($AY58*Boss参数!$B$9,$AY58-$BJ58*(1-$BF58)))</f>
        <v>3493</v>
      </c>
      <c r="BL58" s="10">
        <f>MAX(0,Boss参数!$F$4+IF(DT58=0,Boss参数!$B$27,0)-EJ58)</f>
        <v>0.10000000000000003</v>
      </c>
      <c r="BM58" s="10">
        <f>Boss参数!$G$4+DU58-IF(Y58=1,Boss参数!$B$11,0)</f>
        <v>0.55000000000000004</v>
      </c>
      <c r="BN58" s="10">
        <f>IF($E58="","",MAX(Boss参数!$B$10,1+IFERROR(INDEX(角色面板!$I$18:$I$21,MATCH($E58,角色面板!$A$18:$A$21,0)),0)+$BB58+Boss参数!$H$4-$BM58))</f>
        <v>1.61</v>
      </c>
      <c r="BO58" s="10">
        <f>IF(E58="","",IF(OR(L58="J_COUNTER",L58="J_HARD"),MAX(0,1+INDEX(角色面板!$K$18:$K$21,MATCH(E58,角色面板!$A$18:$A$21,0))-DI58*Boss参数!$B$23+IF(OR(Boss参数!$B$43=1,L58="J_HARD"),IF(B58&lt;=AH58,Boss参数!$B$46,0),0)),MAX(0,IF(OR(H58="术法",L58="RHI_BERRY",AND(L58="37_FOLLOW",Boss参数!$B$31=1)),1+BC58,IF(H58="仪式",1+BD58,IF(H58="洞知",EK58,1))))))</f>
        <v>1</v>
      </c>
      <c r="BP58" s="10">
        <f t="shared" si="3"/>
        <v>2.165</v>
      </c>
      <c r="BQ58" s="1">
        <f t="shared" si="4"/>
        <v>0</v>
      </c>
      <c r="BR58" s="1">
        <f t="shared" si="5"/>
        <v>0</v>
      </c>
      <c r="BS58" s="1">
        <f>IF(BH58=0,0,ROUNDDOWN(AY58*BH58,0)*DV58*IF(Boss参数!$B$29=1,BN58,1)*IF(Boss参数!$B$33=1,BO58,1)*IF(Boss参数!$B$76=1,1-ES58,1))</f>
        <v>0</v>
      </c>
      <c r="BT58" s="1">
        <f t="shared" si="6"/>
        <v>0</v>
      </c>
      <c r="BU58" s="9">
        <f>IF(D58="",0,MIN(IF(Boss参数!$B$77=1,Boss参数!$B$63*Boss参数!$B$62,Boss参数!$B$61*Boss参数!$B$62),DW58+ROUNDDOWN(BS58,0)+ROUNDDOWN(DW58*Q58,0)))</f>
        <v>0</v>
      </c>
      <c r="BV58" s="9">
        <f>IF(D58="",0,MIN(IF(Boss参数!$B$77=1,Boss参数!$B$63*Boss参数!$B$62,Boss参数!$B$61*Boss参数!$B$62),DX58+ROUNDDOWN(BT58,0)+ROUNDDOWN(DX58*Q58,0)))</f>
        <v>0</v>
      </c>
      <c r="BW58" s="9">
        <f t="shared" si="7"/>
        <v>0</v>
      </c>
      <c r="BX58" s="1" t="str">
        <f t="shared" si="8"/>
        <v/>
      </c>
      <c r="BY58" s="1">
        <f t="shared" si="9"/>
        <v>1</v>
      </c>
      <c r="BZ58" s="1">
        <f t="shared" si="10"/>
        <v>0</v>
      </c>
      <c r="CA58" s="1">
        <f>MIN(10,W58+IF(AND(L58="LILYA_COBRA",COUNTIF($L$3:L58,"LILYA_COBRA")=1),5,0)+IF(AND(L58="LILYA_DIVE",U58=1,COUNTIFS($DG$3:DG58,DG58,$L$3:L58,"LILYA_DIVE")=1),2,0)+IF(AND(FE58=1,U58=1),3,0))</f>
        <v>0</v>
      </c>
      <c r="CB58" s="1">
        <f>MIN(20,MAX(0,X58+IF(L58="LILYA_COBRA",IF(COUNTIF($L$3:L58,"LILYA_COBRA")=1,6,IF(U58=1,MAX(1,G58),IF(U58=2,2*MAX(1,G58),0))),0)+IF(AND(Y58=1,E58="红弩箭",L58&lt;&gt;"ENTER_INSIGHT"),1,0)-IF(AND(L58="LILYA_ULT",X58&gt;=6),6,0)))</f>
        <v>11</v>
      </c>
      <c r="CC58" s="1">
        <f t="shared" si="11"/>
        <v>0</v>
      </c>
      <c r="CD58" s="1">
        <f t="shared" si="12"/>
        <v>0</v>
      </c>
      <c r="CE58" s="1">
        <f t="shared" si="13"/>
        <v>0</v>
      </c>
      <c r="CF58" s="1">
        <f t="shared" si="14"/>
        <v>4</v>
      </c>
      <c r="CG58" s="1">
        <f t="shared" si="15"/>
        <v>0</v>
      </c>
      <c r="CH58" s="1">
        <f>MIN(35,AD58+IF(L58="J_HARD",6,0)+IF(L58="J_COUNTER",Boss参数!$B$30,0))</f>
        <v>30</v>
      </c>
      <c r="CI58" s="1">
        <f>MIN(Boss参数!$I$4,AE58+IF(L58="J_HARD",6,0)+IF(L58="J_ULT",AD58,0)+IF(L58="J_COUNTER",Boss参数!$B$30,0))</f>
        <v>21</v>
      </c>
      <c r="CJ58" s="10">
        <f>IF(L58="J_ULT",AD58*Boss参数!$B$41,IF(B58&lt;=AG58,AF58,0))</f>
        <v>0.4</v>
      </c>
      <c r="CK58" s="1">
        <f t="shared" si="16"/>
        <v>5</v>
      </c>
      <c r="CL58" s="1">
        <f t="shared" si="17"/>
        <v>5</v>
      </c>
      <c r="CM58" s="1">
        <f t="shared" si="18"/>
        <v>4</v>
      </c>
      <c r="CN58" s="1">
        <f t="shared" si="19"/>
        <v>5</v>
      </c>
      <c r="CO58" s="1">
        <f t="shared" si="20"/>
        <v>4</v>
      </c>
      <c r="CP58" s="1">
        <f t="shared" si="21"/>
        <v>3</v>
      </c>
      <c r="CQ58" s="1">
        <f t="shared" si="22"/>
        <v>20</v>
      </c>
      <c r="CR58" s="1">
        <f t="shared" si="23"/>
        <v>4</v>
      </c>
      <c r="CS58" s="1">
        <f t="shared" si="24"/>
        <v>0</v>
      </c>
      <c r="CT58" s="10">
        <f t="shared" si="25"/>
        <v>0.12</v>
      </c>
      <c r="CU58" s="1">
        <f t="shared" si="26"/>
        <v>5</v>
      </c>
      <c r="CV58" s="10">
        <f t="shared" si="27"/>
        <v>0.3</v>
      </c>
      <c r="CW58" s="1">
        <f t="shared" si="28"/>
        <v>5</v>
      </c>
      <c r="CX58" s="10">
        <f t="shared" si="29"/>
        <v>0.3</v>
      </c>
      <c r="CY58" s="1">
        <f t="shared" si="30"/>
        <v>5</v>
      </c>
      <c r="CZ58" s="1"/>
      <c r="DA58" s="1"/>
      <c r="DB58" s="1"/>
      <c r="DC58" s="1"/>
      <c r="DD58" s="1"/>
      <c r="DE58" s="1"/>
      <c r="DF58" s="1"/>
      <c r="DG58" s="1" t="str">
        <f>IF(D58="","",行动模拟!B64)</f>
        <v>小瑞安侬额外回合</v>
      </c>
      <c r="DH58" s="1" t="str">
        <f>IF(L58="END_TURN","回合结束",IF(D58="","",IF(INDEX(回合状态!$C$7:$C$17,MATCH(DG58,回合状态!$A$7:$A$17,0))="洞穿","洞穿",IF(OR(L58="J_COUNTER",L58="BOSS_ACTION",L58="BOSS_CONSERVATIVE"),"敌方",IF(AND(L58="37_FOLLOW",DG58=DG57,DH57="敌方"),"敌方",IF(INDEX(回合状态!$C$7:$C$17,MATCH(DG58,回合状态!$A$7:$A$17,0))="普通","出牌",INDEX(回合状态!$C$7:$C$17,MATCH(DG58,回合状态!$A$7:$A$17,0))))))))</f>
        <v>额外</v>
      </c>
      <c r="DI58" s="1">
        <f t="shared" si="31"/>
        <v>5</v>
      </c>
      <c r="DJ58" s="1">
        <f>IF(D58="",0,MIN(Boss参数!$B$25,IF(OR(AND(DH58="敌方",OR(DH57&lt;&gt;"敌方",DG58&lt;&gt;DG57)),AND(L58="END_TURN",DH58&lt;&gt;"洞穿"),AND(DG58&lt;&gt;DG57,DH57&lt;&gt;"洞穿",L57&lt;&gt;"END_TURN",COUNTIFS($DG$3:DG57,DG57,$DH$3:DH57,"敌方")=0)),EW58,DN57)))</f>
        <v>5</v>
      </c>
      <c r="DK58" s="1">
        <f>IF(D58="",0,MIN(Boss参数!$B$25,IF(OR(AND(DH58="敌方",OR(DH57&lt;&gt;"敌方",DG58&lt;&gt;DG57)),AND(L58="END_TURN",DH58&lt;&gt;"洞穿"),AND(DG58&lt;&gt;DG57,DH57&lt;&gt;"洞穿",L57&lt;&gt;"END_TURN",COUNTIFS($DG$3:DG57,DG57,$DH$3:DH57,"敌方")=0)),EW58,DO57)))</f>
        <v>2</v>
      </c>
      <c r="DL58" s="1">
        <f>IF(D58="",0,MIN(Boss参数!$B$25,IF(OR(AND(DH58="敌方",OR(DH57&lt;&gt;"敌方",DG58&lt;&gt;DG57)),AND(L58="END_TURN",DH58&lt;&gt;"洞穿"),AND(DG58&lt;&gt;DG57,DH57&lt;&gt;"洞穿",L57&lt;&gt;"END_TURN",COUNTIFS($DG$3:DG57,DG57,$DH$3:DH57,"敌方")=0)),EW58,DP57)))</f>
        <v>5</v>
      </c>
      <c r="DM58" s="1">
        <f>IF(D58="",0,MIN(Boss参数!$B$25,IF(OR(AND(DH58="敌方",OR(DH57&lt;&gt;"敌方",DG58&lt;&gt;DG57)),AND(L58="END_TURN",DH58&lt;&gt;"洞穿"),AND(DG58&lt;&gt;DG57,DH57&lt;&gt;"洞穿",L57&lt;&gt;"END_TURN",COUNTIFS($DG$3:DG57,DG57,$DH$3:DH57,"敌方")=0)),EW58,DQ57)))</f>
        <v>3</v>
      </c>
      <c r="DN58" s="1">
        <f>MAX(0,MIN(Boss参数!$B$25,DJ58+DR58)-IF(E58="红弩箭",2*DR58,0))</f>
        <v>5</v>
      </c>
      <c r="DO58" s="1">
        <f>MAX(0,MIN(Boss参数!$B$25,DK58+DR58)-IF(E58="37",2*DR58,0))</f>
        <v>2</v>
      </c>
      <c r="DP58" s="1">
        <f>MAX(0,MIN(Boss参数!$B$25,DL58+DR58)-IF(E58="小瑞安侬",2*DR58,0))</f>
        <v>5</v>
      </c>
      <c r="DQ58" s="1">
        <f>MAX(0,MIN(Boss参数!$B$25,DM58+DR58)-IF(E58="J",2*DR58,0))</f>
        <v>3</v>
      </c>
      <c r="DR58" s="1">
        <f t="shared" si="32"/>
        <v>0</v>
      </c>
      <c r="DS58" s="1">
        <f t="shared" si="33"/>
        <v>0</v>
      </c>
      <c r="DT58" s="1">
        <f>IF(OR(E58="",E58="系统"),0,IF(OR(AND(DS58=1,Boss参数!$B$32=1),L58="RHI_BERRY",OR(AND(INDEX(角色面板!$B$18:$B$21,MATCH(E58,角色面板!$A$18:$A$21,0))="星",Boss参数!$B$4="岩"),AND(INDEX(角色面板!$B$18:$B$21,MATCH(E58,角色面板!$A$18:$A$21,0))="岩",Boss参数!$B$4="兽"),AND(INDEX(角色面板!$B$18:$B$21,MATCH(E58,角色面板!$A$18:$A$21,0))="兽",Boss参数!$B$4="木"),AND(INDEX(角色面板!$B$18:$B$21,MATCH(E58,角色面板!$A$18:$A$21,0))="木",Boss参数!$B$4="星"),AND(INDEX(角色面板!$B$18:$B$21,MATCH(E58,角色面板!$A$18:$A$21,0))="智",Boss参数!$B$4="灵"),AND(INDEX(角色面板!$B$18:$B$21,MATCH(E58,角色面板!$A$18:$A$21,0))="灵",Boss参数!$B$4="智"))),1,0))</f>
        <v>1</v>
      </c>
      <c r="DU58" s="1">
        <f>IF(D58="",0,INDEX(回合状态!$E$7:$E$17,MATCH(DG58,回合状态!$A$7:$A$17,0))+IF(AND(DH58="敌方",OR(INDEX(回合状态!$C$7:$C$17,MATCH(DG58,回合状态!$A$7:$A$17,0))="普通",INDEX(回合状态!$C$7:$C$17,MATCH(DG58,回合状态!$A$7:$A$17,0))="额外")),0.05,0))</f>
        <v>0.15000000000000002</v>
      </c>
      <c r="DV58" s="1">
        <f>MAX(Boss参数!$B$28,1+IF(AND(E58="37",AC58&gt;0,BH58&gt;0),Boss参数!$B$42,0)-DI58*Boss参数!$B$24+EA58-ER58)</f>
        <v>0</v>
      </c>
      <c r="DW58" s="1">
        <f>MIN(IF(Boss参数!$B$77=1,Boss参数!$B$63*Boss参数!$B$62,Boss参数!$B$61*Boss参数!$B$62),ROUNDDOWN(BQ58*(1-ES58),0))</f>
        <v>0</v>
      </c>
      <c r="DX58" s="1">
        <f>MIN(IF(Boss参数!$B$77=1,Boss参数!$B$63*Boss参数!$B$62,Boss参数!$B$61*Boss参数!$B$62),ROUNDDOWN(BR58*(1-ES58),0))</f>
        <v>0</v>
      </c>
      <c r="DY58" s="1">
        <f t="shared" si="65"/>
        <v>238</v>
      </c>
      <c r="DZ58" s="1">
        <f>IF(L58="RHI_ULT",MIN(Boss参数!$B$48,ROUNDDOWN(AY58*Boss参数!$B$47,0)),DY58)</f>
        <v>238</v>
      </c>
      <c r="EA58" s="11">
        <v>0</v>
      </c>
      <c r="EB58" s="1">
        <f t="shared" si="34"/>
        <v>0</v>
      </c>
      <c r="EC58" s="1">
        <f>SUMIFS($EB$3:EB58,$B$3:B58,"&gt;="&amp;MAX(1,B58-2),$B$3:B58,"&lt;="&amp;B58)*Boss参数!$B$51</f>
        <v>16</v>
      </c>
      <c r="ED58" s="1">
        <f>IF(D58="",EG57,IF(AND(DG58&lt;&gt;DG57,DH58&lt;&gt;"洞穿"),MIN(Boss参数!$B$55,EG57+2),EG57))</f>
        <v>0</v>
      </c>
      <c r="EE58" s="1">
        <f t="shared" si="35"/>
        <v>0</v>
      </c>
      <c r="EF58" s="1">
        <f>IF(AND(OR(L58="END_TURN",AND(DH58="敌方",OR(DH57&lt;&gt;"敌方",DG58&lt;&gt;DG57))),SUMIFS($EF$3:EF57,$DG$3:DG57,DG58)=0),MIN(1,MAX(0,ED58-EE58)),0)</f>
        <v>0</v>
      </c>
      <c r="EG58" s="1">
        <f t="shared" si="36"/>
        <v>0</v>
      </c>
      <c r="EH58" s="11">
        <f>Boss参数!$B$53-IF(Y58=1,Boss参数!$B$54,0)</f>
        <v>0</v>
      </c>
      <c r="EI58" s="11">
        <f t="shared" si="37"/>
        <v>0.3</v>
      </c>
      <c r="EJ58" s="11">
        <f t="shared" si="38"/>
        <v>0.3</v>
      </c>
      <c r="EK58" s="11">
        <f t="shared" si="39"/>
        <v>1</v>
      </c>
      <c r="EL58" s="1">
        <f t="shared" si="66"/>
        <v>0</v>
      </c>
      <c r="EM58" s="1">
        <f>IF(AND(DG58&lt;&gt;DG57,DH58="洞穿"),0,IF(L58="ENTER_INSIGHT",Boss参数!$B$57,EO57))</f>
        <v>0</v>
      </c>
      <c r="EN58" s="11">
        <f>IF(AND(Y58=1,H58="洞知",EM58&gt;0),Boss参数!$B$56,0)</f>
        <v>0</v>
      </c>
      <c r="EO58" s="1">
        <f t="shared" si="40"/>
        <v>0</v>
      </c>
      <c r="EP58" s="12">
        <f t="shared" si="67"/>
        <v>13331886</v>
      </c>
      <c r="EQ58" s="12">
        <f>ROUNDDOWN(EP58/Boss参数!$B$62,0)</f>
        <v>133</v>
      </c>
      <c r="ER58" s="11">
        <f>IF(EQ58&gt;=Boss参数!$B$66,Boss参数!$B$69,IF(EQ58&gt;=Boss参数!$B$65,Boss参数!$B$68,IF(EQ58&gt;=Boss参数!$B$64,Boss参数!$B$67,0)))</f>
        <v>0.9</v>
      </c>
      <c r="ES58" s="11">
        <f>MIN(1,IF(EQ58&gt;=Boss参数!$B$66,Boss参数!$B$72+ROUNDDOWN((EQ58-Boss参数!$B$66)/Boss参数!$B$73,0)*Boss参数!$B$74,IF(EQ58&gt;=Boss参数!$B$65,Boss参数!$B$71,IF(EQ58&gt;=Boss参数!$B$64,Boss参数!$B$70,0))))</f>
        <v>0.6</v>
      </c>
      <c r="ET58" s="12">
        <f>MIN(Boss参数!$B$61*Boss参数!$B$62,EP58+IF(AND(Boss参数!$B$60=1,ISNUMBER(验证表!H64)),验证表!H64,EU58))</f>
        <v>13331886</v>
      </c>
      <c r="EU58" s="12">
        <f>IF(D58="",0,IF(验证表!G64="是",BV58,IF(验证表!G64="否",BU58,BW58)))</f>
        <v>0</v>
      </c>
      <c r="EV58" s="12">
        <f>IF(EQ58&gt;=Boss参数!$B$66,2,IF(EQ58&gt;=Boss参数!$B$65,1,0))</f>
        <v>2</v>
      </c>
      <c r="EW58" s="12">
        <f t="shared" si="41"/>
        <v>3</v>
      </c>
      <c r="EX58" s="1">
        <f>IF(D58="",0,INDEX(回合状态!$D$7:$D$17,MATCH(DG58,回合状态!$A$7:$A$17,0)))</f>
        <v>4</v>
      </c>
      <c r="EY58" s="1">
        <f>IF(OR(L58="RHI_ATTACK",L58="RHI_BUFF"),1,IF(L58="RHI_ULT",Boss参数!$B$52,0))</f>
        <v>0</v>
      </c>
      <c r="EZ58" s="1">
        <f>MIN(6,SUMIFS($EY$3:EY58,$EX$3:EX58,"&gt;="&amp;MAX(1,EX58-Boss参数!$B$87+1),$EX$3:EX58,"&lt;="&amp;EX58))</f>
        <v>6</v>
      </c>
      <c r="FA58" s="1">
        <f t="shared" si="68"/>
        <v>24</v>
      </c>
      <c r="FB58" s="17">
        <f>IF(L58="BOSS_CONSERVATIVE",B58+Boss参数!$B$91,FB57)</f>
        <v>0</v>
      </c>
      <c r="FC58" s="17">
        <f t="shared" si="69"/>
        <v>0</v>
      </c>
      <c r="FD58" s="17">
        <f>IF(D58="",FD57,FD57+IF(AND(DG58&lt;&gt;DG57,INDEX(回合状态!$C$7:$C$17,MATCH(DG58,回合状态!$A$7:$A$17,0))&lt;&gt;"洞穿"),1,0))</f>
        <v>4</v>
      </c>
      <c r="FE58" s="17">
        <f>IF(D58="",0,IF(AND(OR(L58="END_TURN",DH58="敌方"),INDEX(回合状态!$C$7:$C$17,MATCH(DG58,回合状态!$A$7:$A$17,0))&lt;&gt;"洞穿",SUMIFS($FE$3:FE57,$DG$3:DG57,DG58)=0),1,0))</f>
        <v>0</v>
      </c>
    </row>
    <row r="59" spans="1:161" ht="84.95" customHeight="1">
      <c r="A59" s="1">
        <f>行动模拟!A65</f>
        <v>57</v>
      </c>
      <c r="B59" s="1">
        <f>IF(D59="",0,INDEX(回合状态!$B$7:$B$17,MATCH(DG59,回合状态!$A$7:$A$17,0)))</f>
        <v>3</v>
      </c>
      <c r="C59" s="1">
        <f>行动模拟!C65</f>
        <v>8</v>
      </c>
      <c r="D59" s="1" t="str">
        <f>IF(行动模拟!D65="","",行动模拟!D65)</f>
        <v>J｜硬度测试Ⅰ</v>
      </c>
      <c r="E59" s="1" t="str">
        <f>IF($D59="","",IFERROR(INDEX(技能数据库!$B$4:$B$38,MATCH($D59,技能数据库!$A$4:$A$38,0)),""))</f>
        <v>J</v>
      </c>
      <c r="F59" s="1" t="str">
        <f>IF($D59="","",IFERROR(INDEX(技能数据库!$C$4:$C$38,MATCH($D59,技能数据库!$A$4:$A$38,0)),""))</f>
        <v>硬度测试</v>
      </c>
      <c r="G59" s="1">
        <f>IF($D59="","",IFERROR(INDEX(技能数据库!$D$4:$D$38,MATCH($D59,技能数据库!$A$4:$A$38,0)),""))</f>
        <v>1</v>
      </c>
      <c r="H59" s="1" t="str">
        <f>IF($D59="","",IFERROR(INDEX(技能数据库!$E$4:$E$38,MATCH($D59,技能数据库!$A$4:$A$38,0)),""))</f>
        <v>术法</v>
      </c>
      <c r="I59" s="1" t="str">
        <f>IF($D59="","",IFERROR(INDEX(技能数据库!$F$4:$F$38,MATCH($D59,技能数据库!$A$4:$A$38,0)),""))</f>
        <v>现实</v>
      </c>
      <c r="J59" s="1">
        <f>IF($D59="","",IFERROR(INDEX(技能数据库!$G$4:$G$38,MATCH($D59,技能数据库!$A$4:$A$38,0)),""))</f>
        <v>3.6</v>
      </c>
      <c r="K59" s="1">
        <f>IF($D59="","",IFERROR(INDEX(技能数据库!$H$4:$H$38,MATCH($D59,技能数据库!$A$4:$A$38,0)),""))</f>
        <v>0</v>
      </c>
      <c r="L59" s="1" t="str">
        <f>IF($D59="","",IFERROR(INDEX(技能数据库!$I$4:$I$38,MATCH($D59,技能数据库!$A$4:$A$38,0)),""))</f>
        <v>J_HARD</v>
      </c>
      <c r="M59" s="10">
        <v>1</v>
      </c>
      <c r="N59" s="1"/>
      <c r="O59" s="1"/>
      <c r="P59" s="1"/>
      <c r="Q59" s="10">
        <f t="shared" si="0"/>
        <v>0</v>
      </c>
      <c r="R59" s="10">
        <v>0</v>
      </c>
      <c r="S59" s="10">
        <v>0</v>
      </c>
      <c r="T59" s="1">
        <f>行动模拟!I65</f>
        <v>0</v>
      </c>
      <c r="U59" s="1">
        <f>IF(FD59&lt;&gt;FD58,IF(BY58=1,IF(MIN(10,CA58+IF(AND(DG59&lt;&gt;DG58,DH58&lt;&gt;"洞穿",SUMIFS($FE$3:FE58,$DG$3:DG58,DG58)=0,BY58=1),3,0))&gt;=10,2,1),IF(BY58=2,IF(BZ58&lt;=1,0,2),0)),BY58)</f>
        <v>1</v>
      </c>
      <c r="V59" s="1">
        <f>IF(FD59&lt;&gt;FD58,IF(BY58=1,IF(MIN(10,CA58+IF(AND(DG59&lt;&gt;DG58,DH58&lt;&gt;"洞穿",SUMIFS($FE$3:FE58,$DG$3:DG58,DG58)=0,BY58=1),3,0))&gt;=10,2,0),IF(BY58=2,MAX(0,BZ58-1),0)),BZ58)</f>
        <v>0</v>
      </c>
      <c r="W59" s="1">
        <f>IF(AND(FD59&lt;&gt;FD58,BY58=2,BZ58&lt;=1),0,MIN(10,CA58+IF(AND(DG59&lt;&gt;DG58,DH58&lt;&gt;"洞穿",SUMIFS($FE$3:FE58,$DG$3:DG58,DG58)=0,BY58=1),3,0)))</f>
        <v>0</v>
      </c>
      <c r="X59" s="1">
        <f t="shared" si="42"/>
        <v>11</v>
      </c>
      <c r="Y59" s="1">
        <f t="shared" si="43"/>
        <v>0</v>
      </c>
      <c r="Z59" s="1">
        <f t="shared" si="44"/>
        <v>0</v>
      </c>
      <c r="AA59" s="1">
        <f t="shared" si="45"/>
        <v>0</v>
      </c>
      <c r="AB59" s="1">
        <f t="shared" si="46"/>
        <v>4</v>
      </c>
      <c r="AC59" s="1">
        <f t="shared" si="47"/>
        <v>0</v>
      </c>
      <c r="AD59" s="1">
        <f t="shared" si="48"/>
        <v>30</v>
      </c>
      <c r="AE59" s="1">
        <f>IF(D59="",0,IF(DG59&lt;&gt;DG58,IFERROR(INDEX(回合状态!$F$7:$F$17,MATCH(DG59,回合状态!$A$7:$A$17,0)),0),CI58))</f>
        <v>21</v>
      </c>
      <c r="AF59" s="10">
        <f t="shared" si="49"/>
        <v>0.4</v>
      </c>
      <c r="AG59" s="1">
        <f t="shared" si="50"/>
        <v>5</v>
      </c>
      <c r="AH59" s="1">
        <f t="shared" si="51"/>
        <v>5</v>
      </c>
      <c r="AI59" s="1">
        <f t="shared" si="52"/>
        <v>4</v>
      </c>
      <c r="AJ59" s="1">
        <f t="shared" si="53"/>
        <v>5</v>
      </c>
      <c r="AK59" s="1">
        <f t="shared" si="54"/>
        <v>4</v>
      </c>
      <c r="AL59" s="1">
        <f t="shared" si="55"/>
        <v>3</v>
      </c>
      <c r="AM59" s="1">
        <f t="shared" si="56"/>
        <v>20</v>
      </c>
      <c r="AN59" s="1">
        <f t="shared" si="57"/>
        <v>4</v>
      </c>
      <c r="AO59" s="1">
        <f t="shared" si="58"/>
        <v>0</v>
      </c>
      <c r="AP59" s="10">
        <f t="shared" si="59"/>
        <v>0.12</v>
      </c>
      <c r="AQ59" s="1">
        <f t="shared" si="60"/>
        <v>5</v>
      </c>
      <c r="AR59" s="10">
        <f t="shared" si="61"/>
        <v>0.3</v>
      </c>
      <c r="AS59" s="1">
        <f t="shared" si="62"/>
        <v>5</v>
      </c>
      <c r="AT59" s="10">
        <f t="shared" si="63"/>
        <v>0.3</v>
      </c>
      <c r="AU59" s="1">
        <f t="shared" si="64"/>
        <v>5</v>
      </c>
      <c r="AV59" s="1">
        <f>MIN(5,SUMIFS($EL$3:EL59,$B$3:B59,"&gt;="&amp;MAX(1,B59-2),$B$3:B59,"&lt;="&amp;B59)+EC59)</f>
        <v>5</v>
      </c>
      <c r="AW59" s="1">
        <f>MIN(6,SUMIFS($EY$3:EY58,$EX$3:EX58,"&gt;="&amp;MAX(1,EX59-Boss参数!$B$87+1),$EX$3:EX58,"&lt;="&amp;EX59))</f>
        <v>6</v>
      </c>
      <c r="AX59" s="1">
        <f>MIN(4,COUNTIFS($B$3:$B$58,"&gt;="&amp;MAX(1,$B59-2),$B$3:$B$58,"&lt;="&amp;$B59,$L$3:$L$58,"37_FOLLOW"))</f>
        <v>4</v>
      </c>
      <c r="AY59" s="9">
        <f>IF($E59="","",IF($E59="系统",0,ROUNDDOWN(INDEX(角色面板!$C$4:$C$7,MATCH($E59,角色面板!$A$4:$A$7,0))*(1+INDEX(角色面板!$C$11:$C$14,MATCH($E59,角色面板!$A$11:$A$14,0))+IF($E59="小瑞安侬",MAX(IF($B59&lt;=$AQ59,$AP59,0),IF(AND($L59="RHI_ATTACK",$EE59&gt;0),0.11+0.01*$G59,0)),0)+IF($E59="J",$AD59*Boss参数!$B$18,0))+IF(FD59&lt;=$AN59,MIN(Boss参数!$B$21,ROUNDDOWN(角色面板!$C$19*Boss参数!$B$20,0)),0)+IF(AND($B59&lt;=$AK59,$E59&lt;&gt;"小瑞安侬"),$DY59,0),0)))</f>
        <v>3215</v>
      </c>
      <c r="AZ59" s="10">
        <f>IF($E59="","",MAX(0,MIN(1,IFERROR(INDEX(角色面板!$G$18:$G$21,MATCH($E59,角色面板!$A$18:$A$21,0)),0)-FC59*Boss参数!$B$89-Boss参数!$E$4)))</f>
        <v>0.66700000000000004</v>
      </c>
      <c r="BA59" s="10">
        <f>IF(E59="","",(IF($E59="","",IF($E59="红弩箭",Boss参数!$B$80,IF($E59="J",Boss参数!$B$81,IFERROR(INDEX(角色面板!$H$18:$H$21,MATCH($E59,角色面板!$A$18:$A$21,0)),0)))+IF($B59&lt;=$AI59,Boss参数!$B$13,0)+MIN(30,$AM59)*Boss参数!$B$17+IF(AND($L59="LILYA_ULT",$X59&gt;=6),1,0)+IF(AND($Y59=1,$L59="LILYA_INSIGHT"),IF(MOD($AA59+1,3)=0,Boss参数!$B$83,Boss参数!$B$82),IF(AND($Y59=1,$L59="LILYA_FINISH"),Boss参数!$B$84,0))))-FC59*Boss参数!$B$90)</f>
        <v>1.9570000000000001</v>
      </c>
      <c r="BB59" s="10">
        <f>IF($E59="","",IFERROR(INDEX(角色面板!$M$18:$M$21,MATCH($E59,角色面板!$A$18:$A$21,0)),0)+$AW59*Boss参数!$B$12+IF($B59&lt;=$AG59,$AF59,0)+$EI59+IF($L59="LILYA_DIVE",IF($U59=1,IF($G59=1,0.3,IF($G59=2,0.4,0.5)),IF($U59=2,IF($G59=1,0.6,IF($G59=2,0.8,1)),0)),0)+$R59+IF(AND($E59="J",OR($L59="J_COUNTER",$L59="J_HARD")),Boss参数!$B$79,0)+IF(AND(OR(L59="J_COUNTER",L59="J_HARD"),FA59&gt;=Boss参数!$B$59),FA59*Boss参数!$B$40,0))</f>
        <v>1.0000000000000002</v>
      </c>
      <c r="BC59" s="10">
        <f>IF($E59="","",IFERROR(INDEX(角色面板!$K$18:$K$21,MATCH($E59,角色面板!$A$18:$A$21,0)),0)+IF($B59&lt;=$AH59,Boss参数!$B$46,0)+IF($E59="红弩箭",IF($U59=1,0.6,IF($U59=2,1.2,0))+$W59*0.06,0))-DI59*Boss参数!$B$23</f>
        <v>-0.55000000000000004</v>
      </c>
      <c r="BD59" s="10">
        <f>IF($E59="","",IFERROR(INDEX(角色面板!$L$18:$L$21,MATCH($E59,角色面板!$A$18:$A$21,0)),0)+IF($B59&lt;=$AH59,Boss参数!$B$46,0)+IF($E59="J",$AL59*Boss参数!$B$16,0)+IF($E59="红弩箭",$X59*0.025,0)+IF(AND($L59="LILYA_ULT",$X59&gt;=6),1,0))-DI59*Boss参数!$B$23</f>
        <v>-2.9999999999999971E-2</v>
      </c>
      <c r="BE59" s="10">
        <f>IF($E59="","",IF($H59="洞知",IF($E59="红弩箭",$AO59*Boss参数!$B$15,0)+$AX59*Boss参数!$B$14,0))</f>
        <v>0</v>
      </c>
      <c r="BF59" s="10">
        <f t="shared" si="1"/>
        <v>0</v>
      </c>
      <c r="BG59" s="10">
        <f>IF($D59="",0,IF(AND($L59&lt;&gt;"LILYA_DIVE",$L59&lt;&gt;"LILYA_ULT",$L59&lt;&gt;"LILYA_INSIGHT",$L59&lt;&gt;"LILYA_FINISH",$L59&lt;&gt;"37_FOLLOW",$L59&lt;&gt;"RHI_ATTACK",$L59&lt;&gt;"RHI_BERRY",$L59&lt;&gt;"J_COUNTER",$L59&lt;&gt;"J_ULT"),$J59,0)+IF($L59="LILYA_DIVE",$J59+IF($U59=1,IF($G59=1,6,IF($G59=2,12,18)),IF($U59=2,IF($G59=1,12,IF($G59=2,24,36)),0)),0)+IF($L59="LILYA_ULT",$J59+IF($X59&gt;=6,18,0),0)+IF($L59="LILYA_INSIGHT",IF($Y59=1,IF(MOD($AA59+1,3)=0,32,15),0),0)+IF($L59="LILYA_FINISH",IF($Y59=1,50+2.5*$Z59,0),0)+IF($L59="37_FOLLOW",$J59,0)+IF($L59="RHI_ATTACK",$J59*IF($B59&lt;=$AJ59,2,1),0)+IF($L59="RHI_BERRY",15+1.5*$AV59,0)+IF($L59="J_COUNTER",$J59+$AD59*Boss参数!$B$39,0)+IF($L59="J_ULT",$J59+Boss参数!$B$45*MAX(0,$AE59+$AD59-Boss参数!$I$4),0)+$S59)</f>
        <v>3.6</v>
      </c>
      <c r="BH59" s="10">
        <f t="shared" si="2"/>
        <v>0</v>
      </c>
      <c r="BI59" s="10">
        <f>IF(E59="","",IF(DT59=1,1+Boss参数!$B$8+AV59*Boss参数!$B$19,1))</f>
        <v>1.5</v>
      </c>
      <c r="BJ59" s="9">
        <f>IF($I59="现实",Boss参数!$C$4,IF($I59="精神",Boss参数!$D$4,0))</f>
        <v>1200</v>
      </c>
      <c r="BK59" s="9">
        <f>IF($E59="","",MAX($AY59*Boss参数!$B$9,$AY59-$BJ59*(1-$BF59)))</f>
        <v>2015</v>
      </c>
      <c r="BL59" s="10">
        <f>MAX(0,Boss参数!$F$4+IF(DT59=0,Boss参数!$B$27,0)-EJ59)</f>
        <v>0.10000000000000003</v>
      </c>
      <c r="BM59" s="10">
        <f>Boss参数!$G$4+DU59-IF(Y59=1,Boss参数!$B$11,0)</f>
        <v>0.55000000000000004</v>
      </c>
      <c r="BN59" s="10">
        <f>IF($E59="","",MAX(Boss参数!$B$10,1+IFERROR(INDEX(角色面板!$I$18:$I$21,MATCH($E59,角色面板!$A$18:$A$21,0)),0)+$BB59+Boss参数!$H$4-$BM59))</f>
        <v>1.4750000000000003</v>
      </c>
      <c r="BO59" s="10">
        <f>IF(E59="","",IF(OR(L59="J_COUNTER",L59="J_HARD"),MAX(0,1+INDEX(角色面板!$K$18:$K$21,MATCH(E59,角色面板!$A$18:$A$21,0))-DI59*Boss参数!$B$23+IF(OR(Boss参数!$B$43=1,L59="J_HARD"),IF(B59&lt;=AH59,Boss参数!$B$46,0),0)),MAX(0,IF(OR(H59="术法",L59="RHI_BERRY",AND(L59="37_FOLLOW",Boss参数!$B$31=1)),1+BC59,IF(H59="仪式",1+BD59,IF(H59="洞知",EK59,1))))))</f>
        <v>0.45</v>
      </c>
      <c r="BP59" s="10">
        <f t="shared" si="3"/>
        <v>1.857</v>
      </c>
      <c r="BQ59" s="1">
        <f t="shared" si="4"/>
        <v>7222.263750000001</v>
      </c>
      <c r="BR59" s="1">
        <f t="shared" si="5"/>
        <v>13411.743783750002</v>
      </c>
      <c r="BS59" s="1">
        <f>IF(BH59=0,0,ROUNDDOWN(AY59*BH59,0)*DV59*IF(Boss参数!$B$29=1,BN59,1)*IF(Boss参数!$B$33=1,BO59,1)*IF(Boss参数!$B$76=1,1-ES59,1))</f>
        <v>0</v>
      </c>
      <c r="BT59" s="1">
        <f t="shared" si="6"/>
        <v>0</v>
      </c>
      <c r="BU59" s="9">
        <f>IF(D59="",0,MIN(IF(Boss参数!$B$77=1,Boss参数!$B$63*Boss参数!$B$62,Boss参数!$B$61*Boss参数!$B$62),DW59+ROUNDDOWN(BS59,0)+ROUNDDOWN(DW59*Q59,0)))</f>
        <v>2888</v>
      </c>
      <c r="BV59" s="9">
        <f>IF(D59="",0,MIN(IF(Boss参数!$B$77=1,Boss参数!$B$63*Boss参数!$B$62,Boss参数!$B$61*Boss参数!$B$62),DX59+ROUNDDOWN(BT59,0)+ROUNDDOWN(DX59*Q59,0)))</f>
        <v>5364</v>
      </c>
      <c r="BW59" s="9">
        <f t="shared" si="7"/>
        <v>4539</v>
      </c>
      <c r="BX59" s="1" t="str">
        <f t="shared" si="8"/>
        <v/>
      </c>
      <c r="BY59" s="1">
        <f t="shared" si="9"/>
        <v>1</v>
      </c>
      <c r="BZ59" s="1">
        <f t="shared" si="10"/>
        <v>0</v>
      </c>
      <c r="CA59" s="1">
        <f>MIN(10,W59+IF(AND(L59="LILYA_COBRA",COUNTIF($L$3:L59,"LILYA_COBRA")=1),5,0)+IF(AND(L59="LILYA_DIVE",U59=1,COUNTIFS($DG$3:DG59,DG59,$L$3:L59,"LILYA_DIVE")=1),2,0)+IF(AND(FE59=1,U59=1),3,0))</f>
        <v>0</v>
      </c>
      <c r="CB59" s="1">
        <f>MIN(20,MAX(0,X59+IF(L59="LILYA_COBRA",IF(COUNTIF($L$3:L59,"LILYA_COBRA")=1,6,IF(U59=1,MAX(1,G59),IF(U59=2,2*MAX(1,G59),0))),0)+IF(AND(Y59=1,E59="红弩箭",L59&lt;&gt;"ENTER_INSIGHT"),1,0)-IF(AND(L59="LILYA_ULT",X59&gt;=6),6,0)))</f>
        <v>11</v>
      </c>
      <c r="CC59" s="1">
        <f t="shared" si="11"/>
        <v>0</v>
      </c>
      <c r="CD59" s="1">
        <f t="shared" si="12"/>
        <v>0</v>
      </c>
      <c r="CE59" s="1">
        <f t="shared" si="13"/>
        <v>0</v>
      </c>
      <c r="CF59" s="1">
        <f t="shared" si="14"/>
        <v>5</v>
      </c>
      <c r="CG59" s="1">
        <f t="shared" si="15"/>
        <v>0</v>
      </c>
      <c r="CH59" s="1">
        <f>MIN(35,AD59+IF(L59="J_HARD",6,0)+IF(L59="J_COUNTER",Boss参数!$B$30,0))</f>
        <v>35</v>
      </c>
      <c r="CI59" s="1">
        <f>MIN(Boss参数!$I$4,AE59+IF(L59="J_HARD",6,0)+IF(L59="J_ULT",AD59,0)+IF(L59="J_COUNTER",Boss参数!$B$30,0))</f>
        <v>27</v>
      </c>
      <c r="CJ59" s="10">
        <f>IF(L59="J_ULT",AD59*Boss参数!$B$41,IF(B59&lt;=AG59,AF59,0))</f>
        <v>0.4</v>
      </c>
      <c r="CK59" s="1">
        <f t="shared" si="16"/>
        <v>5</v>
      </c>
      <c r="CL59" s="1">
        <f t="shared" si="17"/>
        <v>5</v>
      </c>
      <c r="CM59" s="1">
        <f t="shared" si="18"/>
        <v>4</v>
      </c>
      <c r="CN59" s="1">
        <f t="shared" si="19"/>
        <v>5</v>
      </c>
      <c r="CO59" s="1">
        <f t="shared" si="20"/>
        <v>4</v>
      </c>
      <c r="CP59" s="1">
        <f t="shared" si="21"/>
        <v>3</v>
      </c>
      <c r="CQ59" s="1">
        <f t="shared" si="22"/>
        <v>20</v>
      </c>
      <c r="CR59" s="1">
        <f t="shared" si="23"/>
        <v>4</v>
      </c>
      <c r="CS59" s="1">
        <f t="shared" si="24"/>
        <v>0</v>
      </c>
      <c r="CT59" s="10">
        <f t="shared" si="25"/>
        <v>0.12</v>
      </c>
      <c r="CU59" s="1">
        <f t="shared" si="26"/>
        <v>5</v>
      </c>
      <c r="CV59" s="10">
        <f t="shared" si="27"/>
        <v>0.3</v>
      </c>
      <c r="CW59" s="1">
        <f t="shared" si="28"/>
        <v>5</v>
      </c>
      <c r="CX59" s="10">
        <f t="shared" si="29"/>
        <v>0.3</v>
      </c>
      <c r="CY59" s="1">
        <f t="shared" si="30"/>
        <v>5</v>
      </c>
      <c r="CZ59" s="1"/>
      <c r="DA59" s="1"/>
      <c r="DB59" s="1"/>
      <c r="DC59" s="1"/>
      <c r="DD59" s="1"/>
      <c r="DE59" s="1"/>
      <c r="DF59" s="1"/>
      <c r="DG59" s="1" t="str">
        <f>IF(D59="","",行动模拟!B65)</f>
        <v>小瑞安侬额外回合</v>
      </c>
      <c r="DH59" s="1" t="str">
        <f>IF(L59="END_TURN","回合结束",IF(D59="","",IF(INDEX(回合状态!$C$7:$C$17,MATCH(DG59,回合状态!$A$7:$A$17,0))="洞穿","洞穿",IF(OR(L59="J_COUNTER",L59="BOSS_ACTION",L59="BOSS_CONSERVATIVE"),"敌方",IF(AND(L59="37_FOLLOW",DG59=DG58,DH58="敌方"),"敌方",IF(INDEX(回合状态!$C$7:$C$17,MATCH(DG59,回合状态!$A$7:$A$17,0))="普通","出牌",INDEX(回合状态!$C$7:$C$17,MATCH(DG59,回合状态!$A$7:$A$17,0))))))))</f>
        <v>额外</v>
      </c>
      <c r="DI59" s="1">
        <f t="shared" si="31"/>
        <v>3</v>
      </c>
      <c r="DJ59" s="1">
        <f>IF(D59="",0,MIN(Boss参数!$B$25,IF(OR(AND(DH59="敌方",OR(DH58&lt;&gt;"敌方",DG59&lt;&gt;DG58)),AND(L59="END_TURN",DH59&lt;&gt;"洞穿"),AND(DG59&lt;&gt;DG58,DH58&lt;&gt;"洞穿",L58&lt;&gt;"END_TURN",COUNTIFS($DG$3:DG58,DG58,$DH$3:DH58,"敌方")=0)),EW59,DN58)))</f>
        <v>5</v>
      </c>
      <c r="DK59" s="1">
        <f>IF(D59="",0,MIN(Boss参数!$B$25,IF(OR(AND(DH59="敌方",OR(DH58&lt;&gt;"敌方",DG59&lt;&gt;DG58)),AND(L59="END_TURN",DH59&lt;&gt;"洞穿"),AND(DG59&lt;&gt;DG58,DH58&lt;&gt;"洞穿",L58&lt;&gt;"END_TURN",COUNTIFS($DG$3:DG58,DG58,$DH$3:DH58,"敌方")=0)),EW59,DO58)))</f>
        <v>2</v>
      </c>
      <c r="DL59" s="1">
        <f>IF(D59="",0,MIN(Boss参数!$B$25,IF(OR(AND(DH59="敌方",OR(DH58&lt;&gt;"敌方",DG59&lt;&gt;DG58)),AND(L59="END_TURN",DH59&lt;&gt;"洞穿"),AND(DG59&lt;&gt;DG58,DH58&lt;&gt;"洞穿",L58&lt;&gt;"END_TURN",COUNTIFS($DG$3:DG58,DG58,$DH$3:DH58,"敌方")=0)),EW59,DP58)))</f>
        <v>5</v>
      </c>
      <c r="DM59" s="1">
        <f>IF(D59="",0,MIN(Boss参数!$B$25,IF(OR(AND(DH59="敌方",OR(DH58&lt;&gt;"敌方",DG59&lt;&gt;DG58)),AND(L59="END_TURN",DH59&lt;&gt;"洞穿"),AND(DG59&lt;&gt;DG58,DH58&lt;&gt;"洞穿",L58&lt;&gt;"END_TURN",COUNTIFS($DG$3:DG58,DG58,$DH$3:DH58,"敌方")=0)),EW59,DQ58)))</f>
        <v>3</v>
      </c>
      <c r="DN59" s="1">
        <f>MAX(0,MIN(Boss参数!$B$25,DJ59+DR59)-IF(E59="红弩箭",2*DR59,0))</f>
        <v>5</v>
      </c>
      <c r="DO59" s="1">
        <f>MAX(0,MIN(Boss参数!$B$25,DK59+DR59)-IF(E59="37",2*DR59,0))</f>
        <v>3</v>
      </c>
      <c r="DP59" s="1">
        <f>MAX(0,MIN(Boss参数!$B$25,DL59+DR59)-IF(E59="小瑞安侬",2*DR59,0))</f>
        <v>5</v>
      </c>
      <c r="DQ59" s="1">
        <f>MAX(0,MIN(Boss参数!$B$25,DM59+DR59)-IF(E59="J",2*DR59,0))</f>
        <v>2</v>
      </c>
      <c r="DR59" s="1">
        <f t="shared" si="32"/>
        <v>1</v>
      </c>
      <c r="DS59" s="1">
        <f t="shared" si="33"/>
        <v>1</v>
      </c>
      <c r="DT59" s="1">
        <f>IF(OR(E59="",E59="系统"),0,IF(OR(AND(DS59=1,Boss参数!$B$32=1),L59="RHI_BERRY",OR(AND(INDEX(角色面板!$B$18:$B$21,MATCH(E59,角色面板!$A$18:$A$21,0))="星",Boss参数!$B$4="岩"),AND(INDEX(角色面板!$B$18:$B$21,MATCH(E59,角色面板!$A$18:$A$21,0))="岩",Boss参数!$B$4="兽"),AND(INDEX(角色面板!$B$18:$B$21,MATCH(E59,角色面板!$A$18:$A$21,0))="兽",Boss参数!$B$4="木"),AND(INDEX(角色面板!$B$18:$B$21,MATCH(E59,角色面板!$A$18:$A$21,0))="木",Boss参数!$B$4="星"),AND(INDEX(角色面板!$B$18:$B$21,MATCH(E59,角色面板!$A$18:$A$21,0))="智",Boss参数!$B$4="灵"),AND(INDEX(角色面板!$B$18:$B$21,MATCH(E59,角色面板!$A$18:$A$21,0))="灵",Boss参数!$B$4="智"))),1,0))</f>
        <v>1</v>
      </c>
      <c r="DU59" s="1">
        <f>IF(D59="",0,INDEX(回合状态!$E$7:$E$17,MATCH(DG59,回合状态!$A$7:$A$17,0))+IF(AND(DH59="敌方",OR(INDEX(回合状态!$C$7:$C$17,MATCH(DG59,回合状态!$A$7:$A$17,0))="普通",INDEX(回合状态!$C$7:$C$17,MATCH(DG59,回合状态!$A$7:$A$17,0))="额外")),0.05,0))</f>
        <v>0.15000000000000002</v>
      </c>
      <c r="DV59" s="1">
        <f>MAX(Boss参数!$B$28,1+IF(AND(E59="37",AC59&gt;0,BH59&gt;0),Boss参数!$B$42,0)-DI59*Boss参数!$B$24+EA59-ER59)</f>
        <v>0</v>
      </c>
      <c r="DW59" s="1">
        <f>MIN(IF(Boss参数!$B$77=1,Boss参数!$B$63*Boss参数!$B$62,Boss参数!$B$61*Boss参数!$B$62),ROUNDDOWN(BQ59*(1-ES59),0))</f>
        <v>2888</v>
      </c>
      <c r="DX59" s="1">
        <f>MIN(IF(Boss参数!$B$77=1,Boss参数!$B$63*Boss参数!$B$62,Boss参数!$B$61*Boss参数!$B$62),ROUNDDOWN(BR59*(1-ES59),0))</f>
        <v>5364</v>
      </c>
      <c r="DY59" s="1">
        <f t="shared" si="65"/>
        <v>238</v>
      </c>
      <c r="DZ59" s="1">
        <f>IF(L59="RHI_ULT",MIN(Boss参数!$B$48,ROUNDDOWN(AY59*Boss参数!$B$47,0)),DY59)</f>
        <v>238</v>
      </c>
      <c r="EA59" s="11">
        <v>0</v>
      </c>
      <c r="EB59" s="1">
        <f t="shared" si="34"/>
        <v>0</v>
      </c>
      <c r="EC59" s="1">
        <f>SUMIFS($EB$3:EB59,$B$3:B59,"&gt;="&amp;MAX(1,B59-2),$B$3:B59,"&lt;="&amp;B59)*Boss参数!$B$51</f>
        <v>16</v>
      </c>
      <c r="ED59" s="1">
        <f>IF(D59="",EG58,IF(AND(DG59&lt;&gt;DG58,DH59&lt;&gt;"洞穿"),MIN(Boss参数!$B$55,EG58+2),EG58))</f>
        <v>0</v>
      </c>
      <c r="EE59" s="1">
        <f t="shared" si="35"/>
        <v>0</v>
      </c>
      <c r="EF59" s="1">
        <f>IF(AND(OR(L59="END_TURN",AND(DH59="敌方",OR(DH58&lt;&gt;"敌方",DG59&lt;&gt;DG58))),SUMIFS($EF$3:EF58,$DG$3:DG58,DG59)=0),MIN(1,MAX(0,ED59-EE59)),0)</f>
        <v>0</v>
      </c>
      <c r="EG59" s="1">
        <f t="shared" si="36"/>
        <v>0</v>
      </c>
      <c r="EH59" s="11">
        <f>Boss参数!$B$53-IF(Y59=1,Boss参数!$B$54,0)</f>
        <v>0</v>
      </c>
      <c r="EI59" s="11">
        <f t="shared" si="37"/>
        <v>0.3</v>
      </c>
      <c r="EJ59" s="11">
        <f t="shared" si="38"/>
        <v>0.3</v>
      </c>
      <c r="EK59" s="11">
        <f t="shared" si="39"/>
        <v>1</v>
      </c>
      <c r="EL59" s="1">
        <f t="shared" si="66"/>
        <v>0</v>
      </c>
      <c r="EM59" s="1">
        <f>IF(AND(DG59&lt;&gt;DG58,DH59="洞穿"),0,IF(L59="ENTER_INSIGHT",Boss参数!$B$57,EO58))</f>
        <v>0</v>
      </c>
      <c r="EN59" s="11">
        <f>IF(AND(Y59=1,H59="洞知",EM59&gt;0),Boss参数!$B$56,0)</f>
        <v>0</v>
      </c>
      <c r="EO59" s="1">
        <f t="shared" si="40"/>
        <v>0</v>
      </c>
      <c r="EP59" s="12">
        <f t="shared" si="67"/>
        <v>13331886</v>
      </c>
      <c r="EQ59" s="12">
        <f>ROUNDDOWN(EP59/Boss参数!$B$62,0)</f>
        <v>133</v>
      </c>
      <c r="ER59" s="11">
        <f>IF(EQ59&gt;=Boss参数!$B$66,Boss参数!$B$69,IF(EQ59&gt;=Boss参数!$B$65,Boss参数!$B$68,IF(EQ59&gt;=Boss参数!$B$64,Boss参数!$B$67,0)))</f>
        <v>0.9</v>
      </c>
      <c r="ES59" s="11">
        <f>MIN(1,IF(EQ59&gt;=Boss参数!$B$66,Boss参数!$B$72+ROUNDDOWN((EQ59-Boss参数!$B$66)/Boss参数!$B$73,0)*Boss参数!$B$74,IF(EQ59&gt;=Boss参数!$B$65,Boss参数!$B$71,IF(EQ59&gt;=Boss参数!$B$64,Boss参数!$B$70,0))))</f>
        <v>0.6</v>
      </c>
      <c r="ET59" s="12">
        <f>MIN(Boss参数!$B$61*Boss参数!$B$62,EP59+IF(AND(Boss参数!$B$60=1,ISNUMBER(验证表!H65)),验证表!H65,EU59))</f>
        <v>13334774</v>
      </c>
      <c r="EU59" s="12">
        <f>IF(D59="",0,IF(验证表!G65="是",BV59,IF(验证表!G65="否",BU59,BW59)))</f>
        <v>2888</v>
      </c>
      <c r="EV59" s="12">
        <f>IF(EQ59&gt;=Boss参数!$B$66,2,IF(EQ59&gt;=Boss参数!$B$65,1,0))</f>
        <v>2</v>
      </c>
      <c r="EW59" s="12">
        <f t="shared" si="41"/>
        <v>3</v>
      </c>
      <c r="EX59" s="1">
        <f>IF(D59="",0,INDEX(回合状态!$D$7:$D$17,MATCH(DG59,回合状态!$A$7:$A$17,0)))</f>
        <v>4</v>
      </c>
      <c r="EY59" s="1">
        <f>IF(OR(L59="RHI_ATTACK",L59="RHI_BUFF"),1,IF(L59="RHI_ULT",Boss参数!$B$52,0))</f>
        <v>0</v>
      </c>
      <c r="EZ59" s="1">
        <f>MIN(6,SUMIFS($EY$3:EY59,$EX$3:EX59,"&gt;="&amp;MAX(1,EX59-Boss参数!$B$87+1),$EX$3:EX59,"&lt;="&amp;EX59))</f>
        <v>6</v>
      </c>
      <c r="FA59" s="1">
        <f t="shared" si="68"/>
        <v>24</v>
      </c>
      <c r="FB59" s="17">
        <f>IF(L59="BOSS_CONSERVATIVE",B59+Boss参数!$B$91,FB58)</f>
        <v>0</v>
      </c>
      <c r="FC59" s="17">
        <f t="shared" si="69"/>
        <v>0</v>
      </c>
      <c r="FD59" s="17">
        <f>IF(D59="",FD58,FD58+IF(AND(DG59&lt;&gt;DG58,INDEX(回合状态!$C$7:$C$17,MATCH(DG59,回合状态!$A$7:$A$17,0))&lt;&gt;"洞穿"),1,0))</f>
        <v>4</v>
      </c>
      <c r="FE59" s="17">
        <f>IF(D59="",0,IF(AND(OR(L59="END_TURN",DH59="敌方"),INDEX(回合状态!$C$7:$C$17,MATCH(DG59,回合状态!$A$7:$A$17,0))&lt;&gt;"洞穿",SUMIFS($FE$3:FE58,$DG$3:DG58,DG59)=0),1,0))</f>
        <v>0</v>
      </c>
    </row>
    <row r="60" spans="1:161" ht="84.95" customHeight="1">
      <c r="A60" s="1">
        <f>行动模拟!A66</f>
        <v>58</v>
      </c>
      <c r="B60" s="1">
        <f>IF(D60="",0,INDEX(回合状态!$B$7:$B$17,MATCH(DG60,回合状态!$A$7:$A$17,0)))</f>
        <v>3</v>
      </c>
      <c r="C60" s="1">
        <f>行动模拟!C66</f>
        <v>9</v>
      </c>
      <c r="D60" s="1" t="str">
        <f>IF(行动模拟!D66="","",行动模拟!D66)</f>
        <v>37｜补充算式</v>
      </c>
      <c r="E60" s="1" t="str">
        <f>IF($D60="","",IFERROR(INDEX(技能数据库!$B$4:$B$38,MATCH($D60,技能数据库!$A$4:$A$38,0)),""))</f>
        <v>37</v>
      </c>
      <c r="F60" s="1" t="str">
        <f>IF($D60="","",IFERROR(INDEX(技能数据库!$C$4:$C$38,MATCH($D60,技能数据库!$A$4:$A$38,0)),""))</f>
        <v>补充算式</v>
      </c>
      <c r="G60" s="1">
        <f>IF($D60="","",IFERROR(INDEX(技能数据库!$D$4:$D$38,MATCH($D60,技能数据库!$A$4:$A$38,0)),""))</f>
        <v>0</v>
      </c>
      <c r="H60" s="1" t="str">
        <f>IF($D60="","",IFERROR(INDEX(技能数据库!$E$4:$E$38,MATCH($D60,技能数据库!$A$4:$A$38,0)),""))</f>
        <v>额外行动</v>
      </c>
      <c r="I60" s="1" t="str">
        <f>IF($D60="","",IFERROR(INDEX(技能数据库!$F$4:$F$38,MATCH($D60,技能数据库!$A$4:$A$38,0)),""))</f>
        <v>精神</v>
      </c>
      <c r="J60" s="1">
        <f>IF($D60="","",IFERROR(INDEX(技能数据库!$G$4:$G$38,MATCH($D60,技能数据库!$A$4:$A$38,0)),""))</f>
        <v>3</v>
      </c>
      <c r="K60" s="1">
        <f>IF($D60="","",IFERROR(INDEX(技能数据库!$H$4:$H$38,MATCH($D60,技能数据库!$A$4:$A$38,0)),""))</f>
        <v>1</v>
      </c>
      <c r="L60" s="1" t="str">
        <f>IF($D60="","",IFERROR(INDEX(技能数据库!$I$4:$I$38,MATCH($D60,技能数据库!$A$4:$A$38,0)),""))</f>
        <v>37_FOLLOW</v>
      </c>
      <c r="M60" s="10">
        <v>1</v>
      </c>
      <c r="N60" s="1"/>
      <c r="O60" s="1"/>
      <c r="P60" s="1"/>
      <c r="Q60" s="10">
        <f t="shared" si="0"/>
        <v>0</v>
      </c>
      <c r="R60" s="10">
        <v>0</v>
      </c>
      <c r="S60" s="10">
        <v>0</v>
      </c>
      <c r="T60" s="1">
        <f>行动模拟!I66</f>
        <v>0</v>
      </c>
      <c r="U60" s="1">
        <f>IF(FD60&lt;&gt;FD59,IF(BY59=1,IF(MIN(10,CA59+IF(AND(DG60&lt;&gt;DG59,DH59&lt;&gt;"洞穿",SUMIFS($FE$3:FE59,$DG$3:DG59,DG59)=0,BY59=1),3,0))&gt;=10,2,1),IF(BY59=2,IF(BZ59&lt;=1,0,2),0)),BY59)</f>
        <v>1</v>
      </c>
      <c r="V60" s="1">
        <f>IF(FD60&lt;&gt;FD59,IF(BY59=1,IF(MIN(10,CA59+IF(AND(DG60&lt;&gt;DG59,DH59&lt;&gt;"洞穿",SUMIFS($FE$3:FE59,$DG$3:DG59,DG59)=0,BY59=1),3,0))&gt;=10,2,0),IF(BY59=2,MAX(0,BZ59-1),0)),BZ59)</f>
        <v>0</v>
      </c>
      <c r="W60" s="1">
        <f>IF(AND(FD60&lt;&gt;FD59,BY59=2,BZ59&lt;=1),0,MIN(10,CA59+IF(AND(DG60&lt;&gt;DG59,DH59&lt;&gt;"洞穿",SUMIFS($FE$3:FE59,$DG$3:DG59,DG59)=0,BY59=1),3,0)))</f>
        <v>0</v>
      </c>
      <c r="X60" s="1">
        <f t="shared" si="42"/>
        <v>11</v>
      </c>
      <c r="Y60" s="1">
        <f t="shared" si="43"/>
        <v>0</v>
      </c>
      <c r="Z60" s="1">
        <f t="shared" si="44"/>
        <v>0</v>
      </c>
      <c r="AA60" s="1">
        <f t="shared" si="45"/>
        <v>0</v>
      </c>
      <c r="AB60" s="1">
        <f t="shared" si="46"/>
        <v>5</v>
      </c>
      <c r="AC60" s="1">
        <f t="shared" si="47"/>
        <v>0</v>
      </c>
      <c r="AD60" s="1">
        <f t="shared" si="48"/>
        <v>35</v>
      </c>
      <c r="AE60" s="1">
        <f>IF(D60="",0,IF(DG60&lt;&gt;DG59,IFERROR(INDEX(回合状态!$F$7:$F$17,MATCH(DG60,回合状态!$A$7:$A$17,0)),0),CI59))</f>
        <v>27</v>
      </c>
      <c r="AF60" s="10">
        <f t="shared" si="49"/>
        <v>0.4</v>
      </c>
      <c r="AG60" s="1">
        <f t="shared" si="50"/>
        <v>5</v>
      </c>
      <c r="AH60" s="1">
        <f t="shared" si="51"/>
        <v>5</v>
      </c>
      <c r="AI60" s="1">
        <f t="shared" si="52"/>
        <v>4</v>
      </c>
      <c r="AJ60" s="1">
        <f t="shared" si="53"/>
        <v>5</v>
      </c>
      <c r="AK60" s="1">
        <f t="shared" si="54"/>
        <v>4</v>
      </c>
      <c r="AL60" s="1">
        <f t="shared" si="55"/>
        <v>3</v>
      </c>
      <c r="AM60" s="1">
        <f t="shared" si="56"/>
        <v>20</v>
      </c>
      <c r="AN60" s="1">
        <f t="shared" si="57"/>
        <v>4</v>
      </c>
      <c r="AO60" s="1">
        <f t="shared" si="58"/>
        <v>0</v>
      </c>
      <c r="AP60" s="10">
        <f t="shared" si="59"/>
        <v>0.12</v>
      </c>
      <c r="AQ60" s="1">
        <f t="shared" si="60"/>
        <v>5</v>
      </c>
      <c r="AR60" s="10">
        <f t="shared" si="61"/>
        <v>0.3</v>
      </c>
      <c r="AS60" s="1">
        <f t="shared" si="62"/>
        <v>5</v>
      </c>
      <c r="AT60" s="10">
        <f t="shared" si="63"/>
        <v>0.3</v>
      </c>
      <c r="AU60" s="1">
        <f t="shared" si="64"/>
        <v>5</v>
      </c>
      <c r="AV60" s="1">
        <f>MIN(5,SUMIFS($EL$3:EL60,$B$3:B60,"&gt;="&amp;MAX(1,B60-2),$B$3:B60,"&lt;="&amp;B60)+EC60)</f>
        <v>5</v>
      </c>
      <c r="AW60" s="1">
        <f>MIN(6,SUMIFS($EY$3:EY59,$EX$3:EX59,"&gt;="&amp;MAX(1,EX60-Boss参数!$B$87+1),$EX$3:EX59,"&lt;="&amp;EX60))</f>
        <v>6</v>
      </c>
      <c r="AX60" s="1">
        <f>MIN(4,COUNTIFS($B$3:$B$59,"&gt;="&amp;MAX(1,$B60-2),$B$3:$B$59,"&lt;="&amp;$B60,$L$3:$L$59,"37_FOLLOW"))</f>
        <v>4</v>
      </c>
      <c r="AY60" s="9">
        <f>IF($E60="","",IF($E60="系统",0,ROUNDDOWN(INDEX(角色面板!$C$4:$C$7,MATCH($E60,角色面板!$A$4:$A$7,0))*(1+INDEX(角色面板!$C$11:$C$14,MATCH($E60,角色面板!$A$11:$A$14,0))+IF($E60="小瑞安侬",MAX(IF($B60&lt;=$AQ60,$AP60,0),IF(AND($L60="RHI_ATTACK",$EE60&gt;0),0.11+0.01*$G60,0)),0)+IF($E60="J",$AD60*Boss参数!$B$18,0))+IF(FD60&lt;=$AN60,MIN(Boss参数!$B$21,ROUNDDOWN(角色面板!$C$19*Boss参数!$B$20,0)),0)+IF(AND($B60&lt;=$AK60,$E60&lt;&gt;"小瑞安侬"),$DY60,0),0)))</f>
        <v>3505</v>
      </c>
      <c r="AZ60" s="10">
        <f>IF($E60="","",MAX(0,MIN(1,IFERROR(INDEX(角色面板!$G$18:$G$21,MATCH($E60,角色面板!$A$18:$A$21,0)),0)-FC60*Boss参数!$B$89-Boss参数!$E$4)))</f>
        <v>0.76</v>
      </c>
      <c r="BA60" s="10">
        <f>IF(E60="","",(IF($E60="","",IF($E60="红弩箭",Boss参数!$B$80,IF($E60="J",Boss参数!$B$81,IFERROR(INDEX(角色面板!$H$18:$H$21,MATCH($E60,角色面板!$A$18:$A$21,0)),0)))+IF($B60&lt;=$AI60,Boss参数!$B$13,0)+MIN(30,$AM60)*Boss参数!$B$17+IF(AND($L60="LILYA_ULT",$X60&gt;=6),1,0)+IF(AND($Y60=1,$L60="LILYA_INSIGHT"),IF(MOD($AA60+1,3)=0,Boss参数!$B$83,Boss参数!$B$82),IF(AND($Y60=1,$L60="LILYA_FINISH"),Boss参数!$B$84,0))))-FC60*Boss参数!$B$90)</f>
        <v>2.4380000000000002</v>
      </c>
      <c r="BB60" s="10">
        <f>IF($E60="","",IFERROR(INDEX(角色面板!$M$18:$M$21,MATCH($E60,角色面板!$A$18:$A$21,0)),0)+$AW60*Boss参数!$B$12+IF($B60&lt;=$AG60,$AF60,0)+$EI60+IF($L60="LILYA_DIVE",IF($U60=1,IF($G60=1,0.3,IF($G60=2,0.4,0.5)),IF($U60=2,IF($G60=1,0.6,IF($G60=2,0.8,1)),0)),0)+$R60+IF(AND($E60="J",OR($L60="J_COUNTER",$L60="J_HARD")),Boss参数!$B$79,0)+IF(AND(OR(L60="J_COUNTER",L60="J_HARD"),FA60&gt;=Boss参数!$B$59),FA60*Boss参数!$B$40,0))</f>
        <v>0.82000000000000006</v>
      </c>
      <c r="BC60" s="10">
        <f>IF($E60="","",IFERROR(INDEX(角色面板!$K$18:$K$21,MATCH($E60,角色面板!$A$18:$A$21,0)),0)+IF($B60&lt;=$AH60,Boss参数!$B$46,0)+IF($E60="红弩箭",IF($U60=1,0.6,IF($U60=2,1.2,0))+$W60*0.06,0))-DI60*Boss参数!$B$23</f>
        <v>-0.55000000000000004</v>
      </c>
      <c r="BD60" s="10">
        <f>IF($E60="","",IFERROR(INDEX(角色面板!$L$18:$L$21,MATCH($E60,角色面板!$A$18:$A$21,0)),0)+IF($B60&lt;=$AH60,Boss参数!$B$46,0)+IF($E60="J",$AL60*Boss参数!$B$16,0)+IF($E60="红弩箭",$X60*0.025,0)+IF(AND($L60="LILYA_ULT",$X60&gt;=6),1,0))-DI60*Boss参数!$B$23</f>
        <v>-0.14999999999999997</v>
      </c>
      <c r="BE60" s="10">
        <f>IF($E60="","",IF($H60="洞知",IF($E60="红弩箭",$AO60*Boss参数!$B$15,0)+$AX60*Boss参数!$B$14,0))</f>
        <v>0</v>
      </c>
      <c r="BF60" s="10">
        <f t="shared" si="1"/>
        <v>0</v>
      </c>
      <c r="BG60" s="10">
        <f>IF($D60="",0,IF(AND($L60&lt;&gt;"LILYA_DIVE",$L60&lt;&gt;"LILYA_ULT",$L60&lt;&gt;"LILYA_INSIGHT",$L60&lt;&gt;"LILYA_FINISH",$L60&lt;&gt;"37_FOLLOW",$L60&lt;&gt;"RHI_ATTACK",$L60&lt;&gt;"RHI_BERRY",$L60&lt;&gt;"J_COUNTER",$L60&lt;&gt;"J_ULT"),$J60,0)+IF($L60="LILYA_DIVE",$J60+IF($U60=1,IF($G60=1,6,IF($G60=2,12,18)),IF($U60=2,IF($G60=1,12,IF($G60=2,24,36)),0)),0)+IF($L60="LILYA_ULT",$J60+IF($X60&gt;=6,18,0),0)+IF($L60="LILYA_INSIGHT",IF($Y60=1,IF(MOD($AA60+1,3)=0,32,15),0),0)+IF($L60="LILYA_FINISH",IF($Y60=1,50+2.5*$Z60,0),0)+IF($L60="37_FOLLOW",$J60,0)+IF($L60="RHI_ATTACK",$J60*IF($B60&lt;=$AJ60,2,1),0)+IF($L60="RHI_BERRY",15+1.5*$AV60,0)+IF($L60="J_COUNTER",$J60+$AD60*Boss参数!$B$39,0)+IF($L60="J_ULT",$J60+Boss参数!$B$45*MAX(0,$AE60+$AD60-Boss参数!$I$4),0)+$S60)</f>
        <v>3</v>
      </c>
      <c r="BH60" s="10">
        <f t="shared" si="2"/>
        <v>1</v>
      </c>
      <c r="BI60" s="10">
        <f>IF(E60="","",IF(DT60=1,1+Boss参数!$B$8+AV60*Boss参数!$B$19,1))</f>
        <v>1.5</v>
      </c>
      <c r="BJ60" s="9">
        <f>IF($I60="现实",Boss参数!$C$4,IF($I60="精神",Boss参数!$D$4,0))</f>
        <v>1000</v>
      </c>
      <c r="BK60" s="9">
        <f>IF($E60="","",MAX($AY60*Boss参数!$B$9,$AY60-$BJ60*(1-$BF60)))</f>
        <v>2505</v>
      </c>
      <c r="BL60" s="10">
        <f>MAX(0,Boss参数!$F$4+IF(DT60=0,Boss参数!$B$27,0)-EJ60)</f>
        <v>0.10000000000000003</v>
      </c>
      <c r="BM60" s="10">
        <f>Boss参数!$G$4+DU60-IF(Y60=1,Boss参数!$B$11,0)</f>
        <v>0.55000000000000004</v>
      </c>
      <c r="BN60" s="10">
        <f>IF($E60="","",MAX(Boss参数!$B$10,1+IFERROR(INDEX(角色面板!$I$18:$I$21,MATCH($E60,角色面板!$A$18:$A$21,0)),0)+$BB60+Boss参数!$H$4-$BM60))</f>
        <v>1.2749999999999999</v>
      </c>
      <c r="BO60" s="10">
        <f>IF(E60="","",IF(OR(L60="J_COUNTER",L60="J_HARD"),MAX(0,1+INDEX(角色面板!$K$18:$K$21,MATCH(E60,角色面板!$A$18:$A$21,0))-DI60*Boss参数!$B$23+IF(OR(Boss参数!$B$43=1,L60="J_HARD"),IF(B60&lt;=AH60,Boss参数!$B$46,0),0)),MAX(0,IF(OR(H60="术法",L60="RHI_BERRY",AND(L60="37_FOLLOW",Boss参数!$B$31=1)),1+BC60,IF(H60="仪式",1+BD60,IF(H60="洞知",EK60,1))))))</f>
        <v>0.44999999999999996</v>
      </c>
      <c r="BP60" s="10">
        <f t="shared" si="3"/>
        <v>2.3380000000000001</v>
      </c>
      <c r="BQ60" s="1">
        <f t="shared" si="4"/>
        <v>6467.5968749999993</v>
      </c>
      <c r="BR60" s="1">
        <f t="shared" si="5"/>
        <v>15121.241493749998</v>
      </c>
      <c r="BS60" s="1">
        <f>IF(BH60=0,0,ROUNDDOWN(AY60*BH60,0)*DV60*IF(Boss参数!$B$29=1,BN60,1)*IF(Boss参数!$B$33=1,BO60,1)*IF(Boss参数!$B$76=1,1-ES60,1))</f>
        <v>0</v>
      </c>
      <c r="BT60" s="1">
        <f t="shared" si="6"/>
        <v>0</v>
      </c>
      <c r="BU60" s="9">
        <f>IF(D60="",0,MIN(IF(Boss参数!$B$77=1,Boss参数!$B$63*Boss参数!$B$62,Boss参数!$B$61*Boss参数!$B$62),DW60+ROUNDDOWN(BS60,0)+ROUNDDOWN(DW60*Q60,0)))</f>
        <v>2587</v>
      </c>
      <c r="BV60" s="9">
        <f>IF(D60="",0,MIN(IF(Boss参数!$B$77=1,Boss参数!$B$63*Boss参数!$B$62,Boss参数!$B$61*Boss参数!$B$62),DX60+ROUNDDOWN(BT60,0)+ROUNDDOWN(DX60*Q60,0)))</f>
        <v>6048</v>
      </c>
      <c r="BW60" s="9">
        <f t="shared" si="7"/>
        <v>5217</v>
      </c>
      <c r="BX60" s="1" t="str">
        <f t="shared" si="8"/>
        <v/>
      </c>
      <c r="BY60" s="1">
        <f t="shared" si="9"/>
        <v>1</v>
      </c>
      <c r="BZ60" s="1">
        <f t="shared" si="10"/>
        <v>0</v>
      </c>
      <c r="CA60" s="1">
        <f>MIN(10,W60+IF(AND(L60="LILYA_COBRA",COUNTIF($L$3:L60,"LILYA_COBRA")=1),5,0)+IF(AND(L60="LILYA_DIVE",U60=1,COUNTIFS($DG$3:DG60,DG60,$L$3:L60,"LILYA_DIVE")=1),2,0)+IF(AND(FE60=1,U60=1),3,0))</f>
        <v>0</v>
      </c>
      <c r="CB60" s="1">
        <f>MIN(20,MAX(0,X60+IF(L60="LILYA_COBRA",IF(COUNTIF($L$3:L60,"LILYA_COBRA")=1,6,IF(U60=1,MAX(1,G60),IF(U60=2,2*MAX(1,G60),0))),0)+IF(AND(Y60=1,E60="红弩箭",L60&lt;&gt;"ENTER_INSIGHT"),1,0)-IF(AND(L60="LILYA_ULT",X60&gt;=6),6,0)))</f>
        <v>11</v>
      </c>
      <c r="CC60" s="1">
        <f t="shared" si="11"/>
        <v>0</v>
      </c>
      <c r="CD60" s="1">
        <f t="shared" si="12"/>
        <v>0</v>
      </c>
      <c r="CE60" s="1">
        <f t="shared" si="13"/>
        <v>0</v>
      </c>
      <c r="CF60" s="1">
        <f t="shared" si="14"/>
        <v>0</v>
      </c>
      <c r="CG60" s="1">
        <f t="shared" si="15"/>
        <v>0</v>
      </c>
      <c r="CH60" s="1">
        <f>MIN(35,AD60+IF(L60="J_HARD",6,0)+IF(L60="J_COUNTER",Boss参数!$B$30,0))</f>
        <v>35</v>
      </c>
      <c r="CI60" s="1">
        <f>MIN(Boss参数!$I$4,AE60+IF(L60="J_HARD",6,0)+IF(L60="J_ULT",AD60,0)+IF(L60="J_COUNTER",Boss参数!$B$30,0))</f>
        <v>27</v>
      </c>
      <c r="CJ60" s="10">
        <f>IF(L60="J_ULT",AD60*Boss参数!$B$41,IF(B60&lt;=AG60,AF60,0))</f>
        <v>0.4</v>
      </c>
      <c r="CK60" s="1">
        <f t="shared" si="16"/>
        <v>5</v>
      </c>
      <c r="CL60" s="1">
        <f t="shared" si="17"/>
        <v>5</v>
      </c>
      <c r="CM60" s="1">
        <f t="shared" si="18"/>
        <v>4</v>
      </c>
      <c r="CN60" s="1">
        <f t="shared" si="19"/>
        <v>5</v>
      </c>
      <c r="CO60" s="1">
        <f t="shared" si="20"/>
        <v>4</v>
      </c>
      <c r="CP60" s="1">
        <f t="shared" si="21"/>
        <v>3</v>
      </c>
      <c r="CQ60" s="1">
        <f t="shared" si="22"/>
        <v>20</v>
      </c>
      <c r="CR60" s="1">
        <f t="shared" si="23"/>
        <v>4</v>
      </c>
      <c r="CS60" s="1">
        <f t="shared" si="24"/>
        <v>0</v>
      </c>
      <c r="CT60" s="10">
        <f t="shared" si="25"/>
        <v>0.12</v>
      </c>
      <c r="CU60" s="1">
        <f t="shared" si="26"/>
        <v>5</v>
      </c>
      <c r="CV60" s="10">
        <f t="shared" si="27"/>
        <v>0.3</v>
      </c>
      <c r="CW60" s="1">
        <f t="shared" si="28"/>
        <v>5</v>
      </c>
      <c r="CX60" s="10">
        <f t="shared" si="29"/>
        <v>0.3</v>
      </c>
      <c r="CY60" s="1">
        <f t="shared" si="30"/>
        <v>5</v>
      </c>
      <c r="CZ60" s="1"/>
      <c r="DA60" s="1"/>
      <c r="DB60" s="1"/>
      <c r="DC60" s="1"/>
      <c r="DD60" s="1"/>
      <c r="DE60" s="1"/>
      <c r="DF60" s="1"/>
      <c r="DG60" s="1" t="str">
        <f>IF(D60="","",行动模拟!B66)</f>
        <v>小瑞安侬额外回合</v>
      </c>
      <c r="DH60" s="1" t="str">
        <f>IF(L60="END_TURN","回合结束",IF(D60="","",IF(INDEX(回合状态!$C$7:$C$17,MATCH(DG60,回合状态!$A$7:$A$17,0))="洞穿","洞穿",IF(OR(L60="J_COUNTER",L60="BOSS_ACTION",L60="BOSS_CONSERVATIVE"),"敌方",IF(AND(L60="37_FOLLOW",DG60=DG59,DH59="敌方"),"敌方",IF(INDEX(回合状态!$C$7:$C$17,MATCH(DG60,回合状态!$A$7:$A$17,0))="普通","出牌",INDEX(回合状态!$C$7:$C$17,MATCH(DG60,回合状态!$A$7:$A$17,0))))))))</f>
        <v>额外</v>
      </c>
      <c r="DI60" s="1">
        <f t="shared" si="31"/>
        <v>3</v>
      </c>
      <c r="DJ60" s="1">
        <f>IF(D60="",0,MIN(Boss参数!$B$25,IF(OR(AND(DH60="敌方",OR(DH59&lt;&gt;"敌方",DG60&lt;&gt;DG59)),AND(L60="END_TURN",DH60&lt;&gt;"洞穿"),AND(DG60&lt;&gt;DG59,DH59&lt;&gt;"洞穿",L59&lt;&gt;"END_TURN",COUNTIFS($DG$3:DG59,DG59,$DH$3:DH59,"敌方")=0)),EW60,DN59)))</f>
        <v>5</v>
      </c>
      <c r="DK60" s="1">
        <f>IF(D60="",0,MIN(Boss参数!$B$25,IF(OR(AND(DH60="敌方",OR(DH59&lt;&gt;"敌方",DG60&lt;&gt;DG59)),AND(L60="END_TURN",DH60&lt;&gt;"洞穿"),AND(DG60&lt;&gt;DG59,DH59&lt;&gt;"洞穿",L59&lt;&gt;"END_TURN",COUNTIFS($DG$3:DG59,DG59,$DH$3:DH59,"敌方")=0)),EW60,DO59)))</f>
        <v>3</v>
      </c>
      <c r="DL60" s="1">
        <f>IF(D60="",0,MIN(Boss参数!$B$25,IF(OR(AND(DH60="敌方",OR(DH59&lt;&gt;"敌方",DG60&lt;&gt;DG59)),AND(L60="END_TURN",DH60&lt;&gt;"洞穿"),AND(DG60&lt;&gt;DG59,DH59&lt;&gt;"洞穿",L59&lt;&gt;"END_TURN",COUNTIFS($DG$3:DG59,DG59,$DH$3:DH59,"敌方")=0)),EW60,DP59)))</f>
        <v>5</v>
      </c>
      <c r="DM60" s="1">
        <f>IF(D60="",0,MIN(Boss参数!$B$25,IF(OR(AND(DH60="敌方",OR(DH59&lt;&gt;"敌方",DG60&lt;&gt;DG59)),AND(L60="END_TURN",DH60&lt;&gt;"洞穿"),AND(DG60&lt;&gt;DG59,DH59&lt;&gt;"洞穿",L59&lt;&gt;"END_TURN",COUNTIFS($DG$3:DG59,DG59,$DH$3:DH59,"敌方")=0)),EW60,DQ59)))</f>
        <v>2</v>
      </c>
      <c r="DN60" s="1">
        <f>MAX(0,MIN(Boss参数!$B$25,DJ60+DR60)-IF(E60="红弩箭",2*DR60,0))</f>
        <v>5</v>
      </c>
      <c r="DO60" s="1">
        <f>MAX(0,MIN(Boss参数!$B$25,DK60+DR60)-IF(E60="37",2*DR60,0))</f>
        <v>2</v>
      </c>
      <c r="DP60" s="1">
        <f>MAX(0,MIN(Boss参数!$B$25,DL60+DR60)-IF(E60="小瑞安侬",2*DR60,0))</f>
        <v>5</v>
      </c>
      <c r="DQ60" s="1">
        <f>MAX(0,MIN(Boss参数!$B$25,DM60+DR60)-IF(E60="J",2*DR60,0))</f>
        <v>3</v>
      </c>
      <c r="DR60" s="1">
        <f t="shared" si="32"/>
        <v>1</v>
      </c>
      <c r="DS60" s="1">
        <f t="shared" si="33"/>
        <v>0</v>
      </c>
      <c r="DT60" s="1">
        <f>IF(OR(E60="",E60="系统"),0,IF(OR(AND(DS60=1,Boss参数!$B$32=1),L60="RHI_BERRY",OR(AND(INDEX(角色面板!$B$18:$B$21,MATCH(E60,角色面板!$A$18:$A$21,0))="星",Boss参数!$B$4="岩"),AND(INDEX(角色面板!$B$18:$B$21,MATCH(E60,角色面板!$A$18:$A$21,0))="岩",Boss参数!$B$4="兽"),AND(INDEX(角色面板!$B$18:$B$21,MATCH(E60,角色面板!$A$18:$A$21,0))="兽",Boss参数!$B$4="木"),AND(INDEX(角色面板!$B$18:$B$21,MATCH(E60,角色面板!$A$18:$A$21,0))="木",Boss参数!$B$4="星"),AND(INDEX(角色面板!$B$18:$B$21,MATCH(E60,角色面板!$A$18:$A$21,0))="智",Boss参数!$B$4="灵"),AND(INDEX(角色面板!$B$18:$B$21,MATCH(E60,角色面板!$A$18:$A$21,0))="灵",Boss参数!$B$4="智"))),1,0))</f>
        <v>1</v>
      </c>
      <c r="DU60" s="1">
        <f>IF(D60="",0,INDEX(回合状态!$E$7:$E$17,MATCH(DG60,回合状态!$A$7:$A$17,0))+IF(AND(DH60="敌方",OR(INDEX(回合状态!$C$7:$C$17,MATCH(DG60,回合状态!$A$7:$A$17,0))="普通",INDEX(回合状态!$C$7:$C$17,MATCH(DG60,回合状态!$A$7:$A$17,0))="额外")),0.05,0))</f>
        <v>0.15000000000000002</v>
      </c>
      <c r="DV60" s="1">
        <f>MAX(Boss参数!$B$28,1+IF(AND(E60="37",AC60&gt;0,BH60&gt;0),Boss参数!$B$42,0)-DI60*Boss参数!$B$24+EA60-ER60)</f>
        <v>0</v>
      </c>
      <c r="DW60" s="1">
        <f>MIN(IF(Boss参数!$B$77=1,Boss参数!$B$63*Boss参数!$B$62,Boss参数!$B$61*Boss参数!$B$62),ROUNDDOWN(BQ60*(1-ES60),0))</f>
        <v>2587</v>
      </c>
      <c r="DX60" s="1">
        <f>MIN(IF(Boss参数!$B$77=1,Boss参数!$B$63*Boss参数!$B$62,Boss参数!$B$61*Boss参数!$B$62),ROUNDDOWN(BR60*(1-ES60),0))</f>
        <v>6048</v>
      </c>
      <c r="DY60" s="1">
        <f t="shared" si="65"/>
        <v>238</v>
      </c>
      <c r="DZ60" s="1">
        <f>IF(L60="RHI_ULT",MIN(Boss参数!$B$48,ROUNDDOWN(AY60*Boss参数!$B$47,0)),DY60)</f>
        <v>238</v>
      </c>
      <c r="EA60" s="11">
        <v>0</v>
      </c>
      <c r="EB60" s="1">
        <f t="shared" si="34"/>
        <v>0</v>
      </c>
      <c r="EC60" s="1">
        <f>SUMIFS($EB$3:EB60,$B$3:B60,"&gt;="&amp;MAX(1,B60-2),$B$3:B60,"&lt;="&amp;B60)*Boss参数!$B$51</f>
        <v>16</v>
      </c>
      <c r="ED60" s="1">
        <f>IF(D60="",EG59,IF(AND(DG60&lt;&gt;DG59,DH60&lt;&gt;"洞穿"),MIN(Boss参数!$B$55,EG59+2),EG59))</f>
        <v>0</v>
      </c>
      <c r="EE60" s="1">
        <f t="shared" si="35"/>
        <v>0</v>
      </c>
      <c r="EF60" s="1">
        <f>IF(AND(OR(L60="END_TURN",AND(DH60="敌方",OR(DH59&lt;&gt;"敌方",DG60&lt;&gt;DG59))),SUMIFS($EF$3:EF59,$DG$3:DG59,DG60)=0),MIN(1,MAX(0,ED60-EE60)),0)</f>
        <v>0</v>
      </c>
      <c r="EG60" s="1">
        <f t="shared" si="36"/>
        <v>0</v>
      </c>
      <c r="EH60" s="11">
        <f>Boss参数!$B$53-IF(Y60=1,Boss参数!$B$54,0)</f>
        <v>0</v>
      </c>
      <c r="EI60" s="11">
        <f t="shared" si="37"/>
        <v>0.3</v>
      </c>
      <c r="EJ60" s="11">
        <f t="shared" si="38"/>
        <v>0.3</v>
      </c>
      <c r="EK60" s="11">
        <f t="shared" si="39"/>
        <v>1</v>
      </c>
      <c r="EL60" s="1">
        <f t="shared" si="66"/>
        <v>0</v>
      </c>
      <c r="EM60" s="1">
        <f>IF(AND(DG60&lt;&gt;DG59,DH60="洞穿"),0,IF(L60="ENTER_INSIGHT",Boss参数!$B$57,EO59))</f>
        <v>0</v>
      </c>
      <c r="EN60" s="11">
        <f>IF(AND(Y60=1,H60="洞知",EM60&gt;0),Boss参数!$B$56,0)</f>
        <v>0</v>
      </c>
      <c r="EO60" s="1">
        <f t="shared" si="40"/>
        <v>0</v>
      </c>
      <c r="EP60" s="12">
        <f t="shared" si="67"/>
        <v>13334774</v>
      </c>
      <c r="EQ60" s="12">
        <f>ROUNDDOWN(EP60/Boss参数!$B$62,0)</f>
        <v>133</v>
      </c>
      <c r="ER60" s="11">
        <f>IF(EQ60&gt;=Boss参数!$B$66,Boss参数!$B$69,IF(EQ60&gt;=Boss参数!$B$65,Boss参数!$B$68,IF(EQ60&gt;=Boss参数!$B$64,Boss参数!$B$67,0)))</f>
        <v>0.9</v>
      </c>
      <c r="ES60" s="11">
        <f>MIN(1,IF(EQ60&gt;=Boss参数!$B$66,Boss参数!$B$72+ROUNDDOWN((EQ60-Boss参数!$B$66)/Boss参数!$B$73,0)*Boss参数!$B$74,IF(EQ60&gt;=Boss参数!$B$65,Boss参数!$B$71,IF(EQ60&gt;=Boss参数!$B$64,Boss参数!$B$70,0))))</f>
        <v>0.6</v>
      </c>
      <c r="ET60" s="12">
        <f>MIN(Boss参数!$B$61*Boss参数!$B$62,EP60+IF(AND(Boss参数!$B$60=1,ISNUMBER(验证表!H66)),验证表!H66,EU60))</f>
        <v>13340822</v>
      </c>
      <c r="EU60" s="12">
        <f>IF(D60="",0,IF(验证表!G66="是",BV60,IF(验证表!G66="否",BU60,BW60)))</f>
        <v>6048</v>
      </c>
      <c r="EV60" s="12">
        <f>IF(EQ60&gt;=Boss参数!$B$66,2,IF(EQ60&gt;=Boss参数!$B$65,1,0))</f>
        <v>2</v>
      </c>
      <c r="EW60" s="12">
        <f t="shared" si="41"/>
        <v>3</v>
      </c>
      <c r="EX60" s="1">
        <f>IF(D60="",0,INDEX(回合状态!$D$7:$D$17,MATCH(DG60,回合状态!$A$7:$A$17,0)))</f>
        <v>4</v>
      </c>
      <c r="EY60" s="1">
        <f>IF(OR(L60="RHI_ATTACK",L60="RHI_BUFF"),1,IF(L60="RHI_ULT",Boss参数!$B$52,0))</f>
        <v>0</v>
      </c>
      <c r="EZ60" s="1">
        <f>MIN(6,SUMIFS($EY$3:EY60,$EX$3:EX60,"&gt;="&amp;MAX(1,EX60-Boss参数!$B$87+1),$EX$3:EX60,"&lt;="&amp;EX60))</f>
        <v>6</v>
      </c>
      <c r="FA60" s="1">
        <f t="shared" si="68"/>
        <v>24</v>
      </c>
      <c r="FB60" s="17">
        <f>IF(L60="BOSS_CONSERVATIVE",B60+Boss参数!$B$91,FB59)</f>
        <v>0</v>
      </c>
      <c r="FC60" s="17">
        <f t="shared" si="69"/>
        <v>0</v>
      </c>
      <c r="FD60" s="17">
        <f>IF(D60="",FD59,FD59+IF(AND(DG60&lt;&gt;DG59,INDEX(回合状态!$C$7:$C$17,MATCH(DG60,回合状态!$A$7:$A$17,0))&lt;&gt;"洞穿"),1,0))</f>
        <v>4</v>
      </c>
      <c r="FE60" s="17">
        <f>IF(D60="",0,IF(AND(OR(L60="END_TURN",DH60="敌方"),INDEX(回合状态!$C$7:$C$17,MATCH(DG60,回合状态!$A$7:$A$17,0))&lt;&gt;"洞穿",SUMIFS($FE$3:FE59,$DG$3:DG59,DG60)=0),1,0))</f>
        <v>0</v>
      </c>
    </row>
    <row r="61" spans="1:161" ht="84.95" customHeight="1">
      <c r="A61" s="1">
        <f>行动模拟!A67</f>
        <v>59</v>
      </c>
      <c r="B61" s="1">
        <f>IF(D61="",0,INDEX(回合状态!$B$7:$B$17,MATCH(DG61,回合状态!$A$7:$A$17,0)))</f>
        <v>3</v>
      </c>
      <c r="C61" s="1">
        <f>行动模拟!C67</f>
        <v>10</v>
      </c>
      <c r="D61" s="1" t="str">
        <f>IF(行动模拟!D67="","",行动模拟!D67)</f>
        <v>小瑞安侬｜虫虫黑莓唤回术</v>
      </c>
      <c r="E61" s="1" t="str">
        <f>IF($D61="","",IFERROR(INDEX(技能数据库!$B$4:$B$38,MATCH($D61,技能数据库!$A$4:$A$38,0)),""))</f>
        <v>小瑞安侬</v>
      </c>
      <c r="F61" s="1" t="str">
        <f>IF($D61="","",IFERROR(INDEX(技能数据库!$C$4:$C$38,MATCH($D61,技能数据库!$A$4:$A$38,0)),""))</f>
        <v>虫虫黑莓唤回术</v>
      </c>
      <c r="G61" s="1">
        <f>IF($D61="","",IFERROR(INDEX(技能数据库!$D$4:$D$38,MATCH($D61,技能数据库!$A$4:$A$38,0)),""))</f>
        <v>0</v>
      </c>
      <c r="H61" s="1" t="str">
        <f>IF($D61="","",IFERROR(INDEX(技能数据库!$E$4:$E$38,MATCH($D61,技能数据库!$A$4:$A$38,0)),""))</f>
        <v>特殊</v>
      </c>
      <c r="I61" s="1" t="str">
        <f>IF($D61="","",IFERROR(INDEX(技能数据库!$F$4:$F$38,MATCH($D61,技能数据库!$A$4:$A$38,0)),""))</f>
        <v>精神</v>
      </c>
      <c r="J61" s="1">
        <f>IF($D61="","",IFERROR(INDEX(技能数据库!$G$4:$G$38,MATCH($D61,技能数据库!$A$4:$A$38,0)),""))</f>
        <v>15</v>
      </c>
      <c r="K61" s="1">
        <f>IF($D61="","",IFERROR(INDEX(技能数据库!$H$4:$H$38,MATCH($D61,技能数据库!$A$4:$A$38,0)),""))</f>
        <v>0</v>
      </c>
      <c r="L61" s="1" t="str">
        <f>IF($D61="","",IFERROR(INDEX(技能数据库!$I$4:$I$38,MATCH($D61,技能数据库!$A$4:$A$38,0)),""))</f>
        <v>RHI_BERRY</v>
      </c>
      <c r="M61" s="10">
        <v>1</v>
      </c>
      <c r="N61" s="1"/>
      <c r="O61" s="1"/>
      <c r="P61" s="1"/>
      <c r="Q61" s="10">
        <f t="shared" si="0"/>
        <v>0</v>
      </c>
      <c r="R61" s="10">
        <v>0</v>
      </c>
      <c r="S61" s="10">
        <v>0</v>
      </c>
      <c r="T61" s="1">
        <f>行动模拟!I67</f>
        <v>0</v>
      </c>
      <c r="U61" s="1">
        <f>IF(FD61&lt;&gt;FD60,IF(BY60=1,IF(MIN(10,CA60+IF(AND(DG61&lt;&gt;DG60,DH60&lt;&gt;"洞穿",SUMIFS($FE$3:FE60,$DG$3:DG60,DG60)=0,BY60=1),3,0))&gt;=10,2,1),IF(BY60=2,IF(BZ60&lt;=1,0,2),0)),BY60)</f>
        <v>1</v>
      </c>
      <c r="V61" s="1">
        <f>IF(FD61&lt;&gt;FD60,IF(BY60=1,IF(MIN(10,CA60+IF(AND(DG61&lt;&gt;DG60,DH60&lt;&gt;"洞穿",SUMIFS($FE$3:FE60,$DG$3:DG60,DG60)=0,BY60=1),3,0))&gt;=10,2,0),IF(BY60=2,MAX(0,BZ60-1),0)),BZ60)</f>
        <v>0</v>
      </c>
      <c r="W61" s="1">
        <f>IF(AND(FD61&lt;&gt;FD60,BY60=2,BZ60&lt;=1),0,MIN(10,CA60+IF(AND(DG61&lt;&gt;DG60,DH60&lt;&gt;"洞穿",SUMIFS($FE$3:FE60,$DG$3:DG60,DG60)=0,BY60=1),3,0)))</f>
        <v>0</v>
      </c>
      <c r="X61" s="1">
        <f t="shared" si="42"/>
        <v>11</v>
      </c>
      <c r="Y61" s="1">
        <f t="shared" si="43"/>
        <v>0</v>
      </c>
      <c r="Z61" s="1">
        <f t="shared" si="44"/>
        <v>0</v>
      </c>
      <c r="AA61" s="1">
        <f t="shared" si="45"/>
        <v>0</v>
      </c>
      <c r="AB61" s="1">
        <f t="shared" si="46"/>
        <v>0</v>
      </c>
      <c r="AC61" s="1">
        <f t="shared" si="47"/>
        <v>0</v>
      </c>
      <c r="AD61" s="1">
        <f t="shared" si="48"/>
        <v>35</v>
      </c>
      <c r="AE61" s="1">
        <f>IF(D61="",0,IF(DG61&lt;&gt;DG60,IFERROR(INDEX(回合状态!$F$7:$F$17,MATCH(DG61,回合状态!$A$7:$A$17,0)),0),CI60))</f>
        <v>27</v>
      </c>
      <c r="AF61" s="10">
        <f t="shared" si="49"/>
        <v>0.4</v>
      </c>
      <c r="AG61" s="1">
        <f t="shared" si="50"/>
        <v>5</v>
      </c>
      <c r="AH61" s="1">
        <f t="shared" si="51"/>
        <v>5</v>
      </c>
      <c r="AI61" s="1">
        <f t="shared" si="52"/>
        <v>4</v>
      </c>
      <c r="AJ61" s="1">
        <f t="shared" si="53"/>
        <v>5</v>
      </c>
      <c r="AK61" s="1">
        <f t="shared" si="54"/>
        <v>4</v>
      </c>
      <c r="AL61" s="1">
        <f t="shared" si="55"/>
        <v>3</v>
      </c>
      <c r="AM61" s="1">
        <f t="shared" si="56"/>
        <v>20</v>
      </c>
      <c r="AN61" s="1">
        <f t="shared" si="57"/>
        <v>4</v>
      </c>
      <c r="AO61" s="1">
        <f t="shared" si="58"/>
        <v>0</v>
      </c>
      <c r="AP61" s="10">
        <f t="shared" si="59"/>
        <v>0.12</v>
      </c>
      <c r="AQ61" s="1">
        <f t="shared" si="60"/>
        <v>5</v>
      </c>
      <c r="AR61" s="10">
        <f t="shared" si="61"/>
        <v>0.3</v>
      </c>
      <c r="AS61" s="1">
        <f t="shared" si="62"/>
        <v>5</v>
      </c>
      <c r="AT61" s="10">
        <f t="shared" si="63"/>
        <v>0.3</v>
      </c>
      <c r="AU61" s="1">
        <f t="shared" si="64"/>
        <v>5</v>
      </c>
      <c r="AV61" s="1">
        <f>MIN(5,SUMIFS($EL$3:EL61,$B$3:B61,"&gt;="&amp;MAX(1,B61-2),$B$3:B61,"&lt;="&amp;B61)+EC61)</f>
        <v>5</v>
      </c>
      <c r="AW61" s="1">
        <f>MIN(6,SUMIFS($EY$3:EY60,$EX$3:EX60,"&gt;="&amp;MAX(1,EX61-Boss参数!$B$87+1),$EX$3:EX60,"&lt;="&amp;EX61))</f>
        <v>6</v>
      </c>
      <c r="AX61" s="1">
        <f>MIN(4,COUNTIFS($B$3:$B$60,"&gt;="&amp;MAX(1,$B61-2),$B$3:$B$60,"&lt;="&amp;$B61,$L$3:$L$60,"37_FOLLOW"))</f>
        <v>4</v>
      </c>
      <c r="AY61" s="9">
        <f>IF($E61="","",IF($E61="系统",0,ROUNDDOWN(INDEX(角色面板!$C$4:$C$7,MATCH($E61,角色面板!$A$4:$A$7,0))*(1+INDEX(角色面板!$C$11:$C$14,MATCH($E61,角色面板!$A$11:$A$14,0))+IF($E61="小瑞安侬",MAX(IF($B61&lt;=$AQ61,$AP61,0),IF(AND($L61="RHI_ATTACK",$EE61&gt;0),0.11+0.01*$G61,0)),0)+IF($E61="J",$AD61*Boss参数!$B$18,0))+IF(FD61&lt;=$AN61,MIN(Boss参数!$B$21,ROUNDDOWN(角色面板!$C$19*Boss参数!$B$20,0)),0)+IF(AND($B61&lt;=$AK61,$E61&lt;&gt;"小瑞安侬"),$DY61,0),0)))</f>
        <v>3798</v>
      </c>
      <c r="AZ61" s="10">
        <f>IF($E61="","",MAX(0,MIN(1,IFERROR(INDEX(角色面板!$G$18:$G$21,MATCH($E61,角色面板!$A$18:$A$21,0)),0)-FC61*Boss参数!$B$89-Boss参数!$E$4)))</f>
        <v>0.55499999999999994</v>
      </c>
      <c r="BA61" s="10">
        <f>IF(E61="","",(IF($E61="","",IF($E61="红弩箭",Boss参数!$B$80,IF($E61="J",Boss参数!$B$81,IFERROR(INDEX(角色面板!$H$18:$H$21,MATCH($E61,角色面板!$A$18:$A$21,0)),0)))+IF($B61&lt;=$AI61,Boss参数!$B$13,0)+MIN(30,$AM61)*Boss参数!$B$17+IF(AND($L61="LILYA_ULT",$X61&gt;=6),1,0)+IF(AND($Y61=1,$L61="LILYA_INSIGHT"),IF(MOD($AA61+1,3)=0,Boss参数!$B$83,Boss参数!$B$82),IF(AND($Y61=1,$L61="LILYA_FINISH"),Boss参数!$B$84,0))))-FC61*Boss参数!$B$90)</f>
        <v>1.79</v>
      </c>
      <c r="BB61" s="10">
        <f>IF($E61="","",IFERROR(INDEX(角色面板!$M$18:$M$21,MATCH($E61,角色面板!$A$18:$A$21,0)),0)+$AW61*Boss参数!$B$12+IF($B61&lt;=$AG61,$AF61,0)+$EI61+IF($L61="LILYA_DIVE",IF($U61=1,IF($G61=1,0.3,IF($G61=2,0.4,0.5)),IF($U61=2,IF($G61=1,0.6,IF($G61=2,0.8,1)),0)),0)+$R61+IF(AND($E61="J",OR($L61="J_COUNTER",$L61="J_HARD")),Boss参数!$B$79,0)+IF(AND(OR(L61="J_COUNTER",L61="J_HARD"),FA61&gt;=Boss参数!$B$59),FA61*Boss参数!$B$40,0))</f>
        <v>0.82000000000000006</v>
      </c>
      <c r="BC61" s="10">
        <f>IF($E61="","",IFERROR(INDEX(角色面板!$K$18:$K$21,MATCH($E61,角色面板!$A$18:$A$21,0)),0)+IF($B61&lt;=$AH61,Boss参数!$B$46,0)+IF($E61="红弩箭",IF($U61=1,0.6,IF($U61=2,1.2,0))+$W61*0.06,0))-DI61*Boss参数!$B$23</f>
        <v>-0.85000000000000009</v>
      </c>
      <c r="BD61" s="10">
        <f>IF($E61="","",IFERROR(INDEX(角色面板!$L$18:$L$21,MATCH($E61,角色面板!$A$18:$A$21,0)),0)+IF($B61&lt;=$AH61,Boss参数!$B$46,0)+IF($E61="J",$AL61*Boss参数!$B$16,0)+IF($E61="红弩箭",$X61*0.025,0)+IF(AND($L61="LILYA_ULT",$X61&gt;=6),1,0))-DI61*Boss参数!$B$23</f>
        <v>-0.45</v>
      </c>
      <c r="BE61" s="10">
        <f>IF($E61="","",IF($H61="洞知",IF($E61="红弩箭",$AO61*Boss参数!$B$15,0)+$AX61*Boss参数!$B$14,0))</f>
        <v>0</v>
      </c>
      <c r="BF61" s="10">
        <f t="shared" si="1"/>
        <v>0</v>
      </c>
      <c r="BG61" s="10">
        <f>IF($D61="",0,IF(AND($L61&lt;&gt;"LILYA_DIVE",$L61&lt;&gt;"LILYA_ULT",$L61&lt;&gt;"LILYA_INSIGHT",$L61&lt;&gt;"LILYA_FINISH",$L61&lt;&gt;"37_FOLLOW",$L61&lt;&gt;"RHI_ATTACK",$L61&lt;&gt;"RHI_BERRY",$L61&lt;&gt;"J_COUNTER",$L61&lt;&gt;"J_ULT"),$J61,0)+IF($L61="LILYA_DIVE",$J61+IF($U61=1,IF($G61=1,6,IF($G61=2,12,18)),IF($U61=2,IF($G61=1,12,IF($G61=2,24,36)),0)),0)+IF($L61="LILYA_ULT",$J61+IF($X61&gt;=6,18,0),0)+IF($L61="LILYA_INSIGHT",IF($Y61=1,IF(MOD($AA61+1,3)=0,32,15),0),0)+IF($L61="LILYA_FINISH",IF($Y61=1,50+2.5*$Z61,0),0)+IF($L61="37_FOLLOW",$J61,0)+IF($L61="RHI_ATTACK",$J61*IF($B61&lt;=$AJ61,2,1),0)+IF($L61="RHI_BERRY",15+1.5*$AV61,0)+IF($L61="J_COUNTER",$J61+$AD61*Boss参数!$B$39,0)+IF($L61="J_ULT",$J61+Boss参数!$B$45*MAX(0,$AE61+$AD61-Boss参数!$I$4),0)+$S61)</f>
        <v>22.5</v>
      </c>
      <c r="BH61" s="10">
        <f t="shared" si="2"/>
        <v>0</v>
      </c>
      <c r="BI61" s="10">
        <f>IF(E61="","",IF(DT61=1,1+Boss参数!$B$8+AV61*Boss参数!$B$19,1))</f>
        <v>1.5</v>
      </c>
      <c r="BJ61" s="9">
        <f>IF($I61="现实",Boss参数!$C$4,IF($I61="精神",Boss参数!$D$4,0))</f>
        <v>1000</v>
      </c>
      <c r="BK61" s="9">
        <f>IF($E61="","",MAX($AY61*Boss参数!$B$9,$AY61-$BJ61*(1-$BF61)))</f>
        <v>2798</v>
      </c>
      <c r="BL61" s="10">
        <f>MAX(0,Boss参数!$F$4+IF(DT61=0,Boss参数!$B$27,0)-EJ61)</f>
        <v>0.10000000000000003</v>
      </c>
      <c r="BM61" s="10">
        <f>Boss参数!$G$4+DU61-IF(Y61=1,Boss参数!$B$11,0)</f>
        <v>0.55000000000000004</v>
      </c>
      <c r="BN61" s="10">
        <f>IF($E61="","",MAX(Boss参数!$B$10,1+IFERROR(INDEX(角色面板!$I$18:$I$21,MATCH($E61,角色面板!$A$18:$A$21,0)),0)+$BB61+Boss参数!$H$4-$BM61))</f>
        <v>1.3049999999999999</v>
      </c>
      <c r="BO61" s="10">
        <f>IF(E61="","",IF(OR(L61="J_COUNTER",L61="J_HARD"),MAX(0,1+INDEX(角色面板!$K$18:$K$21,MATCH(E61,角色面板!$A$18:$A$21,0))-DI61*Boss参数!$B$23+IF(OR(Boss参数!$B$43=1,L61="J_HARD"),IF(B61&lt;=AH61,Boss参数!$B$46,0),0)),MAX(0,IF(OR(H61="术法",L61="RHI_BERRY",AND(L61="37_FOLLOW",Boss参数!$B$31=1)),1+BC61,IF(H61="仪式",1+BD61,IF(H61="洞知",EK61,1))))))</f>
        <v>0.14999999999999991</v>
      </c>
      <c r="BP61" s="10">
        <f t="shared" si="3"/>
        <v>1.69</v>
      </c>
      <c r="BQ61" s="1">
        <f t="shared" si="4"/>
        <v>18485.161874999991</v>
      </c>
      <c r="BR61" s="1">
        <f t="shared" si="5"/>
        <v>31239.923568749982</v>
      </c>
      <c r="BS61" s="1">
        <f>IF(BH61=0,0,ROUNDDOWN(AY61*BH61,0)*DV61*IF(Boss参数!$B$29=1,BN61,1)*IF(Boss参数!$B$33=1,BO61,1)*IF(Boss参数!$B$76=1,1-ES61,1))</f>
        <v>0</v>
      </c>
      <c r="BT61" s="1">
        <f t="shared" si="6"/>
        <v>0</v>
      </c>
      <c r="BU61" s="9">
        <f>IF(D61="",0,MIN(IF(Boss参数!$B$77=1,Boss参数!$B$63*Boss参数!$B$62,Boss参数!$B$61*Boss参数!$B$62),DW61+ROUNDDOWN(BS61,0)+ROUNDDOWN(DW61*Q61,0)))</f>
        <v>7394</v>
      </c>
      <c r="BV61" s="9">
        <f>IF(D61="",0,MIN(IF(Boss参数!$B$77=1,Boss参数!$B$63*Boss参数!$B$62,Boss参数!$B$61*Boss参数!$B$62),DX61+ROUNDDOWN(BT61,0)+ROUNDDOWN(DX61*Q61,0)))</f>
        <v>12495</v>
      </c>
      <c r="BW61" s="9">
        <f t="shared" si="7"/>
        <v>10225</v>
      </c>
      <c r="BX61" s="1" t="str">
        <f t="shared" si="8"/>
        <v/>
      </c>
      <c r="BY61" s="1">
        <f t="shared" si="9"/>
        <v>1</v>
      </c>
      <c r="BZ61" s="1">
        <f t="shared" si="10"/>
        <v>0</v>
      </c>
      <c r="CA61" s="1">
        <f>MIN(10,W61+IF(AND(L61="LILYA_COBRA",COUNTIF($L$3:L61,"LILYA_COBRA")=1),5,0)+IF(AND(L61="LILYA_DIVE",U61=1,COUNTIFS($DG$3:DG61,DG61,$L$3:L61,"LILYA_DIVE")=1),2,0)+IF(AND(FE61=1,U61=1),3,0))</f>
        <v>0</v>
      </c>
      <c r="CB61" s="1">
        <f>MIN(20,MAX(0,X61+IF(L61="LILYA_COBRA",IF(COUNTIF($L$3:L61,"LILYA_COBRA")=1,6,IF(U61=1,MAX(1,G61),IF(U61=2,2*MAX(1,G61),0))),0)+IF(AND(Y61=1,E61="红弩箭",L61&lt;&gt;"ENTER_INSIGHT"),1,0)-IF(AND(L61="LILYA_ULT",X61&gt;=6),6,0)))</f>
        <v>11</v>
      </c>
      <c r="CC61" s="1">
        <f t="shared" si="11"/>
        <v>0</v>
      </c>
      <c r="CD61" s="1">
        <f t="shared" si="12"/>
        <v>0</v>
      </c>
      <c r="CE61" s="1">
        <f t="shared" si="13"/>
        <v>0</v>
      </c>
      <c r="CF61" s="1">
        <f t="shared" si="14"/>
        <v>1</v>
      </c>
      <c r="CG61" s="1">
        <f t="shared" si="15"/>
        <v>0</v>
      </c>
      <c r="CH61" s="1">
        <f>MIN(35,AD61+IF(L61="J_HARD",6,0)+IF(L61="J_COUNTER",Boss参数!$B$30,0))</f>
        <v>35</v>
      </c>
      <c r="CI61" s="1">
        <f>MIN(Boss参数!$I$4,AE61+IF(L61="J_HARD",6,0)+IF(L61="J_ULT",AD61,0)+IF(L61="J_COUNTER",Boss参数!$B$30,0))</f>
        <v>27</v>
      </c>
      <c r="CJ61" s="10">
        <f>IF(L61="J_ULT",AD61*Boss参数!$B$41,IF(B61&lt;=AG61,AF61,0))</f>
        <v>0.4</v>
      </c>
      <c r="CK61" s="1">
        <f t="shared" si="16"/>
        <v>5</v>
      </c>
      <c r="CL61" s="1">
        <f t="shared" si="17"/>
        <v>5</v>
      </c>
      <c r="CM61" s="1">
        <f t="shared" si="18"/>
        <v>4</v>
      </c>
      <c r="CN61" s="1">
        <f t="shared" si="19"/>
        <v>5</v>
      </c>
      <c r="CO61" s="1">
        <f t="shared" si="20"/>
        <v>4</v>
      </c>
      <c r="CP61" s="1">
        <f t="shared" si="21"/>
        <v>3</v>
      </c>
      <c r="CQ61" s="1">
        <f t="shared" si="22"/>
        <v>20</v>
      </c>
      <c r="CR61" s="1">
        <f t="shared" si="23"/>
        <v>4</v>
      </c>
      <c r="CS61" s="1">
        <f t="shared" si="24"/>
        <v>0</v>
      </c>
      <c r="CT61" s="10">
        <f t="shared" si="25"/>
        <v>0.12</v>
      </c>
      <c r="CU61" s="1">
        <f t="shared" si="26"/>
        <v>5</v>
      </c>
      <c r="CV61" s="10">
        <f t="shared" si="27"/>
        <v>0.3</v>
      </c>
      <c r="CW61" s="1">
        <f t="shared" si="28"/>
        <v>5</v>
      </c>
      <c r="CX61" s="10">
        <f t="shared" si="29"/>
        <v>0.3</v>
      </c>
      <c r="CY61" s="1">
        <f t="shared" si="30"/>
        <v>5</v>
      </c>
      <c r="CZ61" s="1"/>
      <c r="DA61" s="1"/>
      <c r="DB61" s="1"/>
      <c r="DC61" s="1"/>
      <c r="DD61" s="1"/>
      <c r="DE61" s="1"/>
      <c r="DF61" s="1"/>
      <c r="DG61" s="1" t="str">
        <f>IF(D61="","",行动模拟!B67)</f>
        <v>小瑞安侬额外回合</v>
      </c>
      <c r="DH61" s="1" t="str">
        <f>IF(L61="END_TURN","回合结束",IF(D61="","",IF(INDEX(回合状态!$C$7:$C$17,MATCH(DG61,回合状态!$A$7:$A$17,0))="洞穿","洞穿",IF(OR(L61="J_COUNTER",L61="BOSS_ACTION",L61="BOSS_CONSERVATIVE"),"敌方",IF(AND(L61="37_FOLLOW",DG61=DG60,DH60="敌方"),"敌方",IF(INDEX(回合状态!$C$7:$C$17,MATCH(DG61,回合状态!$A$7:$A$17,0))="普通","出牌",INDEX(回合状态!$C$7:$C$17,MATCH(DG61,回合状态!$A$7:$A$17,0))))))))</f>
        <v>额外</v>
      </c>
      <c r="DI61" s="1">
        <f t="shared" si="31"/>
        <v>5</v>
      </c>
      <c r="DJ61" s="1">
        <f>IF(D61="",0,MIN(Boss参数!$B$25,IF(OR(AND(DH61="敌方",OR(DH60&lt;&gt;"敌方",DG61&lt;&gt;DG60)),AND(L61="END_TURN",DH61&lt;&gt;"洞穿"),AND(DG61&lt;&gt;DG60,DH60&lt;&gt;"洞穿",L60&lt;&gt;"END_TURN",COUNTIFS($DG$3:DG60,DG60,$DH$3:DH60,"敌方")=0)),EW61,DN60)))</f>
        <v>5</v>
      </c>
      <c r="DK61" s="1">
        <f>IF(D61="",0,MIN(Boss参数!$B$25,IF(OR(AND(DH61="敌方",OR(DH60&lt;&gt;"敌方",DG61&lt;&gt;DG60)),AND(L61="END_TURN",DH61&lt;&gt;"洞穿"),AND(DG61&lt;&gt;DG60,DH60&lt;&gt;"洞穿",L60&lt;&gt;"END_TURN",COUNTIFS($DG$3:DG60,DG60,$DH$3:DH60,"敌方")=0)),EW61,DO60)))</f>
        <v>2</v>
      </c>
      <c r="DL61" s="1">
        <f>IF(D61="",0,MIN(Boss参数!$B$25,IF(OR(AND(DH61="敌方",OR(DH60&lt;&gt;"敌方",DG61&lt;&gt;DG60)),AND(L61="END_TURN",DH61&lt;&gt;"洞穿"),AND(DG61&lt;&gt;DG60,DH60&lt;&gt;"洞穿",L60&lt;&gt;"END_TURN",COUNTIFS($DG$3:DG60,DG60,$DH$3:DH60,"敌方")=0)),EW61,DP60)))</f>
        <v>5</v>
      </c>
      <c r="DM61" s="1">
        <f>IF(D61="",0,MIN(Boss参数!$B$25,IF(OR(AND(DH61="敌方",OR(DH60&lt;&gt;"敌方",DG61&lt;&gt;DG60)),AND(L61="END_TURN",DH61&lt;&gt;"洞穿"),AND(DG61&lt;&gt;DG60,DH60&lt;&gt;"洞穿",L60&lt;&gt;"END_TURN",COUNTIFS($DG$3:DG60,DG60,$DH$3:DH60,"敌方")=0)),EW61,DQ60)))</f>
        <v>3</v>
      </c>
      <c r="DN61" s="1">
        <f>MAX(0,MIN(Boss参数!$B$25,DJ61+DR61)-IF(E61="红弩箭",2*DR61,0))</f>
        <v>5</v>
      </c>
      <c r="DO61" s="1">
        <f>MAX(0,MIN(Boss参数!$B$25,DK61+DR61)-IF(E61="37",2*DR61,0))</f>
        <v>3</v>
      </c>
      <c r="DP61" s="1">
        <f>MAX(0,MIN(Boss参数!$B$25,DL61+DR61)-IF(E61="小瑞安侬",2*DR61,0))</f>
        <v>3</v>
      </c>
      <c r="DQ61" s="1">
        <f>MAX(0,MIN(Boss参数!$B$25,DM61+DR61)-IF(E61="J",2*DR61,0))</f>
        <v>4</v>
      </c>
      <c r="DR61" s="1">
        <f t="shared" si="32"/>
        <v>1</v>
      </c>
      <c r="DS61" s="1">
        <f t="shared" si="33"/>
        <v>1</v>
      </c>
      <c r="DT61" s="1">
        <f>IF(OR(E61="",E61="系统"),0,IF(OR(AND(DS61=1,Boss参数!$B$32=1),L61="RHI_BERRY",OR(AND(INDEX(角色面板!$B$18:$B$21,MATCH(E61,角色面板!$A$18:$A$21,0))="星",Boss参数!$B$4="岩"),AND(INDEX(角色面板!$B$18:$B$21,MATCH(E61,角色面板!$A$18:$A$21,0))="岩",Boss参数!$B$4="兽"),AND(INDEX(角色面板!$B$18:$B$21,MATCH(E61,角色面板!$A$18:$A$21,0))="兽",Boss参数!$B$4="木"),AND(INDEX(角色面板!$B$18:$B$21,MATCH(E61,角色面板!$A$18:$A$21,0))="木",Boss参数!$B$4="星"),AND(INDEX(角色面板!$B$18:$B$21,MATCH(E61,角色面板!$A$18:$A$21,0))="智",Boss参数!$B$4="灵"),AND(INDEX(角色面板!$B$18:$B$21,MATCH(E61,角色面板!$A$18:$A$21,0))="灵",Boss参数!$B$4="智"))),1,0))</f>
        <v>1</v>
      </c>
      <c r="DU61" s="1">
        <f>IF(D61="",0,INDEX(回合状态!$E$7:$E$17,MATCH(DG61,回合状态!$A$7:$A$17,0))+IF(AND(DH61="敌方",OR(INDEX(回合状态!$C$7:$C$17,MATCH(DG61,回合状态!$A$7:$A$17,0))="普通",INDEX(回合状态!$C$7:$C$17,MATCH(DG61,回合状态!$A$7:$A$17,0))="额外")),0.05,0))</f>
        <v>0.15000000000000002</v>
      </c>
      <c r="DV61" s="1">
        <f>MAX(Boss参数!$B$28,1+IF(AND(E61="37",AC61&gt;0,BH61&gt;0),Boss参数!$B$42,0)-DI61*Boss参数!$B$24+EA61-ER61)</f>
        <v>0</v>
      </c>
      <c r="DW61" s="1">
        <f>MIN(IF(Boss参数!$B$77=1,Boss参数!$B$63*Boss参数!$B$62,Boss参数!$B$61*Boss参数!$B$62),ROUNDDOWN(BQ61*(1-ES61),0))</f>
        <v>7394</v>
      </c>
      <c r="DX61" s="1">
        <f>MIN(IF(Boss参数!$B$77=1,Boss参数!$B$63*Boss参数!$B$62,Boss参数!$B$61*Boss参数!$B$62),ROUNDDOWN(BR61*(1-ES61),0))</f>
        <v>12495</v>
      </c>
      <c r="DY61" s="1">
        <f t="shared" si="65"/>
        <v>238</v>
      </c>
      <c r="DZ61" s="1">
        <f>IF(L61="RHI_ULT",MIN(Boss参数!$B$48,ROUNDDOWN(AY61*Boss参数!$B$47,0)),DY61)</f>
        <v>238</v>
      </c>
      <c r="EA61" s="11">
        <v>0</v>
      </c>
      <c r="EB61" s="1">
        <f t="shared" si="34"/>
        <v>0</v>
      </c>
      <c r="EC61" s="1">
        <f>SUMIFS($EB$3:EB61,$B$3:B61,"&gt;="&amp;MAX(1,B61-2),$B$3:B61,"&lt;="&amp;B61)*Boss参数!$B$51</f>
        <v>16</v>
      </c>
      <c r="ED61" s="1">
        <f>IF(D61="",EG60,IF(AND(DG61&lt;&gt;DG60,DH61&lt;&gt;"洞穿"),MIN(Boss参数!$B$55,EG60+2),EG60))</f>
        <v>0</v>
      </c>
      <c r="EE61" s="1">
        <f t="shared" si="35"/>
        <v>0</v>
      </c>
      <c r="EF61" s="1">
        <f>IF(AND(OR(L61="END_TURN",AND(DH61="敌方",OR(DH60&lt;&gt;"敌方",DG61&lt;&gt;DG60))),SUMIFS($EF$3:EF60,$DG$3:DG60,DG61)=0),MIN(1,MAX(0,ED61-EE61)),0)</f>
        <v>0</v>
      </c>
      <c r="EG61" s="1">
        <f t="shared" si="36"/>
        <v>0</v>
      </c>
      <c r="EH61" s="11">
        <f>Boss参数!$B$53-IF(Y61=1,Boss参数!$B$54,0)</f>
        <v>0</v>
      </c>
      <c r="EI61" s="11">
        <f t="shared" si="37"/>
        <v>0.3</v>
      </c>
      <c r="EJ61" s="11">
        <f t="shared" si="38"/>
        <v>0.3</v>
      </c>
      <c r="EK61" s="11">
        <f t="shared" si="39"/>
        <v>1</v>
      </c>
      <c r="EL61" s="1">
        <f t="shared" si="66"/>
        <v>0</v>
      </c>
      <c r="EM61" s="1">
        <f>IF(AND(DG61&lt;&gt;DG60,DH61="洞穿"),0,IF(L61="ENTER_INSIGHT",Boss参数!$B$57,EO60))</f>
        <v>0</v>
      </c>
      <c r="EN61" s="11">
        <f>IF(AND(Y61=1,H61="洞知",EM61&gt;0),Boss参数!$B$56,0)</f>
        <v>0</v>
      </c>
      <c r="EO61" s="1">
        <f t="shared" si="40"/>
        <v>0</v>
      </c>
      <c r="EP61" s="12">
        <f t="shared" si="67"/>
        <v>13340822</v>
      </c>
      <c r="EQ61" s="12">
        <f>ROUNDDOWN(EP61/Boss参数!$B$62,0)</f>
        <v>133</v>
      </c>
      <c r="ER61" s="11">
        <f>IF(EQ61&gt;=Boss参数!$B$66,Boss参数!$B$69,IF(EQ61&gt;=Boss参数!$B$65,Boss参数!$B$68,IF(EQ61&gt;=Boss参数!$B$64,Boss参数!$B$67,0)))</f>
        <v>0.9</v>
      </c>
      <c r="ES61" s="11">
        <f>MIN(1,IF(EQ61&gt;=Boss参数!$B$66,Boss参数!$B$72+ROUNDDOWN((EQ61-Boss参数!$B$66)/Boss参数!$B$73,0)*Boss参数!$B$74,IF(EQ61&gt;=Boss参数!$B$65,Boss参数!$B$71,IF(EQ61&gt;=Boss参数!$B$64,Boss参数!$B$70,0))))</f>
        <v>0.6</v>
      </c>
      <c r="ET61" s="12">
        <f>MIN(Boss参数!$B$61*Boss参数!$B$62,EP61+IF(AND(Boss参数!$B$60=1,ISNUMBER(验证表!H67)),验证表!H67,EU61))</f>
        <v>13353317</v>
      </c>
      <c r="EU61" s="12">
        <f>IF(D61="",0,IF(验证表!G67="是",BV61,IF(验证表!G67="否",BU61,BW61)))</f>
        <v>12495</v>
      </c>
      <c r="EV61" s="12">
        <f>IF(EQ61&gt;=Boss参数!$B$66,2,IF(EQ61&gt;=Boss参数!$B$65,1,0))</f>
        <v>2</v>
      </c>
      <c r="EW61" s="12">
        <f t="shared" si="41"/>
        <v>3</v>
      </c>
      <c r="EX61" s="1">
        <f>IF(D61="",0,INDEX(回合状态!$D$7:$D$17,MATCH(DG61,回合状态!$A$7:$A$17,0)))</f>
        <v>4</v>
      </c>
      <c r="EY61" s="1">
        <f>IF(OR(L61="RHI_ATTACK",L61="RHI_BUFF"),1,IF(L61="RHI_ULT",Boss参数!$B$52,0))</f>
        <v>0</v>
      </c>
      <c r="EZ61" s="1">
        <f>MIN(6,SUMIFS($EY$3:EY61,$EX$3:EX61,"&gt;="&amp;MAX(1,EX61-Boss参数!$B$87+1),$EX$3:EX61,"&lt;="&amp;EX61))</f>
        <v>6</v>
      </c>
      <c r="FA61" s="1">
        <f t="shared" si="68"/>
        <v>24</v>
      </c>
      <c r="FB61" s="17">
        <f>IF(L61="BOSS_CONSERVATIVE",B61+Boss参数!$B$91,FB60)</f>
        <v>0</v>
      </c>
      <c r="FC61" s="17">
        <f t="shared" si="69"/>
        <v>0</v>
      </c>
      <c r="FD61" s="17">
        <f>IF(D61="",FD60,FD60+IF(AND(DG61&lt;&gt;DG60,INDEX(回合状态!$C$7:$C$17,MATCH(DG61,回合状态!$A$7:$A$17,0))&lt;&gt;"洞穿"),1,0))</f>
        <v>4</v>
      </c>
      <c r="FE61" s="17">
        <f>IF(D61="",0,IF(AND(OR(L61="END_TURN",DH61="敌方"),INDEX(回合状态!$C$7:$C$17,MATCH(DG61,回合状态!$A$7:$A$17,0))&lt;&gt;"洞穿",SUMIFS($FE$3:FE60,$DG$3:DG60,DG61)=0),1,0))</f>
        <v>0</v>
      </c>
    </row>
    <row r="62" spans="1:161" ht="84.95" customHeight="1">
      <c r="A62" s="1">
        <f>行动模拟!A68</f>
        <v>60</v>
      </c>
      <c r="B62" s="1">
        <f>IF(D62="",0,INDEX(回合状态!$B$7:$B$17,MATCH(DG62,回合状态!$A$7:$A$17,0)))</f>
        <v>3</v>
      </c>
      <c r="C62" s="1">
        <f>行动模拟!C68</f>
        <v>11</v>
      </c>
      <c r="D62" s="1" t="str">
        <f>IF(行动模拟!D68="","",行动模拟!D68)</f>
        <v>系统｜回合结束</v>
      </c>
      <c r="E62" s="1" t="str">
        <f>IF($D62="","",IFERROR(INDEX(技能数据库!$B$4:$B$38,MATCH($D62,技能数据库!$A$4:$A$38,0)),""))</f>
        <v>系统</v>
      </c>
      <c r="F62" s="1" t="str">
        <f>IF($D62="","",IFERROR(INDEX(技能数据库!$C$4:$C$38,MATCH($D62,技能数据库!$A$4:$A$38,0)),""))</f>
        <v>回合结束</v>
      </c>
      <c r="G62" s="1">
        <f>IF($D62="","",IFERROR(INDEX(技能数据库!$D$4:$D$38,MATCH($D62,技能数据库!$A$4:$A$38,0)),""))</f>
        <v>0</v>
      </c>
      <c r="H62" s="1" t="str">
        <f>IF($D62="","",IFERROR(INDEX(技能数据库!$E$4:$E$38,MATCH($D62,技能数据库!$A$4:$A$38,0)),""))</f>
        <v>系统</v>
      </c>
      <c r="I62" s="1" t="str">
        <f>IF($D62="","",IFERROR(INDEX(技能数据库!$F$4:$F$38,MATCH($D62,技能数据库!$A$4:$A$38,0)),""))</f>
        <v>无</v>
      </c>
      <c r="J62" s="1">
        <f>IF($D62="","",IFERROR(INDEX(技能数据库!$G$4:$G$38,MATCH($D62,技能数据库!$A$4:$A$38,0)),""))</f>
        <v>0</v>
      </c>
      <c r="K62" s="1">
        <f>IF($D62="","",IFERROR(INDEX(技能数据库!$H$4:$H$38,MATCH($D62,技能数据库!$A$4:$A$38,0)),""))</f>
        <v>0</v>
      </c>
      <c r="L62" s="1" t="str">
        <f>IF($D62="","",IFERROR(INDEX(技能数据库!$I$4:$I$38,MATCH($D62,技能数据库!$A$4:$A$38,0)),""))</f>
        <v>END_TURN</v>
      </c>
      <c r="M62" s="10">
        <v>1</v>
      </c>
      <c r="N62" s="1"/>
      <c r="O62" s="1"/>
      <c r="P62" s="1"/>
      <c r="Q62" s="10">
        <f t="shared" si="0"/>
        <v>0</v>
      </c>
      <c r="R62" s="10">
        <v>0</v>
      </c>
      <c r="S62" s="10">
        <v>0</v>
      </c>
      <c r="T62" s="1" t="str">
        <f>行动模拟!I68</f>
        <v>这个行动用来标记回合结束，本回合boss没有任何行动</v>
      </c>
      <c r="U62" s="1">
        <f>IF(FD62&lt;&gt;FD61,IF(BY61=1,IF(MIN(10,CA61+IF(AND(DG62&lt;&gt;DG61,DH61&lt;&gt;"洞穿",SUMIFS($FE$3:FE61,$DG$3:DG61,DG61)=0,BY61=1),3,0))&gt;=10,2,1),IF(BY61=2,IF(BZ61&lt;=1,0,2),0)),BY61)</f>
        <v>1</v>
      </c>
      <c r="V62" s="1">
        <f>IF(FD62&lt;&gt;FD61,IF(BY61=1,IF(MIN(10,CA61+IF(AND(DG62&lt;&gt;DG61,DH61&lt;&gt;"洞穿",SUMIFS($FE$3:FE61,$DG$3:DG61,DG61)=0,BY61=1),3,0))&gt;=10,2,0),IF(BY61=2,MAX(0,BZ61-1),0)),BZ61)</f>
        <v>0</v>
      </c>
      <c r="W62" s="1">
        <f>IF(AND(FD62&lt;&gt;FD61,BY61=2,BZ61&lt;=1),0,MIN(10,CA61+IF(AND(DG62&lt;&gt;DG61,DH61&lt;&gt;"洞穿",SUMIFS($FE$3:FE61,$DG$3:DG61,DG61)=0,BY61=1),3,0)))</f>
        <v>0</v>
      </c>
      <c r="X62" s="1">
        <f t="shared" si="42"/>
        <v>11</v>
      </c>
      <c r="Y62" s="1">
        <f t="shared" si="43"/>
        <v>0</v>
      </c>
      <c r="Z62" s="1">
        <f t="shared" si="44"/>
        <v>0</v>
      </c>
      <c r="AA62" s="1">
        <f t="shared" si="45"/>
        <v>0</v>
      </c>
      <c r="AB62" s="1">
        <f t="shared" si="46"/>
        <v>1</v>
      </c>
      <c r="AC62" s="1">
        <f t="shared" si="47"/>
        <v>0</v>
      </c>
      <c r="AD62" s="1">
        <f t="shared" si="48"/>
        <v>35</v>
      </c>
      <c r="AE62" s="1">
        <f>IF(D62="",0,IF(DG62&lt;&gt;DG61,IFERROR(INDEX(回合状态!$F$7:$F$17,MATCH(DG62,回合状态!$A$7:$A$17,0)),0),CI61))</f>
        <v>27</v>
      </c>
      <c r="AF62" s="10">
        <f t="shared" si="49"/>
        <v>0.4</v>
      </c>
      <c r="AG62" s="1">
        <f t="shared" si="50"/>
        <v>5</v>
      </c>
      <c r="AH62" s="1">
        <f t="shared" si="51"/>
        <v>5</v>
      </c>
      <c r="AI62" s="1">
        <f t="shared" si="52"/>
        <v>4</v>
      </c>
      <c r="AJ62" s="1">
        <f t="shared" si="53"/>
        <v>5</v>
      </c>
      <c r="AK62" s="1">
        <f t="shared" si="54"/>
        <v>4</v>
      </c>
      <c r="AL62" s="1">
        <f t="shared" si="55"/>
        <v>3</v>
      </c>
      <c r="AM62" s="1">
        <f t="shared" si="56"/>
        <v>20</v>
      </c>
      <c r="AN62" s="1">
        <f t="shared" si="57"/>
        <v>4</v>
      </c>
      <c r="AO62" s="1">
        <f t="shared" si="58"/>
        <v>0</v>
      </c>
      <c r="AP62" s="10">
        <f t="shared" si="59"/>
        <v>0.12</v>
      </c>
      <c r="AQ62" s="1">
        <f t="shared" si="60"/>
        <v>5</v>
      </c>
      <c r="AR62" s="10">
        <f t="shared" si="61"/>
        <v>0.3</v>
      </c>
      <c r="AS62" s="1">
        <f t="shared" si="62"/>
        <v>5</v>
      </c>
      <c r="AT62" s="10">
        <f t="shared" si="63"/>
        <v>0.3</v>
      </c>
      <c r="AU62" s="1">
        <f t="shared" si="64"/>
        <v>5</v>
      </c>
      <c r="AV62" s="1">
        <f>MIN(5,SUMIFS($EL$3:EL62,$B$3:B62,"&gt;="&amp;MAX(1,B62-2),$B$3:B62,"&lt;="&amp;B62)+EC62)</f>
        <v>5</v>
      </c>
      <c r="AW62" s="1">
        <f>MIN(6,SUMIFS($EY$3:EY61,$EX$3:EX61,"&gt;="&amp;MAX(1,EX62-Boss参数!$B$87+1),$EX$3:EX61,"&lt;="&amp;EX62))</f>
        <v>6</v>
      </c>
      <c r="AX62" s="1">
        <f>MIN(4,COUNTIFS($B$3:$B$61,"&gt;="&amp;MAX(1,$B62-2),$B$3:$B$61,"&lt;="&amp;$B62,$L$3:$L$61,"37_FOLLOW"))</f>
        <v>4</v>
      </c>
      <c r="AY62" s="9">
        <f>IF($E62="","",IF($E62="系统",0,ROUNDDOWN(INDEX(角色面板!$C$4:$C$7,MATCH($E62,角色面板!$A$4:$A$7,0))*(1+INDEX(角色面板!$C$11:$C$14,MATCH($E62,角色面板!$A$11:$A$14,0))+IF($E62="小瑞安侬",MAX(IF($B62&lt;=$AQ62,$AP62,0),IF(AND($L62="RHI_ATTACK",$EE62&gt;0),0.11+0.01*$G62,0)),0)+IF($E62="J",$AD62*Boss参数!$B$18,0))+IF(FD62&lt;=$AN62,MIN(Boss参数!$B$21,ROUNDDOWN(角色面板!$C$19*Boss参数!$B$20,0)),0)+IF(AND($B62&lt;=$AK62,$E62&lt;&gt;"小瑞安侬"),$DY62,0),0)))</f>
        <v>0</v>
      </c>
      <c r="AZ62" s="10">
        <f>IF($E62="","",MAX(0,MIN(1,IFERROR(INDEX(角色面板!$G$18:$G$21,MATCH($E62,角色面板!$A$18:$A$21,0)),0)-FC62*Boss参数!$B$89-Boss参数!$E$4)))</f>
        <v>0</v>
      </c>
      <c r="BA62" s="10">
        <f>IF(E62="","",(IF($E62="","",IF($E62="红弩箭",Boss参数!$B$80,IF($E62="J",Boss参数!$B$81,IFERROR(INDEX(角色面板!$H$18:$H$21,MATCH($E62,角色面板!$A$18:$A$21,0)),0)))+IF($B62&lt;=$AI62,Boss参数!$B$13,0)+MIN(30,$AM62)*Boss参数!$B$17+IF(AND($L62="LILYA_ULT",$X62&gt;=6),1,0)+IF(AND($Y62=1,$L62="LILYA_INSIGHT"),IF(MOD($AA62+1,3)=0,Boss参数!$B$83,Boss参数!$B$82),IF(AND($Y62=1,$L62="LILYA_FINISH"),Boss参数!$B$84,0))))-FC62*Boss参数!$B$90)</f>
        <v>0.24</v>
      </c>
      <c r="BB62" s="10">
        <f>IF($E62="","",IFERROR(INDEX(角色面板!$M$18:$M$21,MATCH($E62,角色面板!$A$18:$A$21,0)),0)+$AW62*Boss参数!$B$12+IF($B62&lt;=$AG62,$AF62,0)+$EI62+IF($L62="LILYA_DIVE",IF($U62=1,IF($G62=1,0.3,IF($G62=2,0.4,0.5)),IF($U62=2,IF($G62=1,0.6,IF($G62=2,0.8,1)),0)),0)+$R62+IF(AND($E62="J",OR($L62="J_COUNTER",$L62="J_HARD")),Boss参数!$B$79,0)+IF(AND(OR(L62="J_COUNTER",L62="J_HARD"),FA62&gt;=Boss参数!$B$59),FA62*Boss参数!$B$40,0))</f>
        <v>0.82000000000000006</v>
      </c>
      <c r="BC62" s="10">
        <f>IF($E62="","",IFERROR(INDEX(角色面板!$K$18:$K$21,MATCH($E62,角色面板!$A$18:$A$21,0)),0)+IF($B62&lt;=$AH62,Boss参数!$B$46,0)+IF($E62="红弩箭",IF($U62=1,0.6,IF($U62=2,1.2,0))+$W62*0.06,0))-DI62*Boss参数!$B$23</f>
        <v>0.3</v>
      </c>
      <c r="BD62" s="10">
        <f>IF($E62="","",IFERROR(INDEX(角色面板!$L$18:$L$21,MATCH($E62,角色面板!$A$18:$A$21,0)),0)+IF($B62&lt;=$AH62,Boss参数!$B$46,0)+IF($E62="J",$AL62*Boss参数!$B$16,0)+IF($E62="红弩箭",$X62*0.025,0)+IF(AND($L62="LILYA_ULT",$X62&gt;=6),1,0))-DI62*Boss参数!$B$23</f>
        <v>0.3</v>
      </c>
      <c r="BE62" s="10">
        <f>IF($E62="","",IF($H62="洞知",IF($E62="红弩箭",$AO62*Boss参数!$B$15,0)+$AX62*Boss参数!$B$14,0))</f>
        <v>0</v>
      </c>
      <c r="BF62" s="10">
        <f t="shared" si="1"/>
        <v>0</v>
      </c>
      <c r="BG62" s="10">
        <f>IF($D62="",0,IF(AND($L62&lt;&gt;"LILYA_DIVE",$L62&lt;&gt;"LILYA_ULT",$L62&lt;&gt;"LILYA_INSIGHT",$L62&lt;&gt;"LILYA_FINISH",$L62&lt;&gt;"37_FOLLOW",$L62&lt;&gt;"RHI_ATTACK",$L62&lt;&gt;"RHI_BERRY",$L62&lt;&gt;"J_COUNTER",$L62&lt;&gt;"J_ULT"),$J62,0)+IF($L62="LILYA_DIVE",$J62+IF($U62=1,IF($G62=1,6,IF($G62=2,12,18)),IF($U62=2,IF($G62=1,12,IF($G62=2,24,36)),0)),0)+IF($L62="LILYA_ULT",$J62+IF($X62&gt;=6,18,0),0)+IF($L62="LILYA_INSIGHT",IF($Y62=1,IF(MOD($AA62+1,3)=0,32,15),0),0)+IF($L62="LILYA_FINISH",IF($Y62=1,50+2.5*$Z62,0),0)+IF($L62="37_FOLLOW",$J62,0)+IF($L62="RHI_ATTACK",$J62*IF($B62&lt;=$AJ62,2,1),0)+IF($L62="RHI_BERRY",15+1.5*$AV62,0)+IF($L62="J_COUNTER",$J62+$AD62*Boss参数!$B$39,0)+IF($L62="J_ULT",$J62+Boss参数!$B$45*MAX(0,$AE62+$AD62-Boss参数!$I$4),0)+$S62)</f>
        <v>0</v>
      </c>
      <c r="BH62" s="10">
        <f t="shared" si="2"/>
        <v>0</v>
      </c>
      <c r="BI62" s="10">
        <f>IF(E62="","",IF(DT62=1,1+Boss参数!$B$8+AV62*Boss参数!$B$19,1))</f>
        <v>1</v>
      </c>
      <c r="BJ62" s="9">
        <f>IF($I62="现实",Boss参数!$C$4,IF($I62="精神",Boss参数!$D$4,0))</f>
        <v>0</v>
      </c>
      <c r="BK62" s="9">
        <f>IF($E62="","",MAX($AY62*Boss参数!$B$9,$AY62-$BJ62*(1-$BF62)))</f>
        <v>0</v>
      </c>
      <c r="BL62" s="10">
        <f>MAX(0,Boss参数!$F$4+IF(DT62=0,Boss参数!$B$27,0)-EJ62)</f>
        <v>1.0999999999999999</v>
      </c>
      <c r="BM62" s="10">
        <f>Boss参数!$G$4+DU62-IF(Y62=1,Boss参数!$B$11,0)</f>
        <v>0.55000000000000004</v>
      </c>
      <c r="BN62" s="10">
        <f>IF($E62="","",MAX(Boss参数!$B$10,1+IFERROR(INDEX(角色面板!$I$18:$I$21,MATCH($E62,角色面板!$A$18:$A$21,0)),0)+$BB62+Boss参数!$H$4-$BM62))</f>
        <v>1.27</v>
      </c>
      <c r="BO62" s="10">
        <f>IF(E62="","",IF(OR(L62="J_COUNTER",L62="J_HARD"),MAX(0,1+INDEX(角色面板!$K$18:$K$21,MATCH(E62,角色面板!$A$18:$A$21,0))-DI62*Boss参数!$B$23+IF(OR(Boss参数!$B$43=1,L62="J_HARD"),IF(B62&lt;=AH62,Boss参数!$B$46,0),0)),MAX(0,IF(OR(H62="术法",L62="RHI_BERRY",AND(L62="37_FOLLOW",Boss参数!$B$31=1)),1+BC62,IF(H62="仪式",1+BD62,IF(H62="洞知",EK62,1))))))</f>
        <v>1</v>
      </c>
      <c r="BP62" s="10">
        <f t="shared" si="3"/>
        <v>1.1000000000000001</v>
      </c>
      <c r="BQ62" s="1">
        <f t="shared" si="4"/>
        <v>0</v>
      </c>
      <c r="BR62" s="1">
        <f t="shared" si="5"/>
        <v>0</v>
      </c>
      <c r="BS62" s="1">
        <f>IF(BH62=0,0,ROUNDDOWN(AY62*BH62,0)*DV62*IF(Boss参数!$B$29=1,BN62,1)*IF(Boss参数!$B$33=1,BO62,1)*IF(Boss参数!$B$76=1,1-ES62,1))</f>
        <v>0</v>
      </c>
      <c r="BT62" s="1">
        <f t="shared" si="6"/>
        <v>0</v>
      </c>
      <c r="BU62" s="9">
        <f>IF(D62="",0,MIN(IF(Boss参数!$B$77=1,Boss参数!$B$63*Boss参数!$B$62,Boss参数!$B$61*Boss参数!$B$62),DW62+ROUNDDOWN(BS62,0)+ROUNDDOWN(DW62*Q62,0)))</f>
        <v>0</v>
      </c>
      <c r="BV62" s="9">
        <f>IF(D62="",0,MIN(IF(Boss参数!$B$77=1,Boss参数!$B$63*Boss参数!$B$62,Boss参数!$B$61*Boss参数!$B$62),DX62+ROUNDDOWN(BT62,0)+ROUNDDOWN(DX62*Q62,0)))</f>
        <v>0</v>
      </c>
      <c r="BW62" s="9">
        <f t="shared" si="7"/>
        <v>0</v>
      </c>
      <c r="BX62" s="1" t="str">
        <f t="shared" si="8"/>
        <v/>
      </c>
      <c r="BY62" s="1">
        <f t="shared" si="9"/>
        <v>1</v>
      </c>
      <c r="BZ62" s="1">
        <f t="shared" si="10"/>
        <v>0</v>
      </c>
      <c r="CA62" s="1">
        <f>MIN(10,W62+IF(AND(L62="LILYA_COBRA",COUNTIF($L$3:L62,"LILYA_COBRA")=1),5,0)+IF(AND(L62="LILYA_DIVE",U62=1,COUNTIFS($DG$3:DG62,DG62,$L$3:L62,"LILYA_DIVE")=1),2,0)+IF(AND(FE62=1,U62=1),3,0))</f>
        <v>3</v>
      </c>
      <c r="CB62" s="1">
        <f>MIN(20,MAX(0,X62+IF(L62="LILYA_COBRA",IF(COUNTIF($L$3:L62,"LILYA_COBRA")=1,6,IF(U62=1,MAX(1,G62),IF(U62=2,2*MAX(1,G62),0))),0)+IF(AND(Y62=1,E62="红弩箭",L62&lt;&gt;"ENTER_INSIGHT"),1,0)-IF(AND(L62="LILYA_ULT",X62&gt;=6),6,0)))</f>
        <v>11</v>
      </c>
      <c r="CC62" s="1">
        <f t="shared" si="11"/>
        <v>0</v>
      </c>
      <c r="CD62" s="1">
        <f t="shared" si="12"/>
        <v>0</v>
      </c>
      <c r="CE62" s="1">
        <f t="shared" si="13"/>
        <v>0</v>
      </c>
      <c r="CF62" s="1">
        <f t="shared" si="14"/>
        <v>1</v>
      </c>
      <c r="CG62" s="1">
        <f t="shared" si="15"/>
        <v>0</v>
      </c>
      <c r="CH62" s="1">
        <f>MIN(35,AD62+IF(L62="J_HARD",6,0)+IF(L62="J_COUNTER",Boss参数!$B$30,0))</f>
        <v>35</v>
      </c>
      <c r="CI62" s="1">
        <f>MIN(Boss参数!$I$4,AE62+IF(L62="J_HARD",6,0)+IF(L62="J_ULT",AD62,0)+IF(L62="J_COUNTER",Boss参数!$B$30,0))</f>
        <v>27</v>
      </c>
      <c r="CJ62" s="10">
        <f>IF(L62="J_ULT",AD62*Boss参数!$B$41,IF(B62&lt;=AG62,AF62,0))</f>
        <v>0.4</v>
      </c>
      <c r="CK62" s="1">
        <f t="shared" si="16"/>
        <v>5</v>
      </c>
      <c r="CL62" s="1">
        <f t="shared" si="17"/>
        <v>5</v>
      </c>
      <c r="CM62" s="1">
        <f t="shared" si="18"/>
        <v>4</v>
      </c>
      <c r="CN62" s="1">
        <f t="shared" si="19"/>
        <v>5</v>
      </c>
      <c r="CO62" s="1">
        <f t="shared" si="20"/>
        <v>4</v>
      </c>
      <c r="CP62" s="1">
        <f t="shared" si="21"/>
        <v>3</v>
      </c>
      <c r="CQ62" s="1">
        <f t="shared" si="22"/>
        <v>20</v>
      </c>
      <c r="CR62" s="1">
        <f t="shared" si="23"/>
        <v>4</v>
      </c>
      <c r="CS62" s="1">
        <f t="shared" si="24"/>
        <v>0</v>
      </c>
      <c r="CT62" s="10">
        <f t="shared" si="25"/>
        <v>0.12</v>
      </c>
      <c r="CU62" s="1">
        <f t="shared" si="26"/>
        <v>5</v>
      </c>
      <c r="CV62" s="10">
        <f t="shared" si="27"/>
        <v>0.3</v>
      </c>
      <c r="CW62" s="1">
        <f t="shared" si="28"/>
        <v>5</v>
      </c>
      <c r="CX62" s="10">
        <f t="shared" si="29"/>
        <v>0.3</v>
      </c>
      <c r="CY62" s="1">
        <f t="shared" si="30"/>
        <v>5</v>
      </c>
      <c r="CZ62" s="1"/>
      <c r="DA62" s="1"/>
      <c r="DB62" s="1"/>
      <c r="DC62" s="1"/>
      <c r="DD62" s="1"/>
      <c r="DE62" s="1"/>
      <c r="DF62" s="1"/>
      <c r="DG62" s="1" t="str">
        <f>IF(D62="","",行动模拟!B68)</f>
        <v>小瑞安侬额外回合</v>
      </c>
      <c r="DH62" s="1" t="str">
        <f>IF(L62="END_TURN","回合结束",IF(D62="","",IF(INDEX(回合状态!$C$7:$C$17,MATCH(DG62,回合状态!$A$7:$A$17,0))="洞穿","洞穿",IF(OR(L62="J_COUNTER",L62="BOSS_ACTION",L62="BOSS_CONSERVATIVE"),"敌方",IF(AND(L62="37_FOLLOW",DG62=DG61,DH61="敌方"),"敌方",IF(INDEX(回合状态!$C$7:$C$17,MATCH(DG62,回合状态!$A$7:$A$17,0))="普通","出牌",INDEX(回合状态!$C$7:$C$17,MATCH(DG62,回合状态!$A$7:$A$17,0))))))))</f>
        <v>回合结束</v>
      </c>
      <c r="DI62" s="1">
        <f t="shared" si="31"/>
        <v>0</v>
      </c>
      <c r="DJ62" s="1">
        <f>IF(D62="",0,MIN(Boss参数!$B$25,IF(OR(AND(DH62="敌方",OR(DH61&lt;&gt;"敌方",DG62&lt;&gt;DG61)),AND(L62="END_TURN",DH62&lt;&gt;"洞穿"),AND(DG62&lt;&gt;DG61,DH61&lt;&gt;"洞穿",L61&lt;&gt;"END_TURN",COUNTIFS($DG$3:DG61,DG61,$DH$3:DH61,"敌方")=0)),EW62,DN61)))</f>
        <v>3</v>
      </c>
      <c r="DK62" s="1">
        <f>IF(D62="",0,MIN(Boss参数!$B$25,IF(OR(AND(DH62="敌方",OR(DH61&lt;&gt;"敌方",DG62&lt;&gt;DG61)),AND(L62="END_TURN",DH62&lt;&gt;"洞穿"),AND(DG62&lt;&gt;DG61,DH61&lt;&gt;"洞穿",L61&lt;&gt;"END_TURN",COUNTIFS($DG$3:DG61,DG61,$DH$3:DH61,"敌方")=0)),EW62,DO61)))</f>
        <v>3</v>
      </c>
      <c r="DL62" s="1">
        <f>IF(D62="",0,MIN(Boss参数!$B$25,IF(OR(AND(DH62="敌方",OR(DH61&lt;&gt;"敌方",DG62&lt;&gt;DG61)),AND(L62="END_TURN",DH62&lt;&gt;"洞穿"),AND(DG62&lt;&gt;DG61,DH61&lt;&gt;"洞穿",L61&lt;&gt;"END_TURN",COUNTIFS($DG$3:DG61,DG61,$DH$3:DH61,"敌方")=0)),EW62,DP61)))</f>
        <v>3</v>
      </c>
      <c r="DM62" s="1">
        <f>IF(D62="",0,MIN(Boss参数!$B$25,IF(OR(AND(DH62="敌方",OR(DH61&lt;&gt;"敌方",DG62&lt;&gt;DG61)),AND(L62="END_TURN",DH62&lt;&gt;"洞穿"),AND(DG62&lt;&gt;DG61,DH61&lt;&gt;"洞穿",L61&lt;&gt;"END_TURN",COUNTIFS($DG$3:DG61,DG61,$DH$3:DH61,"敌方")=0)),EW62,DQ61)))</f>
        <v>3</v>
      </c>
      <c r="DN62" s="1">
        <f>MAX(0,MIN(Boss参数!$B$25,DJ62+DR62)-IF(E62="红弩箭",2*DR62,0))</f>
        <v>3</v>
      </c>
      <c r="DO62" s="1">
        <f>MAX(0,MIN(Boss参数!$B$25,DK62+DR62)-IF(E62="37",2*DR62,0))</f>
        <v>3</v>
      </c>
      <c r="DP62" s="1">
        <f>MAX(0,MIN(Boss参数!$B$25,DL62+DR62)-IF(E62="小瑞安侬",2*DR62,0))</f>
        <v>3</v>
      </c>
      <c r="DQ62" s="1">
        <f>MAX(0,MIN(Boss参数!$B$25,DM62+DR62)-IF(E62="J",2*DR62,0))</f>
        <v>3</v>
      </c>
      <c r="DR62" s="1">
        <f t="shared" si="32"/>
        <v>0</v>
      </c>
      <c r="DS62" s="1">
        <f t="shared" si="33"/>
        <v>0</v>
      </c>
      <c r="DT62" s="1">
        <f>IF(OR(E62="",E62="系统"),0,IF(OR(AND(DS62=1,Boss参数!$B$32=1),L62="RHI_BERRY",OR(AND(INDEX(角色面板!$B$18:$B$21,MATCH(E62,角色面板!$A$18:$A$21,0))="星",Boss参数!$B$4="岩"),AND(INDEX(角色面板!$B$18:$B$21,MATCH(E62,角色面板!$A$18:$A$21,0))="岩",Boss参数!$B$4="兽"),AND(INDEX(角色面板!$B$18:$B$21,MATCH(E62,角色面板!$A$18:$A$21,0))="兽",Boss参数!$B$4="木"),AND(INDEX(角色面板!$B$18:$B$21,MATCH(E62,角色面板!$A$18:$A$21,0))="木",Boss参数!$B$4="星"),AND(INDEX(角色面板!$B$18:$B$21,MATCH(E62,角色面板!$A$18:$A$21,0))="智",Boss参数!$B$4="灵"),AND(INDEX(角色面板!$B$18:$B$21,MATCH(E62,角色面板!$A$18:$A$21,0))="灵",Boss参数!$B$4="智"))),1,0))</f>
        <v>0</v>
      </c>
      <c r="DU62" s="1">
        <f>IF(D62="",0,INDEX(回合状态!$E$7:$E$17,MATCH(DG62,回合状态!$A$7:$A$17,0))+IF(AND(DH62="敌方",OR(INDEX(回合状态!$C$7:$C$17,MATCH(DG62,回合状态!$A$7:$A$17,0))="普通",INDEX(回合状态!$C$7:$C$17,MATCH(DG62,回合状态!$A$7:$A$17,0))="额外")),0.05,0))</f>
        <v>0.15000000000000002</v>
      </c>
      <c r="DV62" s="1">
        <f>MAX(Boss参数!$B$28,1+IF(AND(E62="37",AC62&gt;0,BH62&gt;0),Boss参数!$B$42,0)-DI62*Boss参数!$B$24+EA62-ER62)</f>
        <v>9.9999999999999978E-2</v>
      </c>
      <c r="DW62" s="1">
        <f>MIN(IF(Boss参数!$B$77=1,Boss参数!$B$63*Boss参数!$B$62,Boss参数!$B$61*Boss参数!$B$62),ROUNDDOWN(BQ62*(1-ES62),0))</f>
        <v>0</v>
      </c>
      <c r="DX62" s="1">
        <f>MIN(IF(Boss参数!$B$77=1,Boss参数!$B$63*Boss参数!$B$62,Boss参数!$B$61*Boss参数!$B$62),ROUNDDOWN(BR62*(1-ES62),0))</f>
        <v>0</v>
      </c>
      <c r="DY62" s="1">
        <f t="shared" si="65"/>
        <v>238</v>
      </c>
      <c r="DZ62" s="1">
        <f>IF(L62="RHI_ULT",MIN(Boss参数!$B$48,ROUNDDOWN(AY62*Boss参数!$B$47,0)),DY62)</f>
        <v>238</v>
      </c>
      <c r="EA62" s="11">
        <v>0</v>
      </c>
      <c r="EB62" s="1">
        <f t="shared" si="34"/>
        <v>0</v>
      </c>
      <c r="EC62" s="1">
        <f>SUMIFS($EB$3:EB62,$B$3:B62,"&gt;="&amp;MAX(1,B62-2),$B$3:B62,"&lt;="&amp;B62)*Boss参数!$B$51</f>
        <v>16</v>
      </c>
      <c r="ED62" s="1">
        <f>IF(D62="",EG61,IF(AND(DG62&lt;&gt;DG61,DH62&lt;&gt;"洞穿"),MIN(Boss参数!$B$55,EG61+2),EG61))</f>
        <v>0</v>
      </c>
      <c r="EE62" s="1">
        <f t="shared" si="35"/>
        <v>0</v>
      </c>
      <c r="EF62" s="1">
        <f>IF(AND(OR(L62="END_TURN",AND(DH62="敌方",OR(DH61&lt;&gt;"敌方",DG62&lt;&gt;DG61))),SUMIFS($EF$3:EF61,$DG$3:DG61,DG62)=0),MIN(1,MAX(0,ED62-EE62)),0)</f>
        <v>0</v>
      </c>
      <c r="EG62" s="1">
        <f t="shared" si="36"/>
        <v>0</v>
      </c>
      <c r="EH62" s="11">
        <f>Boss参数!$B$53-IF(Y62=1,Boss参数!$B$54,0)</f>
        <v>0</v>
      </c>
      <c r="EI62" s="11">
        <f t="shared" si="37"/>
        <v>0.3</v>
      </c>
      <c r="EJ62" s="11">
        <f t="shared" si="38"/>
        <v>0.3</v>
      </c>
      <c r="EK62" s="11">
        <f t="shared" si="39"/>
        <v>1</v>
      </c>
      <c r="EL62" s="1">
        <f t="shared" si="66"/>
        <v>0</v>
      </c>
      <c r="EM62" s="1">
        <f>IF(AND(DG62&lt;&gt;DG61,DH62="洞穿"),0,IF(L62="ENTER_INSIGHT",Boss参数!$B$57,EO61))</f>
        <v>0</v>
      </c>
      <c r="EN62" s="11">
        <f>IF(AND(Y62=1,H62="洞知",EM62&gt;0),Boss参数!$B$56,0)</f>
        <v>0</v>
      </c>
      <c r="EO62" s="1">
        <f t="shared" si="40"/>
        <v>0</v>
      </c>
      <c r="EP62" s="12">
        <f t="shared" si="67"/>
        <v>13353317</v>
      </c>
      <c r="EQ62" s="12">
        <f>ROUNDDOWN(EP62/Boss参数!$B$62,0)</f>
        <v>133</v>
      </c>
      <c r="ER62" s="11">
        <f>IF(EQ62&gt;=Boss参数!$B$66,Boss参数!$B$69,IF(EQ62&gt;=Boss参数!$B$65,Boss参数!$B$68,IF(EQ62&gt;=Boss参数!$B$64,Boss参数!$B$67,0)))</f>
        <v>0.9</v>
      </c>
      <c r="ES62" s="11">
        <f>MIN(1,IF(EQ62&gt;=Boss参数!$B$66,Boss参数!$B$72+ROUNDDOWN((EQ62-Boss参数!$B$66)/Boss参数!$B$73,0)*Boss参数!$B$74,IF(EQ62&gt;=Boss参数!$B$65,Boss参数!$B$71,IF(EQ62&gt;=Boss参数!$B$64,Boss参数!$B$70,0))))</f>
        <v>0.6</v>
      </c>
      <c r="ET62" s="12">
        <f>MIN(Boss参数!$B$61*Boss参数!$B$62,EP62+IF(AND(Boss参数!$B$60=1,ISNUMBER(验证表!H68)),验证表!H68,EU62))</f>
        <v>13353317</v>
      </c>
      <c r="EU62" s="12">
        <f>IF(D62="",0,IF(验证表!G68="是",BV62,IF(验证表!G68="否",BU62,BW62)))</f>
        <v>0</v>
      </c>
      <c r="EV62" s="12">
        <f>IF(EQ62&gt;=Boss参数!$B$66,2,IF(EQ62&gt;=Boss参数!$B$65,1,0))</f>
        <v>2</v>
      </c>
      <c r="EW62" s="12">
        <f t="shared" si="41"/>
        <v>3</v>
      </c>
      <c r="EX62" s="1">
        <f>IF(D62="",0,INDEX(回合状态!$D$7:$D$17,MATCH(DG62,回合状态!$A$7:$A$17,0)))</f>
        <v>4</v>
      </c>
      <c r="EY62" s="1">
        <f>IF(OR(L62="RHI_ATTACK",L62="RHI_BUFF"),1,IF(L62="RHI_ULT",Boss参数!$B$52,0))</f>
        <v>0</v>
      </c>
      <c r="EZ62" s="1">
        <f>MIN(6,SUMIFS($EY$3:EY62,$EX$3:EX62,"&gt;="&amp;MAX(1,EX62-Boss参数!$B$87+1),$EX$3:EX62,"&lt;="&amp;EX62))</f>
        <v>6</v>
      </c>
      <c r="FA62" s="1">
        <f t="shared" si="68"/>
        <v>24</v>
      </c>
      <c r="FB62" s="17">
        <f>IF(L62="BOSS_CONSERVATIVE",B62+Boss参数!$B$91,FB61)</f>
        <v>0</v>
      </c>
      <c r="FC62" s="17">
        <f t="shared" si="69"/>
        <v>0</v>
      </c>
      <c r="FD62" s="17">
        <f>IF(D62="",FD61,FD61+IF(AND(DG62&lt;&gt;DG61,INDEX(回合状态!$C$7:$C$17,MATCH(DG62,回合状态!$A$7:$A$17,0))&lt;&gt;"洞穿"),1,0))</f>
        <v>4</v>
      </c>
      <c r="FE62" s="17">
        <f>IF(D62="",0,IF(AND(OR(L62="END_TURN",DH62="敌方"),INDEX(回合状态!$C$7:$C$17,MATCH(DG62,回合状态!$A$7:$A$17,0))&lt;&gt;"洞穿",SUMIFS($FE$3:FE61,$DG$3:DG61,DG62)=0),1,0))</f>
        <v>1</v>
      </c>
    </row>
    <row r="63" spans="1:161" ht="84.95" customHeight="1">
      <c r="A63" s="1">
        <f>行动模拟!A69</f>
        <v>61</v>
      </c>
      <c r="B63" s="1">
        <f>IF(D63="",0,INDEX(回合状态!$B$7:$B$17,MATCH(DG63,回合状态!$A$7:$A$17,0)))</f>
        <v>4</v>
      </c>
      <c r="C63" s="1">
        <f>行动模拟!C69</f>
        <v>1</v>
      </c>
      <c r="D63" s="1" t="str">
        <f>IF(行动模拟!D69="","",行动模拟!D69)</f>
        <v>小瑞安侬｜唱予无忧之诗</v>
      </c>
      <c r="E63" s="1" t="str">
        <f>IF($D63="","",IFERROR(INDEX(技能数据库!$B$4:$B$38,MATCH($D63,技能数据库!$A$4:$A$38,0)),""))</f>
        <v>小瑞安侬</v>
      </c>
      <c r="F63" s="1" t="str">
        <f>IF($D63="","",IFERROR(INDEX(技能数据库!$C$4:$C$38,MATCH($D63,技能数据库!$A$4:$A$38,0)),""))</f>
        <v>唱予无忧之诗</v>
      </c>
      <c r="G63" s="1">
        <f>IF($D63="","",IFERROR(INDEX(技能数据库!$D$4:$D$38,MATCH($D63,技能数据库!$A$4:$A$38,0)),""))</f>
        <v>0</v>
      </c>
      <c r="H63" s="1" t="str">
        <f>IF($D63="","",IFERROR(INDEX(技能数据库!$E$4:$E$38,MATCH($D63,技能数据库!$A$4:$A$38,0)),""))</f>
        <v>仪式</v>
      </c>
      <c r="I63" s="1" t="str">
        <f>IF($D63="","",IFERROR(INDEX(技能数据库!$F$4:$F$38,MATCH($D63,技能数据库!$A$4:$A$38,0)),""))</f>
        <v>无</v>
      </c>
      <c r="J63" s="1">
        <f>IF($D63="","",IFERROR(INDEX(技能数据库!$G$4:$G$38,MATCH($D63,技能数据库!$A$4:$A$38,0)),""))</f>
        <v>0</v>
      </c>
      <c r="K63" s="1">
        <f>IF($D63="","",IFERROR(INDEX(技能数据库!$H$4:$H$38,MATCH($D63,技能数据库!$A$4:$A$38,0)),""))</f>
        <v>0</v>
      </c>
      <c r="L63" s="1" t="str">
        <f>IF($D63="","",IFERROR(INDEX(技能数据库!$I$4:$I$38,MATCH($D63,技能数据库!$A$4:$A$38,0)),""))</f>
        <v>RHI_ULT</v>
      </c>
      <c r="M63" s="10">
        <v>1</v>
      </c>
      <c r="N63" s="1"/>
      <c r="O63" s="1"/>
      <c r="P63" s="1"/>
      <c r="Q63" s="10">
        <f t="shared" si="0"/>
        <v>0</v>
      </c>
      <c r="R63" s="10">
        <v>0</v>
      </c>
      <c r="S63" s="10">
        <v>0</v>
      </c>
      <c r="T63" s="1">
        <f>行动模拟!I69</f>
        <v>0</v>
      </c>
      <c r="U63" s="1">
        <f>IF(FD63&lt;&gt;FD62,IF(BY62=1,IF(MIN(10,CA62+IF(AND(DG63&lt;&gt;DG62,DH62&lt;&gt;"洞穿",SUMIFS($FE$3:FE62,$DG$3:DG62,DG62)=0,BY62=1),3,0))&gt;=10,2,1),IF(BY62=2,IF(BZ62&lt;=1,0,2),0)),BY62)</f>
        <v>1</v>
      </c>
      <c r="V63" s="1">
        <f>IF(FD63&lt;&gt;FD62,IF(BY62=1,IF(MIN(10,CA62+IF(AND(DG63&lt;&gt;DG62,DH62&lt;&gt;"洞穿",SUMIFS($FE$3:FE62,$DG$3:DG62,DG62)=0,BY62=1),3,0))&gt;=10,2,0),IF(BY62=2,MAX(0,BZ62-1),0)),BZ62)</f>
        <v>0</v>
      </c>
      <c r="W63" s="1">
        <f>IF(AND(FD63&lt;&gt;FD62,BY62=2,BZ62&lt;=1),0,MIN(10,CA62+IF(AND(DG63&lt;&gt;DG62,DH62&lt;&gt;"洞穿",SUMIFS($FE$3:FE62,$DG$3:DG62,DG62)=0,BY62=1),3,0)))</f>
        <v>3</v>
      </c>
      <c r="X63" s="1">
        <f t="shared" si="42"/>
        <v>11</v>
      </c>
      <c r="Y63" s="1">
        <f t="shared" si="43"/>
        <v>0</v>
      </c>
      <c r="Z63" s="1">
        <f t="shared" si="44"/>
        <v>0</v>
      </c>
      <c r="AA63" s="1">
        <f t="shared" si="45"/>
        <v>0</v>
      </c>
      <c r="AB63" s="1">
        <f t="shared" si="46"/>
        <v>1</v>
      </c>
      <c r="AC63" s="1">
        <f t="shared" si="47"/>
        <v>0</v>
      </c>
      <c r="AD63" s="1">
        <f t="shared" si="48"/>
        <v>35</v>
      </c>
      <c r="AE63" s="1">
        <f>IF(D63="",0,IF(DG63&lt;&gt;DG62,IFERROR(INDEX(回合状态!$F$7:$F$17,MATCH(DG63,回合状态!$A$7:$A$17,0)),0),CI62))</f>
        <v>13</v>
      </c>
      <c r="AF63" s="10">
        <f t="shared" si="49"/>
        <v>0.4</v>
      </c>
      <c r="AG63" s="1">
        <f t="shared" si="50"/>
        <v>5</v>
      </c>
      <c r="AH63" s="1">
        <f t="shared" si="51"/>
        <v>5</v>
      </c>
      <c r="AI63" s="1">
        <f t="shared" si="52"/>
        <v>4</v>
      </c>
      <c r="AJ63" s="1">
        <f t="shared" si="53"/>
        <v>5</v>
      </c>
      <c r="AK63" s="1">
        <f t="shared" si="54"/>
        <v>4</v>
      </c>
      <c r="AL63" s="1">
        <f t="shared" si="55"/>
        <v>3</v>
      </c>
      <c r="AM63" s="1">
        <f t="shared" si="56"/>
        <v>20</v>
      </c>
      <c r="AN63" s="1">
        <f t="shared" si="57"/>
        <v>4</v>
      </c>
      <c r="AO63" s="1">
        <f t="shared" si="58"/>
        <v>0</v>
      </c>
      <c r="AP63" s="10">
        <f t="shared" si="59"/>
        <v>0.12</v>
      </c>
      <c r="AQ63" s="1">
        <f t="shared" si="60"/>
        <v>5</v>
      </c>
      <c r="AR63" s="10">
        <f t="shared" si="61"/>
        <v>0.3</v>
      </c>
      <c r="AS63" s="1">
        <f t="shared" si="62"/>
        <v>5</v>
      </c>
      <c r="AT63" s="10">
        <f t="shared" si="63"/>
        <v>0.3</v>
      </c>
      <c r="AU63" s="1">
        <f t="shared" si="64"/>
        <v>5</v>
      </c>
      <c r="AV63" s="1">
        <f>MIN(5,SUMIFS($EL$3:EL63,$B$3:B63,"&gt;="&amp;MAX(1,B63-2),$B$3:B63,"&lt;="&amp;B63)+EC63)</f>
        <v>5</v>
      </c>
      <c r="AW63" s="1">
        <f>MIN(6,SUMIFS($EY$3:EY62,$EX$3:EX62,"&gt;="&amp;MAX(1,EX63-Boss参数!$B$87+1),$EX$3:EX62,"&lt;="&amp;EX63))</f>
        <v>6</v>
      </c>
      <c r="AX63" s="1">
        <f>MIN(4,COUNTIFS($B$3:$B$62,"&gt;="&amp;MAX(1,$B63-2),$B$3:$B$62,"&lt;="&amp;$B63,$L$3:$L$62,"37_FOLLOW"))</f>
        <v>4</v>
      </c>
      <c r="AY63" s="9">
        <f>IF($E63="","",IF($E63="系统",0,ROUNDDOWN(INDEX(角色面板!$C$4:$C$7,MATCH($E63,角色面板!$A$4:$A$7,0))*(1+INDEX(角色面板!$C$11:$C$14,MATCH($E63,角色面板!$A$11:$A$14,0))+IF($E63="小瑞安侬",MAX(IF($B63&lt;=$AQ63,$AP63,0),IF(AND($L63="RHI_ATTACK",$EE63&gt;0),0.11+0.01*$G63,0)),0)+IF($E63="J",$AD63*Boss参数!$B$18,0))+IF(FD63&lt;=$AN63,MIN(Boss参数!$B$21,ROUNDDOWN(角色面板!$C$19*Boss参数!$B$20,0)),0)+IF(AND($B63&lt;=$AK63,$E63&lt;&gt;"小瑞安侬"),$DY63,0),0)))</f>
        <v>3298</v>
      </c>
      <c r="AZ63" s="10">
        <f>IF($E63="","",MAX(0,MIN(1,IFERROR(INDEX(角色面板!$G$18:$G$21,MATCH($E63,角色面板!$A$18:$A$21,0)),0)-FC63*Boss参数!$B$89-Boss参数!$E$4)))</f>
        <v>0.55499999999999994</v>
      </c>
      <c r="BA63" s="10">
        <f>IF(E63="","",(IF($E63="","",IF($E63="红弩箭",Boss参数!$B$80,IF($E63="J",Boss参数!$B$81,IFERROR(INDEX(角色面板!$H$18:$H$21,MATCH($E63,角色面板!$A$18:$A$21,0)),0)))+IF($B63&lt;=$AI63,Boss参数!$B$13,0)+MIN(30,$AM63)*Boss参数!$B$17+IF(AND($L63="LILYA_ULT",$X63&gt;=6),1,0)+IF(AND($Y63=1,$L63="LILYA_INSIGHT"),IF(MOD($AA63+1,3)=0,Boss参数!$B$83,Boss参数!$B$82),IF(AND($Y63=1,$L63="LILYA_FINISH"),Boss参数!$B$84,0))))-FC63*Boss参数!$B$90)</f>
        <v>1.79</v>
      </c>
      <c r="BB63" s="10">
        <f>IF($E63="","",IFERROR(INDEX(角色面板!$M$18:$M$21,MATCH($E63,角色面板!$A$18:$A$21,0)),0)+$AW63*Boss参数!$B$12+IF($B63&lt;=$AG63,$AF63,0)+$EI63+IF($L63="LILYA_DIVE",IF($U63=1,IF($G63=1,0.3,IF($G63=2,0.4,0.5)),IF($U63=2,IF($G63=1,0.6,IF($G63=2,0.8,1)),0)),0)+$R63+IF(AND($E63="J",OR($L63="J_COUNTER",$L63="J_HARD")),Boss参数!$B$79,0)+IF(AND(OR(L63="J_COUNTER",L63="J_HARD"),FA63&gt;=Boss参数!$B$59),FA63*Boss参数!$B$40,0))</f>
        <v>0.82000000000000006</v>
      </c>
      <c r="BC63" s="10">
        <f>IF($E63="","",IFERROR(INDEX(角色面板!$K$18:$K$21,MATCH($E63,角色面板!$A$18:$A$21,0)),0)+IF($B63&lt;=$AH63,Boss参数!$B$46,0)+IF($E63="红弩箭",IF($U63=1,0.6,IF($U63=2,1.2,0))+$W63*0.06,0))-DI63*Boss参数!$B$23</f>
        <v>-0.55000000000000004</v>
      </c>
      <c r="BD63" s="10">
        <f>IF($E63="","",IFERROR(INDEX(角色面板!$L$18:$L$21,MATCH($E63,角色面板!$A$18:$A$21,0)),0)+IF($B63&lt;=$AH63,Boss参数!$B$46,0)+IF($E63="J",$AL63*Boss参数!$B$16,0)+IF($E63="红弩箭",$X63*0.025,0)+IF(AND($L63="LILYA_ULT",$X63&gt;=6),1,0))-DI63*Boss参数!$B$23</f>
        <v>-0.14999999999999997</v>
      </c>
      <c r="BE63" s="10">
        <f>IF($E63="","",IF($H63="洞知",IF($E63="红弩箭",$AO63*Boss参数!$B$15,0)+$AX63*Boss参数!$B$14,0))</f>
        <v>0</v>
      </c>
      <c r="BF63" s="10">
        <f t="shared" si="1"/>
        <v>0</v>
      </c>
      <c r="BG63" s="10">
        <f>IF($D63="",0,IF(AND($L63&lt;&gt;"LILYA_DIVE",$L63&lt;&gt;"LILYA_ULT",$L63&lt;&gt;"LILYA_INSIGHT",$L63&lt;&gt;"LILYA_FINISH",$L63&lt;&gt;"37_FOLLOW",$L63&lt;&gt;"RHI_ATTACK",$L63&lt;&gt;"RHI_BERRY",$L63&lt;&gt;"J_COUNTER",$L63&lt;&gt;"J_ULT"),$J63,0)+IF($L63="LILYA_DIVE",$J63+IF($U63=1,IF($G63=1,6,IF($G63=2,12,18)),IF($U63=2,IF($G63=1,12,IF($G63=2,24,36)),0)),0)+IF($L63="LILYA_ULT",$J63+IF($X63&gt;=6,18,0),0)+IF($L63="LILYA_INSIGHT",IF($Y63=1,IF(MOD($AA63+1,3)=0,32,15),0),0)+IF($L63="LILYA_FINISH",IF($Y63=1,50+2.5*$Z63,0),0)+IF($L63="37_FOLLOW",$J63,0)+IF($L63="RHI_ATTACK",$J63*IF($B63&lt;=$AJ63,2,1),0)+IF($L63="RHI_BERRY",15+1.5*$AV63,0)+IF($L63="J_COUNTER",$J63+$AD63*Boss参数!$B$39,0)+IF($L63="J_ULT",$J63+Boss参数!$B$45*MAX(0,$AE63+$AD63-Boss参数!$I$4),0)+$S63)</f>
        <v>0</v>
      </c>
      <c r="BH63" s="10">
        <f t="shared" si="2"/>
        <v>0</v>
      </c>
      <c r="BI63" s="10">
        <f>IF(E63="","",IF(DT63=1,1+Boss参数!$B$8+AV63*Boss参数!$B$19,1))</f>
        <v>1</v>
      </c>
      <c r="BJ63" s="9">
        <f>IF($I63="现实",Boss参数!$C$4,IF($I63="精神",Boss参数!$D$4,0))</f>
        <v>0</v>
      </c>
      <c r="BK63" s="9">
        <f>IF($E63="","",MAX($AY63*Boss参数!$B$9,$AY63-$BJ63*(1-$BF63)))</f>
        <v>3298</v>
      </c>
      <c r="BL63" s="10">
        <f>MAX(0,Boss参数!$F$4+IF(DT63=0,Boss参数!$B$27,0)-EJ63)</f>
        <v>1.0999999999999999</v>
      </c>
      <c r="BM63" s="10">
        <f>Boss参数!$G$4+DU63-IF(Y63=1,Boss参数!$B$11,0)</f>
        <v>0.60000000000000009</v>
      </c>
      <c r="BN63" s="10">
        <f>IF($E63="","",MAX(Boss参数!$B$10,1+IFERROR(INDEX(角色面板!$I$18:$I$21,MATCH($E63,角色面板!$A$18:$A$21,0)),0)+$BB63+Boss参数!$H$4-$BM63))</f>
        <v>1.2549999999999999</v>
      </c>
      <c r="BO63" s="10">
        <f>IF(E63="","",IF(OR(L63="J_COUNTER",L63="J_HARD"),MAX(0,1+INDEX(角色面板!$K$18:$K$21,MATCH(E63,角色面板!$A$18:$A$21,0))-DI63*Boss参数!$B$23+IF(OR(Boss参数!$B$43=1,L63="J_HARD"),IF(B63&lt;=AH63,Boss参数!$B$46,0),0)),MAX(0,IF(OR(H63="术法",L63="RHI_BERRY",AND(L63="37_FOLLOW",Boss参数!$B$31=1)),1+BC63,IF(H63="仪式",1+BD63,IF(H63="洞知",EK63,1))))))</f>
        <v>0.85000000000000009</v>
      </c>
      <c r="BP63" s="10">
        <f t="shared" si="3"/>
        <v>1.1000000000000001</v>
      </c>
      <c r="BQ63" s="1">
        <f t="shared" si="4"/>
        <v>0</v>
      </c>
      <c r="BR63" s="1">
        <f t="shared" si="5"/>
        <v>0</v>
      </c>
      <c r="BS63" s="1">
        <f>IF(BH63=0,0,ROUNDDOWN(AY63*BH63,0)*DV63*IF(Boss参数!$B$29=1,BN63,1)*IF(Boss参数!$B$33=1,BO63,1)*IF(Boss参数!$B$76=1,1-ES63,1))</f>
        <v>0</v>
      </c>
      <c r="BT63" s="1">
        <f t="shared" si="6"/>
        <v>0</v>
      </c>
      <c r="BU63" s="9">
        <f>IF(D63="",0,MIN(IF(Boss参数!$B$77=1,Boss参数!$B$63*Boss参数!$B$62,Boss参数!$B$61*Boss参数!$B$62),DW63+ROUNDDOWN(BS63,0)+ROUNDDOWN(DW63*Q63,0)))</f>
        <v>0</v>
      </c>
      <c r="BV63" s="9">
        <f>IF(D63="",0,MIN(IF(Boss参数!$B$77=1,Boss参数!$B$63*Boss参数!$B$62,Boss参数!$B$61*Boss参数!$B$62),DX63+ROUNDDOWN(BT63,0)+ROUNDDOWN(DX63*Q63,0)))</f>
        <v>0</v>
      </c>
      <c r="BW63" s="9">
        <f t="shared" si="7"/>
        <v>0</v>
      </c>
      <c r="BX63" s="1" t="str">
        <f t="shared" si="8"/>
        <v/>
      </c>
      <c r="BY63" s="1">
        <f t="shared" si="9"/>
        <v>1</v>
      </c>
      <c r="BZ63" s="1">
        <f t="shared" si="10"/>
        <v>0</v>
      </c>
      <c r="CA63" s="1">
        <f>MIN(10,W63+IF(AND(L63="LILYA_COBRA",COUNTIF($L$3:L63,"LILYA_COBRA")=1),5,0)+IF(AND(L63="LILYA_DIVE",U63=1,COUNTIFS($DG$3:DG63,DG63,$L$3:L63,"LILYA_DIVE")=1),2,0)+IF(AND(FE63=1,U63=1),3,0))</f>
        <v>3</v>
      </c>
      <c r="CB63" s="1">
        <f>MIN(20,MAX(0,X63+IF(L63="LILYA_COBRA",IF(COUNTIF($L$3:L63,"LILYA_COBRA")=1,6,IF(U63=1,MAX(1,G63),IF(U63=2,2*MAX(1,G63),0))),0)+IF(AND(Y63=1,E63="红弩箭",L63&lt;&gt;"ENTER_INSIGHT"),1,0)-IF(AND(L63="LILYA_ULT",X63&gt;=6),6,0)))</f>
        <v>11</v>
      </c>
      <c r="CC63" s="1">
        <f t="shared" si="11"/>
        <v>0</v>
      </c>
      <c r="CD63" s="1">
        <f t="shared" si="12"/>
        <v>0</v>
      </c>
      <c r="CE63" s="1">
        <f t="shared" si="13"/>
        <v>0</v>
      </c>
      <c r="CF63" s="1">
        <f t="shared" si="14"/>
        <v>2</v>
      </c>
      <c r="CG63" s="1">
        <f t="shared" si="15"/>
        <v>0</v>
      </c>
      <c r="CH63" s="1">
        <f>MIN(35,AD63+IF(L63="J_HARD",6,0)+IF(L63="J_COUNTER",Boss参数!$B$30,0))</f>
        <v>35</v>
      </c>
      <c r="CI63" s="1">
        <f>MIN(Boss参数!$I$4,AE63+IF(L63="J_HARD",6,0)+IF(L63="J_ULT",AD63,0)+IF(L63="J_COUNTER",Boss参数!$B$30,0))</f>
        <v>13</v>
      </c>
      <c r="CJ63" s="10">
        <f>IF(L63="J_ULT",AD63*Boss参数!$B$41,IF(B63&lt;=AG63,AF63,0))</f>
        <v>0.4</v>
      </c>
      <c r="CK63" s="1">
        <f t="shared" si="16"/>
        <v>5</v>
      </c>
      <c r="CL63" s="1">
        <f t="shared" si="17"/>
        <v>5</v>
      </c>
      <c r="CM63" s="1">
        <f t="shared" si="18"/>
        <v>6</v>
      </c>
      <c r="CN63" s="1">
        <f t="shared" si="19"/>
        <v>7</v>
      </c>
      <c r="CO63" s="1">
        <f t="shared" si="20"/>
        <v>6</v>
      </c>
      <c r="CP63" s="1">
        <f t="shared" si="21"/>
        <v>3</v>
      </c>
      <c r="CQ63" s="1">
        <f t="shared" si="22"/>
        <v>25</v>
      </c>
      <c r="CR63" s="1">
        <f t="shared" si="23"/>
        <v>4</v>
      </c>
      <c r="CS63" s="1">
        <f t="shared" si="24"/>
        <v>0</v>
      </c>
      <c r="CT63" s="10">
        <f t="shared" si="25"/>
        <v>0.12</v>
      </c>
      <c r="CU63" s="1">
        <f t="shared" si="26"/>
        <v>5</v>
      </c>
      <c r="CV63" s="10">
        <f t="shared" si="27"/>
        <v>0.3</v>
      </c>
      <c r="CW63" s="1">
        <f t="shared" si="28"/>
        <v>5</v>
      </c>
      <c r="CX63" s="10">
        <f t="shared" si="29"/>
        <v>0.3</v>
      </c>
      <c r="CY63" s="1">
        <f t="shared" si="30"/>
        <v>5</v>
      </c>
      <c r="CZ63" s="1"/>
      <c r="DA63" s="1"/>
      <c r="DB63" s="1"/>
      <c r="DC63" s="1"/>
      <c r="DD63" s="1"/>
      <c r="DE63" s="1"/>
      <c r="DF63" s="1"/>
      <c r="DG63" s="1">
        <f>IF(D63="","",行动模拟!B69)</f>
        <v>4</v>
      </c>
      <c r="DH63" s="1" t="str">
        <f>IF(L63="END_TURN","回合结束",IF(D63="","",IF(INDEX(回合状态!$C$7:$C$17,MATCH(DG63,回合状态!$A$7:$A$17,0))="洞穿","洞穿",IF(OR(L63="J_COUNTER",L63="BOSS_ACTION",L63="BOSS_CONSERVATIVE"),"敌方",IF(AND(L63="37_FOLLOW",DG63=DG62,DH62="敌方"),"敌方",IF(INDEX(回合状态!$C$7:$C$17,MATCH(DG63,回合状态!$A$7:$A$17,0))="普通","出牌",INDEX(回合状态!$C$7:$C$17,MATCH(DG63,回合状态!$A$7:$A$17,0))))))))</f>
        <v>出牌</v>
      </c>
      <c r="DI63" s="1">
        <f t="shared" si="31"/>
        <v>3</v>
      </c>
      <c r="DJ63" s="1">
        <f>IF(D63="",0,MIN(Boss参数!$B$25,IF(OR(AND(DH63="敌方",OR(DH62&lt;&gt;"敌方",DG63&lt;&gt;DG62)),AND(L63="END_TURN",DH63&lt;&gt;"洞穿"),AND(DG63&lt;&gt;DG62,DH62&lt;&gt;"洞穿",L62&lt;&gt;"END_TURN",COUNTIFS($DG$3:DG62,DG62,$DH$3:DH62,"敌方")=0)),EW63,DN62)))</f>
        <v>3</v>
      </c>
      <c r="DK63" s="1">
        <f>IF(D63="",0,MIN(Boss参数!$B$25,IF(OR(AND(DH63="敌方",OR(DH62&lt;&gt;"敌方",DG63&lt;&gt;DG62)),AND(L63="END_TURN",DH63&lt;&gt;"洞穿"),AND(DG63&lt;&gt;DG62,DH62&lt;&gt;"洞穿",L62&lt;&gt;"END_TURN",COUNTIFS($DG$3:DG62,DG62,$DH$3:DH62,"敌方")=0)),EW63,DO62)))</f>
        <v>3</v>
      </c>
      <c r="DL63" s="1">
        <f>IF(D63="",0,MIN(Boss参数!$B$25,IF(OR(AND(DH63="敌方",OR(DH62&lt;&gt;"敌方",DG63&lt;&gt;DG62)),AND(L63="END_TURN",DH63&lt;&gt;"洞穿"),AND(DG63&lt;&gt;DG62,DH62&lt;&gt;"洞穿",L62&lt;&gt;"END_TURN",COUNTIFS($DG$3:DG62,DG62,$DH$3:DH62,"敌方")=0)),EW63,DP62)))</f>
        <v>3</v>
      </c>
      <c r="DM63" s="1">
        <f>IF(D63="",0,MIN(Boss参数!$B$25,IF(OR(AND(DH63="敌方",OR(DH62&lt;&gt;"敌方",DG63&lt;&gt;DG62)),AND(L63="END_TURN",DH63&lt;&gt;"洞穿"),AND(DG63&lt;&gt;DG62,DH62&lt;&gt;"洞穿",L62&lt;&gt;"END_TURN",COUNTIFS($DG$3:DG62,DG62,$DH$3:DH62,"敌方")=0)),EW63,DQ62)))</f>
        <v>3</v>
      </c>
      <c r="DN63" s="1">
        <f>MAX(0,MIN(Boss参数!$B$25,DJ63+DR63)-IF(E63="红弩箭",2*DR63,0))</f>
        <v>3</v>
      </c>
      <c r="DO63" s="1">
        <f>MAX(0,MIN(Boss参数!$B$25,DK63+DR63)-IF(E63="37",2*DR63,0))</f>
        <v>3</v>
      </c>
      <c r="DP63" s="1">
        <f>MAX(0,MIN(Boss参数!$B$25,DL63+DR63)-IF(E63="小瑞安侬",2*DR63,0))</f>
        <v>3</v>
      </c>
      <c r="DQ63" s="1">
        <f>MAX(0,MIN(Boss参数!$B$25,DM63+DR63)-IF(E63="J",2*DR63,0))</f>
        <v>3</v>
      </c>
      <c r="DR63" s="1">
        <f t="shared" si="32"/>
        <v>0</v>
      </c>
      <c r="DS63" s="1">
        <f t="shared" si="33"/>
        <v>0</v>
      </c>
      <c r="DT63" s="1">
        <f>IF(OR(E63="",E63="系统"),0,IF(OR(AND(DS63=1,Boss参数!$B$32=1),L63="RHI_BERRY",OR(AND(INDEX(角色面板!$B$18:$B$21,MATCH(E63,角色面板!$A$18:$A$21,0))="星",Boss参数!$B$4="岩"),AND(INDEX(角色面板!$B$18:$B$21,MATCH(E63,角色面板!$A$18:$A$21,0))="岩",Boss参数!$B$4="兽"),AND(INDEX(角色面板!$B$18:$B$21,MATCH(E63,角色面板!$A$18:$A$21,0))="兽",Boss参数!$B$4="木"),AND(INDEX(角色面板!$B$18:$B$21,MATCH(E63,角色面板!$A$18:$A$21,0))="木",Boss参数!$B$4="星"),AND(INDEX(角色面板!$B$18:$B$21,MATCH(E63,角色面板!$A$18:$A$21,0))="智",Boss参数!$B$4="灵"),AND(INDEX(角色面板!$B$18:$B$21,MATCH(E63,角色面板!$A$18:$A$21,0))="灵",Boss参数!$B$4="智"))),1,0))</f>
        <v>0</v>
      </c>
      <c r="DU63" s="1">
        <f>IF(D63="",0,INDEX(回合状态!$E$7:$E$17,MATCH(DG63,回合状态!$A$7:$A$17,0))+IF(AND(DH63="敌方",OR(INDEX(回合状态!$C$7:$C$17,MATCH(DG63,回合状态!$A$7:$A$17,0))="普通",INDEX(回合状态!$C$7:$C$17,MATCH(DG63,回合状态!$A$7:$A$17,0))="额外")),0.05,0))</f>
        <v>0.2</v>
      </c>
      <c r="DV63" s="1">
        <f>MAX(Boss参数!$B$28,1+IF(AND(E63="37",AC63&gt;0,BH63&gt;0),Boss参数!$B$42,0)-DI63*Boss参数!$B$24+EA63-ER63)</f>
        <v>0</v>
      </c>
      <c r="DW63" s="1">
        <f>MIN(IF(Boss参数!$B$77=1,Boss参数!$B$63*Boss参数!$B$62,Boss参数!$B$61*Boss参数!$B$62),ROUNDDOWN(BQ63*(1-ES63),0))</f>
        <v>0</v>
      </c>
      <c r="DX63" s="1">
        <f>MIN(IF(Boss参数!$B$77=1,Boss参数!$B$63*Boss参数!$B$62,Boss参数!$B$61*Boss参数!$B$62),ROUNDDOWN(BR63*(1-ES63),0))</f>
        <v>0</v>
      </c>
      <c r="DY63" s="1">
        <f t="shared" si="65"/>
        <v>238</v>
      </c>
      <c r="DZ63" s="1">
        <f>IF(L63="RHI_ULT",MIN(Boss参数!$B$48,ROUNDDOWN(AY63*Boss参数!$B$47,0)),DY63)</f>
        <v>250</v>
      </c>
      <c r="EA63" s="11">
        <v>0</v>
      </c>
      <c r="EB63" s="1">
        <f t="shared" si="34"/>
        <v>0</v>
      </c>
      <c r="EC63" s="1">
        <f>SUMIFS($EB$3:EB63,$B$3:B63,"&gt;="&amp;MAX(1,B63-2),$B$3:B63,"&lt;="&amp;B63)*Boss参数!$B$51</f>
        <v>12</v>
      </c>
      <c r="ED63" s="1">
        <f>IF(D63="",EG62,IF(AND(DG63&lt;&gt;DG62,DH63&lt;&gt;"洞穿"),MIN(Boss参数!$B$55,EG62+2),EG62))</f>
        <v>2</v>
      </c>
      <c r="EE63" s="1">
        <f t="shared" si="35"/>
        <v>0</v>
      </c>
      <c r="EF63" s="1">
        <f>IF(AND(OR(L63="END_TURN",AND(DH63="敌方",OR(DH62&lt;&gt;"敌方",DG63&lt;&gt;DG62))),SUMIFS($EF$3:EF62,$DG$3:DG62,DG63)=0),MIN(1,MAX(0,ED63-EE63)),0)</f>
        <v>0</v>
      </c>
      <c r="EG63" s="1">
        <f t="shared" si="36"/>
        <v>2</v>
      </c>
      <c r="EH63" s="11">
        <f>Boss参数!$B$53-IF(Y63=1,Boss参数!$B$54,0)</f>
        <v>0</v>
      </c>
      <c r="EI63" s="11">
        <f t="shared" si="37"/>
        <v>0.3</v>
      </c>
      <c r="EJ63" s="11">
        <f t="shared" si="38"/>
        <v>0.3</v>
      </c>
      <c r="EK63" s="11">
        <f t="shared" si="39"/>
        <v>1</v>
      </c>
      <c r="EL63" s="1">
        <f t="shared" si="66"/>
        <v>1</v>
      </c>
      <c r="EM63" s="1">
        <f>IF(AND(DG63&lt;&gt;DG62,DH63="洞穿"),0,IF(L63="ENTER_INSIGHT",Boss参数!$B$57,EO62))</f>
        <v>0</v>
      </c>
      <c r="EN63" s="11">
        <f>IF(AND(Y63=1,H63="洞知",EM63&gt;0),Boss参数!$B$56,0)</f>
        <v>0</v>
      </c>
      <c r="EO63" s="1">
        <f t="shared" si="40"/>
        <v>0</v>
      </c>
      <c r="EP63" s="12">
        <f t="shared" si="67"/>
        <v>13353317</v>
      </c>
      <c r="EQ63" s="12">
        <f>ROUNDDOWN(EP63/Boss参数!$B$62,0)</f>
        <v>133</v>
      </c>
      <c r="ER63" s="11">
        <f>IF(EQ63&gt;=Boss参数!$B$66,Boss参数!$B$69,IF(EQ63&gt;=Boss参数!$B$65,Boss参数!$B$68,IF(EQ63&gt;=Boss参数!$B$64,Boss参数!$B$67,0)))</f>
        <v>0.9</v>
      </c>
      <c r="ES63" s="11">
        <f>MIN(1,IF(EQ63&gt;=Boss参数!$B$66,Boss参数!$B$72+ROUNDDOWN((EQ63-Boss参数!$B$66)/Boss参数!$B$73,0)*Boss参数!$B$74,IF(EQ63&gt;=Boss参数!$B$65,Boss参数!$B$71,IF(EQ63&gt;=Boss参数!$B$64,Boss参数!$B$70,0))))</f>
        <v>0.6</v>
      </c>
      <c r="ET63" s="12">
        <f>MIN(Boss参数!$B$61*Boss参数!$B$62,EP63+IF(AND(Boss参数!$B$60=1,ISNUMBER(验证表!H69)),验证表!H69,EU63))</f>
        <v>13353317</v>
      </c>
      <c r="EU63" s="12">
        <f>IF(D63="",0,IF(验证表!G69="是",BV63,IF(验证表!G69="否",BU63,BW63)))</f>
        <v>0</v>
      </c>
      <c r="EV63" s="12">
        <f>IF(EQ63&gt;=Boss参数!$B$66,2,IF(EQ63&gt;=Boss参数!$B$65,1,0))</f>
        <v>2</v>
      </c>
      <c r="EW63" s="12">
        <f t="shared" si="41"/>
        <v>3</v>
      </c>
      <c r="EX63" s="1">
        <f>IF(D63="",0,INDEX(回合状态!$D$7:$D$17,MATCH(DG63,回合状态!$A$7:$A$17,0)))</f>
        <v>4</v>
      </c>
      <c r="EY63" s="1">
        <f>IF(OR(L63="RHI_ATTACK",L63="RHI_BUFF"),1,IF(L63="RHI_ULT",Boss参数!$B$52,0))</f>
        <v>1</v>
      </c>
      <c r="EZ63" s="1">
        <f>MIN(6,SUMIFS($EY$3:EY63,$EX$3:EX63,"&gt;="&amp;MAX(1,EX63-Boss参数!$B$87+1),$EX$3:EX63,"&lt;="&amp;EX63))</f>
        <v>6</v>
      </c>
      <c r="FA63" s="1">
        <f t="shared" si="68"/>
        <v>35</v>
      </c>
      <c r="FB63" s="17">
        <f>IF(L63="BOSS_CONSERVATIVE",B63+Boss参数!$B$91,FB62)</f>
        <v>0</v>
      </c>
      <c r="FC63" s="17">
        <f t="shared" si="69"/>
        <v>0</v>
      </c>
      <c r="FD63" s="17">
        <f>IF(D63="",FD62,FD62+IF(AND(DG63&lt;&gt;DG62,INDEX(回合状态!$C$7:$C$17,MATCH(DG63,回合状态!$A$7:$A$17,0))&lt;&gt;"洞穿"),1,0))</f>
        <v>5</v>
      </c>
      <c r="FE63" s="17">
        <f>IF(D63="",0,IF(AND(OR(L63="END_TURN",DH63="敌方"),INDEX(回合状态!$C$7:$C$17,MATCH(DG63,回合状态!$A$7:$A$17,0))&lt;&gt;"洞穿",SUMIFS($FE$3:FE62,$DG$3:DG62,DG63)=0),1,0))</f>
        <v>0</v>
      </c>
    </row>
    <row r="64" spans="1:161" ht="84.95" customHeight="1">
      <c r="A64" s="1">
        <f>行动模拟!A70</f>
        <v>62</v>
      </c>
      <c r="B64" s="1">
        <f>IF(D64="",0,INDEX(回合状态!$B$7:$B$17,MATCH(DG64,回合状态!$A$7:$A$17,0)))</f>
        <v>4</v>
      </c>
      <c r="C64" s="1">
        <f>行动模拟!C70</f>
        <v>2</v>
      </c>
      <c r="D64" s="1" t="str">
        <f>IF(行动模拟!D70="","",行动模拟!D70)</f>
        <v>小瑞安侬｜悄冥冥术阵</v>
      </c>
      <c r="E64" s="1" t="str">
        <f>IF($D64="","",IFERROR(INDEX(技能数据库!$B$4:$B$38,MATCH($D64,技能数据库!$A$4:$A$38,0)),""))</f>
        <v>小瑞安侬</v>
      </c>
      <c r="F64" s="1" t="str">
        <f>IF($D64="","",IFERROR(INDEX(技能数据库!$C$4:$C$38,MATCH($D64,技能数据库!$A$4:$A$38,0)),""))</f>
        <v>悄冥冥术阵</v>
      </c>
      <c r="G64" s="1">
        <f>IF($D64="","",IFERROR(INDEX(技能数据库!$D$4:$D$38,MATCH($D64,技能数据库!$A$4:$A$38,0)),""))</f>
        <v>0</v>
      </c>
      <c r="H64" s="1" t="str">
        <f>IF($D64="","",IFERROR(INDEX(技能数据库!$E$4:$E$38,MATCH($D64,技能数据库!$A$4:$A$38,0)),""))</f>
        <v>增益</v>
      </c>
      <c r="I64" s="1" t="str">
        <f>IF($D64="","",IFERROR(INDEX(技能数据库!$F$4:$F$38,MATCH($D64,技能数据库!$A$4:$A$38,0)),""))</f>
        <v>无</v>
      </c>
      <c r="J64" s="1">
        <f>IF($D64="","",IFERROR(INDEX(技能数据库!$G$4:$G$38,MATCH($D64,技能数据库!$A$4:$A$38,0)),""))</f>
        <v>0</v>
      </c>
      <c r="K64" s="1">
        <f>IF($D64="","",IFERROR(INDEX(技能数据库!$H$4:$H$38,MATCH($D64,技能数据库!$A$4:$A$38,0)),""))</f>
        <v>0</v>
      </c>
      <c r="L64" s="1" t="str">
        <f>IF($D64="","",IFERROR(INDEX(技能数据库!$I$4:$I$38,MATCH($D64,技能数据库!$A$4:$A$38,0)),""))</f>
        <v>RHI_BUFF</v>
      </c>
      <c r="M64" s="10">
        <v>1</v>
      </c>
      <c r="N64" s="1"/>
      <c r="O64" s="1"/>
      <c r="P64" s="1"/>
      <c r="Q64" s="10">
        <f t="shared" si="0"/>
        <v>0</v>
      </c>
      <c r="R64" s="10">
        <v>0</v>
      </c>
      <c r="S64" s="10">
        <v>0</v>
      </c>
      <c r="T64" s="1">
        <f>行动模拟!I70</f>
        <v>0</v>
      </c>
      <c r="U64" s="1">
        <f>IF(FD64&lt;&gt;FD63,IF(BY63=1,IF(MIN(10,CA63+IF(AND(DG64&lt;&gt;DG63,DH63&lt;&gt;"洞穿",SUMIFS($FE$3:FE63,$DG$3:DG63,DG63)=0,BY63=1),3,0))&gt;=10,2,1),IF(BY63=2,IF(BZ63&lt;=1,0,2),0)),BY63)</f>
        <v>1</v>
      </c>
      <c r="V64" s="1">
        <f>IF(FD64&lt;&gt;FD63,IF(BY63=1,IF(MIN(10,CA63+IF(AND(DG64&lt;&gt;DG63,DH63&lt;&gt;"洞穿",SUMIFS($FE$3:FE63,$DG$3:DG63,DG63)=0,BY63=1),3,0))&gt;=10,2,0),IF(BY63=2,MAX(0,BZ63-1),0)),BZ63)</f>
        <v>0</v>
      </c>
      <c r="W64" s="1">
        <f>IF(AND(FD64&lt;&gt;FD63,BY63=2,BZ63&lt;=1),0,MIN(10,CA63+IF(AND(DG64&lt;&gt;DG63,DH63&lt;&gt;"洞穿",SUMIFS($FE$3:FE63,$DG$3:DG63,DG63)=0,BY63=1),3,0)))</f>
        <v>3</v>
      </c>
      <c r="X64" s="1">
        <f t="shared" si="42"/>
        <v>11</v>
      </c>
      <c r="Y64" s="1">
        <f t="shared" si="43"/>
        <v>0</v>
      </c>
      <c r="Z64" s="1">
        <f t="shared" si="44"/>
        <v>0</v>
      </c>
      <c r="AA64" s="1">
        <f t="shared" si="45"/>
        <v>0</v>
      </c>
      <c r="AB64" s="1">
        <f t="shared" si="46"/>
        <v>2</v>
      </c>
      <c r="AC64" s="1">
        <f t="shared" si="47"/>
        <v>0</v>
      </c>
      <c r="AD64" s="1">
        <f t="shared" si="48"/>
        <v>35</v>
      </c>
      <c r="AE64" s="1">
        <f>IF(D64="",0,IF(DG64&lt;&gt;DG63,IFERROR(INDEX(回合状态!$F$7:$F$17,MATCH(DG64,回合状态!$A$7:$A$17,0)),0),CI63))</f>
        <v>13</v>
      </c>
      <c r="AF64" s="10">
        <f t="shared" si="49"/>
        <v>0.4</v>
      </c>
      <c r="AG64" s="1">
        <f t="shared" si="50"/>
        <v>5</v>
      </c>
      <c r="AH64" s="1">
        <f t="shared" si="51"/>
        <v>5</v>
      </c>
      <c r="AI64" s="1">
        <f t="shared" si="52"/>
        <v>6</v>
      </c>
      <c r="AJ64" s="1">
        <f t="shared" si="53"/>
        <v>7</v>
      </c>
      <c r="AK64" s="1">
        <f t="shared" si="54"/>
        <v>6</v>
      </c>
      <c r="AL64" s="1">
        <f t="shared" si="55"/>
        <v>3</v>
      </c>
      <c r="AM64" s="1">
        <f t="shared" si="56"/>
        <v>25</v>
      </c>
      <c r="AN64" s="1">
        <f t="shared" si="57"/>
        <v>4</v>
      </c>
      <c r="AO64" s="1">
        <f t="shared" si="58"/>
        <v>0</v>
      </c>
      <c r="AP64" s="10">
        <f t="shared" si="59"/>
        <v>0.12</v>
      </c>
      <c r="AQ64" s="1">
        <f t="shared" si="60"/>
        <v>5</v>
      </c>
      <c r="AR64" s="10">
        <f t="shared" si="61"/>
        <v>0.3</v>
      </c>
      <c r="AS64" s="1">
        <f t="shared" si="62"/>
        <v>5</v>
      </c>
      <c r="AT64" s="10">
        <f t="shared" si="63"/>
        <v>0.3</v>
      </c>
      <c r="AU64" s="1">
        <f t="shared" si="64"/>
        <v>5</v>
      </c>
      <c r="AV64" s="1">
        <f>MIN(5,SUMIFS($EL$3:EL64,$B$3:B64,"&gt;="&amp;MAX(1,B64-2),$B$3:B64,"&lt;="&amp;B64)+EC64)</f>
        <v>5</v>
      </c>
      <c r="AW64" s="1">
        <f>MIN(6,SUMIFS($EY$3:EY63,$EX$3:EX63,"&gt;="&amp;MAX(1,EX64-Boss参数!$B$87+1),$EX$3:EX63,"&lt;="&amp;EX64))</f>
        <v>6</v>
      </c>
      <c r="AX64" s="1">
        <f>MIN(4,COUNTIFS($B$3:$B$63,"&gt;="&amp;MAX(1,$B64-2),$B$3:$B$63,"&lt;="&amp;$B64,$L$3:$L$63,"37_FOLLOW"))</f>
        <v>4</v>
      </c>
      <c r="AY64" s="9">
        <f>IF($E64="","",IF($E64="系统",0,ROUNDDOWN(INDEX(角色面板!$C$4:$C$7,MATCH($E64,角色面板!$A$4:$A$7,0))*(1+INDEX(角色面板!$C$11:$C$14,MATCH($E64,角色面板!$A$11:$A$14,0))+IF($E64="小瑞安侬",MAX(IF($B64&lt;=$AQ64,$AP64,0),IF(AND($L64="RHI_ATTACK",$EE64&gt;0),0.11+0.01*$G64,0)),0)+IF($E64="J",$AD64*Boss参数!$B$18,0))+IF(FD64&lt;=$AN64,MIN(Boss参数!$B$21,ROUNDDOWN(角色面板!$C$19*Boss参数!$B$20,0)),0)+IF(AND($B64&lt;=$AK64,$E64&lt;&gt;"小瑞安侬"),$DY64,0),0)))</f>
        <v>3298</v>
      </c>
      <c r="AZ64" s="10">
        <f>IF($E64="","",MAX(0,MIN(1,IFERROR(INDEX(角色面板!$G$18:$G$21,MATCH($E64,角色面板!$A$18:$A$21,0)),0)-FC64*Boss参数!$B$89-Boss参数!$E$4)))</f>
        <v>0.55499999999999994</v>
      </c>
      <c r="BA64" s="10">
        <f>IF(E64="","",(IF($E64="","",IF($E64="红弩箭",Boss参数!$B$80,IF($E64="J",Boss参数!$B$81,IFERROR(INDEX(角色面板!$H$18:$H$21,MATCH($E64,角色面板!$A$18:$A$21,0)),0)))+IF($B64&lt;=$AI64,Boss参数!$B$13,0)+MIN(30,$AM64)*Boss参数!$B$17+IF(AND($L64="LILYA_ULT",$X64&gt;=6),1,0)+IF(AND($Y64=1,$L64="LILYA_INSIGHT"),IF(MOD($AA64+1,3)=0,Boss参数!$B$83,Boss参数!$B$82),IF(AND($Y64=1,$L64="LILYA_FINISH"),Boss参数!$B$84,0))))-FC64*Boss参数!$B$90)</f>
        <v>1.81</v>
      </c>
      <c r="BB64" s="10">
        <f>IF($E64="","",IFERROR(INDEX(角色面板!$M$18:$M$21,MATCH($E64,角色面板!$A$18:$A$21,0)),0)+$AW64*Boss参数!$B$12+IF($B64&lt;=$AG64,$AF64,0)+$EI64+IF($L64="LILYA_DIVE",IF($U64=1,IF($G64=1,0.3,IF($G64=2,0.4,0.5)),IF($U64=2,IF($G64=1,0.6,IF($G64=2,0.8,1)),0)),0)+$R64+IF(AND($E64="J",OR($L64="J_COUNTER",$L64="J_HARD")),Boss参数!$B$79,0)+IF(AND(OR(L64="J_COUNTER",L64="J_HARD"),FA64&gt;=Boss参数!$B$59),FA64*Boss参数!$B$40,0))</f>
        <v>0.82000000000000006</v>
      </c>
      <c r="BC64" s="10">
        <f>IF($E64="","",IFERROR(INDEX(角色面板!$K$18:$K$21,MATCH($E64,角色面板!$A$18:$A$21,0)),0)+IF($B64&lt;=$AH64,Boss参数!$B$46,0)+IF($E64="红弩箭",IF($U64=1,0.6,IF($U64=2,1.2,0))+$W64*0.06,0))-DI64*Boss参数!$B$23</f>
        <v>-0.55000000000000004</v>
      </c>
      <c r="BD64" s="10">
        <f>IF($E64="","",IFERROR(INDEX(角色面板!$L$18:$L$21,MATCH($E64,角色面板!$A$18:$A$21,0)),0)+IF($B64&lt;=$AH64,Boss参数!$B$46,0)+IF($E64="J",$AL64*Boss参数!$B$16,0)+IF($E64="红弩箭",$X64*0.025,0)+IF(AND($L64="LILYA_ULT",$X64&gt;=6),1,0))-DI64*Boss参数!$B$23</f>
        <v>-0.14999999999999997</v>
      </c>
      <c r="BE64" s="10">
        <f>IF($E64="","",IF($H64="洞知",IF($E64="红弩箭",$AO64*Boss参数!$B$15,0)+$AX64*Boss参数!$B$14,0))</f>
        <v>0</v>
      </c>
      <c r="BF64" s="10">
        <f t="shared" si="1"/>
        <v>0</v>
      </c>
      <c r="BG64" s="10">
        <f>IF($D64="",0,IF(AND($L64&lt;&gt;"LILYA_DIVE",$L64&lt;&gt;"LILYA_ULT",$L64&lt;&gt;"LILYA_INSIGHT",$L64&lt;&gt;"LILYA_FINISH",$L64&lt;&gt;"37_FOLLOW",$L64&lt;&gt;"RHI_ATTACK",$L64&lt;&gt;"RHI_BERRY",$L64&lt;&gt;"J_COUNTER",$L64&lt;&gt;"J_ULT"),$J64,0)+IF($L64="LILYA_DIVE",$J64+IF($U64=1,IF($G64=1,6,IF($G64=2,12,18)),IF($U64=2,IF($G64=1,12,IF($G64=2,24,36)),0)),0)+IF($L64="LILYA_ULT",$J64+IF($X64&gt;=6,18,0),0)+IF($L64="LILYA_INSIGHT",IF($Y64=1,IF(MOD($AA64+1,3)=0,32,15),0),0)+IF($L64="LILYA_FINISH",IF($Y64=1,50+2.5*$Z64,0),0)+IF($L64="37_FOLLOW",$J64,0)+IF($L64="RHI_ATTACK",$J64*IF($B64&lt;=$AJ64,2,1),0)+IF($L64="RHI_BERRY",15+1.5*$AV64,0)+IF($L64="J_COUNTER",$J64+$AD64*Boss参数!$B$39,0)+IF($L64="J_ULT",$J64+Boss参数!$B$45*MAX(0,$AE64+$AD64-Boss参数!$I$4),0)+$S64)</f>
        <v>0</v>
      </c>
      <c r="BH64" s="10">
        <f t="shared" si="2"/>
        <v>0</v>
      </c>
      <c r="BI64" s="10">
        <f>IF(E64="","",IF(DT64=1,1+Boss参数!$B$8+AV64*Boss参数!$B$19,1))</f>
        <v>1</v>
      </c>
      <c r="BJ64" s="9">
        <f>IF($I64="现实",Boss参数!$C$4,IF($I64="精神",Boss参数!$D$4,0))</f>
        <v>0</v>
      </c>
      <c r="BK64" s="9">
        <f>IF($E64="","",MAX($AY64*Boss参数!$B$9,$AY64-$BJ64*(1-$BF64)))</f>
        <v>3298</v>
      </c>
      <c r="BL64" s="10">
        <f>MAX(0,Boss参数!$F$4+IF(DT64=0,Boss参数!$B$27,0)-EJ64)</f>
        <v>1.0999999999999999</v>
      </c>
      <c r="BM64" s="10">
        <f>Boss参数!$G$4+DU64-IF(Y64=1,Boss参数!$B$11,0)</f>
        <v>0.60000000000000009</v>
      </c>
      <c r="BN64" s="10">
        <f>IF($E64="","",MAX(Boss参数!$B$10,1+IFERROR(INDEX(角色面板!$I$18:$I$21,MATCH($E64,角色面板!$A$18:$A$21,0)),0)+$BB64+Boss参数!$H$4-$BM64))</f>
        <v>1.2549999999999999</v>
      </c>
      <c r="BO64" s="10">
        <f>IF(E64="","",IF(OR(L64="J_COUNTER",L64="J_HARD"),MAX(0,1+INDEX(角色面板!$K$18:$K$21,MATCH(E64,角色面板!$A$18:$A$21,0))-DI64*Boss参数!$B$23+IF(OR(Boss参数!$B$43=1,L64="J_HARD"),IF(B64&lt;=AH64,Boss参数!$B$46,0),0)),MAX(0,IF(OR(H64="术法",L64="RHI_BERRY",AND(L64="37_FOLLOW",Boss参数!$B$31=1)),1+BC64,IF(H64="仪式",1+BD64,IF(H64="洞知",EK64,1))))))</f>
        <v>1</v>
      </c>
      <c r="BP64" s="10">
        <f t="shared" si="3"/>
        <v>1.1000000000000001</v>
      </c>
      <c r="BQ64" s="1">
        <f t="shared" si="4"/>
        <v>0</v>
      </c>
      <c r="BR64" s="1">
        <f t="shared" si="5"/>
        <v>0</v>
      </c>
      <c r="BS64" s="1">
        <f>IF(BH64=0,0,ROUNDDOWN(AY64*BH64,0)*DV64*IF(Boss参数!$B$29=1,BN64,1)*IF(Boss参数!$B$33=1,BO64,1)*IF(Boss参数!$B$76=1,1-ES64,1))</f>
        <v>0</v>
      </c>
      <c r="BT64" s="1">
        <f t="shared" si="6"/>
        <v>0</v>
      </c>
      <c r="BU64" s="9">
        <f>IF(D64="",0,MIN(IF(Boss参数!$B$77=1,Boss参数!$B$63*Boss参数!$B$62,Boss参数!$B$61*Boss参数!$B$62),DW64+ROUNDDOWN(BS64,0)+ROUNDDOWN(DW64*Q64,0)))</f>
        <v>0</v>
      </c>
      <c r="BV64" s="9">
        <f>IF(D64="",0,MIN(IF(Boss参数!$B$77=1,Boss参数!$B$63*Boss参数!$B$62,Boss参数!$B$61*Boss参数!$B$62),DX64+ROUNDDOWN(BT64,0)+ROUNDDOWN(DX64*Q64,0)))</f>
        <v>0</v>
      </c>
      <c r="BW64" s="9">
        <f t="shared" si="7"/>
        <v>0</v>
      </c>
      <c r="BX64" s="1" t="str">
        <f t="shared" si="8"/>
        <v/>
      </c>
      <c r="BY64" s="1">
        <f t="shared" si="9"/>
        <v>1</v>
      </c>
      <c r="BZ64" s="1">
        <f t="shared" si="10"/>
        <v>0</v>
      </c>
      <c r="CA64" s="1">
        <f>MIN(10,W64+IF(AND(L64="LILYA_COBRA",COUNTIF($L$3:L64,"LILYA_COBRA")=1),5,0)+IF(AND(L64="LILYA_DIVE",U64=1,COUNTIFS($DG$3:DG64,DG64,$L$3:L64,"LILYA_DIVE")=1),2,0)+IF(AND(FE64=1,U64=1),3,0))</f>
        <v>3</v>
      </c>
      <c r="CB64" s="1">
        <f>MIN(20,MAX(0,X64+IF(L64="LILYA_COBRA",IF(COUNTIF($L$3:L64,"LILYA_COBRA")=1,6,IF(U64=1,MAX(1,G64),IF(U64=2,2*MAX(1,G64),0))),0)+IF(AND(Y64=1,E64="红弩箭",L64&lt;&gt;"ENTER_INSIGHT"),1,0)-IF(AND(L64="LILYA_ULT",X64&gt;=6),6,0)))</f>
        <v>11</v>
      </c>
      <c r="CC64" s="1">
        <f t="shared" si="11"/>
        <v>0</v>
      </c>
      <c r="CD64" s="1">
        <f t="shared" si="12"/>
        <v>0</v>
      </c>
      <c r="CE64" s="1">
        <f t="shared" si="13"/>
        <v>0</v>
      </c>
      <c r="CF64" s="1">
        <f t="shared" si="14"/>
        <v>3</v>
      </c>
      <c r="CG64" s="1">
        <f t="shared" si="15"/>
        <v>0</v>
      </c>
      <c r="CH64" s="1">
        <f>MIN(35,AD64+IF(L64="J_HARD",6,0)+IF(L64="J_COUNTER",Boss参数!$B$30,0))</f>
        <v>35</v>
      </c>
      <c r="CI64" s="1">
        <f>MIN(Boss参数!$I$4,AE64+IF(L64="J_HARD",6,0)+IF(L64="J_ULT",AD64,0)+IF(L64="J_COUNTER",Boss参数!$B$30,0))</f>
        <v>13</v>
      </c>
      <c r="CJ64" s="10">
        <f>IF(L64="J_ULT",AD64*Boss参数!$B$41,IF(B64&lt;=AG64,AF64,0))</f>
        <v>0.4</v>
      </c>
      <c r="CK64" s="1">
        <f t="shared" si="16"/>
        <v>5</v>
      </c>
      <c r="CL64" s="1">
        <f t="shared" si="17"/>
        <v>6</v>
      </c>
      <c r="CM64" s="1">
        <f t="shared" si="18"/>
        <v>6</v>
      </c>
      <c r="CN64" s="1">
        <f t="shared" si="19"/>
        <v>7</v>
      </c>
      <c r="CO64" s="1">
        <f t="shared" si="20"/>
        <v>6</v>
      </c>
      <c r="CP64" s="1">
        <f t="shared" si="21"/>
        <v>3</v>
      </c>
      <c r="CQ64" s="1">
        <f t="shared" si="22"/>
        <v>25</v>
      </c>
      <c r="CR64" s="1">
        <f t="shared" si="23"/>
        <v>4</v>
      </c>
      <c r="CS64" s="1">
        <f t="shared" si="24"/>
        <v>0</v>
      </c>
      <c r="CT64" s="10">
        <f t="shared" si="25"/>
        <v>0.12</v>
      </c>
      <c r="CU64" s="1">
        <f t="shared" si="26"/>
        <v>5</v>
      </c>
      <c r="CV64" s="10">
        <f t="shared" si="27"/>
        <v>0.3</v>
      </c>
      <c r="CW64" s="1">
        <f t="shared" si="28"/>
        <v>5</v>
      </c>
      <c r="CX64" s="10">
        <f t="shared" si="29"/>
        <v>0.3</v>
      </c>
      <c r="CY64" s="1">
        <f t="shared" si="30"/>
        <v>6</v>
      </c>
      <c r="CZ64" s="1"/>
      <c r="DA64" s="1"/>
      <c r="DB64" s="1"/>
      <c r="DC64" s="1"/>
      <c r="DD64" s="1"/>
      <c r="DE64" s="1"/>
      <c r="DF64" s="1"/>
      <c r="DG64" s="1">
        <f>IF(D64="","",行动模拟!B70)</f>
        <v>4</v>
      </c>
      <c r="DH64" s="1" t="str">
        <f>IF(L64="END_TURN","回合结束",IF(D64="","",IF(INDEX(回合状态!$C$7:$C$17,MATCH(DG64,回合状态!$A$7:$A$17,0))="洞穿","洞穿",IF(OR(L64="J_COUNTER",L64="BOSS_ACTION",L64="BOSS_CONSERVATIVE"),"敌方",IF(AND(L64="37_FOLLOW",DG64=DG63,DH63="敌方"),"敌方",IF(INDEX(回合状态!$C$7:$C$17,MATCH(DG64,回合状态!$A$7:$A$17,0))="普通","出牌",INDEX(回合状态!$C$7:$C$17,MATCH(DG64,回合状态!$A$7:$A$17,0))))))))</f>
        <v>出牌</v>
      </c>
      <c r="DI64" s="1">
        <f t="shared" si="31"/>
        <v>3</v>
      </c>
      <c r="DJ64" s="1">
        <f>IF(D64="",0,MIN(Boss参数!$B$25,IF(OR(AND(DH64="敌方",OR(DH63&lt;&gt;"敌方",DG64&lt;&gt;DG63)),AND(L64="END_TURN",DH64&lt;&gt;"洞穿"),AND(DG64&lt;&gt;DG63,DH63&lt;&gt;"洞穿",L63&lt;&gt;"END_TURN",COUNTIFS($DG$3:DG63,DG63,$DH$3:DH63,"敌方")=0)),EW64,DN63)))</f>
        <v>3</v>
      </c>
      <c r="DK64" s="1">
        <f>IF(D64="",0,MIN(Boss参数!$B$25,IF(OR(AND(DH64="敌方",OR(DH63&lt;&gt;"敌方",DG64&lt;&gt;DG63)),AND(L64="END_TURN",DH64&lt;&gt;"洞穿"),AND(DG64&lt;&gt;DG63,DH63&lt;&gt;"洞穿",L63&lt;&gt;"END_TURN",COUNTIFS($DG$3:DG63,DG63,$DH$3:DH63,"敌方")=0)),EW64,DO63)))</f>
        <v>3</v>
      </c>
      <c r="DL64" s="1">
        <f>IF(D64="",0,MIN(Boss参数!$B$25,IF(OR(AND(DH64="敌方",OR(DH63&lt;&gt;"敌方",DG64&lt;&gt;DG63)),AND(L64="END_TURN",DH64&lt;&gt;"洞穿"),AND(DG64&lt;&gt;DG63,DH63&lt;&gt;"洞穿",L63&lt;&gt;"END_TURN",COUNTIFS($DG$3:DG63,DG63,$DH$3:DH63,"敌方")=0)),EW64,DP63)))</f>
        <v>3</v>
      </c>
      <c r="DM64" s="1">
        <f>IF(D64="",0,MIN(Boss参数!$B$25,IF(OR(AND(DH64="敌方",OR(DH63&lt;&gt;"敌方",DG64&lt;&gt;DG63)),AND(L64="END_TURN",DH64&lt;&gt;"洞穿"),AND(DG64&lt;&gt;DG63,DH63&lt;&gt;"洞穿",L63&lt;&gt;"END_TURN",COUNTIFS($DG$3:DG63,DG63,$DH$3:DH63,"敌方")=0)),EW64,DQ63)))</f>
        <v>3</v>
      </c>
      <c r="DN64" s="1">
        <f>MAX(0,MIN(Boss参数!$B$25,DJ64+DR64)-IF(E64="红弩箭",2*DR64,0))</f>
        <v>3</v>
      </c>
      <c r="DO64" s="1">
        <f>MAX(0,MIN(Boss参数!$B$25,DK64+DR64)-IF(E64="37",2*DR64,0))</f>
        <v>3</v>
      </c>
      <c r="DP64" s="1">
        <f>MAX(0,MIN(Boss参数!$B$25,DL64+DR64)-IF(E64="小瑞安侬",2*DR64,0))</f>
        <v>3</v>
      </c>
      <c r="DQ64" s="1">
        <f>MAX(0,MIN(Boss参数!$B$25,DM64+DR64)-IF(E64="J",2*DR64,0))</f>
        <v>3</v>
      </c>
      <c r="DR64" s="1">
        <f t="shared" si="32"/>
        <v>0</v>
      </c>
      <c r="DS64" s="1">
        <f t="shared" si="33"/>
        <v>0</v>
      </c>
      <c r="DT64" s="1">
        <f>IF(OR(E64="",E64="系统"),0,IF(OR(AND(DS64=1,Boss参数!$B$32=1),L64="RHI_BERRY",OR(AND(INDEX(角色面板!$B$18:$B$21,MATCH(E64,角色面板!$A$18:$A$21,0))="星",Boss参数!$B$4="岩"),AND(INDEX(角色面板!$B$18:$B$21,MATCH(E64,角色面板!$A$18:$A$21,0))="岩",Boss参数!$B$4="兽"),AND(INDEX(角色面板!$B$18:$B$21,MATCH(E64,角色面板!$A$18:$A$21,0))="兽",Boss参数!$B$4="木"),AND(INDEX(角色面板!$B$18:$B$21,MATCH(E64,角色面板!$A$18:$A$21,0))="木",Boss参数!$B$4="星"),AND(INDEX(角色面板!$B$18:$B$21,MATCH(E64,角色面板!$A$18:$A$21,0))="智",Boss参数!$B$4="灵"),AND(INDEX(角色面板!$B$18:$B$21,MATCH(E64,角色面板!$A$18:$A$21,0))="灵",Boss参数!$B$4="智"))),1,0))</f>
        <v>0</v>
      </c>
      <c r="DU64" s="1">
        <f>IF(D64="",0,INDEX(回合状态!$E$7:$E$17,MATCH(DG64,回合状态!$A$7:$A$17,0))+IF(AND(DH64="敌方",OR(INDEX(回合状态!$C$7:$C$17,MATCH(DG64,回合状态!$A$7:$A$17,0))="普通",INDEX(回合状态!$C$7:$C$17,MATCH(DG64,回合状态!$A$7:$A$17,0))="额外")),0.05,0))</f>
        <v>0.2</v>
      </c>
      <c r="DV64" s="1">
        <f>MAX(Boss参数!$B$28,1+IF(AND(E64="37",AC64&gt;0,BH64&gt;0),Boss参数!$B$42,0)-DI64*Boss参数!$B$24+EA64-ER64)</f>
        <v>0</v>
      </c>
      <c r="DW64" s="1">
        <f>MIN(IF(Boss参数!$B$77=1,Boss参数!$B$63*Boss参数!$B$62,Boss参数!$B$61*Boss参数!$B$62),ROUNDDOWN(BQ64*(1-ES64),0))</f>
        <v>0</v>
      </c>
      <c r="DX64" s="1">
        <f>MIN(IF(Boss参数!$B$77=1,Boss参数!$B$63*Boss参数!$B$62,Boss参数!$B$61*Boss参数!$B$62),ROUNDDOWN(BR64*(1-ES64),0))</f>
        <v>0</v>
      </c>
      <c r="DY64" s="1">
        <f t="shared" si="65"/>
        <v>250</v>
      </c>
      <c r="DZ64" s="1">
        <f>IF(L64="RHI_ULT",MIN(Boss参数!$B$48,ROUNDDOWN(AY64*Boss参数!$B$47,0)),DY64)</f>
        <v>250</v>
      </c>
      <c r="EA64" s="11">
        <v>0</v>
      </c>
      <c r="EB64" s="1">
        <f t="shared" si="34"/>
        <v>1</v>
      </c>
      <c r="EC64" s="1">
        <f>SUMIFS($EB$3:EB64,$B$3:B64,"&gt;="&amp;MAX(1,B64-2),$B$3:B64,"&lt;="&amp;B64)*Boss参数!$B$51</f>
        <v>14</v>
      </c>
      <c r="ED64" s="1">
        <f>IF(D64="",EG63,IF(AND(DG64&lt;&gt;DG63,DH64&lt;&gt;"洞穿"),MIN(Boss参数!$B$55,EG63+2),EG63))</f>
        <v>2</v>
      </c>
      <c r="EE64" s="1">
        <f t="shared" si="35"/>
        <v>1</v>
      </c>
      <c r="EF64" s="1">
        <f>IF(AND(OR(L64="END_TURN",AND(DH64="敌方",OR(DH63&lt;&gt;"敌方",DG64&lt;&gt;DG63))),SUMIFS($EF$3:EF63,$DG$3:DG63,DG64)=0),MIN(1,MAX(0,ED64-EE64)),0)</f>
        <v>0</v>
      </c>
      <c r="EG64" s="1">
        <f t="shared" si="36"/>
        <v>1</v>
      </c>
      <c r="EH64" s="11">
        <f>Boss参数!$B$53-IF(Y64=1,Boss参数!$B$54,0)</f>
        <v>0</v>
      </c>
      <c r="EI64" s="11">
        <f t="shared" si="37"/>
        <v>0.3</v>
      </c>
      <c r="EJ64" s="11">
        <f t="shared" si="38"/>
        <v>0.3</v>
      </c>
      <c r="EK64" s="11">
        <f t="shared" si="39"/>
        <v>1</v>
      </c>
      <c r="EL64" s="1">
        <f t="shared" si="66"/>
        <v>0</v>
      </c>
      <c r="EM64" s="1">
        <f>IF(AND(DG64&lt;&gt;DG63,DH64="洞穿"),0,IF(L64="ENTER_INSIGHT",Boss参数!$B$57,EO63))</f>
        <v>0</v>
      </c>
      <c r="EN64" s="11">
        <f>IF(AND(Y64=1,H64="洞知",EM64&gt;0),Boss参数!$B$56,0)</f>
        <v>0</v>
      </c>
      <c r="EO64" s="1">
        <f t="shared" si="40"/>
        <v>0</v>
      </c>
      <c r="EP64" s="12">
        <f t="shared" si="67"/>
        <v>13353317</v>
      </c>
      <c r="EQ64" s="12">
        <f>ROUNDDOWN(EP64/Boss参数!$B$62,0)</f>
        <v>133</v>
      </c>
      <c r="ER64" s="11">
        <f>IF(EQ64&gt;=Boss参数!$B$66,Boss参数!$B$69,IF(EQ64&gt;=Boss参数!$B$65,Boss参数!$B$68,IF(EQ64&gt;=Boss参数!$B$64,Boss参数!$B$67,0)))</f>
        <v>0.9</v>
      </c>
      <c r="ES64" s="11">
        <f>MIN(1,IF(EQ64&gt;=Boss参数!$B$66,Boss参数!$B$72+ROUNDDOWN((EQ64-Boss参数!$B$66)/Boss参数!$B$73,0)*Boss参数!$B$74,IF(EQ64&gt;=Boss参数!$B$65,Boss参数!$B$71,IF(EQ64&gt;=Boss参数!$B$64,Boss参数!$B$70,0))))</f>
        <v>0.6</v>
      </c>
      <c r="ET64" s="12">
        <f>MIN(Boss参数!$B$61*Boss参数!$B$62,EP64+IF(AND(Boss参数!$B$60=1,ISNUMBER(验证表!H70)),验证表!H70,EU64))</f>
        <v>13353317</v>
      </c>
      <c r="EU64" s="12">
        <f>IF(D64="",0,IF(验证表!G70="是",BV64,IF(验证表!G70="否",BU64,BW64)))</f>
        <v>0</v>
      </c>
      <c r="EV64" s="12">
        <f>IF(EQ64&gt;=Boss参数!$B$66,2,IF(EQ64&gt;=Boss参数!$B$65,1,0))</f>
        <v>2</v>
      </c>
      <c r="EW64" s="12">
        <f t="shared" si="41"/>
        <v>3</v>
      </c>
      <c r="EX64" s="1">
        <f>IF(D64="",0,INDEX(回合状态!$D$7:$D$17,MATCH(DG64,回合状态!$A$7:$A$17,0)))</f>
        <v>4</v>
      </c>
      <c r="EY64" s="1">
        <f>IF(OR(L64="RHI_ATTACK",L64="RHI_BUFF"),1,IF(L64="RHI_ULT",Boss参数!$B$52,0))</f>
        <v>1</v>
      </c>
      <c r="EZ64" s="1">
        <f>MIN(6,SUMIFS($EY$3:EY64,$EX$3:EX64,"&gt;="&amp;MAX(1,EX64-Boss参数!$B$87+1),$EX$3:EX64,"&lt;="&amp;EX64))</f>
        <v>6</v>
      </c>
      <c r="FA64" s="1">
        <f t="shared" si="68"/>
        <v>35</v>
      </c>
      <c r="FB64" s="17">
        <f>IF(L64="BOSS_CONSERVATIVE",B64+Boss参数!$B$91,FB63)</f>
        <v>0</v>
      </c>
      <c r="FC64" s="17">
        <f t="shared" si="69"/>
        <v>0</v>
      </c>
      <c r="FD64" s="17">
        <f>IF(D64="",FD63,FD63+IF(AND(DG64&lt;&gt;DG63,INDEX(回合状态!$C$7:$C$17,MATCH(DG64,回合状态!$A$7:$A$17,0))&lt;&gt;"洞穿"),1,0))</f>
        <v>5</v>
      </c>
      <c r="FE64" s="17">
        <f>IF(D64="",0,IF(AND(OR(L64="END_TURN",DH64="敌方"),INDEX(回合状态!$C$7:$C$17,MATCH(DG64,回合状态!$A$7:$A$17,0))&lt;&gt;"洞穿",SUMIFS($FE$3:FE63,$DG$3:DG63,DG64)=0),1,0))</f>
        <v>0</v>
      </c>
    </row>
    <row r="65" spans="1:161" ht="84.95" customHeight="1">
      <c r="A65" s="1">
        <f>行动模拟!A71</f>
        <v>63</v>
      </c>
      <c r="B65" s="1">
        <f>IF(D65="",0,INDEX(回合状态!$B$7:$B$17,MATCH(DG65,回合状态!$A$7:$A$17,0)))</f>
        <v>4</v>
      </c>
      <c r="C65" s="1">
        <f>行动模拟!C71</f>
        <v>3</v>
      </c>
      <c r="D65" s="1" t="str">
        <f>IF(行动模拟!D71="","",行动模拟!D71)</f>
        <v>小瑞安侬｜囫囵囵咒Ⅰ</v>
      </c>
      <c r="E65" s="1" t="str">
        <f>IF($D65="","",IFERROR(INDEX(技能数据库!$B$4:$B$38,MATCH($D65,技能数据库!$A$4:$A$38,0)),""))</f>
        <v>小瑞安侬</v>
      </c>
      <c r="F65" s="1" t="str">
        <f>IF($D65="","",IFERROR(INDEX(技能数据库!$C$4:$C$38,MATCH($D65,技能数据库!$A$4:$A$38,0)),""))</f>
        <v>囫囵囵咒</v>
      </c>
      <c r="G65" s="1">
        <f>IF($D65="","",IFERROR(INDEX(技能数据库!$D$4:$D$38,MATCH($D65,技能数据库!$A$4:$A$38,0)),""))</f>
        <v>1</v>
      </c>
      <c r="H65" s="1" t="str">
        <f>IF($D65="","",IFERROR(INDEX(技能数据库!$E$4:$E$38,MATCH($D65,技能数据库!$A$4:$A$38,0)),""))</f>
        <v>术法</v>
      </c>
      <c r="I65" s="1" t="str">
        <f>IF($D65="","",IFERROR(INDEX(技能数据库!$F$4:$F$38,MATCH($D65,技能数据库!$A$4:$A$38,0)),""))</f>
        <v>精神</v>
      </c>
      <c r="J65" s="1">
        <f>IF($D65="","",IFERROR(INDEX(技能数据库!$G$4:$G$38,MATCH($D65,技能数据库!$A$4:$A$38,0)),""))</f>
        <v>2</v>
      </c>
      <c r="K65" s="1">
        <f>IF($D65="","",IFERROR(INDEX(技能数据库!$H$4:$H$38,MATCH($D65,技能数据库!$A$4:$A$38,0)),""))</f>
        <v>0</v>
      </c>
      <c r="L65" s="1" t="str">
        <f>IF($D65="","",IFERROR(INDEX(技能数据库!$I$4:$I$38,MATCH($D65,技能数据库!$A$4:$A$38,0)),""))</f>
        <v>RHI_ATTACK</v>
      </c>
      <c r="M65" s="10">
        <v>1</v>
      </c>
      <c r="N65" s="1"/>
      <c r="O65" s="1"/>
      <c r="P65" s="1"/>
      <c r="Q65" s="10">
        <f t="shared" si="0"/>
        <v>0</v>
      </c>
      <c r="R65" s="10">
        <v>0</v>
      </c>
      <c r="S65" s="10">
        <v>0</v>
      </c>
      <c r="T65" s="1">
        <f>行动模拟!I71</f>
        <v>0</v>
      </c>
      <c r="U65" s="1">
        <f>IF(FD65&lt;&gt;FD64,IF(BY64=1,IF(MIN(10,CA64+IF(AND(DG65&lt;&gt;DG64,DH64&lt;&gt;"洞穿",SUMIFS($FE$3:FE64,$DG$3:DG64,DG64)=0,BY64=1),3,0))&gt;=10,2,1),IF(BY64=2,IF(BZ64&lt;=1,0,2),0)),BY64)</f>
        <v>1</v>
      </c>
      <c r="V65" s="1">
        <f>IF(FD65&lt;&gt;FD64,IF(BY64=1,IF(MIN(10,CA64+IF(AND(DG65&lt;&gt;DG64,DH64&lt;&gt;"洞穿",SUMIFS($FE$3:FE64,$DG$3:DG64,DG64)=0,BY64=1),3,0))&gt;=10,2,0),IF(BY64=2,MAX(0,BZ64-1),0)),BZ64)</f>
        <v>0</v>
      </c>
      <c r="W65" s="1">
        <f>IF(AND(FD65&lt;&gt;FD64,BY64=2,BZ64&lt;=1),0,MIN(10,CA64+IF(AND(DG65&lt;&gt;DG64,DH64&lt;&gt;"洞穿",SUMIFS($FE$3:FE64,$DG$3:DG64,DG64)=0,BY64=1),3,0)))</f>
        <v>3</v>
      </c>
      <c r="X65" s="1">
        <f t="shared" si="42"/>
        <v>11</v>
      </c>
      <c r="Y65" s="1">
        <f t="shared" si="43"/>
        <v>0</v>
      </c>
      <c r="Z65" s="1">
        <f t="shared" si="44"/>
        <v>0</v>
      </c>
      <c r="AA65" s="1">
        <f t="shared" si="45"/>
        <v>0</v>
      </c>
      <c r="AB65" s="1">
        <f t="shared" si="46"/>
        <v>3</v>
      </c>
      <c r="AC65" s="1">
        <f t="shared" si="47"/>
        <v>0</v>
      </c>
      <c r="AD65" s="1">
        <f t="shared" si="48"/>
        <v>35</v>
      </c>
      <c r="AE65" s="1">
        <f>IF(D65="",0,IF(DG65&lt;&gt;DG64,IFERROR(INDEX(回合状态!$F$7:$F$17,MATCH(DG65,回合状态!$A$7:$A$17,0)),0),CI64))</f>
        <v>13</v>
      </c>
      <c r="AF65" s="10">
        <f t="shared" si="49"/>
        <v>0.4</v>
      </c>
      <c r="AG65" s="1">
        <f t="shared" si="50"/>
        <v>5</v>
      </c>
      <c r="AH65" s="1">
        <f t="shared" si="51"/>
        <v>6</v>
      </c>
      <c r="AI65" s="1">
        <f t="shared" si="52"/>
        <v>6</v>
      </c>
      <c r="AJ65" s="1">
        <f t="shared" si="53"/>
        <v>7</v>
      </c>
      <c r="AK65" s="1">
        <f t="shared" si="54"/>
        <v>6</v>
      </c>
      <c r="AL65" s="1">
        <f t="shared" si="55"/>
        <v>3</v>
      </c>
      <c r="AM65" s="1">
        <f t="shared" si="56"/>
        <v>25</v>
      </c>
      <c r="AN65" s="1">
        <f t="shared" si="57"/>
        <v>4</v>
      </c>
      <c r="AO65" s="1">
        <f t="shared" si="58"/>
        <v>0</v>
      </c>
      <c r="AP65" s="10">
        <f t="shared" si="59"/>
        <v>0.12</v>
      </c>
      <c r="AQ65" s="1">
        <f t="shared" si="60"/>
        <v>5</v>
      </c>
      <c r="AR65" s="10">
        <f t="shared" si="61"/>
        <v>0.3</v>
      </c>
      <c r="AS65" s="1">
        <f t="shared" si="62"/>
        <v>5</v>
      </c>
      <c r="AT65" s="10">
        <f t="shared" si="63"/>
        <v>0.3</v>
      </c>
      <c r="AU65" s="1">
        <f t="shared" si="64"/>
        <v>6</v>
      </c>
      <c r="AV65" s="1">
        <f>MIN(5,SUMIFS($EL$3:EL65,$B$3:B65,"&gt;="&amp;MAX(1,B65-2),$B$3:B65,"&lt;="&amp;B65)+EC65)</f>
        <v>5</v>
      </c>
      <c r="AW65" s="1">
        <f>MIN(6,SUMIFS($EY$3:EY64,$EX$3:EX64,"&gt;="&amp;MAX(1,EX65-Boss参数!$B$87+1),$EX$3:EX64,"&lt;="&amp;EX65))</f>
        <v>6</v>
      </c>
      <c r="AX65" s="1">
        <f>MIN(4,COUNTIFS($B$3:$B$64,"&gt;="&amp;MAX(1,$B65-2),$B$3:$B$64,"&lt;="&amp;$B65,$L$3:$L$64,"37_FOLLOW"))</f>
        <v>4</v>
      </c>
      <c r="AY65" s="9">
        <f>IF($E65="","",IF($E65="系统",0,ROUNDDOWN(INDEX(角色面板!$C$4:$C$7,MATCH($E65,角色面板!$A$4:$A$7,0))*(1+INDEX(角色面板!$C$11:$C$14,MATCH($E65,角色面板!$A$11:$A$14,0))+IF($E65="小瑞安侬",MAX(IF($B65&lt;=$AQ65,$AP65,0),IF(AND($L65="RHI_ATTACK",$EE65&gt;0),0.11+0.01*$G65,0)),0)+IF($E65="J",$AD65*Boss参数!$B$18,0))+IF(FD65&lt;=$AN65,MIN(Boss参数!$B$21,ROUNDDOWN(角色面板!$C$19*Boss参数!$B$20,0)),0)+IF(AND($B65&lt;=$AK65,$E65&lt;&gt;"小瑞安侬"),$DY65,0),0)))</f>
        <v>3298</v>
      </c>
      <c r="AZ65" s="10">
        <f>IF($E65="","",MAX(0,MIN(1,IFERROR(INDEX(角色面板!$G$18:$G$21,MATCH($E65,角色面板!$A$18:$A$21,0)),0)-FC65*Boss参数!$B$89-Boss参数!$E$4)))</f>
        <v>0.55499999999999994</v>
      </c>
      <c r="BA65" s="10">
        <f>IF(E65="","",(IF($E65="","",IF($E65="红弩箭",Boss参数!$B$80,IF($E65="J",Boss参数!$B$81,IFERROR(INDEX(角色面板!$H$18:$H$21,MATCH($E65,角色面板!$A$18:$A$21,0)),0)))+IF($B65&lt;=$AI65,Boss参数!$B$13,0)+MIN(30,$AM65)*Boss参数!$B$17+IF(AND($L65="LILYA_ULT",$X65&gt;=6),1,0)+IF(AND($Y65=1,$L65="LILYA_INSIGHT"),IF(MOD($AA65+1,3)=0,Boss参数!$B$83,Boss参数!$B$82),IF(AND($Y65=1,$L65="LILYA_FINISH"),Boss参数!$B$84,0))))-FC65*Boss参数!$B$90)</f>
        <v>1.81</v>
      </c>
      <c r="BB65" s="10">
        <f>IF($E65="","",IFERROR(INDEX(角色面板!$M$18:$M$21,MATCH($E65,角色面板!$A$18:$A$21,0)),0)+$AW65*Boss参数!$B$12+IF($B65&lt;=$AG65,$AF65,0)+$EI65+IF($L65="LILYA_DIVE",IF($U65=1,IF($G65=1,0.3,IF($G65=2,0.4,0.5)),IF($U65=2,IF($G65=1,0.6,IF($G65=2,0.8,1)),0)),0)+$R65+IF(AND($E65="J",OR($L65="J_COUNTER",$L65="J_HARD")),Boss参数!$B$79,0)+IF(AND(OR(L65="J_COUNTER",L65="J_HARD"),FA65&gt;=Boss参数!$B$59),FA65*Boss参数!$B$40,0))</f>
        <v>0.82000000000000006</v>
      </c>
      <c r="BC65" s="10">
        <f>IF($E65="","",IFERROR(INDEX(角色面板!$K$18:$K$21,MATCH($E65,角色面板!$A$18:$A$21,0)),0)+IF($B65&lt;=$AH65,Boss参数!$B$46,0)+IF($E65="红弩箭",IF($U65=1,0.6,IF($U65=2,1.2,0))+$W65*0.06,0))-DI65*Boss参数!$B$23</f>
        <v>-0.55000000000000004</v>
      </c>
      <c r="BD65" s="10">
        <f>IF($E65="","",IFERROR(INDEX(角色面板!$L$18:$L$21,MATCH($E65,角色面板!$A$18:$A$21,0)),0)+IF($B65&lt;=$AH65,Boss参数!$B$46,0)+IF($E65="J",$AL65*Boss参数!$B$16,0)+IF($E65="红弩箭",$X65*0.025,0)+IF(AND($L65="LILYA_ULT",$X65&gt;=6),1,0))-DI65*Boss参数!$B$23</f>
        <v>-0.14999999999999997</v>
      </c>
      <c r="BE65" s="10">
        <f>IF($E65="","",IF($H65="洞知",IF($E65="红弩箭",$AO65*Boss参数!$B$15,0)+$AX65*Boss参数!$B$14,0))</f>
        <v>0</v>
      </c>
      <c r="BF65" s="10">
        <f t="shared" si="1"/>
        <v>0</v>
      </c>
      <c r="BG65" s="10">
        <f>IF($D65="",0,IF(AND($L65&lt;&gt;"LILYA_DIVE",$L65&lt;&gt;"LILYA_ULT",$L65&lt;&gt;"LILYA_INSIGHT",$L65&lt;&gt;"LILYA_FINISH",$L65&lt;&gt;"37_FOLLOW",$L65&lt;&gt;"RHI_ATTACK",$L65&lt;&gt;"RHI_BERRY",$L65&lt;&gt;"J_COUNTER",$L65&lt;&gt;"J_ULT"),$J65,0)+IF($L65="LILYA_DIVE",$J65+IF($U65=1,IF($G65=1,6,IF($G65=2,12,18)),IF($U65=2,IF($G65=1,12,IF($G65=2,24,36)),0)),0)+IF($L65="LILYA_ULT",$J65+IF($X65&gt;=6,18,0),0)+IF($L65="LILYA_INSIGHT",IF($Y65=1,IF(MOD($AA65+1,3)=0,32,15),0),0)+IF($L65="LILYA_FINISH",IF($Y65=1,50+2.5*$Z65,0),0)+IF($L65="37_FOLLOW",$J65,0)+IF($L65="RHI_ATTACK",$J65*IF($B65&lt;=$AJ65,2,1),0)+IF($L65="RHI_BERRY",15+1.5*$AV65,0)+IF($L65="J_COUNTER",$J65+$AD65*Boss参数!$B$39,0)+IF($L65="J_ULT",$J65+Boss参数!$B$45*MAX(0,$AE65+$AD65-Boss参数!$I$4),0)+$S65)</f>
        <v>4</v>
      </c>
      <c r="BH65" s="10">
        <f t="shared" si="2"/>
        <v>0</v>
      </c>
      <c r="BI65" s="10">
        <f>IF(E65="","",IF(DT65=1,1+Boss参数!$B$8+AV65*Boss参数!$B$19,1))</f>
        <v>1.5</v>
      </c>
      <c r="BJ65" s="9">
        <f>IF($I65="现实",Boss参数!$C$4,IF($I65="精神",Boss参数!$D$4,0))</f>
        <v>1000</v>
      </c>
      <c r="BK65" s="9">
        <f>IF($E65="","",MAX($AY65*Boss参数!$B$9,$AY65-$BJ65*(1-$BF65)))</f>
        <v>2298</v>
      </c>
      <c r="BL65" s="10">
        <f>MAX(0,Boss参数!$F$4+IF(DT65=0,Boss参数!$B$27,0)-EJ65)</f>
        <v>0.10000000000000003</v>
      </c>
      <c r="BM65" s="10">
        <f>Boss参数!$G$4+DU65-IF(Y65=1,Boss参数!$B$11,0)</f>
        <v>0.60000000000000009</v>
      </c>
      <c r="BN65" s="10">
        <f>IF($E65="","",MAX(Boss参数!$B$10,1+IFERROR(INDEX(角色面板!$I$18:$I$21,MATCH($E65,角色面板!$A$18:$A$21,0)),0)+$BB65+Boss参数!$H$4-$BM65))</f>
        <v>1.2549999999999999</v>
      </c>
      <c r="BO65" s="10">
        <f>IF(E65="","",IF(OR(L65="J_COUNTER",L65="J_HARD"),MAX(0,1+INDEX(角色面板!$K$18:$K$21,MATCH(E65,角色面板!$A$18:$A$21,0))-DI65*Boss参数!$B$23+IF(OR(Boss参数!$B$43=1,L65="J_HARD"),IF(B65&lt;=AH65,Boss参数!$B$46,0),0)),MAX(0,IF(OR(H65="术法",L65="RHI_BERRY",AND(L65="37_FOLLOW",Boss参数!$B$31=1)),1+BC65,IF(H65="仪式",1+BD65,IF(H65="洞知",EK65,1))))))</f>
        <v>0.44999999999999996</v>
      </c>
      <c r="BP65" s="10">
        <f t="shared" si="3"/>
        <v>1.71</v>
      </c>
      <c r="BQ65" s="1">
        <f t="shared" si="4"/>
        <v>7786.7729999999983</v>
      </c>
      <c r="BR65" s="1">
        <f t="shared" si="5"/>
        <v>13315.381829999997</v>
      </c>
      <c r="BS65" s="1">
        <f>IF(BH65=0,0,ROUNDDOWN(AY65*BH65,0)*DV65*IF(Boss参数!$B$29=1,BN65,1)*IF(Boss参数!$B$33=1,BO65,1)*IF(Boss参数!$B$76=1,1-ES65,1))</f>
        <v>0</v>
      </c>
      <c r="BT65" s="1">
        <f t="shared" si="6"/>
        <v>0</v>
      </c>
      <c r="BU65" s="9">
        <f>IF(D65="",0,MIN(IF(Boss参数!$B$77=1,Boss参数!$B$63*Boss参数!$B$62,Boss参数!$B$61*Boss参数!$B$62),DW65+ROUNDDOWN(BS65,0)+ROUNDDOWN(DW65*Q65,0)))</f>
        <v>3114</v>
      </c>
      <c r="BV65" s="9">
        <f>IF(D65="",0,MIN(IF(Boss参数!$B$77=1,Boss参数!$B$63*Boss参数!$B$62,Boss参数!$B$61*Boss参数!$B$62),DX65+ROUNDDOWN(BT65,0)+ROUNDDOWN(DX65*Q65,0)))</f>
        <v>5326</v>
      </c>
      <c r="BW65" s="9">
        <f t="shared" si="7"/>
        <v>4341</v>
      </c>
      <c r="BX65" s="1" t="str">
        <f t="shared" si="8"/>
        <v/>
      </c>
      <c r="BY65" s="1">
        <f t="shared" si="9"/>
        <v>1</v>
      </c>
      <c r="BZ65" s="1">
        <f t="shared" si="10"/>
        <v>0</v>
      </c>
      <c r="CA65" s="1">
        <f>MIN(10,W65+IF(AND(L65="LILYA_COBRA",COUNTIF($L$3:L65,"LILYA_COBRA")=1),5,0)+IF(AND(L65="LILYA_DIVE",U65=1,COUNTIFS($DG$3:DG65,DG65,$L$3:L65,"LILYA_DIVE")=1),2,0)+IF(AND(FE65=1,U65=1),3,0))</f>
        <v>3</v>
      </c>
      <c r="CB65" s="1">
        <f>MIN(20,MAX(0,X65+IF(L65="LILYA_COBRA",IF(COUNTIF($L$3:L65,"LILYA_COBRA")=1,6,IF(U65=1,MAX(1,G65),IF(U65=2,2*MAX(1,G65),0))),0)+IF(AND(Y65=1,E65="红弩箭",L65&lt;&gt;"ENTER_INSIGHT"),1,0)-IF(AND(L65="LILYA_ULT",X65&gt;=6),6,0)))</f>
        <v>11</v>
      </c>
      <c r="CC65" s="1">
        <f t="shared" si="11"/>
        <v>0</v>
      </c>
      <c r="CD65" s="1">
        <f t="shared" si="12"/>
        <v>0</v>
      </c>
      <c r="CE65" s="1">
        <f t="shared" si="13"/>
        <v>0</v>
      </c>
      <c r="CF65" s="1">
        <f t="shared" si="14"/>
        <v>4</v>
      </c>
      <c r="CG65" s="1">
        <f t="shared" si="15"/>
        <v>0</v>
      </c>
      <c r="CH65" s="1">
        <f>MIN(35,AD65+IF(L65="J_HARD",6,0)+IF(L65="J_COUNTER",Boss参数!$B$30,0))</f>
        <v>35</v>
      </c>
      <c r="CI65" s="1">
        <f>MIN(Boss参数!$I$4,AE65+IF(L65="J_HARD",6,0)+IF(L65="J_ULT",AD65,0)+IF(L65="J_COUNTER",Boss参数!$B$30,0))</f>
        <v>13</v>
      </c>
      <c r="CJ65" s="10">
        <f>IF(L65="J_ULT",AD65*Boss参数!$B$41,IF(B65&lt;=AG65,AF65,0))</f>
        <v>0.4</v>
      </c>
      <c r="CK65" s="1">
        <f t="shared" si="16"/>
        <v>5</v>
      </c>
      <c r="CL65" s="1">
        <f t="shared" si="17"/>
        <v>6</v>
      </c>
      <c r="CM65" s="1">
        <f t="shared" si="18"/>
        <v>6</v>
      </c>
      <c r="CN65" s="1">
        <f t="shared" si="19"/>
        <v>7</v>
      </c>
      <c r="CO65" s="1">
        <f t="shared" si="20"/>
        <v>6</v>
      </c>
      <c r="CP65" s="1">
        <f t="shared" si="21"/>
        <v>3</v>
      </c>
      <c r="CQ65" s="1">
        <f t="shared" si="22"/>
        <v>25</v>
      </c>
      <c r="CR65" s="1">
        <f t="shared" si="23"/>
        <v>4</v>
      </c>
      <c r="CS65" s="1">
        <f t="shared" si="24"/>
        <v>0</v>
      </c>
      <c r="CT65" s="10">
        <f t="shared" si="25"/>
        <v>0.12</v>
      </c>
      <c r="CU65" s="1">
        <f t="shared" si="26"/>
        <v>6</v>
      </c>
      <c r="CV65" s="10">
        <f t="shared" si="27"/>
        <v>0.3</v>
      </c>
      <c r="CW65" s="1">
        <f t="shared" si="28"/>
        <v>6</v>
      </c>
      <c r="CX65" s="10">
        <f t="shared" si="29"/>
        <v>0.3</v>
      </c>
      <c r="CY65" s="1">
        <f t="shared" si="30"/>
        <v>6</v>
      </c>
      <c r="CZ65" s="1"/>
      <c r="DA65" s="1"/>
      <c r="DB65" s="1"/>
      <c r="DC65" s="1"/>
      <c r="DD65" s="1"/>
      <c r="DE65" s="1"/>
      <c r="DF65" s="1"/>
      <c r="DG65" s="1">
        <f>IF(D65="","",行动模拟!B71)</f>
        <v>4</v>
      </c>
      <c r="DH65" s="1" t="str">
        <f>IF(L65="END_TURN","回合结束",IF(D65="","",IF(INDEX(回合状态!$C$7:$C$17,MATCH(DG65,回合状态!$A$7:$A$17,0))="洞穿","洞穿",IF(OR(L65="J_COUNTER",L65="BOSS_ACTION",L65="BOSS_CONSERVATIVE"),"敌方",IF(AND(L65="37_FOLLOW",DG65=DG64,DH64="敌方"),"敌方",IF(INDEX(回合状态!$C$7:$C$17,MATCH(DG65,回合状态!$A$7:$A$17,0))="普通","出牌",INDEX(回合状态!$C$7:$C$17,MATCH(DG65,回合状态!$A$7:$A$17,0))))))))</f>
        <v>出牌</v>
      </c>
      <c r="DI65" s="1">
        <f t="shared" si="31"/>
        <v>3</v>
      </c>
      <c r="DJ65" s="1">
        <f>IF(D65="",0,MIN(Boss参数!$B$25,IF(OR(AND(DH65="敌方",OR(DH64&lt;&gt;"敌方",DG65&lt;&gt;DG64)),AND(L65="END_TURN",DH65&lt;&gt;"洞穿"),AND(DG65&lt;&gt;DG64,DH64&lt;&gt;"洞穿",L64&lt;&gt;"END_TURN",COUNTIFS($DG$3:DG64,DG64,$DH$3:DH64,"敌方")=0)),EW65,DN64)))</f>
        <v>3</v>
      </c>
      <c r="DK65" s="1">
        <f>IF(D65="",0,MIN(Boss参数!$B$25,IF(OR(AND(DH65="敌方",OR(DH64&lt;&gt;"敌方",DG65&lt;&gt;DG64)),AND(L65="END_TURN",DH65&lt;&gt;"洞穿"),AND(DG65&lt;&gt;DG64,DH64&lt;&gt;"洞穿",L64&lt;&gt;"END_TURN",COUNTIFS($DG$3:DG64,DG64,$DH$3:DH64,"敌方")=0)),EW65,DO64)))</f>
        <v>3</v>
      </c>
      <c r="DL65" s="1">
        <f>IF(D65="",0,MIN(Boss参数!$B$25,IF(OR(AND(DH65="敌方",OR(DH64&lt;&gt;"敌方",DG65&lt;&gt;DG64)),AND(L65="END_TURN",DH65&lt;&gt;"洞穿"),AND(DG65&lt;&gt;DG64,DH64&lt;&gt;"洞穿",L64&lt;&gt;"END_TURN",COUNTIFS($DG$3:DG64,DG64,$DH$3:DH64,"敌方")=0)),EW65,DP64)))</f>
        <v>3</v>
      </c>
      <c r="DM65" s="1">
        <f>IF(D65="",0,MIN(Boss参数!$B$25,IF(OR(AND(DH65="敌方",OR(DH64&lt;&gt;"敌方",DG65&lt;&gt;DG64)),AND(L65="END_TURN",DH65&lt;&gt;"洞穿"),AND(DG65&lt;&gt;DG64,DH64&lt;&gt;"洞穿",L64&lt;&gt;"END_TURN",COUNTIFS($DG$3:DG64,DG64,$DH$3:DH64,"敌方")=0)),EW65,DQ64)))</f>
        <v>3</v>
      </c>
      <c r="DN65" s="1">
        <f>MAX(0,MIN(Boss参数!$B$25,DJ65+DR65)-IF(E65="红弩箭",2*DR65,0))</f>
        <v>4</v>
      </c>
      <c r="DO65" s="1">
        <f>MAX(0,MIN(Boss参数!$B$25,DK65+DR65)-IF(E65="37",2*DR65,0))</f>
        <v>4</v>
      </c>
      <c r="DP65" s="1">
        <f>MAX(0,MIN(Boss参数!$B$25,DL65+DR65)-IF(E65="小瑞安侬",2*DR65,0))</f>
        <v>2</v>
      </c>
      <c r="DQ65" s="1">
        <f>MAX(0,MIN(Boss参数!$B$25,DM65+DR65)-IF(E65="J",2*DR65,0))</f>
        <v>4</v>
      </c>
      <c r="DR65" s="1">
        <f t="shared" si="32"/>
        <v>1</v>
      </c>
      <c r="DS65" s="1">
        <f t="shared" si="33"/>
        <v>1</v>
      </c>
      <c r="DT65" s="1">
        <f>IF(OR(E65="",E65="系统"),0,IF(OR(AND(DS65=1,Boss参数!$B$32=1),L65="RHI_BERRY",OR(AND(INDEX(角色面板!$B$18:$B$21,MATCH(E65,角色面板!$A$18:$A$21,0))="星",Boss参数!$B$4="岩"),AND(INDEX(角色面板!$B$18:$B$21,MATCH(E65,角色面板!$A$18:$A$21,0))="岩",Boss参数!$B$4="兽"),AND(INDEX(角色面板!$B$18:$B$21,MATCH(E65,角色面板!$A$18:$A$21,0))="兽",Boss参数!$B$4="木"),AND(INDEX(角色面板!$B$18:$B$21,MATCH(E65,角色面板!$A$18:$A$21,0))="木",Boss参数!$B$4="星"),AND(INDEX(角色面板!$B$18:$B$21,MATCH(E65,角色面板!$A$18:$A$21,0))="智",Boss参数!$B$4="灵"),AND(INDEX(角色面板!$B$18:$B$21,MATCH(E65,角色面板!$A$18:$A$21,0))="灵",Boss参数!$B$4="智"))),1,0))</f>
        <v>1</v>
      </c>
      <c r="DU65" s="1">
        <f>IF(D65="",0,INDEX(回合状态!$E$7:$E$17,MATCH(DG65,回合状态!$A$7:$A$17,0))+IF(AND(DH65="敌方",OR(INDEX(回合状态!$C$7:$C$17,MATCH(DG65,回合状态!$A$7:$A$17,0))="普通",INDEX(回合状态!$C$7:$C$17,MATCH(DG65,回合状态!$A$7:$A$17,0))="额外")),0.05,0))</f>
        <v>0.2</v>
      </c>
      <c r="DV65" s="1">
        <f>MAX(Boss参数!$B$28,1+IF(AND(E65="37",AC65&gt;0,BH65&gt;0),Boss参数!$B$42,0)-DI65*Boss参数!$B$24+EA65-ER65)</f>
        <v>0</v>
      </c>
      <c r="DW65" s="1">
        <f>MIN(IF(Boss参数!$B$77=1,Boss参数!$B$63*Boss参数!$B$62,Boss参数!$B$61*Boss参数!$B$62),ROUNDDOWN(BQ65*(1-ES65),0))</f>
        <v>3114</v>
      </c>
      <c r="DX65" s="1">
        <f>MIN(IF(Boss参数!$B$77=1,Boss参数!$B$63*Boss参数!$B$62,Boss参数!$B$61*Boss参数!$B$62),ROUNDDOWN(BR65*(1-ES65),0))</f>
        <v>5326</v>
      </c>
      <c r="DY65" s="1">
        <f t="shared" si="65"/>
        <v>250</v>
      </c>
      <c r="DZ65" s="1">
        <f>IF(L65="RHI_ULT",MIN(Boss参数!$B$48,ROUNDDOWN(AY65*Boss参数!$B$47,0)),DY65)</f>
        <v>250</v>
      </c>
      <c r="EA65" s="11">
        <v>0</v>
      </c>
      <c r="EB65" s="1">
        <f t="shared" si="34"/>
        <v>1</v>
      </c>
      <c r="EC65" s="1">
        <f>SUMIFS($EB$3:EB65,$B$3:B65,"&gt;="&amp;MAX(1,B65-2),$B$3:B65,"&lt;="&amp;B65)*Boss参数!$B$51</f>
        <v>16</v>
      </c>
      <c r="ED65" s="1">
        <f>IF(D65="",EG64,IF(AND(DG65&lt;&gt;DG64,DH65&lt;&gt;"洞穿"),MIN(Boss参数!$B$55,EG64+2),EG64))</f>
        <v>1</v>
      </c>
      <c r="EE65" s="1">
        <f t="shared" si="35"/>
        <v>1</v>
      </c>
      <c r="EF65" s="1">
        <f>IF(AND(OR(L65="END_TURN",AND(DH65="敌方",OR(DH64&lt;&gt;"敌方",DG65&lt;&gt;DG64))),SUMIFS($EF$3:EF64,$DG$3:DG64,DG65)=0),MIN(1,MAX(0,ED65-EE65)),0)</f>
        <v>0</v>
      </c>
      <c r="EG65" s="1">
        <f t="shared" si="36"/>
        <v>0</v>
      </c>
      <c r="EH65" s="11">
        <f>Boss参数!$B$53-IF(Y65=1,Boss参数!$B$54,0)</f>
        <v>0</v>
      </c>
      <c r="EI65" s="11">
        <f t="shared" si="37"/>
        <v>0.3</v>
      </c>
      <c r="EJ65" s="11">
        <f t="shared" si="38"/>
        <v>0.3</v>
      </c>
      <c r="EK65" s="11">
        <f t="shared" si="39"/>
        <v>1</v>
      </c>
      <c r="EL65" s="1">
        <f t="shared" si="66"/>
        <v>0</v>
      </c>
      <c r="EM65" s="1">
        <f>IF(AND(DG65&lt;&gt;DG64,DH65="洞穿"),0,IF(L65="ENTER_INSIGHT",Boss参数!$B$57,EO64))</f>
        <v>0</v>
      </c>
      <c r="EN65" s="11">
        <f>IF(AND(Y65=1,H65="洞知",EM65&gt;0),Boss参数!$B$56,0)</f>
        <v>0</v>
      </c>
      <c r="EO65" s="1">
        <f t="shared" si="40"/>
        <v>0</v>
      </c>
      <c r="EP65" s="12">
        <f t="shared" si="67"/>
        <v>13353317</v>
      </c>
      <c r="EQ65" s="12">
        <f>ROUNDDOWN(EP65/Boss参数!$B$62,0)</f>
        <v>133</v>
      </c>
      <c r="ER65" s="11">
        <f>IF(EQ65&gt;=Boss参数!$B$66,Boss参数!$B$69,IF(EQ65&gt;=Boss参数!$B$65,Boss参数!$B$68,IF(EQ65&gt;=Boss参数!$B$64,Boss参数!$B$67,0)))</f>
        <v>0.9</v>
      </c>
      <c r="ES65" s="11">
        <f>MIN(1,IF(EQ65&gt;=Boss参数!$B$66,Boss参数!$B$72+ROUNDDOWN((EQ65-Boss参数!$B$66)/Boss参数!$B$73,0)*Boss参数!$B$74,IF(EQ65&gt;=Boss参数!$B$65,Boss参数!$B$71,IF(EQ65&gt;=Boss参数!$B$64,Boss参数!$B$70,0))))</f>
        <v>0.6</v>
      </c>
      <c r="ET65" s="12">
        <f>MIN(Boss参数!$B$61*Boss参数!$B$62,EP65+IF(AND(Boss参数!$B$60=1,ISNUMBER(验证表!H71)),验证表!H71,EU65))</f>
        <v>13358643</v>
      </c>
      <c r="EU65" s="12">
        <f>IF(D65="",0,IF(验证表!G71="是",BV65,IF(验证表!G71="否",BU65,BW65)))</f>
        <v>5326</v>
      </c>
      <c r="EV65" s="12">
        <f>IF(EQ65&gt;=Boss参数!$B$66,2,IF(EQ65&gt;=Boss参数!$B$65,1,0))</f>
        <v>2</v>
      </c>
      <c r="EW65" s="12">
        <f t="shared" si="41"/>
        <v>3</v>
      </c>
      <c r="EX65" s="1">
        <f>IF(D65="",0,INDEX(回合状态!$D$7:$D$17,MATCH(DG65,回合状态!$A$7:$A$17,0)))</f>
        <v>4</v>
      </c>
      <c r="EY65" s="1">
        <f>IF(OR(L65="RHI_ATTACK",L65="RHI_BUFF"),1,IF(L65="RHI_ULT",Boss参数!$B$52,0))</f>
        <v>1</v>
      </c>
      <c r="EZ65" s="1">
        <f>MIN(6,SUMIFS($EY$3:EY65,$EX$3:EX65,"&gt;="&amp;MAX(1,EX65-Boss参数!$B$87+1),$EX$3:EX65,"&lt;="&amp;EX65))</f>
        <v>6</v>
      </c>
      <c r="FA65" s="1">
        <f t="shared" si="68"/>
        <v>35</v>
      </c>
      <c r="FB65" s="17">
        <f>IF(L65="BOSS_CONSERVATIVE",B65+Boss参数!$B$91,FB64)</f>
        <v>0</v>
      </c>
      <c r="FC65" s="17">
        <f t="shared" si="69"/>
        <v>0</v>
      </c>
      <c r="FD65" s="17">
        <f>IF(D65="",FD64,FD64+IF(AND(DG65&lt;&gt;DG64,INDEX(回合状态!$C$7:$C$17,MATCH(DG65,回合状态!$A$7:$A$17,0))&lt;&gt;"洞穿"),1,0))</f>
        <v>5</v>
      </c>
      <c r="FE65" s="17">
        <f>IF(D65="",0,IF(AND(OR(L65="END_TURN",DH65="敌方"),INDEX(回合状态!$C$7:$C$17,MATCH(DG65,回合状态!$A$7:$A$17,0))&lt;&gt;"洞穿",SUMIFS($FE$3:FE64,$DG$3:DG64,DG65)=0),1,0))</f>
        <v>0</v>
      </c>
    </row>
    <row r="66" spans="1:161" ht="84.95" customHeight="1">
      <c r="A66" s="1">
        <f>行动模拟!A72</f>
        <v>64</v>
      </c>
      <c r="B66" s="1">
        <f>IF(D66="",0,INDEX(回合状态!$B$7:$B$17,MATCH(DG66,回合状态!$A$7:$A$17,0)))</f>
        <v>4</v>
      </c>
      <c r="C66" s="1">
        <f>行动模拟!C72</f>
        <v>4</v>
      </c>
      <c r="D66" s="1" t="str">
        <f>IF(行动模拟!D72="","",行动模拟!D72)</f>
        <v>小瑞安侬｜囫囵囵咒Ⅰ</v>
      </c>
      <c r="E66" s="1" t="str">
        <f>IF($D66="","",IFERROR(INDEX(技能数据库!$B$4:$B$38,MATCH($D66,技能数据库!$A$4:$A$38,0)),""))</f>
        <v>小瑞安侬</v>
      </c>
      <c r="F66" s="1" t="str">
        <f>IF($D66="","",IFERROR(INDEX(技能数据库!$C$4:$C$38,MATCH($D66,技能数据库!$A$4:$A$38,0)),""))</f>
        <v>囫囵囵咒</v>
      </c>
      <c r="G66" s="1">
        <f>IF($D66="","",IFERROR(INDEX(技能数据库!$D$4:$D$38,MATCH($D66,技能数据库!$A$4:$A$38,0)),""))</f>
        <v>1</v>
      </c>
      <c r="H66" s="1" t="str">
        <f>IF($D66="","",IFERROR(INDEX(技能数据库!$E$4:$E$38,MATCH($D66,技能数据库!$A$4:$A$38,0)),""))</f>
        <v>术法</v>
      </c>
      <c r="I66" s="1" t="str">
        <f>IF($D66="","",IFERROR(INDEX(技能数据库!$F$4:$F$38,MATCH($D66,技能数据库!$A$4:$A$38,0)),""))</f>
        <v>精神</v>
      </c>
      <c r="J66" s="1">
        <f>IF($D66="","",IFERROR(INDEX(技能数据库!$G$4:$G$38,MATCH($D66,技能数据库!$A$4:$A$38,0)),""))</f>
        <v>2</v>
      </c>
      <c r="K66" s="1">
        <f>IF($D66="","",IFERROR(INDEX(技能数据库!$H$4:$H$38,MATCH($D66,技能数据库!$A$4:$A$38,0)),""))</f>
        <v>0</v>
      </c>
      <c r="L66" s="1" t="str">
        <f>IF($D66="","",IFERROR(INDEX(技能数据库!$I$4:$I$38,MATCH($D66,技能数据库!$A$4:$A$38,0)),""))</f>
        <v>RHI_ATTACK</v>
      </c>
      <c r="M66" s="10">
        <v>1</v>
      </c>
      <c r="N66" s="1"/>
      <c r="O66" s="1"/>
      <c r="P66" s="1"/>
      <c r="Q66" s="10">
        <f t="shared" si="0"/>
        <v>0</v>
      </c>
      <c r="R66" s="10">
        <v>0</v>
      </c>
      <c r="S66" s="10">
        <v>0</v>
      </c>
      <c r="T66" s="1">
        <f>行动模拟!I72</f>
        <v>0</v>
      </c>
      <c r="U66" s="1">
        <f>IF(FD66&lt;&gt;FD65,IF(BY65=1,IF(MIN(10,CA65+IF(AND(DG66&lt;&gt;DG65,DH65&lt;&gt;"洞穿",SUMIFS($FE$3:FE65,$DG$3:DG65,DG65)=0,BY65=1),3,0))&gt;=10,2,1),IF(BY65=2,IF(BZ65&lt;=1,0,2),0)),BY65)</f>
        <v>1</v>
      </c>
      <c r="V66" s="1">
        <f>IF(FD66&lt;&gt;FD65,IF(BY65=1,IF(MIN(10,CA65+IF(AND(DG66&lt;&gt;DG65,DH65&lt;&gt;"洞穿",SUMIFS($FE$3:FE65,$DG$3:DG65,DG65)=0,BY65=1),3,0))&gt;=10,2,0),IF(BY65=2,MAX(0,BZ65-1),0)),BZ65)</f>
        <v>0</v>
      </c>
      <c r="W66" s="1">
        <f>IF(AND(FD66&lt;&gt;FD65,BY65=2,BZ65&lt;=1),0,MIN(10,CA65+IF(AND(DG66&lt;&gt;DG65,DH65&lt;&gt;"洞穿",SUMIFS($FE$3:FE65,$DG$3:DG65,DG65)=0,BY65=1),3,0)))</f>
        <v>3</v>
      </c>
      <c r="X66" s="1">
        <f t="shared" si="42"/>
        <v>11</v>
      </c>
      <c r="Y66" s="1">
        <f t="shared" si="43"/>
        <v>0</v>
      </c>
      <c r="Z66" s="1">
        <f t="shared" si="44"/>
        <v>0</v>
      </c>
      <c r="AA66" s="1">
        <f t="shared" si="45"/>
        <v>0</v>
      </c>
      <c r="AB66" s="1">
        <f t="shared" si="46"/>
        <v>4</v>
      </c>
      <c r="AC66" s="1">
        <f t="shared" si="47"/>
        <v>0</v>
      </c>
      <c r="AD66" s="1">
        <f t="shared" si="48"/>
        <v>35</v>
      </c>
      <c r="AE66" s="1">
        <f>IF(D66="",0,IF(DG66&lt;&gt;DG65,IFERROR(INDEX(回合状态!$F$7:$F$17,MATCH(DG66,回合状态!$A$7:$A$17,0)),0),CI65))</f>
        <v>13</v>
      </c>
      <c r="AF66" s="10">
        <f t="shared" si="49"/>
        <v>0.4</v>
      </c>
      <c r="AG66" s="1">
        <f t="shared" si="50"/>
        <v>5</v>
      </c>
      <c r="AH66" s="1">
        <f t="shared" si="51"/>
        <v>6</v>
      </c>
      <c r="AI66" s="1">
        <f t="shared" si="52"/>
        <v>6</v>
      </c>
      <c r="AJ66" s="1">
        <f t="shared" si="53"/>
        <v>7</v>
      </c>
      <c r="AK66" s="1">
        <f t="shared" si="54"/>
        <v>6</v>
      </c>
      <c r="AL66" s="1">
        <f t="shared" si="55"/>
        <v>3</v>
      </c>
      <c r="AM66" s="1">
        <f t="shared" si="56"/>
        <v>25</v>
      </c>
      <c r="AN66" s="1">
        <f t="shared" si="57"/>
        <v>4</v>
      </c>
      <c r="AO66" s="1">
        <f t="shared" si="58"/>
        <v>0</v>
      </c>
      <c r="AP66" s="10">
        <f t="shared" si="59"/>
        <v>0.12</v>
      </c>
      <c r="AQ66" s="1">
        <f t="shared" si="60"/>
        <v>6</v>
      </c>
      <c r="AR66" s="10">
        <f t="shared" si="61"/>
        <v>0.3</v>
      </c>
      <c r="AS66" s="1">
        <f t="shared" si="62"/>
        <v>6</v>
      </c>
      <c r="AT66" s="10">
        <f t="shared" si="63"/>
        <v>0.3</v>
      </c>
      <c r="AU66" s="1">
        <f t="shared" si="64"/>
        <v>6</v>
      </c>
      <c r="AV66" s="1">
        <f>MIN(5,SUMIFS($EL$3:EL66,$B$3:B66,"&gt;="&amp;MAX(1,B66-2),$B$3:B66,"&lt;="&amp;B66)+EC66)</f>
        <v>5</v>
      </c>
      <c r="AW66" s="1">
        <f>MIN(6,SUMIFS($EY$3:EY65,$EX$3:EX65,"&gt;="&amp;MAX(1,EX66-Boss参数!$B$87+1),$EX$3:EX65,"&lt;="&amp;EX66))</f>
        <v>6</v>
      </c>
      <c r="AX66" s="1">
        <f>MIN(4,COUNTIFS($B$3:$B$65,"&gt;="&amp;MAX(1,$B66-2),$B$3:$B$65,"&lt;="&amp;$B66,$L$3:$L$65,"37_FOLLOW"))</f>
        <v>4</v>
      </c>
      <c r="AY66" s="9">
        <f>IF($E66="","",IF($E66="系统",0,ROUNDDOWN(INDEX(角色面板!$C$4:$C$7,MATCH($E66,角色面板!$A$4:$A$7,0))*(1+INDEX(角色面板!$C$11:$C$14,MATCH($E66,角色面板!$A$11:$A$14,0))+IF($E66="小瑞安侬",MAX(IF($B66&lt;=$AQ66,$AP66,0),IF(AND($L66="RHI_ATTACK",$EE66&gt;0),0.11+0.01*$G66,0)),0)+IF($E66="J",$AD66*Boss参数!$B$18,0))+IF(FD66&lt;=$AN66,MIN(Boss参数!$B$21,ROUNDDOWN(角色面板!$C$19*Boss参数!$B$20,0)),0)+IF(AND($B66&lt;=$AK66,$E66&lt;&gt;"小瑞安侬"),$DY66,0),0)))</f>
        <v>3298</v>
      </c>
      <c r="AZ66" s="10">
        <f>IF($E66="","",MAX(0,MIN(1,IFERROR(INDEX(角色面板!$G$18:$G$21,MATCH($E66,角色面板!$A$18:$A$21,0)),0)-FC66*Boss参数!$B$89-Boss参数!$E$4)))</f>
        <v>0.55499999999999994</v>
      </c>
      <c r="BA66" s="10">
        <f>IF(E66="","",(IF($E66="","",IF($E66="红弩箭",Boss参数!$B$80,IF($E66="J",Boss参数!$B$81,IFERROR(INDEX(角色面板!$H$18:$H$21,MATCH($E66,角色面板!$A$18:$A$21,0)),0)))+IF($B66&lt;=$AI66,Boss参数!$B$13,0)+MIN(30,$AM66)*Boss参数!$B$17+IF(AND($L66="LILYA_ULT",$X66&gt;=6),1,0)+IF(AND($Y66=1,$L66="LILYA_INSIGHT"),IF(MOD($AA66+1,3)=0,Boss参数!$B$83,Boss参数!$B$82),IF(AND($Y66=1,$L66="LILYA_FINISH"),Boss参数!$B$84,0))))-FC66*Boss参数!$B$90)</f>
        <v>1.81</v>
      </c>
      <c r="BB66" s="10">
        <f>IF($E66="","",IFERROR(INDEX(角色面板!$M$18:$M$21,MATCH($E66,角色面板!$A$18:$A$21,0)),0)+$AW66*Boss参数!$B$12+IF($B66&lt;=$AG66,$AF66,0)+$EI66+IF($L66="LILYA_DIVE",IF($U66=1,IF($G66=1,0.3,IF($G66=2,0.4,0.5)),IF($U66=2,IF($G66=1,0.6,IF($G66=2,0.8,1)),0)),0)+$R66+IF(AND($E66="J",OR($L66="J_COUNTER",$L66="J_HARD")),Boss参数!$B$79,0)+IF(AND(OR(L66="J_COUNTER",L66="J_HARD"),FA66&gt;=Boss参数!$B$59),FA66*Boss参数!$B$40,0))</f>
        <v>0.82000000000000006</v>
      </c>
      <c r="BC66" s="10">
        <f>IF($E66="","",IFERROR(INDEX(角色面板!$K$18:$K$21,MATCH($E66,角色面板!$A$18:$A$21,0)),0)+IF($B66&lt;=$AH66,Boss参数!$B$46,0)+IF($E66="红弩箭",IF($U66=1,0.6,IF($U66=2,1.2,0))+$W66*0.06,0))-DI66*Boss参数!$B$23</f>
        <v>-0.4</v>
      </c>
      <c r="BD66" s="10">
        <f>IF($E66="","",IFERROR(INDEX(角色面板!$L$18:$L$21,MATCH($E66,角色面板!$A$18:$A$21,0)),0)+IF($B66&lt;=$AH66,Boss参数!$B$46,0)+IF($E66="J",$AL66*Boss参数!$B$16,0)+IF($E66="红弩箭",$X66*0.025,0)+IF(AND($L66="LILYA_ULT",$X66&gt;=6),1,0))-DI66*Boss参数!$B$23</f>
        <v>0</v>
      </c>
      <c r="BE66" s="10">
        <f>IF($E66="","",IF($H66="洞知",IF($E66="红弩箭",$AO66*Boss参数!$B$15,0)+$AX66*Boss参数!$B$14,0))</f>
        <v>0</v>
      </c>
      <c r="BF66" s="10">
        <f t="shared" si="1"/>
        <v>0</v>
      </c>
      <c r="BG66" s="10">
        <f>IF($D66="",0,IF(AND($L66&lt;&gt;"LILYA_DIVE",$L66&lt;&gt;"LILYA_ULT",$L66&lt;&gt;"LILYA_INSIGHT",$L66&lt;&gt;"LILYA_FINISH",$L66&lt;&gt;"37_FOLLOW",$L66&lt;&gt;"RHI_ATTACK",$L66&lt;&gt;"RHI_BERRY",$L66&lt;&gt;"J_COUNTER",$L66&lt;&gt;"J_ULT"),$J66,0)+IF($L66="LILYA_DIVE",$J66+IF($U66=1,IF($G66=1,6,IF($G66=2,12,18)),IF($U66=2,IF($G66=1,12,IF($G66=2,24,36)),0)),0)+IF($L66="LILYA_ULT",$J66+IF($X66&gt;=6,18,0),0)+IF($L66="LILYA_INSIGHT",IF($Y66=1,IF(MOD($AA66+1,3)=0,32,15),0),0)+IF($L66="LILYA_FINISH",IF($Y66=1,50+2.5*$Z66,0),0)+IF($L66="37_FOLLOW",$J66,0)+IF($L66="RHI_ATTACK",$J66*IF($B66&lt;=$AJ66,2,1),0)+IF($L66="RHI_BERRY",15+1.5*$AV66,0)+IF($L66="J_COUNTER",$J66+$AD66*Boss参数!$B$39,0)+IF($L66="J_ULT",$J66+Boss参数!$B$45*MAX(0,$AE66+$AD66-Boss参数!$I$4),0)+$S66)</f>
        <v>4</v>
      </c>
      <c r="BH66" s="10">
        <f t="shared" si="2"/>
        <v>0</v>
      </c>
      <c r="BI66" s="10">
        <f>IF(E66="","",IF(DT66=1,1+Boss参数!$B$8+AV66*Boss参数!$B$19,1))</f>
        <v>1.5</v>
      </c>
      <c r="BJ66" s="9">
        <f>IF($I66="现实",Boss参数!$C$4,IF($I66="精神",Boss参数!$D$4,0))</f>
        <v>1000</v>
      </c>
      <c r="BK66" s="9">
        <f>IF($E66="","",MAX($AY66*Boss参数!$B$9,$AY66-$BJ66*(1-$BF66)))</f>
        <v>2298</v>
      </c>
      <c r="BL66" s="10">
        <f>MAX(0,Boss参数!$F$4+IF(DT66=0,Boss参数!$B$27,0)-EJ66)</f>
        <v>0.10000000000000003</v>
      </c>
      <c r="BM66" s="10">
        <f>Boss参数!$G$4+DU66-IF(Y66=1,Boss参数!$B$11,0)</f>
        <v>0.60000000000000009</v>
      </c>
      <c r="BN66" s="10">
        <f>IF($E66="","",MAX(Boss参数!$B$10,1+IFERROR(INDEX(角色面板!$I$18:$I$21,MATCH($E66,角色面板!$A$18:$A$21,0)),0)+$BB66+Boss参数!$H$4-$BM66))</f>
        <v>1.2549999999999999</v>
      </c>
      <c r="BO66" s="10">
        <f>IF(E66="","",IF(OR(L66="J_COUNTER",L66="J_HARD"),MAX(0,1+INDEX(角色面板!$K$18:$K$21,MATCH(E66,角色面板!$A$18:$A$21,0))-DI66*Boss参数!$B$23+IF(OR(Boss参数!$B$43=1,L66="J_HARD"),IF(B66&lt;=AH66,Boss参数!$B$46,0),0)),MAX(0,IF(OR(H66="术法",L66="RHI_BERRY",AND(L66="37_FOLLOW",Boss参数!$B$31=1)),1+BC66,IF(H66="仪式",1+BD66,IF(H66="洞知",EK66,1))))))</f>
        <v>0.6</v>
      </c>
      <c r="BP66" s="10">
        <f t="shared" si="3"/>
        <v>1.71</v>
      </c>
      <c r="BQ66" s="1">
        <f t="shared" si="4"/>
        <v>10382.363999999998</v>
      </c>
      <c r="BR66" s="1">
        <f t="shared" si="5"/>
        <v>17753.842439999997</v>
      </c>
      <c r="BS66" s="1">
        <f>IF(BH66=0,0,ROUNDDOWN(AY66*BH66,0)*DV66*IF(Boss参数!$B$29=1,BN66,1)*IF(Boss参数!$B$33=1,BO66,1)*IF(Boss参数!$B$76=1,1-ES66,1))</f>
        <v>0</v>
      </c>
      <c r="BT66" s="1">
        <f t="shared" si="6"/>
        <v>0</v>
      </c>
      <c r="BU66" s="9">
        <f>IF(D66="",0,MIN(IF(Boss参数!$B$77=1,Boss参数!$B$63*Boss参数!$B$62,Boss参数!$B$61*Boss参数!$B$62),DW66+ROUNDDOWN(BS66,0)+ROUNDDOWN(DW66*Q66,0)))</f>
        <v>4152</v>
      </c>
      <c r="BV66" s="9">
        <f>IF(D66="",0,MIN(IF(Boss参数!$B$77=1,Boss参数!$B$63*Boss参数!$B$62,Boss参数!$B$61*Boss参数!$B$62),DX66+ROUNDDOWN(BT66,0)+ROUNDDOWN(DX66*Q66,0)))</f>
        <v>7101</v>
      </c>
      <c r="BW66" s="9">
        <f t="shared" si="7"/>
        <v>5788</v>
      </c>
      <c r="BX66" s="1" t="str">
        <f t="shared" si="8"/>
        <v/>
      </c>
      <c r="BY66" s="1">
        <f t="shared" si="9"/>
        <v>1</v>
      </c>
      <c r="BZ66" s="1">
        <f t="shared" si="10"/>
        <v>0</v>
      </c>
      <c r="CA66" s="1">
        <f>MIN(10,W66+IF(AND(L66="LILYA_COBRA",COUNTIF($L$3:L66,"LILYA_COBRA")=1),5,0)+IF(AND(L66="LILYA_DIVE",U66=1,COUNTIFS($DG$3:DG66,DG66,$L$3:L66,"LILYA_DIVE")=1),2,0)+IF(AND(FE66=1,U66=1),3,0))</f>
        <v>3</v>
      </c>
      <c r="CB66" s="1">
        <f>MIN(20,MAX(0,X66+IF(L66="LILYA_COBRA",IF(COUNTIF($L$3:L66,"LILYA_COBRA")=1,6,IF(U66=1,MAX(1,G66),IF(U66=2,2*MAX(1,G66),0))),0)+IF(AND(Y66=1,E66="红弩箭",L66&lt;&gt;"ENTER_INSIGHT"),1,0)-IF(AND(L66="LILYA_ULT",X66&gt;=6),6,0)))</f>
        <v>11</v>
      </c>
      <c r="CC66" s="1">
        <f t="shared" si="11"/>
        <v>0</v>
      </c>
      <c r="CD66" s="1">
        <f t="shared" si="12"/>
        <v>0</v>
      </c>
      <c r="CE66" s="1">
        <f t="shared" si="13"/>
        <v>0</v>
      </c>
      <c r="CF66" s="1">
        <f t="shared" si="14"/>
        <v>5</v>
      </c>
      <c r="CG66" s="1">
        <f t="shared" si="15"/>
        <v>0</v>
      </c>
      <c r="CH66" s="1">
        <f>MIN(35,AD66+IF(L66="J_HARD",6,0)+IF(L66="J_COUNTER",Boss参数!$B$30,0))</f>
        <v>35</v>
      </c>
      <c r="CI66" s="1">
        <f>MIN(Boss参数!$I$4,AE66+IF(L66="J_HARD",6,0)+IF(L66="J_ULT",AD66,0)+IF(L66="J_COUNTER",Boss参数!$B$30,0))</f>
        <v>13</v>
      </c>
      <c r="CJ66" s="10">
        <f>IF(L66="J_ULT",AD66*Boss参数!$B$41,IF(B66&lt;=AG66,AF66,0))</f>
        <v>0.4</v>
      </c>
      <c r="CK66" s="1">
        <f t="shared" si="16"/>
        <v>5</v>
      </c>
      <c r="CL66" s="1">
        <f t="shared" si="17"/>
        <v>6</v>
      </c>
      <c r="CM66" s="1">
        <f t="shared" si="18"/>
        <v>6</v>
      </c>
      <c r="CN66" s="1">
        <f t="shared" si="19"/>
        <v>7</v>
      </c>
      <c r="CO66" s="1">
        <f t="shared" si="20"/>
        <v>6</v>
      </c>
      <c r="CP66" s="1">
        <f t="shared" si="21"/>
        <v>3</v>
      </c>
      <c r="CQ66" s="1">
        <f t="shared" si="22"/>
        <v>25</v>
      </c>
      <c r="CR66" s="1">
        <f t="shared" si="23"/>
        <v>4</v>
      </c>
      <c r="CS66" s="1">
        <f t="shared" si="24"/>
        <v>0</v>
      </c>
      <c r="CT66" s="10">
        <f t="shared" si="25"/>
        <v>0.12</v>
      </c>
      <c r="CU66" s="1">
        <f t="shared" si="26"/>
        <v>6</v>
      </c>
      <c r="CV66" s="10">
        <f t="shared" si="27"/>
        <v>0.3</v>
      </c>
      <c r="CW66" s="1">
        <f t="shared" si="28"/>
        <v>6</v>
      </c>
      <c r="CX66" s="10">
        <f t="shared" si="29"/>
        <v>0.3</v>
      </c>
      <c r="CY66" s="1">
        <f t="shared" si="30"/>
        <v>6</v>
      </c>
      <c r="CZ66" s="1"/>
      <c r="DA66" s="1"/>
      <c r="DB66" s="1"/>
      <c r="DC66" s="1"/>
      <c r="DD66" s="1"/>
      <c r="DE66" s="1"/>
      <c r="DF66" s="1"/>
      <c r="DG66" s="1">
        <f>IF(D66="","",行动模拟!B72)</f>
        <v>4</v>
      </c>
      <c r="DH66" s="1" t="str">
        <f>IF(L66="END_TURN","回合结束",IF(D66="","",IF(INDEX(回合状态!$C$7:$C$17,MATCH(DG66,回合状态!$A$7:$A$17,0))="洞穿","洞穿",IF(OR(L66="J_COUNTER",L66="BOSS_ACTION",L66="BOSS_CONSERVATIVE"),"敌方",IF(AND(L66="37_FOLLOW",DG66=DG65,DH65="敌方"),"敌方",IF(INDEX(回合状态!$C$7:$C$17,MATCH(DG66,回合状态!$A$7:$A$17,0))="普通","出牌",INDEX(回合状态!$C$7:$C$17,MATCH(DG66,回合状态!$A$7:$A$17,0))))))))</f>
        <v>出牌</v>
      </c>
      <c r="DI66" s="1">
        <f t="shared" si="31"/>
        <v>2</v>
      </c>
      <c r="DJ66" s="1">
        <f>IF(D66="",0,MIN(Boss参数!$B$25,IF(OR(AND(DH66="敌方",OR(DH65&lt;&gt;"敌方",DG66&lt;&gt;DG65)),AND(L66="END_TURN",DH66&lt;&gt;"洞穿"),AND(DG66&lt;&gt;DG65,DH65&lt;&gt;"洞穿",L65&lt;&gt;"END_TURN",COUNTIFS($DG$3:DG65,DG65,$DH$3:DH65,"敌方")=0)),EW66,DN65)))</f>
        <v>4</v>
      </c>
      <c r="DK66" s="1">
        <f>IF(D66="",0,MIN(Boss参数!$B$25,IF(OR(AND(DH66="敌方",OR(DH65&lt;&gt;"敌方",DG66&lt;&gt;DG65)),AND(L66="END_TURN",DH66&lt;&gt;"洞穿"),AND(DG66&lt;&gt;DG65,DH65&lt;&gt;"洞穿",L65&lt;&gt;"END_TURN",COUNTIFS($DG$3:DG65,DG65,$DH$3:DH65,"敌方")=0)),EW66,DO65)))</f>
        <v>4</v>
      </c>
      <c r="DL66" s="1">
        <f>IF(D66="",0,MIN(Boss参数!$B$25,IF(OR(AND(DH66="敌方",OR(DH65&lt;&gt;"敌方",DG66&lt;&gt;DG65)),AND(L66="END_TURN",DH66&lt;&gt;"洞穿"),AND(DG66&lt;&gt;DG65,DH65&lt;&gt;"洞穿",L65&lt;&gt;"END_TURN",COUNTIFS($DG$3:DG65,DG65,$DH$3:DH65,"敌方")=0)),EW66,DP65)))</f>
        <v>2</v>
      </c>
      <c r="DM66" s="1">
        <f>IF(D66="",0,MIN(Boss参数!$B$25,IF(OR(AND(DH66="敌方",OR(DH65&lt;&gt;"敌方",DG66&lt;&gt;DG65)),AND(L66="END_TURN",DH66&lt;&gt;"洞穿"),AND(DG66&lt;&gt;DG65,DH65&lt;&gt;"洞穿",L65&lt;&gt;"END_TURN",COUNTIFS($DG$3:DG65,DG65,$DH$3:DH65,"敌方")=0)),EW66,DQ65)))</f>
        <v>4</v>
      </c>
      <c r="DN66" s="1">
        <f>MAX(0,MIN(Boss参数!$B$25,DJ66+DR66)-IF(E66="红弩箭",2*DR66,0))</f>
        <v>5</v>
      </c>
      <c r="DO66" s="1">
        <f>MAX(0,MIN(Boss参数!$B$25,DK66+DR66)-IF(E66="37",2*DR66,0))</f>
        <v>5</v>
      </c>
      <c r="DP66" s="1">
        <f>MAX(0,MIN(Boss参数!$B$25,DL66+DR66)-IF(E66="小瑞安侬",2*DR66,0))</f>
        <v>1</v>
      </c>
      <c r="DQ66" s="1">
        <f>MAX(0,MIN(Boss参数!$B$25,DM66+DR66)-IF(E66="J",2*DR66,0))</f>
        <v>5</v>
      </c>
      <c r="DR66" s="1">
        <f t="shared" si="32"/>
        <v>1</v>
      </c>
      <c r="DS66" s="1">
        <f t="shared" si="33"/>
        <v>1</v>
      </c>
      <c r="DT66" s="1">
        <f>IF(OR(E66="",E66="系统"),0,IF(OR(AND(DS66=1,Boss参数!$B$32=1),L66="RHI_BERRY",OR(AND(INDEX(角色面板!$B$18:$B$21,MATCH(E66,角色面板!$A$18:$A$21,0))="星",Boss参数!$B$4="岩"),AND(INDEX(角色面板!$B$18:$B$21,MATCH(E66,角色面板!$A$18:$A$21,0))="岩",Boss参数!$B$4="兽"),AND(INDEX(角色面板!$B$18:$B$21,MATCH(E66,角色面板!$A$18:$A$21,0))="兽",Boss参数!$B$4="木"),AND(INDEX(角色面板!$B$18:$B$21,MATCH(E66,角色面板!$A$18:$A$21,0))="木",Boss参数!$B$4="星"),AND(INDEX(角色面板!$B$18:$B$21,MATCH(E66,角色面板!$A$18:$A$21,0))="智",Boss参数!$B$4="灵"),AND(INDEX(角色面板!$B$18:$B$21,MATCH(E66,角色面板!$A$18:$A$21,0))="灵",Boss参数!$B$4="智"))),1,0))</f>
        <v>1</v>
      </c>
      <c r="DU66" s="1">
        <f>IF(D66="",0,INDEX(回合状态!$E$7:$E$17,MATCH(DG66,回合状态!$A$7:$A$17,0))+IF(AND(DH66="敌方",OR(INDEX(回合状态!$C$7:$C$17,MATCH(DG66,回合状态!$A$7:$A$17,0))="普通",INDEX(回合状态!$C$7:$C$17,MATCH(DG66,回合状态!$A$7:$A$17,0))="额外")),0.05,0))</f>
        <v>0.2</v>
      </c>
      <c r="DV66" s="1">
        <f>MAX(Boss参数!$B$28,1+IF(AND(E66="37",AC66&gt;0,BH66&gt;0),Boss参数!$B$42,0)-DI66*Boss参数!$B$24+EA66-ER66)</f>
        <v>0</v>
      </c>
      <c r="DW66" s="1">
        <f>MIN(IF(Boss参数!$B$77=1,Boss参数!$B$63*Boss参数!$B$62,Boss参数!$B$61*Boss参数!$B$62),ROUNDDOWN(BQ66*(1-ES66),0))</f>
        <v>4152</v>
      </c>
      <c r="DX66" s="1">
        <f>MIN(IF(Boss参数!$B$77=1,Boss参数!$B$63*Boss参数!$B$62,Boss参数!$B$61*Boss参数!$B$62),ROUNDDOWN(BR66*(1-ES66),0))</f>
        <v>7101</v>
      </c>
      <c r="DY66" s="1">
        <f t="shared" si="65"/>
        <v>250</v>
      </c>
      <c r="DZ66" s="1">
        <f>IF(L66="RHI_ULT",MIN(Boss参数!$B$48,ROUNDDOWN(AY66*Boss参数!$B$47,0)),DY66)</f>
        <v>250</v>
      </c>
      <c r="EA66" s="11">
        <v>0</v>
      </c>
      <c r="EB66" s="1">
        <f t="shared" si="34"/>
        <v>0</v>
      </c>
      <c r="EC66" s="1">
        <f>SUMIFS($EB$3:EB66,$B$3:B66,"&gt;="&amp;MAX(1,B66-2),$B$3:B66,"&lt;="&amp;B66)*Boss参数!$B$51</f>
        <v>16</v>
      </c>
      <c r="ED66" s="1">
        <f>IF(D66="",EG65,IF(AND(DG66&lt;&gt;DG65,DH66&lt;&gt;"洞穿"),MIN(Boss参数!$B$55,EG65+2),EG65))</f>
        <v>0</v>
      </c>
      <c r="EE66" s="1">
        <f t="shared" si="35"/>
        <v>0</v>
      </c>
      <c r="EF66" s="1">
        <f>IF(AND(OR(L66="END_TURN",AND(DH66="敌方",OR(DH65&lt;&gt;"敌方",DG66&lt;&gt;DG65))),SUMIFS($EF$3:EF65,$DG$3:DG65,DG66)=0),MIN(1,MAX(0,ED66-EE66)),0)</f>
        <v>0</v>
      </c>
      <c r="EG66" s="1">
        <f t="shared" si="36"/>
        <v>0</v>
      </c>
      <c r="EH66" s="11">
        <f>Boss参数!$B$53-IF(Y66=1,Boss参数!$B$54,0)</f>
        <v>0</v>
      </c>
      <c r="EI66" s="11">
        <f t="shared" si="37"/>
        <v>0.3</v>
      </c>
      <c r="EJ66" s="11">
        <f t="shared" si="38"/>
        <v>0.3</v>
      </c>
      <c r="EK66" s="11">
        <f t="shared" si="39"/>
        <v>1</v>
      </c>
      <c r="EL66" s="1">
        <f t="shared" si="66"/>
        <v>0</v>
      </c>
      <c r="EM66" s="1">
        <f>IF(AND(DG66&lt;&gt;DG65,DH66="洞穿"),0,IF(L66="ENTER_INSIGHT",Boss参数!$B$57,EO65))</f>
        <v>0</v>
      </c>
      <c r="EN66" s="11">
        <f>IF(AND(Y66=1,H66="洞知",EM66&gt;0),Boss参数!$B$56,0)</f>
        <v>0</v>
      </c>
      <c r="EO66" s="1">
        <f t="shared" si="40"/>
        <v>0</v>
      </c>
      <c r="EP66" s="12">
        <f t="shared" si="67"/>
        <v>13358643</v>
      </c>
      <c r="EQ66" s="12">
        <f>ROUNDDOWN(EP66/Boss参数!$B$62,0)</f>
        <v>133</v>
      </c>
      <c r="ER66" s="11">
        <f>IF(EQ66&gt;=Boss参数!$B$66,Boss参数!$B$69,IF(EQ66&gt;=Boss参数!$B$65,Boss参数!$B$68,IF(EQ66&gt;=Boss参数!$B$64,Boss参数!$B$67,0)))</f>
        <v>0.9</v>
      </c>
      <c r="ES66" s="11">
        <f>MIN(1,IF(EQ66&gt;=Boss参数!$B$66,Boss参数!$B$72+ROUNDDOWN((EQ66-Boss参数!$B$66)/Boss参数!$B$73,0)*Boss参数!$B$74,IF(EQ66&gt;=Boss参数!$B$65,Boss参数!$B$71,IF(EQ66&gt;=Boss参数!$B$64,Boss参数!$B$70,0))))</f>
        <v>0.6</v>
      </c>
      <c r="ET66" s="12">
        <f>MIN(Boss参数!$B$61*Boss参数!$B$62,EP66+IF(AND(Boss参数!$B$60=1,ISNUMBER(验证表!H72)),验证表!H72,EU66))</f>
        <v>13365744</v>
      </c>
      <c r="EU66" s="12">
        <f>IF(D66="",0,IF(验证表!G72="是",BV66,IF(验证表!G72="否",BU66,BW66)))</f>
        <v>7101</v>
      </c>
      <c r="EV66" s="12">
        <f>IF(EQ66&gt;=Boss参数!$B$66,2,IF(EQ66&gt;=Boss参数!$B$65,1,0))</f>
        <v>2</v>
      </c>
      <c r="EW66" s="12">
        <f t="shared" si="41"/>
        <v>3</v>
      </c>
      <c r="EX66" s="1">
        <f>IF(D66="",0,INDEX(回合状态!$D$7:$D$17,MATCH(DG66,回合状态!$A$7:$A$17,0)))</f>
        <v>4</v>
      </c>
      <c r="EY66" s="1">
        <f>IF(OR(L66="RHI_ATTACK",L66="RHI_BUFF"),1,IF(L66="RHI_ULT",Boss参数!$B$52,0))</f>
        <v>1</v>
      </c>
      <c r="EZ66" s="1">
        <f>MIN(6,SUMIFS($EY$3:EY66,$EX$3:EX66,"&gt;="&amp;MAX(1,EX66-Boss参数!$B$87+1),$EX$3:EX66,"&lt;="&amp;EX66))</f>
        <v>6</v>
      </c>
      <c r="FA66" s="1">
        <f t="shared" si="68"/>
        <v>35</v>
      </c>
      <c r="FB66" s="17">
        <f>IF(L66="BOSS_CONSERVATIVE",B66+Boss参数!$B$91,FB65)</f>
        <v>0</v>
      </c>
      <c r="FC66" s="17">
        <f t="shared" si="69"/>
        <v>0</v>
      </c>
      <c r="FD66" s="17">
        <f>IF(D66="",FD65,FD65+IF(AND(DG66&lt;&gt;DG65,INDEX(回合状态!$C$7:$C$17,MATCH(DG66,回合状态!$A$7:$A$17,0))&lt;&gt;"洞穿"),1,0))</f>
        <v>5</v>
      </c>
      <c r="FE66" s="17">
        <f>IF(D66="",0,IF(AND(OR(L66="END_TURN",DH66="敌方"),INDEX(回合状态!$C$7:$C$17,MATCH(DG66,回合状态!$A$7:$A$17,0))&lt;&gt;"洞穿",SUMIFS($FE$3:FE65,$DG$3:DG65,DG66)=0),1,0))</f>
        <v>0</v>
      </c>
    </row>
    <row r="67" spans="1:161" ht="84.95" customHeight="1">
      <c r="A67" s="1">
        <f>行动模拟!A73</f>
        <v>65</v>
      </c>
      <c r="B67" s="1">
        <f>IF(D67="",0,INDEX(回合状态!$B$7:$B$17,MATCH(DG67,回合状态!$A$7:$A$17,0)))</f>
        <v>4</v>
      </c>
      <c r="C67" s="1">
        <f>行动模拟!C73</f>
        <v>5</v>
      </c>
      <c r="D67" s="1" t="str">
        <f>IF(行动模拟!D73="","",行动模拟!D73)</f>
        <v>37｜补充算式</v>
      </c>
      <c r="E67" s="1" t="str">
        <f>IF($D67="","",IFERROR(INDEX(技能数据库!$B$4:$B$38,MATCH($D67,技能数据库!$A$4:$A$38,0)),""))</f>
        <v>37</v>
      </c>
      <c r="F67" s="1" t="str">
        <f>IF($D67="","",IFERROR(INDEX(技能数据库!$C$4:$C$38,MATCH($D67,技能数据库!$A$4:$A$38,0)),""))</f>
        <v>补充算式</v>
      </c>
      <c r="G67" s="1">
        <f>IF($D67="","",IFERROR(INDEX(技能数据库!$D$4:$D$38,MATCH($D67,技能数据库!$A$4:$A$38,0)),""))</f>
        <v>0</v>
      </c>
      <c r="H67" s="1" t="str">
        <f>IF($D67="","",IFERROR(INDEX(技能数据库!$E$4:$E$38,MATCH($D67,技能数据库!$A$4:$A$38,0)),""))</f>
        <v>额外行动</v>
      </c>
      <c r="I67" s="1" t="str">
        <f>IF($D67="","",IFERROR(INDEX(技能数据库!$F$4:$F$38,MATCH($D67,技能数据库!$A$4:$A$38,0)),""))</f>
        <v>精神</v>
      </c>
      <c r="J67" s="1">
        <f>IF($D67="","",IFERROR(INDEX(技能数据库!$G$4:$G$38,MATCH($D67,技能数据库!$A$4:$A$38,0)),""))</f>
        <v>3</v>
      </c>
      <c r="K67" s="1">
        <f>IF($D67="","",IFERROR(INDEX(技能数据库!$H$4:$H$38,MATCH($D67,技能数据库!$A$4:$A$38,0)),""))</f>
        <v>1</v>
      </c>
      <c r="L67" s="1" t="str">
        <f>IF($D67="","",IFERROR(INDEX(技能数据库!$I$4:$I$38,MATCH($D67,技能数据库!$A$4:$A$38,0)),""))</f>
        <v>37_FOLLOW</v>
      </c>
      <c r="M67" s="10">
        <v>1</v>
      </c>
      <c r="N67" s="1"/>
      <c r="O67" s="1"/>
      <c r="P67" s="1"/>
      <c r="Q67" s="10">
        <f t="shared" ref="Q67:Q130" si="70">EN67</f>
        <v>0</v>
      </c>
      <c r="R67" s="10">
        <v>0</v>
      </c>
      <c r="S67" s="10">
        <v>0</v>
      </c>
      <c r="T67" s="1">
        <f>行动模拟!I73</f>
        <v>0</v>
      </c>
      <c r="U67" s="1">
        <f>IF(FD67&lt;&gt;FD66,IF(BY66=1,IF(MIN(10,CA66+IF(AND(DG67&lt;&gt;DG66,DH66&lt;&gt;"洞穿",SUMIFS($FE$3:FE66,$DG$3:DG66,DG66)=0,BY66=1),3,0))&gt;=10,2,1),IF(BY66=2,IF(BZ66&lt;=1,0,2),0)),BY66)</f>
        <v>1</v>
      </c>
      <c r="V67" s="1">
        <f>IF(FD67&lt;&gt;FD66,IF(BY66=1,IF(MIN(10,CA66+IF(AND(DG67&lt;&gt;DG66,DH66&lt;&gt;"洞穿",SUMIFS($FE$3:FE66,$DG$3:DG66,DG66)=0,BY66=1),3,0))&gt;=10,2,0),IF(BY66=2,MAX(0,BZ66-1),0)),BZ66)</f>
        <v>0</v>
      </c>
      <c r="W67" s="1">
        <f>IF(AND(FD67&lt;&gt;FD66,BY66=2,BZ66&lt;=1),0,MIN(10,CA66+IF(AND(DG67&lt;&gt;DG66,DH66&lt;&gt;"洞穿",SUMIFS($FE$3:FE66,$DG$3:DG66,DG66)=0,BY66=1),3,0)))</f>
        <v>3</v>
      </c>
      <c r="X67" s="1">
        <f t="shared" si="42"/>
        <v>11</v>
      </c>
      <c r="Y67" s="1">
        <f t="shared" si="43"/>
        <v>0</v>
      </c>
      <c r="Z67" s="1">
        <f t="shared" si="44"/>
        <v>0</v>
      </c>
      <c r="AA67" s="1">
        <f t="shared" si="45"/>
        <v>0</v>
      </c>
      <c r="AB67" s="1">
        <f t="shared" si="46"/>
        <v>5</v>
      </c>
      <c r="AC67" s="1">
        <f t="shared" si="47"/>
        <v>0</v>
      </c>
      <c r="AD67" s="1">
        <f t="shared" si="48"/>
        <v>35</v>
      </c>
      <c r="AE67" s="1">
        <f>IF(D67="",0,IF(DG67&lt;&gt;DG66,IFERROR(INDEX(回合状态!$F$7:$F$17,MATCH(DG67,回合状态!$A$7:$A$17,0)),0),CI66))</f>
        <v>13</v>
      </c>
      <c r="AF67" s="10">
        <f t="shared" si="49"/>
        <v>0.4</v>
      </c>
      <c r="AG67" s="1">
        <f t="shared" si="50"/>
        <v>5</v>
      </c>
      <c r="AH67" s="1">
        <f t="shared" si="51"/>
        <v>6</v>
      </c>
      <c r="AI67" s="1">
        <f t="shared" si="52"/>
        <v>6</v>
      </c>
      <c r="AJ67" s="1">
        <f t="shared" si="53"/>
        <v>7</v>
      </c>
      <c r="AK67" s="1">
        <f t="shared" si="54"/>
        <v>6</v>
      </c>
      <c r="AL67" s="1">
        <f t="shared" si="55"/>
        <v>3</v>
      </c>
      <c r="AM67" s="1">
        <f t="shared" si="56"/>
        <v>25</v>
      </c>
      <c r="AN67" s="1">
        <f t="shared" si="57"/>
        <v>4</v>
      </c>
      <c r="AO67" s="1">
        <f t="shared" si="58"/>
        <v>0</v>
      </c>
      <c r="AP67" s="10">
        <f t="shared" si="59"/>
        <v>0.12</v>
      </c>
      <c r="AQ67" s="1">
        <f t="shared" si="60"/>
        <v>6</v>
      </c>
      <c r="AR67" s="10">
        <f t="shared" si="61"/>
        <v>0.3</v>
      </c>
      <c r="AS67" s="1">
        <f t="shared" si="62"/>
        <v>6</v>
      </c>
      <c r="AT67" s="10">
        <f t="shared" si="63"/>
        <v>0.3</v>
      </c>
      <c r="AU67" s="1">
        <f t="shared" si="64"/>
        <v>6</v>
      </c>
      <c r="AV67" s="1">
        <f>MIN(5,SUMIFS($EL$3:EL67,$B$3:B67,"&gt;="&amp;MAX(1,B67-2),$B$3:B67,"&lt;="&amp;B67)+EC67)</f>
        <v>5</v>
      </c>
      <c r="AW67" s="1">
        <f>MIN(6,SUMIFS($EY$3:EY66,$EX$3:EX66,"&gt;="&amp;MAX(1,EX67-Boss参数!$B$87+1),$EX$3:EX66,"&lt;="&amp;EX67))</f>
        <v>6</v>
      </c>
      <c r="AX67" s="1">
        <f>MIN(4,COUNTIFS($B$3:$B$66,"&gt;="&amp;MAX(1,$B67-2),$B$3:$B$66,"&lt;="&amp;$B67,$L$3:$L$66,"37_FOLLOW"))</f>
        <v>4</v>
      </c>
      <c r="AY67" s="9">
        <f>IF($E67="","",IF($E67="系统",0,ROUNDDOWN(INDEX(角色面板!$C$4:$C$7,MATCH($E67,角色面板!$A$4:$A$7,0))*(1+INDEX(角色面板!$C$11:$C$14,MATCH($E67,角色面板!$A$11:$A$14,0))+IF($E67="小瑞安侬",MAX(IF($B67&lt;=$AQ67,$AP67,0),IF(AND($L67="RHI_ATTACK",$EE67&gt;0),0.11+0.01*$G67,0)),0)+IF($E67="J",$AD67*Boss参数!$B$18,0))+IF(FD67&lt;=$AN67,MIN(Boss参数!$B$21,ROUNDDOWN(角色面板!$C$19*Boss参数!$B$20,0)),0)+IF(AND($B67&lt;=$AK67,$E67&lt;&gt;"小瑞安侬"),$DY67,0),0)))</f>
        <v>3017</v>
      </c>
      <c r="AZ67" s="10">
        <f>IF($E67="","",MAX(0,MIN(1,IFERROR(INDEX(角色面板!$G$18:$G$21,MATCH($E67,角色面板!$A$18:$A$21,0)),0)-FC67*Boss参数!$B$89-Boss参数!$E$4)))</f>
        <v>0.76</v>
      </c>
      <c r="BA67" s="10">
        <f>IF(E67="","",(IF($E67="","",IF($E67="红弩箭",Boss参数!$B$80,IF($E67="J",Boss参数!$B$81,IFERROR(INDEX(角色面板!$H$18:$H$21,MATCH($E67,角色面板!$A$18:$A$21,0)),0)))+IF($B67&lt;=$AI67,Boss参数!$B$13,0)+MIN(30,$AM67)*Boss参数!$B$17+IF(AND($L67="LILYA_ULT",$X67&gt;=6),1,0)+IF(AND($Y67=1,$L67="LILYA_INSIGHT"),IF(MOD($AA67+1,3)=0,Boss参数!$B$83,Boss参数!$B$82),IF(AND($Y67=1,$L67="LILYA_FINISH"),Boss参数!$B$84,0))))-FC67*Boss参数!$B$90)</f>
        <v>2.4580000000000002</v>
      </c>
      <c r="BB67" s="10">
        <f>IF($E67="","",IFERROR(INDEX(角色面板!$M$18:$M$21,MATCH($E67,角色面板!$A$18:$A$21,0)),0)+$AW67*Boss参数!$B$12+IF($B67&lt;=$AG67,$AF67,0)+$EI67+IF($L67="LILYA_DIVE",IF($U67=1,IF($G67=1,0.3,IF($G67=2,0.4,0.5)),IF($U67=2,IF($G67=1,0.6,IF($G67=2,0.8,1)),0)),0)+$R67+IF(AND($E67="J",OR($L67="J_COUNTER",$L67="J_HARD")),Boss参数!$B$79,0)+IF(AND(OR(L67="J_COUNTER",L67="J_HARD"),FA67&gt;=Boss参数!$B$59),FA67*Boss参数!$B$40,0))</f>
        <v>0.82000000000000006</v>
      </c>
      <c r="BC67" s="10">
        <f>IF($E67="","",IFERROR(INDEX(角色面板!$K$18:$K$21,MATCH($E67,角色面板!$A$18:$A$21,0)),0)+IF($B67&lt;=$AH67,Boss参数!$B$46,0)+IF($E67="红弩箭",IF($U67=1,0.6,IF($U67=2,1.2,0))+$W67*0.06,0))-DI67*Boss参数!$B$23</f>
        <v>-0.85000000000000009</v>
      </c>
      <c r="BD67" s="10">
        <f>IF($E67="","",IFERROR(INDEX(角色面板!$L$18:$L$21,MATCH($E67,角色面板!$A$18:$A$21,0)),0)+IF($B67&lt;=$AH67,Boss参数!$B$46,0)+IF($E67="J",$AL67*Boss参数!$B$16,0)+IF($E67="红弩箭",$X67*0.025,0)+IF(AND($L67="LILYA_ULT",$X67&gt;=6),1,0))-DI67*Boss参数!$B$23</f>
        <v>-0.45</v>
      </c>
      <c r="BE67" s="10">
        <f>IF($E67="","",IF($H67="洞知",IF($E67="红弩箭",$AO67*Boss参数!$B$15,0)+$AX67*Boss参数!$B$14,0))</f>
        <v>0</v>
      </c>
      <c r="BF67" s="10">
        <f t="shared" ref="BF67:BF130" si="71">IF(AND($L67="LILYA_ULT",$X67&gt;=6),0.2,0)</f>
        <v>0</v>
      </c>
      <c r="BG67" s="10">
        <f>IF($D67="",0,IF(AND($L67&lt;&gt;"LILYA_DIVE",$L67&lt;&gt;"LILYA_ULT",$L67&lt;&gt;"LILYA_INSIGHT",$L67&lt;&gt;"LILYA_FINISH",$L67&lt;&gt;"37_FOLLOW",$L67&lt;&gt;"RHI_ATTACK",$L67&lt;&gt;"RHI_BERRY",$L67&lt;&gt;"J_COUNTER",$L67&lt;&gt;"J_ULT"),$J67,0)+IF($L67="LILYA_DIVE",$J67+IF($U67=1,IF($G67=1,6,IF($G67=2,12,18)),IF($U67=2,IF($G67=1,12,IF($G67=2,24,36)),0)),0)+IF($L67="LILYA_ULT",$J67+IF($X67&gt;=6,18,0),0)+IF($L67="LILYA_INSIGHT",IF($Y67=1,IF(MOD($AA67+1,3)=0,32,15),0),0)+IF($L67="LILYA_FINISH",IF($Y67=1,50+2.5*$Z67,0),0)+IF($L67="37_FOLLOW",$J67,0)+IF($L67="RHI_ATTACK",$J67*IF($B67&lt;=$AJ67,2,1),0)+IF($L67="RHI_BERRY",15+1.5*$AV67,0)+IF($L67="J_COUNTER",$J67+$AD67*Boss参数!$B$39,0)+IF($L67="J_ULT",$J67+Boss参数!$B$45*MAX(0,$AE67+$AD67-Boss参数!$I$4),0)+$S67)</f>
        <v>3</v>
      </c>
      <c r="BH67" s="10">
        <f t="shared" ref="BH67:BH130" si="72">IF(D67="",0,K67)</f>
        <v>1</v>
      </c>
      <c r="BI67" s="10">
        <f>IF(E67="","",IF(DT67=1,1+Boss参数!$B$8+AV67*Boss参数!$B$19,1))</f>
        <v>1.5</v>
      </c>
      <c r="BJ67" s="9">
        <f>IF($I67="现实",Boss参数!$C$4,IF($I67="精神",Boss参数!$D$4,0))</f>
        <v>1000</v>
      </c>
      <c r="BK67" s="9">
        <f>IF($E67="","",MAX($AY67*Boss参数!$B$9,$AY67-$BJ67*(1-$BF67)))</f>
        <v>2017</v>
      </c>
      <c r="BL67" s="10">
        <f>MAX(0,Boss参数!$F$4+IF(DT67=0,Boss参数!$B$27,0)-EJ67)</f>
        <v>0.10000000000000003</v>
      </c>
      <c r="BM67" s="10">
        <f>Boss参数!$G$4+DU67-IF(Y67=1,Boss参数!$B$11,0)</f>
        <v>0.60000000000000009</v>
      </c>
      <c r="BN67" s="10">
        <f>IF($E67="","",MAX(Boss参数!$B$10,1+IFERROR(INDEX(角色面板!$I$18:$I$21,MATCH($E67,角色面板!$A$18:$A$21,0)),0)+$BB67+Boss参数!$H$4-$BM67))</f>
        <v>1.2249999999999999</v>
      </c>
      <c r="BO67" s="10">
        <f>IF(E67="","",IF(OR(L67="J_COUNTER",L67="J_HARD"),MAX(0,1+INDEX(角色面板!$K$18:$K$21,MATCH(E67,角色面板!$A$18:$A$21,0))-DI67*Boss参数!$B$23+IF(OR(Boss参数!$B$43=1,L67="J_HARD"),IF(B67&lt;=AH67,Boss参数!$B$46,0),0)),MAX(0,IF(OR(H67="术法",L67="RHI_BERRY",AND(L67="37_FOLLOW",Boss参数!$B$31=1)),1+BC67,IF(H67="仪式",1+BD67,IF(H67="洞知",EK67,1))))))</f>
        <v>0.14999999999999991</v>
      </c>
      <c r="BP67" s="10">
        <f t="shared" ref="BP67:BP130" si="73">IF($E67="","",MAX(1.1,$BA67-$BL67))</f>
        <v>2.3580000000000001</v>
      </c>
      <c r="BQ67" s="1">
        <f t="shared" ref="BQ67:BQ130" si="74">IF($BG67=0,0,$BK67*$BG67*$BN67*$BO67*$BI67)</f>
        <v>1667.8068749999989</v>
      </c>
      <c r="BR67" s="1">
        <f t="shared" ref="BR67:BR130" si="75">IF($BG67=0,0,$BQ67*$BP67)</f>
        <v>3932.6886112499974</v>
      </c>
      <c r="BS67" s="1">
        <f>IF(BH67=0,0,ROUNDDOWN(AY67*BH67,0)*DV67*IF(Boss参数!$B$29=1,BN67,1)*IF(Boss参数!$B$33=1,BO67,1)*IF(Boss参数!$B$76=1,1-ES67,1))</f>
        <v>0</v>
      </c>
      <c r="BT67" s="1">
        <f t="shared" ref="BT67:BT130" si="76">IF($BH67=0,0,$BS67*IF($E67="37",$BP67,1))</f>
        <v>0</v>
      </c>
      <c r="BU67" s="9">
        <f>IF(D67="",0,MIN(IF(Boss参数!$B$77=1,Boss参数!$B$63*Boss参数!$B$62,Boss参数!$B$61*Boss参数!$B$62),DW67+ROUNDDOWN(BS67,0)+ROUNDDOWN(DW67*Q67,0)))</f>
        <v>667</v>
      </c>
      <c r="BV67" s="9">
        <f>IF(D67="",0,MIN(IF(Boss参数!$B$77=1,Boss参数!$B$63*Boss参数!$B$62,Boss参数!$B$61*Boss参数!$B$62),DX67+ROUNDDOWN(BT67,0)+ROUNDDOWN(DX67*Q67,0)))</f>
        <v>1573</v>
      </c>
      <c r="BW67" s="9">
        <f t="shared" ref="BW67:BW130" si="77">IF($D67="",0,ROUNDDOWN($BU67*(1-$AZ67)+$BV67*$AZ67,0))</f>
        <v>1355</v>
      </c>
      <c r="BX67" s="1" t="str">
        <f t="shared" ref="BX67:BX130" si="78">IF($D67="","",IF(AND($L67="37_FOLLOW",$AB67&lt;5),"检查：37灵光不足5",IF(AND($L67="LILYA_INSIGHT",$Y67=0),"检查：未进入弱点洞穿",IF(AND($L67="LILYA_FINISH",$Y67=0),"检查：未进入弱点洞穿",""))))</f>
        <v/>
      </c>
      <c r="BY67" s="1">
        <f t="shared" ref="BY67:BY130" si="79">IF($L67="LILYA_COBRA",IF($U67=0,1,$U67),$U67)</f>
        <v>1</v>
      </c>
      <c r="BZ67" s="1">
        <f t="shared" ref="BZ67:BZ130" si="80">$V67</f>
        <v>0</v>
      </c>
      <c r="CA67" s="1">
        <f>MIN(10,W67+IF(AND(L67="LILYA_COBRA",COUNTIF($L$3:L67,"LILYA_COBRA")=1),5,0)+IF(AND(L67="LILYA_DIVE",U67=1,COUNTIFS($DG$3:DG67,DG67,$L$3:L67,"LILYA_DIVE")=1),2,0)+IF(AND(FE67=1,U67=1),3,0))</f>
        <v>3</v>
      </c>
      <c r="CB67" s="1">
        <f>MIN(20,MAX(0,X67+IF(L67="LILYA_COBRA",IF(COUNTIF($L$3:L67,"LILYA_COBRA")=1,6,IF(U67=1,MAX(1,G67),IF(U67=2,2*MAX(1,G67),0))),0)+IF(AND(Y67=1,E67="红弩箭",L67&lt;&gt;"ENTER_INSIGHT"),1,0)-IF(AND(L67="LILYA_ULT",X67&gt;=6),6,0)))</f>
        <v>11</v>
      </c>
      <c r="CC67" s="1">
        <f t="shared" ref="CC67:CC130" si="81">IF($L67="ENTER_INSIGHT",1,IF($L67="LILYA_FINISH",0,$Y67))</f>
        <v>0</v>
      </c>
      <c r="CD67" s="1">
        <f t="shared" ref="CD67:CD130" si="82">IF(OR($L67="ENTER_INSIGHT",$L67="LILYA_FINISH"),0,IF(AND($Y67=1,$D67&lt;&gt;"",$E67&lt;&gt;"系统"),$Z67+1,$Z67))</f>
        <v>0</v>
      </c>
      <c r="CE67" s="1">
        <f t="shared" ref="CE67:CE130" si="83">IF(OR($L67="ENTER_INSIGHT",$L67="LILYA_FINISH"),0,IF($L67="LILYA_INSIGHT",$AA67+1,$AA67))</f>
        <v>0</v>
      </c>
      <c r="CF67" s="1">
        <f t="shared" ref="CF67:CF130" si="84">IF(OR($D67="",$E67="系统"),$AB67,IF($L67="37_FOLLOW",MAX(0,$AB67-5),MIN(10,$AB67+1+IF($L67="37_ULT",2,0))))</f>
        <v>0</v>
      </c>
      <c r="CG67" s="1">
        <f t="shared" ref="CG67:CG130" si="85">MAX(0,$AC67-IF(AND($E67="37",$BH67&gt;0,$AC67&gt;0),1,0)+IF($L67="37_ULT",2,0)+IF($L67="37_TRIANGLE",IF($G67=3,2,1),0))</f>
        <v>0</v>
      </c>
      <c r="CH67" s="1">
        <f>MIN(35,AD67+IF(L67="J_HARD",6,0)+IF(L67="J_COUNTER",Boss参数!$B$30,0))</f>
        <v>35</v>
      </c>
      <c r="CI67" s="1">
        <f>MIN(Boss参数!$I$4,AE67+IF(L67="J_HARD",6,0)+IF(L67="J_ULT",AD67,0)+IF(L67="J_COUNTER",Boss参数!$B$30,0))</f>
        <v>13</v>
      </c>
      <c r="CJ67" s="10">
        <f>IF(L67="J_ULT",AD67*Boss参数!$B$41,IF(B67&lt;=AG67,AF67,0))</f>
        <v>0.4</v>
      </c>
      <c r="CK67" s="1">
        <f t="shared" ref="CK67:CK130" si="86">IF(L67="J_ULT",B67+2,AG67)</f>
        <v>5</v>
      </c>
      <c r="CL67" s="1">
        <f t="shared" ref="CL67:CL130" si="87">IF($L67="RHI_BUFF",$B67+2,$AH67)</f>
        <v>6</v>
      </c>
      <c r="CM67" s="1">
        <f t="shared" ref="CM67:CM130" si="88">IF($L67="RHI_ULT",$B67+2,$AI67)</f>
        <v>6</v>
      </c>
      <c r="CN67" s="1">
        <f t="shared" ref="CN67:CN130" si="89">IF($L67="RHI_ULT",$B67+3,$AJ67)</f>
        <v>7</v>
      </c>
      <c r="CO67" s="1">
        <f t="shared" ref="CO67:CO130" si="90">IF($L67="RHI_ULT",$B67+2,$AK67)</f>
        <v>6</v>
      </c>
      <c r="CP67" s="1">
        <f t="shared" ref="CP67:CP130" si="91">MIN(3,$AL67+IF(OR($L67="J_COUNTER",$L67="J_HARD"),1,0))</f>
        <v>3</v>
      </c>
      <c r="CQ67" s="1">
        <f t="shared" ref="CQ67:CQ130" si="92">MIN(30,$AM67+IF($H67="仪式",5,0))</f>
        <v>25</v>
      </c>
      <c r="CR67" s="1">
        <f t="shared" ref="CR67:CR130" si="93">IF(L67="37_ULT",FD67+1,AN67)</f>
        <v>4</v>
      </c>
      <c r="CS67" s="1">
        <f t="shared" ref="CS67:CS130" si="94">IF(OR(L67="ENTER_INSIGHT",L67="LILYA_FINISH"),0,IF(AND(Y67=1,H67="洞知"),AO67+1,AO67))</f>
        <v>0</v>
      </c>
      <c r="CT67" s="10">
        <f t="shared" ref="CT67:CT130" si="95">IF(AND($L67="RHI_ATTACK",$EE67&gt;0),MAX(IF($B67&lt;=$AQ67,$AP67,0),0.11+0.01*$G67),IF($B67&lt;=$AQ67,$AP67,0))</f>
        <v>0.12</v>
      </c>
      <c r="CU67" s="1">
        <f t="shared" ref="CU67:CU130" si="96">IF(AND($L67="RHI_ATTACK",$EE67&gt;0,0.11+0.01*$G67&gt;=IF($B67&lt;=$AQ67,$AP67,0)),$B67+2,$AQ67)</f>
        <v>6</v>
      </c>
      <c r="CV67" s="10">
        <f t="shared" ref="CV67:CV130" si="97">IF(AND($L67="RHI_ATTACK",$B67&lt;=$AJ67),0.15+MIN(0.15,$AV67*0.03),IF($B67&lt;=$AS67,$AR67,0))</f>
        <v>0.3</v>
      </c>
      <c r="CW67" s="1">
        <f t="shared" ref="CW67:CW130" si="98">IF(AND($L67="RHI_ATTACK",$B67&lt;=$AJ67),$B67+2,$AS67)</f>
        <v>6</v>
      </c>
      <c r="CX67" s="10">
        <f t="shared" ref="CX67:CX130" si="99">IF(AND($L67="RHI_BUFF",$B67&lt;=$AJ67),0.15+MIN(0.15,$AV67*0.03),IF($B67&lt;=$AU67,$AT67,0))</f>
        <v>0.3</v>
      </c>
      <c r="CY67" s="1">
        <f t="shared" ref="CY67:CY130" si="100">IF(AND($L67="RHI_BUFF",$B67&lt;=$AJ67),$B67+2,$AU67)</f>
        <v>6</v>
      </c>
      <c r="CZ67" s="1"/>
      <c r="DA67" s="1"/>
      <c r="DB67" s="1"/>
      <c r="DC67" s="1"/>
      <c r="DD67" s="1"/>
      <c r="DE67" s="1"/>
      <c r="DF67" s="1"/>
      <c r="DG67" s="1">
        <f>IF(D67="","",行动模拟!B73)</f>
        <v>4</v>
      </c>
      <c r="DH67" s="1" t="str">
        <f>IF(L67="END_TURN","回合结束",IF(D67="","",IF(INDEX(回合状态!$C$7:$C$17,MATCH(DG67,回合状态!$A$7:$A$17,0))="洞穿","洞穿",IF(OR(L67="J_COUNTER",L67="BOSS_ACTION",L67="BOSS_CONSERVATIVE"),"敌方",IF(AND(L67="37_FOLLOW",DG67=DG66,DH66="敌方"),"敌方",IF(INDEX(回合状态!$C$7:$C$17,MATCH(DG67,回合状态!$A$7:$A$17,0))="普通","出牌",INDEX(回合状态!$C$7:$C$17,MATCH(DG67,回合状态!$A$7:$A$17,0))))))))</f>
        <v>出牌</v>
      </c>
      <c r="DI67" s="1">
        <f t="shared" ref="DI67:DI130" si="101">IF(E67="红弩箭",DJ67,IF(E67="37",DK67,IF(E67="小瑞安侬",DL67,IF(E67="J",DM67,0))))</f>
        <v>5</v>
      </c>
      <c r="DJ67" s="1">
        <f>IF(D67="",0,MIN(Boss参数!$B$25,IF(OR(AND(DH67="敌方",OR(DH66&lt;&gt;"敌方",DG67&lt;&gt;DG66)),AND(L67="END_TURN",DH67&lt;&gt;"洞穿"),AND(DG67&lt;&gt;DG66,DH66&lt;&gt;"洞穿",L66&lt;&gt;"END_TURN",COUNTIFS($DG$3:DG66,DG66,$DH$3:DH66,"敌方")=0)),EW67,DN66)))</f>
        <v>5</v>
      </c>
      <c r="DK67" s="1">
        <f>IF(D67="",0,MIN(Boss参数!$B$25,IF(OR(AND(DH67="敌方",OR(DH66&lt;&gt;"敌方",DG67&lt;&gt;DG66)),AND(L67="END_TURN",DH67&lt;&gt;"洞穿"),AND(DG67&lt;&gt;DG66,DH66&lt;&gt;"洞穿",L66&lt;&gt;"END_TURN",COUNTIFS($DG$3:DG66,DG66,$DH$3:DH66,"敌方")=0)),EW67,DO66)))</f>
        <v>5</v>
      </c>
      <c r="DL67" s="1">
        <f>IF(D67="",0,MIN(Boss参数!$B$25,IF(OR(AND(DH67="敌方",OR(DH66&lt;&gt;"敌方",DG67&lt;&gt;DG66)),AND(L67="END_TURN",DH67&lt;&gt;"洞穿"),AND(DG67&lt;&gt;DG66,DH66&lt;&gt;"洞穿",L66&lt;&gt;"END_TURN",COUNTIFS($DG$3:DG66,DG66,$DH$3:DH66,"敌方")=0)),EW67,DP66)))</f>
        <v>1</v>
      </c>
      <c r="DM67" s="1">
        <f>IF(D67="",0,MIN(Boss参数!$B$25,IF(OR(AND(DH67="敌方",OR(DH66&lt;&gt;"敌方",DG67&lt;&gt;DG66)),AND(L67="END_TURN",DH67&lt;&gt;"洞穿"),AND(DG67&lt;&gt;DG66,DH66&lt;&gt;"洞穿",L66&lt;&gt;"END_TURN",COUNTIFS($DG$3:DG66,DG66,$DH$3:DH66,"敌方")=0)),EW67,DQ66)))</f>
        <v>5</v>
      </c>
      <c r="DN67" s="1">
        <f>MAX(0,MIN(Boss参数!$B$25,DJ67+DR67)-IF(E67="红弩箭",2*DR67,0))</f>
        <v>5</v>
      </c>
      <c r="DO67" s="1">
        <f>MAX(0,MIN(Boss参数!$B$25,DK67+DR67)-IF(E67="37",2*DR67,0))</f>
        <v>3</v>
      </c>
      <c r="DP67" s="1">
        <f>MAX(0,MIN(Boss参数!$B$25,DL67+DR67)-IF(E67="小瑞安侬",2*DR67,0))</f>
        <v>2</v>
      </c>
      <c r="DQ67" s="1">
        <f>MAX(0,MIN(Boss参数!$B$25,DM67+DR67)-IF(E67="J",2*DR67,0))</f>
        <v>5</v>
      </c>
      <c r="DR67" s="1">
        <f t="shared" ref="DR67:DR130" si="102">IF(AND(OR(J67&gt;0,K67&gt;0),DI67&gt;0),1,0)</f>
        <v>1</v>
      </c>
      <c r="DS67" s="1">
        <f t="shared" ref="DS67:DS130" si="103">IF(AND(OR(J67&gt;0,K67&gt;0),OR(H67="术法",H67="仪式",H67="洞知",H67="特殊")),1,0)</f>
        <v>0</v>
      </c>
      <c r="DT67" s="1">
        <f>IF(OR(E67="",E67="系统"),0,IF(OR(AND(DS67=1,Boss参数!$B$32=1),L67="RHI_BERRY",OR(AND(INDEX(角色面板!$B$18:$B$21,MATCH(E67,角色面板!$A$18:$A$21,0))="星",Boss参数!$B$4="岩"),AND(INDEX(角色面板!$B$18:$B$21,MATCH(E67,角色面板!$A$18:$A$21,0))="岩",Boss参数!$B$4="兽"),AND(INDEX(角色面板!$B$18:$B$21,MATCH(E67,角色面板!$A$18:$A$21,0))="兽",Boss参数!$B$4="木"),AND(INDEX(角色面板!$B$18:$B$21,MATCH(E67,角色面板!$A$18:$A$21,0))="木",Boss参数!$B$4="星"),AND(INDEX(角色面板!$B$18:$B$21,MATCH(E67,角色面板!$A$18:$A$21,0))="智",Boss参数!$B$4="灵"),AND(INDEX(角色面板!$B$18:$B$21,MATCH(E67,角色面板!$A$18:$A$21,0))="灵",Boss参数!$B$4="智"))),1,0))</f>
        <v>1</v>
      </c>
      <c r="DU67" s="1">
        <f>IF(D67="",0,INDEX(回合状态!$E$7:$E$17,MATCH(DG67,回合状态!$A$7:$A$17,0))+IF(AND(DH67="敌方",OR(INDEX(回合状态!$C$7:$C$17,MATCH(DG67,回合状态!$A$7:$A$17,0))="普通",INDEX(回合状态!$C$7:$C$17,MATCH(DG67,回合状态!$A$7:$A$17,0))="额外")),0.05,0))</f>
        <v>0.2</v>
      </c>
      <c r="DV67" s="1">
        <f>MAX(Boss参数!$B$28,1+IF(AND(E67="37",AC67&gt;0,BH67&gt;0),Boss参数!$B$42,0)-DI67*Boss参数!$B$24+EA67-ER67)</f>
        <v>0</v>
      </c>
      <c r="DW67" s="1">
        <f>MIN(IF(Boss参数!$B$77=1,Boss参数!$B$63*Boss参数!$B$62,Boss参数!$B$61*Boss参数!$B$62),ROUNDDOWN(BQ67*(1-ES67),0))</f>
        <v>667</v>
      </c>
      <c r="DX67" s="1">
        <f>MIN(IF(Boss参数!$B$77=1,Boss参数!$B$63*Boss参数!$B$62,Boss参数!$B$61*Boss参数!$B$62),ROUNDDOWN(BR67*(1-ES67),0))</f>
        <v>1573</v>
      </c>
      <c r="DY67" s="1">
        <f t="shared" si="65"/>
        <v>250</v>
      </c>
      <c r="DZ67" s="1">
        <f>IF(L67="RHI_ULT",MIN(Boss参数!$B$48,ROUNDDOWN(AY67*Boss参数!$B$47,0)),DY67)</f>
        <v>250</v>
      </c>
      <c r="EA67" s="11">
        <v>0</v>
      </c>
      <c r="EB67" s="1">
        <f t="shared" ref="EB67:EB130" si="104">EE67+EF67</f>
        <v>0</v>
      </c>
      <c r="EC67" s="1">
        <f>SUMIFS($EB$3:EB67,$B$3:B67,"&gt;="&amp;MAX(1,B67-2),$B$3:B67,"&lt;="&amp;B67)*Boss参数!$B$51</f>
        <v>16</v>
      </c>
      <c r="ED67" s="1">
        <f>IF(D67="",EG66,IF(AND(DG67&lt;&gt;DG66,DH67&lt;&gt;"洞穿"),MIN(Boss参数!$B$55,EG66+2),EG66))</f>
        <v>0</v>
      </c>
      <c r="EE67" s="1">
        <f t="shared" ref="EE67:EE130" si="105">IF(OR(L67="RHI_ATTACK",L67="RHI_BUFF"),MIN(1,ED67),0)</f>
        <v>0</v>
      </c>
      <c r="EF67" s="1">
        <f>IF(AND(OR(L67="END_TURN",AND(DH67="敌方",OR(DH66&lt;&gt;"敌方",DG67&lt;&gt;DG66))),SUMIFS($EF$3:EF66,$DG$3:DG66,DG67)=0),MIN(1,MAX(0,ED67-EE67)),0)</f>
        <v>0</v>
      </c>
      <c r="EG67" s="1">
        <f t="shared" ref="EG67:EG130" si="106">MAX(0,ED67-EE67-EF67)</f>
        <v>0</v>
      </c>
      <c r="EH67" s="11">
        <f>Boss参数!$B$53-IF(Y67=1,Boss参数!$B$54,0)</f>
        <v>0</v>
      </c>
      <c r="EI67" s="11">
        <f t="shared" ref="EI67:EI130" si="107">IF(B67&lt;=AU67,0.15+MIN(0.15,AV67*0.03),0)</f>
        <v>0.3</v>
      </c>
      <c r="EJ67" s="11">
        <f t="shared" ref="EJ67:EJ130" si="108">IF(B67&lt;=AS67,0.15+MIN(0.15,AV67*0.03),0)</f>
        <v>0.3</v>
      </c>
      <c r="EK67" s="11">
        <f t="shared" ref="EK67:EK130" si="109">MAX(0,1+BE67-EH67)</f>
        <v>1</v>
      </c>
      <c r="EL67" s="1">
        <f t="shared" si="66"/>
        <v>0</v>
      </c>
      <c r="EM67" s="1">
        <f>IF(AND(DG67&lt;&gt;DG66,DH67="洞穿"),0,IF(L67="ENTER_INSIGHT",Boss参数!$B$57,EO66))</f>
        <v>0</v>
      </c>
      <c r="EN67" s="11">
        <f>IF(AND(Y67=1,H67="洞知",EM67&gt;0),Boss参数!$B$56,0)</f>
        <v>0</v>
      </c>
      <c r="EO67" s="1">
        <f t="shared" ref="EO67:EO130" si="110">MAX(0,EM67-IF(AND(Y67=1,H67="洞知",Q67&gt;0),1,0))+IF(AND(Y67=1,L67="37_INSIGHT"),1,0)</f>
        <v>0</v>
      </c>
      <c r="EP67" s="12">
        <f t="shared" si="67"/>
        <v>13365744</v>
      </c>
      <c r="EQ67" s="12">
        <f>ROUNDDOWN(EP67/Boss参数!$B$62,0)</f>
        <v>133</v>
      </c>
      <c r="ER67" s="11">
        <f>IF(EQ67&gt;=Boss参数!$B$66,Boss参数!$B$69,IF(EQ67&gt;=Boss参数!$B$65,Boss参数!$B$68,IF(EQ67&gt;=Boss参数!$B$64,Boss参数!$B$67,0)))</f>
        <v>0.9</v>
      </c>
      <c r="ES67" s="11">
        <f>MIN(1,IF(EQ67&gt;=Boss参数!$B$66,Boss参数!$B$72+ROUNDDOWN((EQ67-Boss参数!$B$66)/Boss参数!$B$73,0)*Boss参数!$B$74,IF(EQ67&gt;=Boss参数!$B$65,Boss参数!$B$71,IF(EQ67&gt;=Boss参数!$B$64,Boss参数!$B$70,0))))</f>
        <v>0.6</v>
      </c>
      <c r="ET67" s="12">
        <f>MIN(Boss参数!$B$61*Boss参数!$B$62,EP67+IF(AND(Boss参数!$B$60=1,ISNUMBER(验证表!H73)),验证表!H73,EU67))</f>
        <v>13367317</v>
      </c>
      <c r="EU67" s="12">
        <f>IF(D67="",0,IF(验证表!G73="是",BV67,IF(验证表!G73="否",BU67,BW67)))</f>
        <v>1573</v>
      </c>
      <c r="EV67" s="12">
        <f>IF(EQ67&gt;=Boss参数!$B$66,2,IF(EQ67&gt;=Boss参数!$B$65,1,0))</f>
        <v>2</v>
      </c>
      <c r="EW67" s="12">
        <f t="shared" ref="EW67:EW130" si="111">1+EV67</f>
        <v>3</v>
      </c>
      <c r="EX67" s="1">
        <f>IF(D67="",0,INDEX(回合状态!$D$7:$D$17,MATCH(DG67,回合状态!$A$7:$A$17,0)))</f>
        <v>4</v>
      </c>
      <c r="EY67" s="1">
        <f>IF(OR(L67="RHI_ATTACK",L67="RHI_BUFF"),1,IF(L67="RHI_ULT",Boss参数!$B$52,0))</f>
        <v>0</v>
      </c>
      <c r="EZ67" s="1">
        <f>MIN(6,SUMIFS($EY$3:EY67,$EX$3:EX67,"&gt;="&amp;MAX(1,EX67-Boss参数!$B$87+1),$EX$3:EX67,"&lt;="&amp;EX67))</f>
        <v>6</v>
      </c>
      <c r="FA67" s="1">
        <f t="shared" si="68"/>
        <v>35</v>
      </c>
      <c r="FB67" s="17">
        <f>IF(L67="BOSS_CONSERVATIVE",B67+Boss参数!$B$91,FB66)</f>
        <v>0</v>
      </c>
      <c r="FC67" s="17">
        <f t="shared" si="69"/>
        <v>0</v>
      </c>
      <c r="FD67" s="17">
        <f>IF(D67="",FD66,FD66+IF(AND(DG67&lt;&gt;DG66,INDEX(回合状态!$C$7:$C$17,MATCH(DG67,回合状态!$A$7:$A$17,0))&lt;&gt;"洞穿"),1,0))</f>
        <v>5</v>
      </c>
      <c r="FE67" s="17">
        <f>IF(D67="",0,IF(AND(OR(L67="END_TURN",DH67="敌方"),INDEX(回合状态!$C$7:$C$17,MATCH(DG67,回合状态!$A$7:$A$17,0))&lt;&gt;"洞穿",SUMIFS($FE$3:FE66,$DG$3:DG66,DG67)=0),1,0))</f>
        <v>0</v>
      </c>
    </row>
    <row r="68" spans="1:161" ht="84.95" customHeight="1">
      <c r="A68" s="1">
        <f>行动模拟!A74</f>
        <v>66</v>
      </c>
      <c r="B68" s="1">
        <f>IF(D68="",0,INDEX(回合状态!$B$7:$B$17,MATCH(DG68,回合状态!$A$7:$A$17,0)))</f>
        <v>4</v>
      </c>
      <c r="C68" s="1">
        <f>行动模拟!C74</f>
        <v>6</v>
      </c>
      <c r="D68" s="1" t="str">
        <f>IF(行动模拟!D74="","",行动模拟!D74)</f>
        <v>红弩箭｜眼镜蛇机动</v>
      </c>
      <c r="E68" s="1" t="str">
        <f>IF($D68="","",IFERROR(INDEX(技能数据库!$B$4:$B$38,MATCH($D68,技能数据库!$A$4:$A$38,0)),""))</f>
        <v>红弩箭</v>
      </c>
      <c r="F68" s="1" t="str">
        <f>IF($D68="","",IFERROR(INDEX(技能数据库!$C$4:$C$38,MATCH($D68,技能数据库!$A$4:$A$38,0)),""))</f>
        <v>眼镜蛇机动</v>
      </c>
      <c r="G68" s="1">
        <f>IF($D68="","",IFERROR(INDEX(技能数据库!$D$4:$D$38,MATCH($D68,技能数据库!$A$4:$A$38,0)),""))</f>
        <v>0</v>
      </c>
      <c r="H68" s="1" t="str">
        <f>IF($D68="","",IFERROR(INDEX(技能数据库!$E$4:$E$38,MATCH($D68,技能数据库!$A$4:$A$38,0)),""))</f>
        <v>增益</v>
      </c>
      <c r="I68" s="1" t="str">
        <f>IF($D68="","",IFERROR(INDEX(技能数据库!$F$4:$F$38,MATCH($D68,技能数据库!$A$4:$A$38,0)),""))</f>
        <v>无</v>
      </c>
      <c r="J68" s="1">
        <f>IF($D68="","",IFERROR(INDEX(技能数据库!$G$4:$G$38,MATCH($D68,技能数据库!$A$4:$A$38,0)),""))</f>
        <v>0</v>
      </c>
      <c r="K68" s="1">
        <f>IF($D68="","",IFERROR(INDEX(技能数据库!$H$4:$H$38,MATCH($D68,技能数据库!$A$4:$A$38,0)),""))</f>
        <v>0</v>
      </c>
      <c r="L68" s="1" t="str">
        <f>IF($D68="","",IFERROR(INDEX(技能数据库!$I$4:$I$38,MATCH($D68,技能数据库!$A$4:$A$38,0)),""))</f>
        <v>LILYA_COBRA</v>
      </c>
      <c r="M68" s="10">
        <v>1</v>
      </c>
      <c r="N68" s="1"/>
      <c r="O68" s="1"/>
      <c r="P68" s="1"/>
      <c r="Q68" s="10">
        <f t="shared" si="70"/>
        <v>0</v>
      </c>
      <c r="R68" s="10">
        <v>0</v>
      </c>
      <c r="S68" s="10">
        <v>0</v>
      </c>
      <c r="T68" s="1">
        <f>行动模拟!I74</f>
        <v>0</v>
      </c>
      <c r="U68" s="1">
        <f>IF(FD68&lt;&gt;FD67,IF(BY67=1,IF(MIN(10,CA67+IF(AND(DG68&lt;&gt;DG67,DH67&lt;&gt;"洞穿",SUMIFS($FE$3:FE67,$DG$3:DG67,DG67)=0,BY67=1),3,0))&gt;=10,2,1),IF(BY67=2,IF(BZ67&lt;=1,0,2),0)),BY67)</f>
        <v>1</v>
      </c>
      <c r="V68" s="1">
        <f>IF(FD68&lt;&gt;FD67,IF(BY67=1,IF(MIN(10,CA67+IF(AND(DG68&lt;&gt;DG67,DH67&lt;&gt;"洞穿",SUMIFS($FE$3:FE67,$DG$3:DG67,DG67)=0,BY67=1),3,0))&gt;=10,2,0),IF(BY67=2,MAX(0,BZ67-1),0)),BZ67)</f>
        <v>0</v>
      </c>
      <c r="W68" s="1">
        <f>IF(AND(FD68&lt;&gt;FD67,BY67=2,BZ67&lt;=1),0,MIN(10,CA67+IF(AND(DG68&lt;&gt;DG67,DH67&lt;&gt;"洞穿",SUMIFS($FE$3:FE67,$DG$3:DG67,DG67)=0,BY67=1),3,0)))</f>
        <v>3</v>
      </c>
      <c r="X68" s="1">
        <f t="shared" ref="X68:X131" si="112">$CB67</f>
        <v>11</v>
      </c>
      <c r="Y68" s="1">
        <f t="shared" ref="Y68:Y131" si="113">IF(AND(DG68&lt;&gt;DG67,DH68="洞穿"),1,$CC67)</f>
        <v>0</v>
      </c>
      <c r="Z68" s="1">
        <f t="shared" ref="Z68:Z131" si="114">IF(AND(DG68&lt;&gt;DG67,DH68="洞穿"),0,$CD67)</f>
        <v>0</v>
      </c>
      <c r="AA68" s="1">
        <f t="shared" ref="AA68:AA131" si="115">IF(AND(DG68&lt;&gt;DG67,DH68="洞穿"),0,$CE67)</f>
        <v>0</v>
      </c>
      <c r="AB68" s="1">
        <f t="shared" ref="AB68:AB131" si="116">$CF67</f>
        <v>0</v>
      </c>
      <c r="AC68" s="1">
        <f t="shared" ref="AC68:AC131" si="117">$CG67</f>
        <v>0</v>
      </c>
      <c r="AD68" s="1">
        <f t="shared" ref="AD68:AD131" si="118">CH67</f>
        <v>35</v>
      </c>
      <c r="AE68" s="1">
        <f>IF(D68="",0,IF(DG68&lt;&gt;DG67,IFERROR(INDEX(回合状态!$F$7:$F$17,MATCH(DG68,回合状态!$A$7:$A$17,0)),0),CI67))</f>
        <v>13</v>
      </c>
      <c r="AF68" s="10">
        <f t="shared" ref="AF68:AF131" si="119">$CJ67</f>
        <v>0.4</v>
      </c>
      <c r="AG68" s="1">
        <f t="shared" ref="AG68:AG131" si="120">$CK67</f>
        <v>5</v>
      </c>
      <c r="AH68" s="1">
        <f t="shared" ref="AH68:AH131" si="121">$CL67</f>
        <v>6</v>
      </c>
      <c r="AI68" s="1">
        <f t="shared" ref="AI68:AI131" si="122">$CM67</f>
        <v>6</v>
      </c>
      <c r="AJ68" s="1">
        <f t="shared" ref="AJ68:AJ131" si="123">$CN67</f>
        <v>7</v>
      </c>
      <c r="AK68" s="1">
        <f t="shared" ref="AK68:AK131" si="124">$CO67</f>
        <v>6</v>
      </c>
      <c r="AL68" s="1">
        <f t="shared" ref="AL68:AL131" si="125">$CP67</f>
        <v>3</v>
      </c>
      <c r="AM68" s="1">
        <f t="shared" ref="AM68:AM131" si="126">$CQ67</f>
        <v>25</v>
      </c>
      <c r="AN68" s="1">
        <f t="shared" ref="AN68:AN131" si="127">CR67</f>
        <v>4</v>
      </c>
      <c r="AO68" s="1">
        <f t="shared" ref="AO68:AO131" si="128">$CS67</f>
        <v>0</v>
      </c>
      <c r="AP68" s="10">
        <f t="shared" ref="AP68:AP131" si="129">$CT67</f>
        <v>0.12</v>
      </c>
      <c r="AQ68" s="1">
        <f t="shared" ref="AQ68:AQ131" si="130">$CU67</f>
        <v>6</v>
      </c>
      <c r="AR68" s="10">
        <f t="shared" ref="AR68:AR131" si="131">$CV67</f>
        <v>0.3</v>
      </c>
      <c r="AS68" s="1">
        <f t="shared" ref="AS68:AS131" si="132">$CW67</f>
        <v>6</v>
      </c>
      <c r="AT68" s="10">
        <f t="shared" ref="AT68:AT131" si="133">$CX67</f>
        <v>0.3</v>
      </c>
      <c r="AU68" s="1">
        <f t="shared" ref="AU68:AU131" si="134">$CY67</f>
        <v>6</v>
      </c>
      <c r="AV68" s="1">
        <f>MIN(5,SUMIFS($EL$3:EL68,$B$3:B68,"&gt;="&amp;MAX(1,B68-2),$B$3:B68,"&lt;="&amp;B68)+EC68)</f>
        <v>5</v>
      </c>
      <c r="AW68" s="1">
        <f>MIN(6,SUMIFS($EY$3:EY67,$EX$3:EX67,"&gt;="&amp;MAX(1,EX68-Boss参数!$B$87+1),$EX$3:EX67,"&lt;="&amp;EX68))</f>
        <v>6</v>
      </c>
      <c r="AX68" s="1">
        <f>MIN(4,COUNTIFS($B$3:$B$67,"&gt;="&amp;MAX(1,$B68-2),$B$3:$B$67,"&lt;="&amp;$B68,$L$3:$L$67,"37_FOLLOW"))</f>
        <v>4</v>
      </c>
      <c r="AY68" s="9">
        <f>IF($E68="","",IF($E68="系统",0,ROUNDDOWN(INDEX(角色面板!$C$4:$C$7,MATCH($E68,角色面板!$A$4:$A$7,0))*(1+INDEX(角色面板!$C$11:$C$14,MATCH($E68,角色面板!$A$11:$A$14,0))+IF($E68="小瑞安侬",MAX(IF($B68&lt;=$AQ68,$AP68,0),IF(AND($L68="RHI_ATTACK",$EE68&gt;0),0.11+0.01*$G68,0)),0)+IF($E68="J",$AD68*Boss参数!$B$18,0))+IF(FD68&lt;=$AN68,MIN(Boss参数!$B$21,ROUNDDOWN(角色面板!$C$19*Boss参数!$B$20,0)),0)+IF(AND($B68&lt;=$AK68,$E68&lt;&gt;"小瑞安侬"),$DY68,0),0)))</f>
        <v>3005</v>
      </c>
      <c r="AZ68" s="10">
        <f>IF($E68="","",MAX(0,MIN(1,IFERROR(INDEX(角色面板!$G$18:$G$21,MATCH($E68,角色面板!$A$18:$A$21,0)),0)-FC68*Boss参数!$B$89-Boss参数!$E$4)))</f>
        <v>1</v>
      </c>
      <c r="BA68" s="10">
        <f>IF(E68="","",(IF($E68="","",IF($E68="红弩箭",Boss参数!$B$80,IF($E68="J",Boss参数!$B$81,IFERROR(INDEX(角色面板!$H$18:$H$21,MATCH($E68,角色面板!$A$18:$A$21,0)),0)))+IF($B68&lt;=$AI68,Boss参数!$B$13,0)+MIN(30,$AM68)*Boss参数!$B$17+IF(AND($L68="LILYA_ULT",$X68&gt;=6),1,0)+IF(AND($Y68=1,$L68="LILYA_INSIGHT"),IF(MOD($AA68+1,3)=0,Boss参数!$B$83,Boss参数!$B$82),IF(AND($Y68=1,$L68="LILYA_FINISH"),Boss参数!$B$84,0))))-FC68*Boss参数!$B$90)</f>
        <v>2.2850000000000001</v>
      </c>
      <c r="BB68" s="10">
        <f>IF($E68="","",IFERROR(INDEX(角色面板!$M$18:$M$21,MATCH($E68,角色面板!$A$18:$A$21,0)),0)+$AW68*Boss参数!$B$12+IF($B68&lt;=$AG68,$AF68,0)+$EI68+IF($L68="LILYA_DIVE",IF($U68=1,IF($G68=1,0.3,IF($G68=2,0.4,0.5)),IF($U68=2,IF($G68=1,0.6,IF($G68=2,0.8,1)),0)),0)+$R68+IF(AND($E68="J",OR($L68="J_COUNTER",$L68="J_HARD")),Boss参数!$B$79,0)+IF(AND(OR(L68="J_COUNTER",L68="J_HARD"),FA68&gt;=Boss参数!$B$59),FA68*Boss参数!$B$40,0))</f>
        <v>1.06</v>
      </c>
      <c r="BC68" s="10">
        <f>IF($E68="","",IFERROR(INDEX(角色面板!$K$18:$K$21,MATCH($E68,角色面板!$A$18:$A$21,0)),0)+IF($B68&lt;=$AH68,Boss参数!$B$46,0)+IF($E68="红弩箭",IF($U68=1,0.6,IF($U68=2,1.2,0))+$W68*0.06,0))-DI68*Boss参数!$B$23</f>
        <v>-7.0000000000000062E-2</v>
      </c>
      <c r="BD68" s="10">
        <f>IF($E68="","",IFERROR(INDEX(角色面板!$L$18:$L$21,MATCH($E68,角色面板!$A$18:$A$21,0)),0)+IF($B68&lt;=$AH68,Boss参数!$B$46,0)+IF($E68="J",$AL68*Boss参数!$B$16,0)+IF($E68="红弩箭",$X68*0.025,0)+IF(AND($L68="LILYA_ULT",$X68&gt;=6),1,0))-DI68*Boss参数!$B$23</f>
        <v>-0.17500000000000004</v>
      </c>
      <c r="BE68" s="10">
        <f>IF($E68="","",IF($H68="洞知",IF($E68="红弩箭",$AO68*Boss参数!$B$15,0)+$AX68*Boss参数!$B$14,0))</f>
        <v>0</v>
      </c>
      <c r="BF68" s="10">
        <f t="shared" si="71"/>
        <v>0</v>
      </c>
      <c r="BG68" s="10">
        <f>IF($D68="",0,IF(AND($L68&lt;&gt;"LILYA_DIVE",$L68&lt;&gt;"LILYA_ULT",$L68&lt;&gt;"LILYA_INSIGHT",$L68&lt;&gt;"LILYA_FINISH",$L68&lt;&gt;"37_FOLLOW",$L68&lt;&gt;"RHI_ATTACK",$L68&lt;&gt;"RHI_BERRY",$L68&lt;&gt;"J_COUNTER",$L68&lt;&gt;"J_ULT"),$J68,0)+IF($L68="LILYA_DIVE",$J68+IF($U68=1,IF($G68=1,6,IF($G68=2,12,18)),IF($U68=2,IF($G68=1,12,IF($G68=2,24,36)),0)),0)+IF($L68="LILYA_ULT",$J68+IF($X68&gt;=6,18,0),0)+IF($L68="LILYA_INSIGHT",IF($Y68=1,IF(MOD($AA68+1,3)=0,32,15),0),0)+IF($L68="LILYA_FINISH",IF($Y68=1,50+2.5*$Z68,0),0)+IF($L68="37_FOLLOW",$J68,0)+IF($L68="RHI_ATTACK",$J68*IF($B68&lt;=$AJ68,2,1),0)+IF($L68="RHI_BERRY",15+1.5*$AV68,0)+IF($L68="J_COUNTER",$J68+$AD68*Boss参数!$B$39,0)+IF($L68="J_ULT",$J68+Boss参数!$B$45*MAX(0,$AE68+$AD68-Boss参数!$I$4),0)+$S68)</f>
        <v>0</v>
      </c>
      <c r="BH68" s="10">
        <f t="shared" si="72"/>
        <v>0</v>
      </c>
      <c r="BI68" s="10">
        <f>IF(E68="","",IF(DT68=1,1+Boss参数!$B$8+AV68*Boss参数!$B$19,1))</f>
        <v>1.5</v>
      </c>
      <c r="BJ68" s="9">
        <f>IF($I68="现实",Boss参数!$C$4,IF($I68="精神",Boss参数!$D$4,0))</f>
        <v>0</v>
      </c>
      <c r="BK68" s="9">
        <f>IF($E68="","",MAX($AY68*Boss参数!$B$9,$AY68-$BJ68*(1-$BF68)))</f>
        <v>3005</v>
      </c>
      <c r="BL68" s="10">
        <f>MAX(0,Boss参数!$F$4+IF(DT68=0,Boss参数!$B$27,0)-EJ68)</f>
        <v>0.10000000000000003</v>
      </c>
      <c r="BM68" s="10">
        <f>Boss参数!$G$4+DU68-IF(Y68=1,Boss参数!$B$11,0)</f>
        <v>0.60000000000000009</v>
      </c>
      <c r="BN68" s="10">
        <f>IF($E68="","",MAX(Boss参数!$B$10,1+IFERROR(INDEX(角色面板!$I$18:$I$21,MATCH($E68,角色面板!$A$18:$A$21,0)),0)+$BB68+Boss参数!$H$4-$BM68))</f>
        <v>1.56</v>
      </c>
      <c r="BO68" s="10">
        <f>IF(E68="","",IF(OR(L68="J_COUNTER",L68="J_HARD"),MAX(0,1+INDEX(角色面板!$K$18:$K$21,MATCH(E68,角色面板!$A$18:$A$21,0))-DI68*Boss参数!$B$23+IF(OR(Boss参数!$B$43=1,L68="J_HARD"),IF(B68&lt;=AH68,Boss参数!$B$46,0),0)),MAX(0,IF(OR(H68="术法",L68="RHI_BERRY",AND(L68="37_FOLLOW",Boss参数!$B$31=1)),1+BC68,IF(H68="仪式",1+BD68,IF(H68="洞知",EK68,1))))))</f>
        <v>1</v>
      </c>
      <c r="BP68" s="10">
        <f t="shared" si="73"/>
        <v>2.1850000000000001</v>
      </c>
      <c r="BQ68" s="1">
        <f t="shared" si="74"/>
        <v>0</v>
      </c>
      <c r="BR68" s="1">
        <f t="shared" si="75"/>
        <v>0</v>
      </c>
      <c r="BS68" s="1">
        <f>IF(BH68=0,0,ROUNDDOWN(AY68*BH68,0)*DV68*IF(Boss参数!$B$29=1,BN68,1)*IF(Boss参数!$B$33=1,BO68,1)*IF(Boss参数!$B$76=1,1-ES68,1))</f>
        <v>0</v>
      </c>
      <c r="BT68" s="1">
        <f t="shared" si="76"/>
        <v>0</v>
      </c>
      <c r="BU68" s="9">
        <f>IF(D68="",0,MIN(IF(Boss参数!$B$77=1,Boss参数!$B$63*Boss参数!$B$62,Boss参数!$B$61*Boss参数!$B$62),DW68+ROUNDDOWN(BS68,0)+ROUNDDOWN(DW68*Q68,0)))</f>
        <v>0</v>
      </c>
      <c r="BV68" s="9">
        <f>IF(D68="",0,MIN(IF(Boss参数!$B$77=1,Boss参数!$B$63*Boss参数!$B$62,Boss参数!$B$61*Boss参数!$B$62),DX68+ROUNDDOWN(BT68,0)+ROUNDDOWN(DX68*Q68,0)))</f>
        <v>0</v>
      </c>
      <c r="BW68" s="9">
        <f t="shared" si="77"/>
        <v>0</v>
      </c>
      <c r="BX68" s="1" t="str">
        <f t="shared" si="78"/>
        <v/>
      </c>
      <c r="BY68" s="1">
        <f t="shared" si="79"/>
        <v>1</v>
      </c>
      <c r="BZ68" s="1">
        <f t="shared" si="80"/>
        <v>0</v>
      </c>
      <c r="CA68" s="1">
        <f>MIN(10,W68+IF(AND(L68="LILYA_COBRA",COUNTIF($L$3:L68,"LILYA_COBRA")=1),5,0)+IF(AND(L68="LILYA_DIVE",U68=1,COUNTIFS($DG$3:DG68,DG68,$L$3:L68,"LILYA_DIVE")=1),2,0)+IF(AND(FE68=1,U68=1),3,0))</f>
        <v>3</v>
      </c>
      <c r="CB68" s="1">
        <f>MIN(20,MAX(0,X68+IF(L68="LILYA_COBRA",IF(COUNTIF($L$3:L68,"LILYA_COBRA")=1,6,IF(U68=1,MAX(1,G68),IF(U68=2,2*MAX(1,G68),0))),0)+IF(AND(Y68=1,E68="红弩箭",L68&lt;&gt;"ENTER_INSIGHT"),1,0)-IF(AND(L68="LILYA_ULT",X68&gt;=6),6,0)))</f>
        <v>12</v>
      </c>
      <c r="CC68" s="1">
        <f t="shared" si="81"/>
        <v>0</v>
      </c>
      <c r="CD68" s="1">
        <f t="shared" si="82"/>
        <v>0</v>
      </c>
      <c r="CE68" s="1">
        <f t="shared" si="83"/>
        <v>0</v>
      </c>
      <c r="CF68" s="1">
        <f t="shared" si="84"/>
        <v>1</v>
      </c>
      <c r="CG68" s="1">
        <f t="shared" si="85"/>
        <v>0</v>
      </c>
      <c r="CH68" s="1">
        <f>MIN(35,AD68+IF(L68="J_HARD",6,0)+IF(L68="J_COUNTER",Boss参数!$B$30,0))</f>
        <v>35</v>
      </c>
      <c r="CI68" s="1">
        <f>MIN(Boss参数!$I$4,AE68+IF(L68="J_HARD",6,0)+IF(L68="J_ULT",AD68,0)+IF(L68="J_COUNTER",Boss参数!$B$30,0))</f>
        <v>13</v>
      </c>
      <c r="CJ68" s="10">
        <f>IF(L68="J_ULT",AD68*Boss参数!$B$41,IF(B68&lt;=AG68,AF68,0))</f>
        <v>0.4</v>
      </c>
      <c r="CK68" s="1">
        <f t="shared" si="86"/>
        <v>5</v>
      </c>
      <c r="CL68" s="1">
        <f t="shared" si="87"/>
        <v>6</v>
      </c>
      <c r="CM68" s="1">
        <f t="shared" si="88"/>
        <v>6</v>
      </c>
      <c r="CN68" s="1">
        <f t="shared" si="89"/>
        <v>7</v>
      </c>
      <c r="CO68" s="1">
        <f t="shared" si="90"/>
        <v>6</v>
      </c>
      <c r="CP68" s="1">
        <f t="shared" si="91"/>
        <v>3</v>
      </c>
      <c r="CQ68" s="1">
        <f t="shared" si="92"/>
        <v>25</v>
      </c>
      <c r="CR68" s="1">
        <f t="shared" si="93"/>
        <v>4</v>
      </c>
      <c r="CS68" s="1">
        <f t="shared" si="94"/>
        <v>0</v>
      </c>
      <c r="CT68" s="10">
        <f t="shared" si="95"/>
        <v>0.12</v>
      </c>
      <c r="CU68" s="1">
        <f t="shared" si="96"/>
        <v>6</v>
      </c>
      <c r="CV68" s="10">
        <f t="shared" si="97"/>
        <v>0.3</v>
      </c>
      <c r="CW68" s="1">
        <f t="shared" si="98"/>
        <v>6</v>
      </c>
      <c r="CX68" s="10">
        <f t="shared" si="99"/>
        <v>0.3</v>
      </c>
      <c r="CY68" s="1">
        <f t="shared" si="100"/>
        <v>6</v>
      </c>
      <c r="CZ68" s="1"/>
      <c r="DA68" s="1"/>
      <c r="DB68" s="1"/>
      <c r="DC68" s="1"/>
      <c r="DD68" s="1"/>
      <c r="DE68" s="1"/>
      <c r="DF68" s="1"/>
      <c r="DG68" s="1">
        <f>IF(D68="","",行动模拟!B74)</f>
        <v>4</v>
      </c>
      <c r="DH68" s="1" t="str">
        <f>IF(L68="END_TURN","回合结束",IF(D68="","",IF(INDEX(回合状态!$C$7:$C$17,MATCH(DG68,回合状态!$A$7:$A$17,0))="洞穿","洞穿",IF(OR(L68="J_COUNTER",L68="BOSS_ACTION",L68="BOSS_CONSERVATIVE"),"敌方",IF(AND(L68="37_FOLLOW",DG68=DG67,DH67="敌方"),"敌方",IF(INDEX(回合状态!$C$7:$C$17,MATCH(DG68,回合状态!$A$7:$A$17,0))="普通","出牌",INDEX(回合状态!$C$7:$C$17,MATCH(DG68,回合状态!$A$7:$A$17,0))))))))</f>
        <v>出牌</v>
      </c>
      <c r="DI68" s="1">
        <f t="shared" si="101"/>
        <v>5</v>
      </c>
      <c r="DJ68" s="1">
        <f>IF(D68="",0,MIN(Boss参数!$B$25,IF(OR(AND(DH68="敌方",OR(DH67&lt;&gt;"敌方",DG68&lt;&gt;DG67)),AND(L68="END_TURN",DH68&lt;&gt;"洞穿"),AND(DG68&lt;&gt;DG67,DH67&lt;&gt;"洞穿",L67&lt;&gt;"END_TURN",COUNTIFS($DG$3:DG67,DG67,$DH$3:DH67,"敌方")=0)),EW68,DN67)))</f>
        <v>5</v>
      </c>
      <c r="DK68" s="1">
        <f>IF(D68="",0,MIN(Boss参数!$B$25,IF(OR(AND(DH68="敌方",OR(DH67&lt;&gt;"敌方",DG68&lt;&gt;DG67)),AND(L68="END_TURN",DH68&lt;&gt;"洞穿"),AND(DG68&lt;&gt;DG67,DH67&lt;&gt;"洞穿",L67&lt;&gt;"END_TURN",COUNTIFS($DG$3:DG67,DG67,$DH$3:DH67,"敌方")=0)),EW68,DO67)))</f>
        <v>3</v>
      </c>
      <c r="DL68" s="1">
        <f>IF(D68="",0,MIN(Boss参数!$B$25,IF(OR(AND(DH68="敌方",OR(DH67&lt;&gt;"敌方",DG68&lt;&gt;DG67)),AND(L68="END_TURN",DH68&lt;&gt;"洞穿"),AND(DG68&lt;&gt;DG67,DH67&lt;&gt;"洞穿",L67&lt;&gt;"END_TURN",COUNTIFS($DG$3:DG67,DG67,$DH$3:DH67,"敌方")=0)),EW68,DP67)))</f>
        <v>2</v>
      </c>
      <c r="DM68" s="1">
        <f>IF(D68="",0,MIN(Boss参数!$B$25,IF(OR(AND(DH68="敌方",OR(DH67&lt;&gt;"敌方",DG68&lt;&gt;DG67)),AND(L68="END_TURN",DH68&lt;&gt;"洞穿"),AND(DG68&lt;&gt;DG67,DH67&lt;&gt;"洞穿",L67&lt;&gt;"END_TURN",COUNTIFS($DG$3:DG67,DG67,$DH$3:DH67,"敌方")=0)),EW68,DQ67)))</f>
        <v>5</v>
      </c>
      <c r="DN68" s="1">
        <f>MAX(0,MIN(Boss参数!$B$25,DJ68+DR68)-IF(E68="红弩箭",2*DR68,0))</f>
        <v>5</v>
      </c>
      <c r="DO68" s="1">
        <f>MAX(0,MIN(Boss参数!$B$25,DK68+DR68)-IF(E68="37",2*DR68,0))</f>
        <v>3</v>
      </c>
      <c r="DP68" s="1">
        <f>MAX(0,MIN(Boss参数!$B$25,DL68+DR68)-IF(E68="小瑞安侬",2*DR68,0))</f>
        <v>2</v>
      </c>
      <c r="DQ68" s="1">
        <f>MAX(0,MIN(Boss参数!$B$25,DM68+DR68)-IF(E68="J",2*DR68,0))</f>
        <v>5</v>
      </c>
      <c r="DR68" s="1">
        <f t="shared" si="102"/>
        <v>0</v>
      </c>
      <c r="DS68" s="1">
        <f t="shared" si="103"/>
        <v>0</v>
      </c>
      <c r="DT68" s="1">
        <f>IF(OR(E68="",E68="系统"),0,IF(OR(AND(DS68=1,Boss参数!$B$32=1),L68="RHI_BERRY",OR(AND(INDEX(角色面板!$B$18:$B$21,MATCH(E68,角色面板!$A$18:$A$21,0))="星",Boss参数!$B$4="岩"),AND(INDEX(角色面板!$B$18:$B$21,MATCH(E68,角色面板!$A$18:$A$21,0))="岩",Boss参数!$B$4="兽"),AND(INDEX(角色面板!$B$18:$B$21,MATCH(E68,角色面板!$A$18:$A$21,0))="兽",Boss参数!$B$4="木"),AND(INDEX(角色面板!$B$18:$B$21,MATCH(E68,角色面板!$A$18:$A$21,0))="木",Boss参数!$B$4="星"),AND(INDEX(角色面板!$B$18:$B$21,MATCH(E68,角色面板!$A$18:$A$21,0))="智",Boss参数!$B$4="灵"),AND(INDEX(角色面板!$B$18:$B$21,MATCH(E68,角色面板!$A$18:$A$21,0))="灵",Boss参数!$B$4="智"))),1,0))</f>
        <v>1</v>
      </c>
      <c r="DU68" s="1">
        <f>IF(D68="",0,INDEX(回合状态!$E$7:$E$17,MATCH(DG68,回合状态!$A$7:$A$17,0))+IF(AND(DH68="敌方",OR(INDEX(回合状态!$C$7:$C$17,MATCH(DG68,回合状态!$A$7:$A$17,0))="普通",INDEX(回合状态!$C$7:$C$17,MATCH(DG68,回合状态!$A$7:$A$17,0))="额外")),0.05,0))</f>
        <v>0.2</v>
      </c>
      <c r="DV68" s="1">
        <f>MAX(Boss参数!$B$28,1+IF(AND(E68="37",AC68&gt;0,BH68&gt;0),Boss参数!$B$42,0)-DI68*Boss参数!$B$24+EA68-ER68)</f>
        <v>0</v>
      </c>
      <c r="DW68" s="1">
        <f>MIN(IF(Boss参数!$B$77=1,Boss参数!$B$63*Boss参数!$B$62,Boss参数!$B$61*Boss参数!$B$62),ROUNDDOWN(BQ68*(1-ES68),0))</f>
        <v>0</v>
      </c>
      <c r="DX68" s="1">
        <f>MIN(IF(Boss参数!$B$77=1,Boss参数!$B$63*Boss参数!$B$62,Boss参数!$B$61*Boss参数!$B$62),ROUNDDOWN(BR68*(1-ES68),0))</f>
        <v>0</v>
      </c>
      <c r="DY68" s="1">
        <f t="shared" ref="DY68:DY131" si="135">DZ67</f>
        <v>250</v>
      </c>
      <c r="DZ68" s="1">
        <f>IF(L68="RHI_ULT",MIN(Boss参数!$B$48,ROUNDDOWN(AY68*Boss参数!$B$47,0)),DY68)</f>
        <v>250</v>
      </c>
      <c r="EA68" s="11">
        <v>0</v>
      </c>
      <c r="EB68" s="1">
        <f t="shared" si="104"/>
        <v>0</v>
      </c>
      <c r="EC68" s="1">
        <f>SUMIFS($EB$3:EB68,$B$3:B68,"&gt;="&amp;MAX(1,B68-2),$B$3:B68,"&lt;="&amp;B68)*Boss参数!$B$51</f>
        <v>16</v>
      </c>
      <c r="ED68" s="1">
        <f>IF(D68="",EG67,IF(AND(DG68&lt;&gt;DG67,DH68&lt;&gt;"洞穿"),MIN(Boss参数!$B$55,EG67+2),EG67))</f>
        <v>0</v>
      </c>
      <c r="EE68" s="1">
        <f t="shared" si="105"/>
        <v>0</v>
      </c>
      <c r="EF68" s="1">
        <f>IF(AND(OR(L68="END_TURN",AND(DH68="敌方",OR(DH67&lt;&gt;"敌方",DG68&lt;&gt;DG67))),SUMIFS($EF$3:EF67,$DG$3:DG67,DG68)=0),MIN(1,MAX(0,ED68-EE68)),0)</f>
        <v>0</v>
      </c>
      <c r="EG68" s="1">
        <f t="shared" si="106"/>
        <v>0</v>
      </c>
      <c r="EH68" s="11">
        <f>Boss参数!$B$53-IF(Y68=1,Boss参数!$B$54,0)</f>
        <v>0</v>
      </c>
      <c r="EI68" s="11">
        <f t="shared" si="107"/>
        <v>0.3</v>
      </c>
      <c r="EJ68" s="11">
        <f t="shared" si="108"/>
        <v>0.3</v>
      </c>
      <c r="EK68" s="11">
        <f t="shared" si="109"/>
        <v>1</v>
      </c>
      <c r="EL68" s="1">
        <f t="shared" ref="EL68:EL131" si="136">IF(AND(D68&lt;&gt;"",DG68&lt;&gt;DG67,DH68&lt;&gt;"洞穿"),1,0)</f>
        <v>0</v>
      </c>
      <c r="EM68" s="1">
        <f>IF(AND(DG68&lt;&gt;DG67,DH68="洞穿"),0,IF(L68="ENTER_INSIGHT",Boss参数!$B$57,EO67))</f>
        <v>0</v>
      </c>
      <c r="EN68" s="11">
        <f>IF(AND(Y68=1,H68="洞知",EM68&gt;0),Boss参数!$B$56,0)</f>
        <v>0</v>
      </c>
      <c r="EO68" s="1">
        <f t="shared" si="110"/>
        <v>0</v>
      </c>
      <c r="EP68" s="12">
        <f t="shared" ref="EP68:EP131" si="137">ET67</f>
        <v>13367317</v>
      </c>
      <c r="EQ68" s="12">
        <f>ROUNDDOWN(EP68/Boss参数!$B$62,0)</f>
        <v>133</v>
      </c>
      <c r="ER68" s="11">
        <f>IF(EQ68&gt;=Boss参数!$B$66,Boss参数!$B$69,IF(EQ68&gt;=Boss参数!$B$65,Boss参数!$B$68,IF(EQ68&gt;=Boss参数!$B$64,Boss参数!$B$67,0)))</f>
        <v>0.9</v>
      </c>
      <c r="ES68" s="11">
        <f>MIN(1,IF(EQ68&gt;=Boss参数!$B$66,Boss参数!$B$72+ROUNDDOWN((EQ68-Boss参数!$B$66)/Boss参数!$B$73,0)*Boss参数!$B$74,IF(EQ68&gt;=Boss参数!$B$65,Boss参数!$B$71,IF(EQ68&gt;=Boss参数!$B$64,Boss参数!$B$70,0))))</f>
        <v>0.6</v>
      </c>
      <c r="ET68" s="12">
        <f>MIN(Boss参数!$B$61*Boss参数!$B$62,EP68+IF(AND(Boss参数!$B$60=1,ISNUMBER(验证表!H74)),验证表!H74,EU68))</f>
        <v>13367317</v>
      </c>
      <c r="EU68" s="12">
        <f>IF(D68="",0,IF(验证表!G74="是",BV68,IF(验证表!G74="否",BU68,BW68)))</f>
        <v>0</v>
      </c>
      <c r="EV68" s="12">
        <f>IF(EQ68&gt;=Boss参数!$B$66,2,IF(EQ68&gt;=Boss参数!$B$65,1,0))</f>
        <v>2</v>
      </c>
      <c r="EW68" s="12">
        <f t="shared" si="111"/>
        <v>3</v>
      </c>
      <c r="EX68" s="1">
        <f>IF(D68="",0,INDEX(回合状态!$D$7:$D$17,MATCH(DG68,回合状态!$A$7:$A$17,0)))</f>
        <v>4</v>
      </c>
      <c r="EY68" s="1">
        <f>IF(OR(L68="RHI_ATTACK",L68="RHI_BUFF"),1,IF(L68="RHI_ULT",Boss参数!$B$52,0))</f>
        <v>0</v>
      </c>
      <c r="EZ68" s="1">
        <f>MIN(6,SUMIFS($EY$3:EY68,$EX$3:EX68,"&gt;="&amp;MAX(1,EX68-Boss参数!$B$87+1),$EX$3:EX68,"&lt;="&amp;EX68))</f>
        <v>6</v>
      </c>
      <c r="FA68" s="1">
        <f t="shared" ref="FA68:FA131" si="138">IF(D68="",0,IF(DG68&lt;&gt;DG67,AD68,FA67))</f>
        <v>35</v>
      </c>
      <c r="FB68" s="17">
        <f>IF(L68="BOSS_CONSERVATIVE",B68+Boss参数!$B$91,FB67)</f>
        <v>0</v>
      </c>
      <c r="FC68" s="17">
        <f t="shared" ref="FC68:FC131" si="139">IF(AND(D68&lt;&gt;"",B68&lt;=FB67,FB67&gt;0,OR(L68="J_COUNTER",L68="37_FOLLOW",L68="RHI_BERRY")),1,0)</f>
        <v>0</v>
      </c>
      <c r="FD68" s="17">
        <f>IF(D68="",FD67,FD67+IF(AND(DG68&lt;&gt;DG67,INDEX(回合状态!$C$7:$C$17,MATCH(DG68,回合状态!$A$7:$A$17,0))&lt;&gt;"洞穿"),1,0))</f>
        <v>5</v>
      </c>
      <c r="FE68" s="17">
        <f>IF(D68="",0,IF(AND(OR(L68="END_TURN",DH68="敌方"),INDEX(回合状态!$C$7:$C$17,MATCH(DG68,回合状态!$A$7:$A$17,0))&lt;&gt;"洞穿",SUMIFS($FE$3:FE67,$DG$3:DG67,DG68)=0),1,0))</f>
        <v>0</v>
      </c>
    </row>
    <row r="69" spans="1:161" ht="84.95" customHeight="1">
      <c r="A69" s="1">
        <f>行动模拟!A75</f>
        <v>67</v>
      </c>
      <c r="B69" s="1">
        <f>IF(D69="",0,INDEX(回合状态!$B$7:$B$17,MATCH(DG69,回合状态!$A$7:$A$17,0)))</f>
        <v>4</v>
      </c>
      <c r="C69" s="1">
        <f>行动模拟!C75</f>
        <v>7</v>
      </c>
      <c r="D69" s="1" t="str">
        <f>IF(行动模拟!D75="","",行动模拟!D75)</f>
        <v>J｜飞跃海特街</v>
      </c>
      <c r="E69" s="1" t="str">
        <f>IF($D69="","",IFERROR(INDEX(技能数据库!$B$4:$B$38,MATCH($D69,技能数据库!$A$4:$A$38,0)),""))</f>
        <v>J</v>
      </c>
      <c r="F69" s="1" t="str">
        <f>IF($D69="","",IFERROR(INDEX(技能数据库!$C$4:$C$38,MATCH($D69,技能数据库!$A$4:$A$38,0)),""))</f>
        <v>飞跃海特街</v>
      </c>
      <c r="G69" s="1">
        <f>IF($D69="","",IFERROR(INDEX(技能数据库!$D$4:$D$38,MATCH($D69,技能数据库!$A$4:$A$38,0)),""))</f>
        <v>0</v>
      </c>
      <c r="H69" s="1" t="str">
        <f>IF($D69="","",IFERROR(INDEX(技能数据库!$E$4:$E$38,MATCH($D69,技能数据库!$A$4:$A$38,0)),""))</f>
        <v>仪式</v>
      </c>
      <c r="I69" s="1" t="str">
        <f>IF($D69="","",IFERROR(INDEX(技能数据库!$F$4:$F$38,MATCH($D69,技能数据库!$A$4:$A$38,0)),""))</f>
        <v>现实</v>
      </c>
      <c r="J69" s="1">
        <f>IF($D69="","",IFERROR(INDEX(技能数据库!$G$4:$G$38,MATCH($D69,技能数据库!$A$4:$A$38,0)),""))</f>
        <v>7</v>
      </c>
      <c r="K69" s="1">
        <f>IF($D69="","",IFERROR(INDEX(技能数据库!$H$4:$H$38,MATCH($D69,技能数据库!$A$4:$A$38,0)),""))</f>
        <v>0</v>
      </c>
      <c r="L69" s="1" t="str">
        <f>IF($D69="","",IFERROR(INDEX(技能数据库!$I$4:$I$38,MATCH($D69,技能数据库!$A$4:$A$38,0)),""))</f>
        <v>J_ULT</v>
      </c>
      <c r="M69" s="10">
        <v>1</v>
      </c>
      <c r="N69" s="1"/>
      <c r="O69" s="1"/>
      <c r="P69" s="1"/>
      <c r="Q69" s="10">
        <f t="shared" si="70"/>
        <v>0</v>
      </c>
      <c r="R69" s="10">
        <v>0</v>
      </c>
      <c r="S69" s="10">
        <v>0</v>
      </c>
      <c r="T69" s="1">
        <f>行动模拟!I75</f>
        <v>0</v>
      </c>
      <c r="U69" s="1">
        <f>IF(FD69&lt;&gt;FD68,IF(BY68=1,IF(MIN(10,CA68+IF(AND(DG69&lt;&gt;DG68,DH68&lt;&gt;"洞穿",SUMIFS($FE$3:FE68,$DG$3:DG68,DG68)=0,BY68=1),3,0))&gt;=10,2,1),IF(BY68=2,IF(BZ68&lt;=1,0,2),0)),BY68)</f>
        <v>1</v>
      </c>
      <c r="V69" s="1">
        <f>IF(FD69&lt;&gt;FD68,IF(BY68=1,IF(MIN(10,CA68+IF(AND(DG69&lt;&gt;DG68,DH68&lt;&gt;"洞穿",SUMIFS($FE$3:FE68,$DG$3:DG68,DG68)=0,BY68=1),3,0))&gt;=10,2,0),IF(BY68=2,MAX(0,BZ68-1),0)),BZ68)</f>
        <v>0</v>
      </c>
      <c r="W69" s="1">
        <f>IF(AND(FD69&lt;&gt;FD68,BY68=2,BZ68&lt;=1),0,MIN(10,CA68+IF(AND(DG69&lt;&gt;DG68,DH68&lt;&gt;"洞穿",SUMIFS($FE$3:FE68,$DG$3:DG68,DG68)=0,BY68=1),3,0)))</f>
        <v>3</v>
      </c>
      <c r="X69" s="1">
        <f t="shared" si="112"/>
        <v>12</v>
      </c>
      <c r="Y69" s="1">
        <f t="shared" si="113"/>
        <v>0</v>
      </c>
      <c r="Z69" s="1">
        <f t="shared" si="114"/>
        <v>0</v>
      </c>
      <c r="AA69" s="1">
        <f t="shared" si="115"/>
        <v>0</v>
      </c>
      <c r="AB69" s="1">
        <f t="shared" si="116"/>
        <v>1</v>
      </c>
      <c r="AC69" s="1">
        <f t="shared" si="117"/>
        <v>0</v>
      </c>
      <c r="AD69" s="1">
        <f t="shared" si="118"/>
        <v>35</v>
      </c>
      <c r="AE69" s="1">
        <f>IF(D69="",0,IF(DG69&lt;&gt;DG68,IFERROR(INDEX(回合状态!$F$7:$F$17,MATCH(DG69,回合状态!$A$7:$A$17,0)),0),CI68))</f>
        <v>13</v>
      </c>
      <c r="AF69" s="10">
        <f t="shared" si="119"/>
        <v>0.4</v>
      </c>
      <c r="AG69" s="1">
        <f t="shared" si="120"/>
        <v>5</v>
      </c>
      <c r="AH69" s="1">
        <f t="shared" si="121"/>
        <v>6</v>
      </c>
      <c r="AI69" s="1">
        <f t="shared" si="122"/>
        <v>6</v>
      </c>
      <c r="AJ69" s="1">
        <f t="shared" si="123"/>
        <v>7</v>
      </c>
      <c r="AK69" s="1">
        <f t="shared" si="124"/>
        <v>6</v>
      </c>
      <c r="AL69" s="1">
        <f t="shared" si="125"/>
        <v>3</v>
      </c>
      <c r="AM69" s="1">
        <f t="shared" si="126"/>
        <v>25</v>
      </c>
      <c r="AN69" s="1">
        <f t="shared" si="127"/>
        <v>4</v>
      </c>
      <c r="AO69" s="1">
        <f t="shared" si="128"/>
        <v>0</v>
      </c>
      <c r="AP69" s="10">
        <f t="shared" si="129"/>
        <v>0.12</v>
      </c>
      <c r="AQ69" s="1">
        <f t="shared" si="130"/>
        <v>6</v>
      </c>
      <c r="AR69" s="10">
        <f t="shared" si="131"/>
        <v>0.3</v>
      </c>
      <c r="AS69" s="1">
        <f t="shared" si="132"/>
        <v>6</v>
      </c>
      <c r="AT69" s="10">
        <f t="shared" si="133"/>
        <v>0.3</v>
      </c>
      <c r="AU69" s="1">
        <f t="shared" si="134"/>
        <v>6</v>
      </c>
      <c r="AV69" s="1">
        <f>MIN(5,SUMIFS($EL$3:EL69,$B$3:B69,"&gt;="&amp;MAX(1,B69-2),$B$3:B69,"&lt;="&amp;B69)+EC69)</f>
        <v>5</v>
      </c>
      <c r="AW69" s="1">
        <f>MIN(6,SUMIFS($EY$3:EY68,$EX$3:EX68,"&gt;="&amp;MAX(1,EX69-Boss参数!$B$87+1),$EX$3:EX68,"&lt;="&amp;EX69))</f>
        <v>6</v>
      </c>
      <c r="AX69" s="1">
        <f>MIN(4,COUNTIFS($B$3:$B$68,"&gt;="&amp;MAX(1,$B69-2),$B$3:$B$68,"&lt;="&amp;$B69,$L$3:$L$68,"37_FOLLOW"))</f>
        <v>4</v>
      </c>
      <c r="AY69" s="9">
        <f>IF($E69="","",IF($E69="系统",0,ROUNDDOWN(INDEX(角色面板!$C$4:$C$7,MATCH($E69,角色面板!$A$4:$A$7,0))*(1+INDEX(角色面板!$C$11:$C$14,MATCH($E69,角色面板!$A$11:$A$14,0))+IF($E69="小瑞安侬",MAX(IF($B69&lt;=$AQ69,$AP69,0),IF(AND($L69="RHI_ATTACK",$EE69&gt;0),0.11+0.01*$G69,0)),0)+IF($E69="J",$AD69*Boss参数!$B$18,0))+IF(FD69&lt;=$AN69,MIN(Boss参数!$B$21,ROUNDDOWN(角色面板!$C$19*Boss参数!$B$20,0)),0)+IF(AND($B69&lt;=$AK69,$E69&lt;&gt;"小瑞安侬"),$DY69,0),0)))</f>
        <v>2823</v>
      </c>
      <c r="AZ69" s="10">
        <f>IF($E69="","",MAX(0,MIN(1,IFERROR(INDEX(角色面板!$G$18:$G$21,MATCH($E69,角色面板!$A$18:$A$21,0)),0)-FC69*Boss参数!$B$89-Boss参数!$E$4)))</f>
        <v>0.66700000000000004</v>
      </c>
      <c r="BA69" s="10">
        <f>IF(E69="","",(IF($E69="","",IF($E69="红弩箭",Boss参数!$B$80,IF($E69="J",Boss参数!$B$81,IFERROR(INDEX(角色面板!$H$18:$H$21,MATCH($E69,角色面板!$A$18:$A$21,0)),0)))+IF($B69&lt;=$AI69,Boss参数!$B$13,0)+MIN(30,$AM69)*Boss参数!$B$17+IF(AND($L69="LILYA_ULT",$X69&gt;=6),1,0)+IF(AND($Y69=1,$L69="LILYA_INSIGHT"),IF(MOD($AA69+1,3)=0,Boss参数!$B$83,Boss参数!$B$82),IF(AND($Y69=1,$L69="LILYA_FINISH"),Boss参数!$B$84,0))))-FC69*Boss参数!$B$90)</f>
        <v>1.9770000000000001</v>
      </c>
      <c r="BB69" s="10">
        <f>IF($E69="","",IFERROR(INDEX(角色面板!$M$18:$M$21,MATCH($E69,角色面板!$A$18:$A$21,0)),0)+$AW69*Boss参数!$B$12+IF($B69&lt;=$AG69,$AF69,0)+$EI69+IF($L69="LILYA_DIVE",IF($U69=1,IF($G69=1,0.3,IF($G69=2,0.4,0.5)),IF($U69=2,IF($G69=1,0.6,IF($G69=2,0.8,1)),0)),0)+$R69+IF(AND($E69="J",OR($L69="J_COUNTER",$L69="J_HARD")),Boss参数!$B$79,0)+IF(AND(OR(L69="J_COUNTER",L69="J_HARD"),FA69&gt;=Boss参数!$B$59),FA69*Boss参数!$B$40,0))</f>
        <v>0.90000000000000013</v>
      </c>
      <c r="BC69" s="10">
        <f>IF($E69="","",IFERROR(INDEX(角色面板!$K$18:$K$21,MATCH($E69,角色面板!$A$18:$A$21,0)),0)+IF($B69&lt;=$AH69,Boss参数!$B$46,0)+IF($E69="红弩箭",IF($U69=1,0.6,IF($U69=2,1.2,0))+$W69*0.06,0))-DI69*Boss参数!$B$23</f>
        <v>-0.85000000000000009</v>
      </c>
      <c r="BD69" s="10">
        <f>IF($E69="","",IFERROR(INDEX(角色面板!$L$18:$L$21,MATCH($E69,角色面板!$A$18:$A$21,0)),0)+IF($B69&lt;=$AH69,Boss参数!$B$46,0)+IF($E69="J",$AL69*Boss参数!$B$16,0)+IF($E69="红弩箭",$X69*0.025,0)+IF(AND($L69="LILYA_ULT",$X69&gt;=6),1,0))-DI69*Boss参数!$B$23</f>
        <v>-0.33</v>
      </c>
      <c r="BE69" s="10">
        <f>IF($E69="","",IF($H69="洞知",IF($E69="红弩箭",$AO69*Boss参数!$B$15,0)+$AX69*Boss参数!$B$14,0))</f>
        <v>0</v>
      </c>
      <c r="BF69" s="10">
        <f t="shared" si="71"/>
        <v>0</v>
      </c>
      <c r="BG69" s="10">
        <f>IF($D69="",0,IF(AND($L69&lt;&gt;"LILYA_DIVE",$L69&lt;&gt;"LILYA_ULT",$L69&lt;&gt;"LILYA_INSIGHT",$L69&lt;&gt;"LILYA_FINISH",$L69&lt;&gt;"37_FOLLOW",$L69&lt;&gt;"RHI_ATTACK",$L69&lt;&gt;"RHI_BERRY",$L69&lt;&gt;"J_COUNTER",$L69&lt;&gt;"J_ULT"),$J69,0)+IF($L69="LILYA_DIVE",$J69+IF($U69=1,IF($G69=1,6,IF($G69=2,12,18)),IF($U69=2,IF($G69=1,12,IF($G69=2,24,36)),0)),0)+IF($L69="LILYA_ULT",$J69+IF($X69&gt;=6,18,0),0)+IF($L69="LILYA_INSIGHT",IF($Y69=1,IF(MOD($AA69+1,3)=0,32,15),0),0)+IF($L69="LILYA_FINISH",IF($Y69=1,50+2.5*$Z69,0),0)+IF($L69="37_FOLLOW",$J69,0)+IF($L69="RHI_ATTACK",$J69*IF($B69&lt;=$AJ69,2,1),0)+IF($L69="RHI_BERRY",15+1.5*$AV69,0)+IF($L69="J_COUNTER",$J69+$AD69*Boss参数!$B$39,0)+IF($L69="J_ULT",$J69+Boss参数!$B$45*MAX(0,$AE69+$AD69-Boss参数!$I$4),0)+$S69)</f>
        <v>25</v>
      </c>
      <c r="BH69" s="10">
        <f t="shared" si="72"/>
        <v>0</v>
      </c>
      <c r="BI69" s="10">
        <f>IF(E69="","",IF(DT69=1,1+Boss参数!$B$8+AV69*Boss参数!$B$19,1))</f>
        <v>1.5</v>
      </c>
      <c r="BJ69" s="9">
        <f>IF($I69="现实",Boss参数!$C$4,IF($I69="精神",Boss参数!$D$4,0))</f>
        <v>1200</v>
      </c>
      <c r="BK69" s="9">
        <f>IF($E69="","",MAX($AY69*Boss参数!$B$9,$AY69-$BJ69*(1-$BF69)))</f>
        <v>1623</v>
      </c>
      <c r="BL69" s="10">
        <f>MAX(0,Boss参数!$F$4+IF(DT69=0,Boss参数!$B$27,0)-EJ69)</f>
        <v>0.10000000000000003</v>
      </c>
      <c r="BM69" s="10">
        <f>Boss参数!$G$4+DU69-IF(Y69=1,Boss参数!$B$11,0)</f>
        <v>0.60000000000000009</v>
      </c>
      <c r="BN69" s="10">
        <f>IF($E69="","",MAX(Boss参数!$B$10,1+IFERROR(INDEX(角色面板!$I$18:$I$21,MATCH($E69,角色面板!$A$18:$A$21,0)),0)+$BB69+Boss参数!$H$4-$BM69))</f>
        <v>1.325</v>
      </c>
      <c r="BO69" s="10">
        <f>IF(E69="","",IF(OR(L69="J_COUNTER",L69="J_HARD"),MAX(0,1+INDEX(角色面板!$K$18:$K$21,MATCH(E69,角色面板!$A$18:$A$21,0))-DI69*Boss参数!$B$23+IF(OR(Boss参数!$B$43=1,L69="J_HARD"),IF(B69&lt;=AH69,Boss参数!$B$46,0),0)),MAX(0,IF(OR(H69="术法",L69="RHI_BERRY",AND(L69="37_FOLLOW",Boss参数!$B$31=1)),1+BC69,IF(H69="仪式",1+BD69,IF(H69="洞知",EK69,1))))))</f>
        <v>0.66999999999999993</v>
      </c>
      <c r="BP69" s="10">
        <f t="shared" si="73"/>
        <v>1.877</v>
      </c>
      <c r="BQ69" s="1">
        <f t="shared" si="74"/>
        <v>54030.684374999997</v>
      </c>
      <c r="BR69" s="1">
        <f t="shared" si="75"/>
        <v>101415.594571875</v>
      </c>
      <c r="BS69" s="1">
        <f>IF(BH69=0,0,ROUNDDOWN(AY69*BH69,0)*DV69*IF(Boss参数!$B$29=1,BN69,1)*IF(Boss参数!$B$33=1,BO69,1)*IF(Boss参数!$B$76=1,1-ES69,1))</f>
        <v>0</v>
      </c>
      <c r="BT69" s="1">
        <f t="shared" si="76"/>
        <v>0</v>
      </c>
      <c r="BU69" s="9">
        <f>IF(D69="",0,MIN(IF(Boss参数!$B$77=1,Boss参数!$B$63*Boss参数!$B$62,Boss参数!$B$61*Boss参数!$B$62),DW69+ROUNDDOWN(BS69,0)+ROUNDDOWN(DW69*Q69,0)))</f>
        <v>21612</v>
      </c>
      <c r="BV69" s="9">
        <f>IF(D69="",0,MIN(IF(Boss参数!$B$77=1,Boss参数!$B$63*Boss参数!$B$62,Boss参数!$B$61*Boss参数!$B$62),DX69+ROUNDDOWN(BT69,0)+ROUNDDOWN(DX69*Q69,0)))</f>
        <v>40566</v>
      </c>
      <c r="BW69" s="9">
        <f t="shared" si="77"/>
        <v>34254</v>
      </c>
      <c r="BX69" s="1" t="str">
        <f t="shared" si="78"/>
        <v/>
      </c>
      <c r="BY69" s="1">
        <f t="shared" si="79"/>
        <v>1</v>
      </c>
      <c r="BZ69" s="1">
        <f t="shared" si="80"/>
        <v>0</v>
      </c>
      <c r="CA69" s="1">
        <f>MIN(10,W69+IF(AND(L69="LILYA_COBRA",COUNTIF($L$3:L69,"LILYA_COBRA")=1),5,0)+IF(AND(L69="LILYA_DIVE",U69=1,COUNTIFS($DG$3:DG69,DG69,$L$3:L69,"LILYA_DIVE")=1),2,0)+IF(AND(FE69=1,U69=1),3,0))</f>
        <v>3</v>
      </c>
      <c r="CB69" s="1">
        <f>MIN(20,MAX(0,X69+IF(L69="LILYA_COBRA",IF(COUNTIF($L$3:L69,"LILYA_COBRA")=1,6,IF(U69=1,MAX(1,G69),IF(U69=2,2*MAX(1,G69),0))),0)+IF(AND(Y69=1,E69="红弩箭",L69&lt;&gt;"ENTER_INSIGHT"),1,0)-IF(AND(L69="LILYA_ULT",X69&gt;=6),6,0)))</f>
        <v>12</v>
      </c>
      <c r="CC69" s="1">
        <f t="shared" si="81"/>
        <v>0</v>
      </c>
      <c r="CD69" s="1">
        <f t="shared" si="82"/>
        <v>0</v>
      </c>
      <c r="CE69" s="1">
        <f t="shared" si="83"/>
        <v>0</v>
      </c>
      <c r="CF69" s="1">
        <f t="shared" si="84"/>
        <v>2</v>
      </c>
      <c r="CG69" s="1">
        <f t="shared" si="85"/>
        <v>0</v>
      </c>
      <c r="CH69" s="1">
        <f>MIN(35,AD69+IF(L69="J_HARD",6,0)+IF(L69="J_COUNTER",Boss参数!$B$30,0))</f>
        <v>35</v>
      </c>
      <c r="CI69" s="1">
        <f>MIN(Boss参数!$I$4,AE69+IF(L69="J_HARD",6,0)+IF(L69="J_ULT",AD69,0)+IF(L69="J_COUNTER",Boss参数!$B$30,0))</f>
        <v>30</v>
      </c>
      <c r="CJ69" s="10">
        <f>IF(L69="J_ULT",AD69*Boss参数!$B$41,IF(B69&lt;=AG69,AF69,0))</f>
        <v>0.875</v>
      </c>
      <c r="CK69" s="1">
        <f t="shared" si="86"/>
        <v>6</v>
      </c>
      <c r="CL69" s="1">
        <f t="shared" si="87"/>
        <v>6</v>
      </c>
      <c r="CM69" s="1">
        <f t="shared" si="88"/>
        <v>6</v>
      </c>
      <c r="CN69" s="1">
        <f t="shared" si="89"/>
        <v>7</v>
      </c>
      <c r="CO69" s="1">
        <f t="shared" si="90"/>
        <v>6</v>
      </c>
      <c r="CP69" s="1">
        <f t="shared" si="91"/>
        <v>3</v>
      </c>
      <c r="CQ69" s="1">
        <f t="shared" si="92"/>
        <v>30</v>
      </c>
      <c r="CR69" s="1">
        <f t="shared" si="93"/>
        <v>4</v>
      </c>
      <c r="CS69" s="1">
        <f t="shared" si="94"/>
        <v>0</v>
      </c>
      <c r="CT69" s="10">
        <f t="shared" si="95"/>
        <v>0.12</v>
      </c>
      <c r="CU69" s="1">
        <f t="shared" si="96"/>
        <v>6</v>
      </c>
      <c r="CV69" s="10">
        <f t="shared" si="97"/>
        <v>0.3</v>
      </c>
      <c r="CW69" s="1">
        <f t="shared" si="98"/>
        <v>6</v>
      </c>
      <c r="CX69" s="10">
        <f t="shared" si="99"/>
        <v>0.3</v>
      </c>
      <c r="CY69" s="1">
        <f t="shared" si="100"/>
        <v>6</v>
      </c>
      <c r="CZ69" s="1"/>
      <c r="DA69" s="1"/>
      <c r="DB69" s="1"/>
      <c r="DC69" s="1"/>
      <c r="DD69" s="1"/>
      <c r="DE69" s="1"/>
      <c r="DF69" s="1"/>
      <c r="DG69" s="1">
        <f>IF(D69="","",行动模拟!B75)</f>
        <v>4</v>
      </c>
      <c r="DH69" s="1" t="str">
        <f>IF(L69="END_TURN","回合结束",IF(D69="","",IF(INDEX(回合状态!$C$7:$C$17,MATCH(DG69,回合状态!$A$7:$A$17,0))="洞穿","洞穿",IF(OR(L69="J_COUNTER",L69="BOSS_ACTION",L69="BOSS_CONSERVATIVE"),"敌方",IF(AND(L69="37_FOLLOW",DG69=DG68,DH68="敌方"),"敌方",IF(INDEX(回合状态!$C$7:$C$17,MATCH(DG69,回合状态!$A$7:$A$17,0))="普通","出牌",INDEX(回合状态!$C$7:$C$17,MATCH(DG69,回合状态!$A$7:$A$17,0))))))))</f>
        <v>出牌</v>
      </c>
      <c r="DI69" s="1">
        <f t="shared" si="101"/>
        <v>5</v>
      </c>
      <c r="DJ69" s="1">
        <f>IF(D69="",0,MIN(Boss参数!$B$25,IF(OR(AND(DH69="敌方",OR(DH68&lt;&gt;"敌方",DG69&lt;&gt;DG68)),AND(L69="END_TURN",DH69&lt;&gt;"洞穿"),AND(DG69&lt;&gt;DG68,DH68&lt;&gt;"洞穿",L68&lt;&gt;"END_TURN",COUNTIFS($DG$3:DG68,DG68,$DH$3:DH68,"敌方")=0)),EW69,DN68)))</f>
        <v>5</v>
      </c>
      <c r="DK69" s="1">
        <f>IF(D69="",0,MIN(Boss参数!$B$25,IF(OR(AND(DH69="敌方",OR(DH68&lt;&gt;"敌方",DG69&lt;&gt;DG68)),AND(L69="END_TURN",DH69&lt;&gt;"洞穿"),AND(DG69&lt;&gt;DG68,DH68&lt;&gt;"洞穿",L68&lt;&gt;"END_TURN",COUNTIFS($DG$3:DG68,DG68,$DH$3:DH68,"敌方")=0)),EW69,DO68)))</f>
        <v>3</v>
      </c>
      <c r="DL69" s="1">
        <f>IF(D69="",0,MIN(Boss参数!$B$25,IF(OR(AND(DH69="敌方",OR(DH68&lt;&gt;"敌方",DG69&lt;&gt;DG68)),AND(L69="END_TURN",DH69&lt;&gt;"洞穿"),AND(DG69&lt;&gt;DG68,DH68&lt;&gt;"洞穿",L68&lt;&gt;"END_TURN",COUNTIFS($DG$3:DG68,DG68,$DH$3:DH68,"敌方")=0)),EW69,DP68)))</f>
        <v>2</v>
      </c>
      <c r="DM69" s="1">
        <f>IF(D69="",0,MIN(Boss参数!$B$25,IF(OR(AND(DH69="敌方",OR(DH68&lt;&gt;"敌方",DG69&lt;&gt;DG68)),AND(L69="END_TURN",DH69&lt;&gt;"洞穿"),AND(DG69&lt;&gt;DG68,DH68&lt;&gt;"洞穿",L68&lt;&gt;"END_TURN",COUNTIFS($DG$3:DG68,DG68,$DH$3:DH68,"敌方")=0)),EW69,DQ68)))</f>
        <v>5</v>
      </c>
      <c r="DN69" s="1">
        <f>MAX(0,MIN(Boss参数!$B$25,DJ69+DR69)-IF(E69="红弩箭",2*DR69,0))</f>
        <v>5</v>
      </c>
      <c r="DO69" s="1">
        <f>MAX(0,MIN(Boss参数!$B$25,DK69+DR69)-IF(E69="37",2*DR69,0))</f>
        <v>4</v>
      </c>
      <c r="DP69" s="1">
        <f>MAX(0,MIN(Boss参数!$B$25,DL69+DR69)-IF(E69="小瑞安侬",2*DR69,0))</f>
        <v>3</v>
      </c>
      <c r="DQ69" s="1">
        <f>MAX(0,MIN(Boss参数!$B$25,DM69+DR69)-IF(E69="J",2*DR69,0))</f>
        <v>3</v>
      </c>
      <c r="DR69" s="1">
        <f t="shared" si="102"/>
        <v>1</v>
      </c>
      <c r="DS69" s="1">
        <f t="shared" si="103"/>
        <v>1</v>
      </c>
      <c r="DT69" s="1">
        <f>IF(OR(E69="",E69="系统"),0,IF(OR(AND(DS69=1,Boss参数!$B$32=1),L69="RHI_BERRY",OR(AND(INDEX(角色面板!$B$18:$B$21,MATCH(E69,角色面板!$A$18:$A$21,0))="星",Boss参数!$B$4="岩"),AND(INDEX(角色面板!$B$18:$B$21,MATCH(E69,角色面板!$A$18:$A$21,0))="岩",Boss参数!$B$4="兽"),AND(INDEX(角色面板!$B$18:$B$21,MATCH(E69,角色面板!$A$18:$A$21,0))="兽",Boss参数!$B$4="木"),AND(INDEX(角色面板!$B$18:$B$21,MATCH(E69,角色面板!$A$18:$A$21,0))="木",Boss参数!$B$4="星"),AND(INDEX(角色面板!$B$18:$B$21,MATCH(E69,角色面板!$A$18:$A$21,0))="智",Boss参数!$B$4="灵"),AND(INDEX(角色面板!$B$18:$B$21,MATCH(E69,角色面板!$A$18:$A$21,0))="灵",Boss参数!$B$4="智"))),1,0))</f>
        <v>1</v>
      </c>
      <c r="DU69" s="1">
        <f>IF(D69="",0,INDEX(回合状态!$E$7:$E$17,MATCH(DG69,回合状态!$A$7:$A$17,0))+IF(AND(DH69="敌方",OR(INDEX(回合状态!$C$7:$C$17,MATCH(DG69,回合状态!$A$7:$A$17,0))="普通",INDEX(回合状态!$C$7:$C$17,MATCH(DG69,回合状态!$A$7:$A$17,0))="额外")),0.05,0))</f>
        <v>0.2</v>
      </c>
      <c r="DV69" s="1">
        <f>MAX(Boss参数!$B$28,1+IF(AND(E69="37",AC69&gt;0,BH69&gt;0),Boss参数!$B$42,0)-DI69*Boss参数!$B$24+EA69-ER69)</f>
        <v>0</v>
      </c>
      <c r="DW69" s="1">
        <f>MIN(IF(Boss参数!$B$77=1,Boss参数!$B$63*Boss参数!$B$62,Boss参数!$B$61*Boss参数!$B$62),ROUNDDOWN(BQ69*(1-ES69),0))</f>
        <v>21612</v>
      </c>
      <c r="DX69" s="1">
        <f>MIN(IF(Boss参数!$B$77=1,Boss参数!$B$63*Boss参数!$B$62,Boss参数!$B$61*Boss参数!$B$62),ROUNDDOWN(BR69*(1-ES69),0))</f>
        <v>40566</v>
      </c>
      <c r="DY69" s="1">
        <f t="shared" si="135"/>
        <v>250</v>
      </c>
      <c r="DZ69" s="1">
        <f>IF(L69="RHI_ULT",MIN(Boss参数!$B$48,ROUNDDOWN(AY69*Boss参数!$B$47,0)),DY69)</f>
        <v>250</v>
      </c>
      <c r="EA69" s="11">
        <v>0</v>
      </c>
      <c r="EB69" s="1">
        <f t="shared" si="104"/>
        <v>0</v>
      </c>
      <c r="EC69" s="1">
        <f>SUMIFS($EB$3:EB69,$B$3:B69,"&gt;="&amp;MAX(1,B69-2),$B$3:B69,"&lt;="&amp;B69)*Boss参数!$B$51</f>
        <v>16</v>
      </c>
      <c r="ED69" s="1">
        <f>IF(D69="",EG68,IF(AND(DG69&lt;&gt;DG68,DH69&lt;&gt;"洞穿"),MIN(Boss参数!$B$55,EG68+2),EG68))</f>
        <v>0</v>
      </c>
      <c r="EE69" s="1">
        <f t="shared" si="105"/>
        <v>0</v>
      </c>
      <c r="EF69" s="1">
        <f>IF(AND(OR(L69="END_TURN",AND(DH69="敌方",OR(DH68&lt;&gt;"敌方",DG69&lt;&gt;DG68))),SUMIFS($EF$3:EF68,$DG$3:DG68,DG69)=0),MIN(1,MAX(0,ED69-EE69)),0)</f>
        <v>0</v>
      </c>
      <c r="EG69" s="1">
        <f t="shared" si="106"/>
        <v>0</v>
      </c>
      <c r="EH69" s="11">
        <f>Boss参数!$B$53-IF(Y69=1,Boss参数!$B$54,0)</f>
        <v>0</v>
      </c>
      <c r="EI69" s="11">
        <f t="shared" si="107"/>
        <v>0.3</v>
      </c>
      <c r="EJ69" s="11">
        <f t="shared" si="108"/>
        <v>0.3</v>
      </c>
      <c r="EK69" s="11">
        <f t="shared" si="109"/>
        <v>1</v>
      </c>
      <c r="EL69" s="1">
        <f t="shared" si="136"/>
        <v>0</v>
      </c>
      <c r="EM69" s="1">
        <f>IF(AND(DG69&lt;&gt;DG68,DH69="洞穿"),0,IF(L69="ENTER_INSIGHT",Boss参数!$B$57,EO68))</f>
        <v>0</v>
      </c>
      <c r="EN69" s="11">
        <f>IF(AND(Y69=1,H69="洞知",EM69&gt;0),Boss参数!$B$56,0)</f>
        <v>0</v>
      </c>
      <c r="EO69" s="1">
        <f t="shared" si="110"/>
        <v>0</v>
      </c>
      <c r="EP69" s="12">
        <f t="shared" si="137"/>
        <v>13367317</v>
      </c>
      <c r="EQ69" s="12">
        <f>ROUNDDOWN(EP69/Boss参数!$B$62,0)</f>
        <v>133</v>
      </c>
      <c r="ER69" s="11">
        <f>IF(EQ69&gt;=Boss参数!$B$66,Boss参数!$B$69,IF(EQ69&gt;=Boss参数!$B$65,Boss参数!$B$68,IF(EQ69&gt;=Boss参数!$B$64,Boss参数!$B$67,0)))</f>
        <v>0.9</v>
      </c>
      <c r="ES69" s="11">
        <f>MIN(1,IF(EQ69&gt;=Boss参数!$B$66,Boss参数!$B$72+ROUNDDOWN((EQ69-Boss参数!$B$66)/Boss参数!$B$73,0)*Boss参数!$B$74,IF(EQ69&gt;=Boss参数!$B$65,Boss参数!$B$71,IF(EQ69&gt;=Boss参数!$B$64,Boss参数!$B$70,0))))</f>
        <v>0.6</v>
      </c>
      <c r="ET69" s="12">
        <f>MIN(Boss参数!$B$61*Boss参数!$B$62,EP69+IF(AND(Boss参数!$B$60=1,ISNUMBER(验证表!H75)),验证表!H75,EU69))</f>
        <v>13388929</v>
      </c>
      <c r="EU69" s="12">
        <f>IF(D69="",0,IF(验证表!G75="是",BV69,IF(验证表!G75="否",BU69,BW69)))</f>
        <v>21612</v>
      </c>
      <c r="EV69" s="12">
        <f>IF(EQ69&gt;=Boss参数!$B$66,2,IF(EQ69&gt;=Boss参数!$B$65,1,0))</f>
        <v>2</v>
      </c>
      <c r="EW69" s="12">
        <f t="shared" si="111"/>
        <v>3</v>
      </c>
      <c r="EX69" s="1">
        <f>IF(D69="",0,INDEX(回合状态!$D$7:$D$17,MATCH(DG69,回合状态!$A$7:$A$17,0)))</f>
        <v>4</v>
      </c>
      <c r="EY69" s="1">
        <f>IF(OR(L69="RHI_ATTACK",L69="RHI_BUFF"),1,IF(L69="RHI_ULT",Boss参数!$B$52,0))</f>
        <v>0</v>
      </c>
      <c r="EZ69" s="1">
        <f>MIN(6,SUMIFS($EY$3:EY69,$EX$3:EX69,"&gt;="&amp;MAX(1,EX69-Boss参数!$B$87+1),$EX$3:EX69,"&lt;="&amp;EX69))</f>
        <v>6</v>
      </c>
      <c r="FA69" s="1">
        <f t="shared" si="138"/>
        <v>35</v>
      </c>
      <c r="FB69" s="17">
        <f>IF(L69="BOSS_CONSERVATIVE",B69+Boss参数!$B$91,FB68)</f>
        <v>0</v>
      </c>
      <c r="FC69" s="17">
        <f t="shared" si="139"/>
        <v>0</v>
      </c>
      <c r="FD69" s="17">
        <f>IF(D69="",FD68,FD68+IF(AND(DG69&lt;&gt;DG68,INDEX(回合状态!$C$7:$C$17,MATCH(DG69,回合状态!$A$7:$A$17,0))&lt;&gt;"洞穿"),1,0))</f>
        <v>5</v>
      </c>
      <c r="FE69" s="17">
        <f>IF(D69="",0,IF(AND(OR(L69="END_TURN",DH69="敌方"),INDEX(回合状态!$C$7:$C$17,MATCH(DG69,回合状态!$A$7:$A$17,0))&lt;&gt;"洞穿",SUMIFS($FE$3:FE68,$DG$3:DG68,DG69)=0),1,0))</f>
        <v>0</v>
      </c>
    </row>
    <row r="70" spans="1:161" ht="84.95" customHeight="1">
      <c r="A70" s="1">
        <f>行动模拟!A76</f>
        <v>68</v>
      </c>
      <c r="B70" s="1">
        <f>IF(D70="",0,INDEX(回合状态!$B$7:$B$17,MATCH(DG70,回合状态!$A$7:$A$17,0)))</f>
        <v>4</v>
      </c>
      <c r="C70" s="1">
        <f>行动模拟!C76</f>
        <v>8</v>
      </c>
      <c r="D70" s="1" t="str">
        <f>IF(行动模拟!D76="","",行动模拟!D76)</f>
        <v>37｜数与几何的王国</v>
      </c>
      <c r="E70" s="1" t="str">
        <f>IF($D70="","",IFERROR(INDEX(技能数据库!$B$4:$B$38,MATCH($D70,技能数据库!$A$4:$A$38,0)),""))</f>
        <v>37</v>
      </c>
      <c r="F70" s="1" t="str">
        <f>IF($D70="","",IFERROR(INDEX(技能数据库!$C$4:$C$38,MATCH($D70,技能数据库!$A$4:$A$38,0)),""))</f>
        <v>数与几何的王国</v>
      </c>
      <c r="G70" s="1">
        <f>IF($D70="","",IFERROR(INDEX(技能数据库!$D$4:$D$38,MATCH($D70,技能数据库!$A$4:$A$38,0)),""))</f>
        <v>0</v>
      </c>
      <c r="H70" s="1" t="str">
        <f>IF($D70="","",IFERROR(INDEX(技能数据库!$E$4:$E$38,MATCH($D70,技能数据库!$A$4:$A$38,0)),""))</f>
        <v>仪式</v>
      </c>
      <c r="I70" s="1" t="str">
        <f>IF($D70="","",IFERROR(INDEX(技能数据库!$F$4:$F$38,MATCH($D70,技能数据库!$A$4:$A$38,0)),""))</f>
        <v>无</v>
      </c>
      <c r="J70" s="1">
        <f>IF($D70="","",IFERROR(INDEX(技能数据库!$G$4:$G$38,MATCH($D70,技能数据库!$A$4:$A$38,0)),""))</f>
        <v>0</v>
      </c>
      <c r="K70" s="1">
        <f>IF($D70="","",IFERROR(INDEX(技能数据库!$H$4:$H$38,MATCH($D70,技能数据库!$A$4:$A$38,0)),""))</f>
        <v>0</v>
      </c>
      <c r="L70" s="1" t="str">
        <f>IF($D70="","",IFERROR(INDEX(技能数据库!$I$4:$I$38,MATCH($D70,技能数据库!$A$4:$A$38,0)),""))</f>
        <v>37_ULT</v>
      </c>
      <c r="M70" s="10">
        <v>1</v>
      </c>
      <c r="N70" s="1"/>
      <c r="O70" s="1"/>
      <c r="P70" s="1"/>
      <c r="Q70" s="10">
        <f t="shared" si="70"/>
        <v>0</v>
      </c>
      <c r="R70" s="10">
        <v>0</v>
      </c>
      <c r="S70" s="10">
        <v>0</v>
      </c>
      <c r="T70" s="1">
        <f>行动模拟!I76</f>
        <v>0</v>
      </c>
      <c r="U70" s="1">
        <f>IF(FD70&lt;&gt;FD69,IF(BY69=1,IF(MIN(10,CA69+IF(AND(DG70&lt;&gt;DG69,DH69&lt;&gt;"洞穿",SUMIFS($FE$3:FE69,$DG$3:DG69,DG69)=0,BY69=1),3,0))&gt;=10,2,1),IF(BY69=2,IF(BZ69&lt;=1,0,2),0)),BY69)</f>
        <v>1</v>
      </c>
      <c r="V70" s="1">
        <f>IF(FD70&lt;&gt;FD69,IF(BY69=1,IF(MIN(10,CA69+IF(AND(DG70&lt;&gt;DG69,DH69&lt;&gt;"洞穿",SUMIFS($FE$3:FE69,$DG$3:DG69,DG69)=0,BY69=1),3,0))&gt;=10,2,0),IF(BY69=2,MAX(0,BZ69-1),0)),BZ69)</f>
        <v>0</v>
      </c>
      <c r="W70" s="1">
        <f>IF(AND(FD70&lt;&gt;FD69,BY69=2,BZ69&lt;=1),0,MIN(10,CA69+IF(AND(DG70&lt;&gt;DG69,DH69&lt;&gt;"洞穿",SUMIFS($FE$3:FE69,$DG$3:DG69,DG69)=0,BY69=1),3,0)))</f>
        <v>3</v>
      </c>
      <c r="X70" s="1">
        <f t="shared" si="112"/>
        <v>12</v>
      </c>
      <c r="Y70" s="1">
        <f t="shared" si="113"/>
        <v>0</v>
      </c>
      <c r="Z70" s="1">
        <f t="shared" si="114"/>
        <v>0</v>
      </c>
      <c r="AA70" s="1">
        <f t="shared" si="115"/>
        <v>0</v>
      </c>
      <c r="AB70" s="1">
        <f t="shared" si="116"/>
        <v>2</v>
      </c>
      <c r="AC70" s="1">
        <f t="shared" si="117"/>
        <v>0</v>
      </c>
      <c r="AD70" s="1">
        <f t="shared" si="118"/>
        <v>35</v>
      </c>
      <c r="AE70" s="1">
        <f>IF(D70="",0,IF(DG70&lt;&gt;DG69,IFERROR(INDEX(回合状态!$F$7:$F$17,MATCH(DG70,回合状态!$A$7:$A$17,0)),0),CI69))</f>
        <v>30</v>
      </c>
      <c r="AF70" s="10">
        <f t="shared" si="119"/>
        <v>0.875</v>
      </c>
      <c r="AG70" s="1">
        <f t="shared" si="120"/>
        <v>6</v>
      </c>
      <c r="AH70" s="1">
        <f t="shared" si="121"/>
        <v>6</v>
      </c>
      <c r="AI70" s="1">
        <f t="shared" si="122"/>
        <v>6</v>
      </c>
      <c r="AJ70" s="1">
        <f t="shared" si="123"/>
        <v>7</v>
      </c>
      <c r="AK70" s="1">
        <f t="shared" si="124"/>
        <v>6</v>
      </c>
      <c r="AL70" s="1">
        <f t="shared" si="125"/>
        <v>3</v>
      </c>
      <c r="AM70" s="1">
        <f t="shared" si="126"/>
        <v>30</v>
      </c>
      <c r="AN70" s="1">
        <f t="shared" si="127"/>
        <v>4</v>
      </c>
      <c r="AO70" s="1">
        <f t="shared" si="128"/>
        <v>0</v>
      </c>
      <c r="AP70" s="10">
        <f t="shared" si="129"/>
        <v>0.12</v>
      </c>
      <c r="AQ70" s="1">
        <f t="shared" si="130"/>
        <v>6</v>
      </c>
      <c r="AR70" s="10">
        <f t="shared" si="131"/>
        <v>0.3</v>
      </c>
      <c r="AS70" s="1">
        <f t="shared" si="132"/>
        <v>6</v>
      </c>
      <c r="AT70" s="10">
        <f t="shared" si="133"/>
        <v>0.3</v>
      </c>
      <c r="AU70" s="1">
        <f t="shared" si="134"/>
        <v>6</v>
      </c>
      <c r="AV70" s="1">
        <f>MIN(5,SUMIFS($EL$3:EL70,$B$3:B70,"&gt;="&amp;MAX(1,B70-2),$B$3:B70,"&lt;="&amp;B70)+EC70)</f>
        <v>5</v>
      </c>
      <c r="AW70" s="1">
        <f>MIN(6,SUMIFS($EY$3:EY69,$EX$3:EX69,"&gt;="&amp;MAX(1,EX70-Boss参数!$B$87+1),$EX$3:EX69,"&lt;="&amp;EX70))</f>
        <v>6</v>
      </c>
      <c r="AX70" s="1">
        <f>MIN(4,COUNTIFS($B$3:$B$69,"&gt;="&amp;MAX(1,$B70-2),$B$3:$B$69,"&lt;="&amp;$B70,$L$3:$L$69,"37_FOLLOW"))</f>
        <v>4</v>
      </c>
      <c r="AY70" s="9">
        <f>IF($E70="","",IF($E70="系统",0,ROUNDDOWN(INDEX(角色面板!$C$4:$C$7,MATCH($E70,角色面板!$A$4:$A$7,0))*(1+INDEX(角色面板!$C$11:$C$14,MATCH($E70,角色面板!$A$11:$A$14,0))+IF($E70="小瑞安侬",MAX(IF($B70&lt;=$AQ70,$AP70,0),IF(AND($L70="RHI_ATTACK",$EE70&gt;0),0.11+0.01*$G70,0)),0)+IF($E70="J",$AD70*Boss参数!$B$18,0))+IF(FD70&lt;=$AN70,MIN(Boss参数!$B$21,ROUNDDOWN(角色面板!$C$19*Boss参数!$B$20,0)),0)+IF(AND($B70&lt;=$AK70,$E70&lt;&gt;"小瑞安侬"),$DY70,0),0)))</f>
        <v>3017</v>
      </c>
      <c r="AZ70" s="10">
        <f>IF($E70="","",MAX(0,MIN(1,IFERROR(INDEX(角色面板!$G$18:$G$21,MATCH($E70,角色面板!$A$18:$A$21,0)),0)-FC70*Boss参数!$B$89-Boss参数!$E$4)))</f>
        <v>0.76</v>
      </c>
      <c r="BA70" s="10">
        <f>IF(E70="","",(IF($E70="","",IF($E70="红弩箭",Boss参数!$B$80,IF($E70="J",Boss参数!$B$81,IFERROR(INDEX(角色面板!$H$18:$H$21,MATCH($E70,角色面板!$A$18:$A$21,0)),0)))+IF($B70&lt;=$AI70,Boss参数!$B$13,0)+MIN(30,$AM70)*Boss参数!$B$17+IF(AND($L70="LILYA_ULT",$X70&gt;=6),1,0)+IF(AND($Y70=1,$L70="LILYA_INSIGHT"),IF(MOD($AA70+1,3)=0,Boss参数!$B$83,Boss参数!$B$82),IF(AND($Y70=1,$L70="LILYA_FINISH"),Boss参数!$B$84,0))))-FC70*Boss参数!$B$90)</f>
        <v>2.4780000000000002</v>
      </c>
      <c r="BB70" s="10">
        <f>IF($E70="","",IFERROR(INDEX(角色面板!$M$18:$M$21,MATCH($E70,角色面板!$A$18:$A$21,0)),0)+$AW70*Boss参数!$B$12+IF($B70&lt;=$AG70,$AF70,0)+$EI70+IF($L70="LILYA_DIVE",IF($U70=1,IF($G70=1,0.3,IF($G70=2,0.4,0.5)),IF($U70=2,IF($G70=1,0.6,IF($G70=2,0.8,1)),0)),0)+$R70+IF(AND($E70="J",OR($L70="J_COUNTER",$L70="J_HARD")),Boss参数!$B$79,0)+IF(AND(OR(L70="J_COUNTER",L70="J_HARD"),FA70&gt;=Boss参数!$B$59),FA70*Boss参数!$B$40,0))</f>
        <v>1.2949999999999999</v>
      </c>
      <c r="BC70" s="10">
        <f>IF($E70="","",IFERROR(INDEX(角色面板!$K$18:$K$21,MATCH($E70,角色面板!$A$18:$A$21,0)),0)+IF($B70&lt;=$AH70,Boss参数!$B$46,0)+IF($E70="红弩箭",IF($U70=1,0.6,IF($U70=2,1.2,0))+$W70*0.06,0))-DI70*Boss参数!$B$23</f>
        <v>-0.7</v>
      </c>
      <c r="BD70" s="10">
        <f>IF($E70="","",IFERROR(INDEX(角色面板!$L$18:$L$21,MATCH($E70,角色面板!$A$18:$A$21,0)),0)+IF($B70&lt;=$AH70,Boss参数!$B$46,0)+IF($E70="J",$AL70*Boss参数!$B$16,0)+IF($E70="红弩箭",$X70*0.025,0)+IF(AND($L70="LILYA_ULT",$X70&gt;=6),1,0))-DI70*Boss参数!$B$23</f>
        <v>-0.3</v>
      </c>
      <c r="BE70" s="10">
        <f>IF($E70="","",IF($H70="洞知",IF($E70="红弩箭",$AO70*Boss参数!$B$15,0)+$AX70*Boss参数!$B$14,0))</f>
        <v>0</v>
      </c>
      <c r="BF70" s="10">
        <f t="shared" si="71"/>
        <v>0</v>
      </c>
      <c r="BG70" s="10">
        <f>IF($D70="",0,IF(AND($L70&lt;&gt;"LILYA_DIVE",$L70&lt;&gt;"LILYA_ULT",$L70&lt;&gt;"LILYA_INSIGHT",$L70&lt;&gt;"LILYA_FINISH",$L70&lt;&gt;"37_FOLLOW",$L70&lt;&gt;"RHI_ATTACK",$L70&lt;&gt;"RHI_BERRY",$L70&lt;&gt;"J_COUNTER",$L70&lt;&gt;"J_ULT"),$J70,0)+IF($L70="LILYA_DIVE",$J70+IF($U70=1,IF($G70=1,6,IF($G70=2,12,18)),IF($U70=2,IF($G70=1,12,IF($G70=2,24,36)),0)),0)+IF($L70="LILYA_ULT",$J70+IF($X70&gt;=6,18,0),0)+IF($L70="LILYA_INSIGHT",IF($Y70=1,IF(MOD($AA70+1,3)=0,32,15),0),0)+IF($L70="LILYA_FINISH",IF($Y70=1,50+2.5*$Z70,0),0)+IF($L70="37_FOLLOW",$J70,0)+IF($L70="RHI_ATTACK",$J70*IF($B70&lt;=$AJ70,2,1),0)+IF($L70="RHI_BERRY",15+1.5*$AV70,0)+IF($L70="J_COUNTER",$J70+$AD70*Boss参数!$B$39,0)+IF($L70="J_ULT",$J70+Boss参数!$B$45*MAX(0,$AE70+$AD70-Boss参数!$I$4),0)+$S70)</f>
        <v>0</v>
      </c>
      <c r="BH70" s="10">
        <f t="shared" si="72"/>
        <v>0</v>
      </c>
      <c r="BI70" s="10">
        <f>IF(E70="","",IF(DT70=1,1+Boss参数!$B$8+AV70*Boss参数!$B$19,1))</f>
        <v>1.5</v>
      </c>
      <c r="BJ70" s="9">
        <f>IF($I70="现实",Boss参数!$C$4,IF($I70="精神",Boss参数!$D$4,0))</f>
        <v>0</v>
      </c>
      <c r="BK70" s="9">
        <f>IF($E70="","",MAX($AY70*Boss参数!$B$9,$AY70-$BJ70*(1-$BF70)))</f>
        <v>3017</v>
      </c>
      <c r="BL70" s="10">
        <f>MAX(0,Boss参数!$F$4+IF(DT70=0,Boss参数!$B$27,0)-EJ70)</f>
        <v>0.10000000000000003</v>
      </c>
      <c r="BM70" s="10">
        <f>Boss参数!$G$4+DU70-IF(Y70=1,Boss参数!$B$11,0)</f>
        <v>0.60000000000000009</v>
      </c>
      <c r="BN70" s="10">
        <f>IF($E70="","",MAX(Boss参数!$B$10,1+IFERROR(INDEX(角色面板!$I$18:$I$21,MATCH($E70,角色面板!$A$18:$A$21,0)),0)+$BB70+Boss参数!$H$4-$BM70))</f>
        <v>1.6999999999999997</v>
      </c>
      <c r="BO70" s="10">
        <f>IF(E70="","",IF(OR(L70="J_COUNTER",L70="J_HARD"),MAX(0,1+INDEX(角色面板!$K$18:$K$21,MATCH(E70,角色面板!$A$18:$A$21,0))-DI70*Boss参数!$B$23+IF(OR(Boss参数!$B$43=1,L70="J_HARD"),IF(B70&lt;=AH70,Boss参数!$B$46,0),0)),MAX(0,IF(OR(H70="术法",L70="RHI_BERRY",AND(L70="37_FOLLOW",Boss参数!$B$31=1)),1+BC70,IF(H70="仪式",1+BD70,IF(H70="洞知",EK70,1))))))</f>
        <v>0.7</v>
      </c>
      <c r="BP70" s="10">
        <f t="shared" si="73"/>
        <v>2.3780000000000001</v>
      </c>
      <c r="BQ70" s="1">
        <f t="shared" si="74"/>
        <v>0</v>
      </c>
      <c r="BR70" s="1">
        <f t="shared" si="75"/>
        <v>0</v>
      </c>
      <c r="BS70" s="1">
        <f>IF(BH70=0,0,ROUNDDOWN(AY70*BH70,0)*DV70*IF(Boss参数!$B$29=1,BN70,1)*IF(Boss参数!$B$33=1,BO70,1)*IF(Boss参数!$B$76=1,1-ES70,1))</f>
        <v>0</v>
      </c>
      <c r="BT70" s="1">
        <f t="shared" si="76"/>
        <v>0</v>
      </c>
      <c r="BU70" s="9">
        <f>IF(D70="",0,MIN(IF(Boss参数!$B$77=1,Boss参数!$B$63*Boss参数!$B$62,Boss参数!$B$61*Boss参数!$B$62),DW70+ROUNDDOWN(BS70,0)+ROUNDDOWN(DW70*Q70,0)))</f>
        <v>0</v>
      </c>
      <c r="BV70" s="9">
        <f>IF(D70="",0,MIN(IF(Boss参数!$B$77=1,Boss参数!$B$63*Boss参数!$B$62,Boss参数!$B$61*Boss参数!$B$62),DX70+ROUNDDOWN(BT70,0)+ROUNDDOWN(DX70*Q70,0)))</f>
        <v>0</v>
      </c>
      <c r="BW70" s="9">
        <f t="shared" si="77"/>
        <v>0</v>
      </c>
      <c r="BX70" s="1" t="str">
        <f t="shared" si="78"/>
        <v/>
      </c>
      <c r="BY70" s="1">
        <f t="shared" si="79"/>
        <v>1</v>
      </c>
      <c r="BZ70" s="1">
        <f t="shared" si="80"/>
        <v>0</v>
      </c>
      <c r="CA70" s="1">
        <f>MIN(10,W70+IF(AND(L70="LILYA_COBRA",COUNTIF($L$3:L70,"LILYA_COBRA")=1),5,0)+IF(AND(L70="LILYA_DIVE",U70=1,COUNTIFS($DG$3:DG70,DG70,$L$3:L70,"LILYA_DIVE")=1),2,0)+IF(AND(FE70=1,U70=1),3,0))</f>
        <v>3</v>
      </c>
      <c r="CB70" s="1">
        <f>MIN(20,MAX(0,X70+IF(L70="LILYA_COBRA",IF(COUNTIF($L$3:L70,"LILYA_COBRA")=1,6,IF(U70=1,MAX(1,G70),IF(U70=2,2*MAX(1,G70),0))),0)+IF(AND(Y70=1,E70="红弩箭",L70&lt;&gt;"ENTER_INSIGHT"),1,0)-IF(AND(L70="LILYA_ULT",X70&gt;=6),6,0)))</f>
        <v>12</v>
      </c>
      <c r="CC70" s="1">
        <f t="shared" si="81"/>
        <v>0</v>
      </c>
      <c r="CD70" s="1">
        <f t="shared" si="82"/>
        <v>0</v>
      </c>
      <c r="CE70" s="1">
        <f t="shared" si="83"/>
        <v>0</v>
      </c>
      <c r="CF70" s="1">
        <f t="shared" si="84"/>
        <v>5</v>
      </c>
      <c r="CG70" s="1">
        <f t="shared" si="85"/>
        <v>2</v>
      </c>
      <c r="CH70" s="1">
        <f>MIN(35,AD70+IF(L70="J_HARD",6,0)+IF(L70="J_COUNTER",Boss参数!$B$30,0))</f>
        <v>35</v>
      </c>
      <c r="CI70" s="1">
        <f>MIN(Boss参数!$I$4,AE70+IF(L70="J_HARD",6,0)+IF(L70="J_ULT",AD70,0)+IF(L70="J_COUNTER",Boss参数!$B$30,0))</f>
        <v>30</v>
      </c>
      <c r="CJ70" s="10">
        <f>IF(L70="J_ULT",AD70*Boss参数!$B$41,IF(B70&lt;=AG70,AF70,0))</f>
        <v>0.875</v>
      </c>
      <c r="CK70" s="1">
        <f t="shared" si="86"/>
        <v>6</v>
      </c>
      <c r="CL70" s="1">
        <f t="shared" si="87"/>
        <v>6</v>
      </c>
      <c r="CM70" s="1">
        <f t="shared" si="88"/>
        <v>6</v>
      </c>
      <c r="CN70" s="1">
        <f t="shared" si="89"/>
        <v>7</v>
      </c>
      <c r="CO70" s="1">
        <f t="shared" si="90"/>
        <v>6</v>
      </c>
      <c r="CP70" s="1">
        <f t="shared" si="91"/>
        <v>3</v>
      </c>
      <c r="CQ70" s="1">
        <f t="shared" si="92"/>
        <v>30</v>
      </c>
      <c r="CR70" s="1">
        <f t="shared" si="93"/>
        <v>6</v>
      </c>
      <c r="CS70" s="1">
        <f t="shared" si="94"/>
        <v>0</v>
      </c>
      <c r="CT70" s="10">
        <f t="shared" si="95"/>
        <v>0.12</v>
      </c>
      <c r="CU70" s="1">
        <f t="shared" si="96"/>
        <v>6</v>
      </c>
      <c r="CV70" s="10">
        <f t="shared" si="97"/>
        <v>0.3</v>
      </c>
      <c r="CW70" s="1">
        <f t="shared" si="98"/>
        <v>6</v>
      </c>
      <c r="CX70" s="10">
        <f t="shared" si="99"/>
        <v>0.3</v>
      </c>
      <c r="CY70" s="1">
        <f t="shared" si="100"/>
        <v>6</v>
      </c>
      <c r="CZ70" s="1"/>
      <c r="DA70" s="1"/>
      <c r="DB70" s="1"/>
      <c r="DC70" s="1"/>
      <c r="DD70" s="1"/>
      <c r="DE70" s="1"/>
      <c r="DF70" s="1"/>
      <c r="DG70" s="1">
        <f>IF(D70="","",行动模拟!B76)</f>
        <v>4</v>
      </c>
      <c r="DH70" s="1" t="str">
        <f>IF(L70="END_TURN","回合结束",IF(D70="","",IF(INDEX(回合状态!$C$7:$C$17,MATCH(DG70,回合状态!$A$7:$A$17,0))="洞穿","洞穿",IF(OR(L70="J_COUNTER",L70="BOSS_ACTION",L70="BOSS_CONSERVATIVE"),"敌方",IF(AND(L70="37_FOLLOW",DG70=DG69,DH69="敌方"),"敌方",IF(INDEX(回合状态!$C$7:$C$17,MATCH(DG70,回合状态!$A$7:$A$17,0))="普通","出牌",INDEX(回合状态!$C$7:$C$17,MATCH(DG70,回合状态!$A$7:$A$17,0))))))))</f>
        <v>出牌</v>
      </c>
      <c r="DI70" s="1">
        <f t="shared" si="101"/>
        <v>4</v>
      </c>
      <c r="DJ70" s="1">
        <f>IF(D70="",0,MIN(Boss参数!$B$25,IF(OR(AND(DH70="敌方",OR(DH69&lt;&gt;"敌方",DG70&lt;&gt;DG69)),AND(L70="END_TURN",DH70&lt;&gt;"洞穿"),AND(DG70&lt;&gt;DG69,DH69&lt;&gt;"洞穿",L69&lt;&gt;"END_TURN",COUNTIFS($DG$3:DG69,DG69,$DH$3:DH69,"敌方")=0)),EW70,DN69)))</f>
        <v>5</v>
      </c>
      <c r="DK70" s="1">
        <f>IF(D70="",0,MIN(Boss参数!$B$25,IF(OR(AND(DH70="敌方",OR(DH69&lt;&gt;"敌方",DG70&lt;&gt;DG69)),AND(L70="END_TURN",DH70&lt;&gt;"洞穿"),AND(DG70&lt;&gt;DG69,DH69&lt;&gt;"洞穿",L69&lt;&gt;"END_TURN",COUNTIFS($DG$3:DG69,DG69,$DH$3:DH69,"敌方")=0)),EW70,DO69)))</f>
        <v>4</v>
      </c>
      <c r="DL70" s="1">
        <f>IF(D70="",0,MIN(Boss参数!$B$25,IF(OR(AND(DH70="敌方",OR(DH69&lt;&gt;"敌方",DG70&lt;&gt;DG69)),AND(L70="END_TURN",DH70&lt;&gt;"洞穿"),AND(DG70&lt;&gt;DG69,DH69&lt;&gt;"洞穿",L69&lt;&gt;"END_TURN",COUNTIFS($DG$3:DG69,DG69,$DH$3:DH69,"敌方")=0)),EW70,DP69)))</f>
        <v>3</v>
      </c>
      <c r="DM70" s="1">
        <f>IF(D70="",0,MIN(Boss参数!$B$25,IF(OR(AND(DH70="敌方",OR(DH69&lt;&gt;"敌方",DG70&lt;&gt;DG69)),AND(L70="END_TURN",DH70&lt;&gt;"洞穿"),AND(DG70&lt;&gt;DG69,DH69&lt;&gt;"洞穿",L69&lt;&gt;"END_TURN",COUNTIFS($DG$3:DG69,DG69,$DH$3:DH69,"敌方")=0)),EW70,DQ69)))</f>
        <v>3</v>
      </c>
      <c r="DN70" s="1">
        <f>MAX(0,MIN(Boss参数!$B$25,DJ70+DR70)-IF(E70="红弩箭",2*DR70,0))</f>
        <v>5</v>
      </c>
      <c r="DO70" s="1">
        <f>MAX(0,MIN(Boss参数!$B$25,DK70+DR70)-IF(E70="37",2*DR70,0))</f>
        <v>4</v>
      </c>
      <c r="DP70" s="1">
        <f>MAX(0,MIN(Boss参数!$B$25,DL70+DR70)-IF(E70="小瑞安侬",2*DR70,0))</f>
        <v>3</v>
      </c>
      <c r="DQ70" s="1">
        <f>MAX(0,MIN(Boss参数!$B$25,DM70+DR70)-IF(E70="J",2*DR70,0))</f>
        <v>3</v>
      </c>
      <c r="DR70" s="1">
        <f t="shared" si="102"/>
        <v>0</v>
      </c>
      <c r="DS70" s="1">
        <f t="shared" si="103"/>
        <v>0</v>
      </c>
      <c r="DT70" s="1">
        <f>IF(OR(E70="",E70="系统"),0,IF(OR(AND(DS70=1,Boss参数!$B$32=1),L70="RHI_BERRY",OR(AND(INDEX(角色面板!$B$18:$B$21,MATCH(E70,角色面板!$A$18:$A$21,0))="星",Boss参数!$B$4="岩"),AND(INDEX(角色面板!$B$18:$B$21,MATCH(E70,角色面板!$A$18:$A$21,0))="岩",Boss参数!$B$4="兽"),AND(INDEX(角色面板!$B$18:$B$21,MATCH(E70,角色面板!$A$18:$A$21,0))="兽",Boss参数!$B$4="木"),AND(INDEX(角色面板!$B$18:$B$21,MATCH(E70,角色面板!$A$18:$A$21,0))="木",Boss参数!$B$4="星"),AND(INDEX(角色面板!$B$18:$B$21,MATCH(E70,角色面板!$A$18:$A$21,0))="智",Boss参数!$B$4="灵"),AND(INDEX(角色面板!$B$18:$B$21,MATCH(E70,角色面板!$A$18:$A$21,0))="灵",Boss参数!$B$4="智"))),1,0))</f>
        <v>1</v>
      </c>
      <c r="DU70" s="1">
        <f>IF(D70="",0,INDEX(回合状态!$E$7:$E$17,MATCH(DG70,回合状态!$A$7:$A$17,0))+IF(AND(DH70="敌方",OR(INDEX(回合状态!$C$7:$C$17,MATCH(DG70,回合状态!$A$7:$A$17,0))="普通",INDEX(回合状态!$C$7:$C$17,MATCH(DG70,回合状态!$A$7:$A$17,0))="额外")),0.05,0))</f>
        <v>0.2</v>
      </c>
      <c r="DV70" s="1">
        <f>MAX(Boss参数!$B$28,1+IF(AND(E70="37",AC70&gt;0,BH70&gt;0),Boss参数!$B$42,0)-DI70*Boss参数!$B$24+EA70-ER70)</f>
        <v>0</v>
      </c>
      <c r="DW70" s="1">
        <f>MIN(IF(Boss参数!$B$77=1,Boss参数!$B$63*Boss参数!$B$62,Boss参数!$B$61*Boss参数!$B$62),ROUNDDOWN(BQ70*(1-ES70),0))</f>
        <v>0</v>
      </c>
      <c r="DX70" s="1">
        <f>MIN(IF(Boss参数!$B$77=1,Boss参数!$B$63*Boss参数!$B$62,Boss参数!$B$61*Boss参数!$B$62),ROUNDDOWN(BR70*(1-ES70),0))</f>
        <v>0</v>
      </c>
      <c r="DY70" s="1">
        <f t="shared" si="135"/>
        <v>250</v>
      </c>
      <c r="DZ70" s="1">
        <f>IF(L70="RHI_ULT",MIN(Boss参数!$B$48,ROUNDDOWN(AY70*Boss参数!$B$47,0)),DY70)</f>
        <v>250</v>
      </c>
      <c r="EA70" s="11">
        <v>0</v>
      </c>
      <c r="EB70" s="1">
        <f t="shared" si="104"/>
        <v>0</v>
      </c>
      <c r="EC70" s="1">
        <f>SUMIFS($EB$3:EB70,$B$3:B70,"&gt;="&amp;MAX(1,B70-2),$B$3:B70,"&lt;="&amp;B70)*Boss参数!$B$51</f>
        <v>16</v>
      </c>
      <c r="ED70" s="1">
        <f>IF(D70="",EG69,IF(AND(DG70&lt;&gt;DG69,DH70&lt;&gt;"洞穿"),MIN(Boss参数!$B$55,EG69+2),EG69))</f>
        <v>0</v>
      </c>
      <c r="EE70" s="1">
        <f t="shared" si="105"/>
        <v>0</v>
      </c>
      <c r="EF70" s="1">
        <f>IF(AND(OR(L70="END_TURN",AND(DH70="敌方",OR(DH69&lt;&gt;"敌方",DG70&lt;&gt;DG69))),SUMIFS($EF$3:EF69,$DG$3:DG69,DG70)=0),MIN(1,MAX(0,ED70-EE70)),0)</f>
        <v>0</v>
      </c>
      <c r="EG70" s="1">
        <f t="shared" si="106"/>
        <v>0</v>
      </c>
      <c r="EH70" s="11">
        <f>Boss参数!$B$53-IF(Y70=1,Boss参数!$B$54,0)</f>
        <v>0</v>
      </c>
      <c r="EI70" s="11">
        <f t="shared" si="107"/>
        <v>0.3</v>
      </c>
      <c r="EJ70" s="11">
        <f t="shared" si="108"/>
        <v>0.3</v>
      </c>
      <c r="EK70" s="11">
        <f t="shared" si="109"/>
        <v>1</v>
      </c>
      <c r="EL70" s="1">
        <f t="shared" si="136"/>
        <v>0</v>
      </c>
      <c r="EM70" s="1">
        <f>IF(AND(DG70&lt;&gt;DG69,DH70="洞穿"),0,IF(L70="ENTER_INSIGHT",Boss参数!$B$57,EO69))</f>
        <v>0</v>
      </c>
      <c r="EN70" s="11">
        <f>IF(AND(Y70=1,H70="洞知",EM70&gt;0),Boss参数!$B$56,0)</f>
        <v>0</v>
      </c>
      <c r="EO70" s="1">
        <f t="shared" si="110"/>
        <v>0</v>
      </c>
      <c r="EP70" s="12">
        <f t="shared" si="137"/>
        <v>13388929</v>
      </c>
      <c r="EQ70" s="12">
        <f>ROUNDDOWN(EP70/Boss参数!$B$62,0)</f>
        <v>133</v>
      </c>
      <c r="ER70" s="11">
        <f>IF(EQ70&gt;=Boss参数!$B$66,Boss参数!$B$69,IF(EQ70&gt;=Boss参数!$B$65,Boss参数!$B$68,IF(EQ70&gt;=Boss参数!$B$64,Boss参数!$B$67,0)))</f>
        <v>0.9</v>
      </c>
      <c r="ES70" s="11">
        <f>MIN(1,IF(EQ70&gt;=Boss参数!$B$66,Boss参数!$B$72+ROUNDDOWN((EQ70-Boss参数!$B$66)/Boss参数!$B$73,0)*Boss参数!$B$74,IF(EQ70&gt;=Boss参数!$B$65,Boss参数!$B$71,IF(EQ70&gt;=Boss参数!$B$64,Boss参数!$B$70,0))))</f>
        <v>0.6</v>
      </c>
      <c r="ET70" s="12">
        <f>MIN(Boss参数!$B$61*Boss参数!$B$62,EP70+IF(AND(Boss参数!$B$60=1,ISNUMBER(验证表!H76)),验证表!H76,EU70))</f>
        <v>13388929</v>
      </c>
      <c r="EU70" s="12">
        <f>IF(D70="",0,IF(验证表!G76="是",BV70,IF(验证表!G76="否",BU70,BW70)))</f>
        <v>0</v>
      </c>
      <c r="EV70" s="12">
        <f>IF(EQ70&gt;=Boss参数!$B$66,2,IF(EQ70&gt;=Boss参数!$B$65,1,0))</f>
        <v>2</v>
      </c>
      <c r="EW70" s="12">
        <f t="shared" si="111"/>
        <v>3</v>
      </c>
      <c r="EX70" s="1">
        <f>IF(D70="",0,INDEX(回合状态!$D$7:$D$17,MATCH(DG70,回合状态!$A$7:$A$17,0)))</f>
        <v>4</v>
      </c>
      <c r="EY70" s="1">
        <f>IF(OR(L70="RHI_ATTACK",L70="RHI_BUFF"),1,IF(L70="RHI_ULT",Boss参数!$B$52,0))</f>
        <v>0</v>
      </c>
      <c r="EZ70" s="1">
        <f>MIN(6,SUMIFS($EY$3:EY70,$EX$3:EX70,"&gt;="&amp;MAX(1,EX70-Boss参数!$B$87+1),$EX$3:EX70,"&lt;="&amp;EX70))</f>
        <v>6</v>
      </c>
      <c r="FA70" s="1">
        <f t="shared" si="138"/>
        <v>35</v>
      </c>
      <c r="FB70" s="17">
        <f>IF(L70="BOSS_CONSERVATIVE",B70+Boss参数!$B$91,FB69)</f>
        <v>0</v>
      </c>
      <c r="FC70" s="17">
        <f t="shared" si="139"/>
        <v>0</v>
      </c>
      <c r="FD70" s="17">
        <f>IF(D70="",FD69,FD69+IF(AND(DG70&lt;&gt;DG69,INDEX(回合状态!$C$7:$C$17,MATCH(DG70,回合状态!$A$7:$A$17,0))&lt;&gt;"洞穿"),1,0))</f>
        <v>5</v>
      </c>
      <c r="FE70" s="17">
        <f>IF(D70="",0,IF(AND(OR(L70="END_TURN",DH70="敌方"),INDEX(回合状态!$C$7:$C$17,MATCH(DG70,回合状态!$A$7:$A$17,0))&lt;&gt;"洞穿",SUMIFS($FE$3:FE69,$DG$3:DG69,DG70)=0),1,0))</f>
        <v>0</v>
      </c>
    </row>
    <row r="71" spans="1:161" ht="84.95" customHeight="1">
      <c r="A71" s="1">
        <f>行动模拟!A77</f>
        <v>69</v>
      </c>
      <c r="B71" s="1">
        <f>IF(D71="",0,INDEX(回合状态!$B$7:$B$17,MATCH(DG71,回合状态!$A$7:$A$17,0)))</f>
        <v>4</v>
      </c>
      <c r="C71" s="1">
        <f>行动模拟!C77</f>
        <v>9</v>
      </c>
      <c r="D71" s="1" t="str">
        <f>IF(行动模拟!D77="","",行动模拟!D77)</f>
        <v>37｜补充算式</v>
      </c>
      <c r="E71" s="1" t="str">
        <f>IF($D71="","",IFERROR(INDEX(技能数据库!$B$4:$B$38,MATCH($D71,技能数据库!$A$4:$A$38,0)),""))</f>
        <v>37</v>
      </c>
      <c r="F71" s="1" t="str">
        <f>IF($D71="","",IFERROR(INDEX(技能数据库!$C$4:$C$38,MATCH($D71,技能数据库!$A$4:$A$38,0)),""))</f>
        <v>补充算式</v>
      </c>
      <c r="G71" s="1">
        <f>IF($D71="","",IFERROR(INDEX(技能数据库!$D$4:$D$38,MATCH($D71,技能数据库!$A$4:$A$38,0)),""))</f>
        <v>0</v>
      </c>
      <c r="H71" s="1" t="str">
        <f>IF($D71="","",IFERROR(INDEX(技能数据库!$E$4:$E$38,MATCH($D71,技能数据库!$A$4:$A$38,0)),""))</f>
        <v>额外行动</v>
      </c>
      <c r="I71" s="1" t="str">
        <f>IF($D71="","",IFERROR(INDEX(技能数据库!$F$4:$F$38,MATCH($D71,技能数据库!$A$4:$A$38,0)),""))</f>
        <v>精神</v>
      </c>
      <c r="J71" s="1">
        <f>IF($D71="","",IFERROR(INDEX(技能数据库!$G$4:$G$38,MATCH($D71,技能数据库!$A$4:$A$38,0)),""))</f>
        <v>3</v>
      </c>
      <c r="K71" s="1">
        <f>IF($D71="","",IFERROR(INDEX(技能数据库!$H$4:$H$38,MATCH($D71,技能数据库!$A$4:$A$38,0)),""))</f>
        <v>1</v>
      </c>
      <c r="L71" s="1" t="str">
        <f>IF($D71="","",IFERROR(INDEX(技能数据库!$I$4:$I$38,MATCH($D71,技能数据库!$A$4:$A$38,0)),""))</f>
        <v>37_FOLLOW</v>
      </c>
      <c r="M71" s="10">
        <v>1</v>
      </c>
      <c r="N71" s="1"/>
      <c r="O71" s="1"/>
      <c r="P71" s="1"/>
      <c r="Q71" s="10">
        <f t="shared" si="70"/>
        <v>0</v>
      </c>
      <c r="R71" s="10">
        <v>0</v>
      </c>
      <c r="S71" s="10">
        <v>0</v>
      </c>
      <c r="T71" s="1">
        <f>行动模拟!I77</f>
        <v>0</v>
      </c>
      <c r="U71" s="1">
        <f>IF(FD71&lt;&gt;FD70,IF(BY70=1,IF(MIN(10,CA70+IF(AND(DG71&lt;&gt;DG70,DH70&lt;&gt;"洞穿",SUMIFS($FE$3:FE70,$DG$3:DG70,DG70)=0,BY70=1),3,0))&gt;=10,2,1),IF(BY70=2,IF(BZ70&lt;=1,0,2),0)),BY70)</f>
        <v>1</v>
      </c>
      <c r="V71" s="1">
        <f>IF(FD71&lt;&gt;FD70,IF(BY70=1,IF(MIN(10,CA70+IF(AND(DG71&lt;&gt;DG70,DH70&lt;&gt;"洞穿",SUMIFS($FE$3:FE70,$DG$3:DG70,DG70)=0,BY70=1),3,0))&gt;=10,2,0),IF(BY70=2,MAX(0,BZ70-1),0)),BZ70)</f>
        <v>0</v>
      </c>
      <c r="W71" s="1">
        <f>IF(AND(FD71&lt;&gt;FD70,BY70=2,BZ70&lt;=1),0,MIN(10,CA70+IF(AND(DG71&lt;&gt;DG70,DH70&lt;&gt;"洞穿",SUMIFS($FE$3:FE70,$DG$3:DG70,DG70)=0,BY70=1),3,0)))</f>
        <v>3</v>
      </c>
      <c r="X71" s="1">
        <f t="shared" si="112"/>
        <v>12</v>
      </c>
      <c r="Y71" s="1">
        <f t="shared" si="113"/>
        <v>0</v>
      </c>
      <c r="Z71" s="1">
        <f t="shared" si="114"/>
        <v>0</v>
      </c>
      <c r="AA71" s="1">
        <f t="shared" si="115"/>
        <v>0</v>
      </c>
      <c r="AB71" s="1">
        <f t="shared" si="116"/>
        <v>5</v>
      </c>
      <c r="AC71" s="1">
        <f t="shared" si="117"/>
        <v>2</v>
      </c>
      <c r="AD71" s="1">
        <f t="shared" si="118"/>
        <v>35</v>
      </c>
      <c r="AE71" s="1">
        <f>IF(D71="",0,IF(DG71&lt;&gt;DG70,IFERROR(INDEX(回合状态!$F$7:$F$17,MATCH(DG71,回合状态!$A$7:$A$17,0)),0),CI70))</f>
        <v>30</v>
      </c>
      <c r="AF71" s="10">
        <f t="shared" si="119"/>
        <v>0.875</v>
      </c>
      <c r="AG71" s="1">
        <f t="shared" si="120"/>
        <v>6</v>
      </c>
      <c r="AH71" s="1">
        <f t="shared" si="121"/>
        <v>6</v>
      </c>
      <c r="AI71" s="1">
        <f t="shared" si="122"/>
        <v>6</v>
      </c>
      <c r="AJ71" s="1">
        <f t="shared" si="123"/>
        <v>7</v>
      </c>
      <c r="AK71" s="1">
        <f t="shared" si="124"/>
        <v>6</v>
      </c>
      <c r="AL71" s="1">
        <f t="shared" si="125"/>
        <v>3</v>
      </c>
      <c r="AM71" s="1">
        <f t="shared" si="126"/>
        <v>30</v>
      </c>
      <c r="AN71" s="1">
        <f t="shared" si="127"/>
        <v>6</v>
      </c>
      <c r="AO71" s="1">
        <f t="shared" si="128"/>
        <v>0</v>
      </c>
      <c r="AP71" s="10">
        <f t="shared" si="129"/>
        <v>0.12</v>
      </c>
      <c r="AQ71" s="1">
        <f t="shared" si="130"/>
        <v>6</v>
      </c>
      <c r="AR71" s="10">
        <f t="shared" si="131"/>
        <v>0.3</v>
      </c>
      <c r="AS71" s="1">
        <f t="shared" si="132"/>
        <v>6</v>
      </c>
      <c r="AT71" s="10">
        <f t="shared" si="133"/>
        <v>0.3</v>
      </c>
      <c r="AU71" s="1">
        <f t="shared" si="134"/>
        <v>6</v>
      </c>
      <c r="AV71" s="1">
        <f>MIN(5,SUMIFS($EL$3:EL71,$B$3:B71,"&gt;="&amp;MAX(1,B71-2),$B$3:B71,"&lt;="&amp;B71)+EC71)</f>
        <v>5</v>
      </c>
      <c r="AW71" s="1">
        <f>MIN(6,SUMIFS($EY$3:EY70,$EX$3:EX70,"&gt;="&amp;MAX(1,EX71-Boss参数!$B$87+1),$EX$3:EX70,"&lt;="&amp;EX71))</f>
        <v>6</v>
      </c>
      <c r="AX71" s="1">
        <f>MIN(4,COUNTIFS($B$3:$B$70,"&gt;="&amp;MAX(1,$B71-2),$B$3:$B$70,"&lt;="&amp;$B71,$L$3:$L$70,"37_FOLLOW"))</f>
        <v>4</v>
      </c>
      <c r="AY71" s="9">
        <f>IF($E71="","",IF($E71="系统",0,ROUNDDOWN(INDEX(角色面板!$C$4:$C$7,MATCH($E71,角色面板!$A$4:$A$7,0))*(1+INDEX(角色面板!$C$11:$C$14,MATCH($E71,角色面板!$A$11:$A$14,0))+IF($E71="小瑞安侬",MAX(IF($B71&lt;=$AQ71,$AP71,0),IF(AND($L71="RHI_ATTACK",$EE71&gt;0),0.11+0.01*$G71,0)),0)+IF($E71="J",$AD71*Boss参数!$B$18,0))+IF(FD71&lt;=$AN71,MIN(Boss参数!$B$21,ROUNDDOWN(角色面板!$C$19*Boss参数!$B$20,0)),0)+IF(AND($B71&lt;=$AK71,$E71&lt;&gt;"小瑞安侬"),$DY71,0),0)))</f>
        <v>3517</v>
      </c>
      <c r="AZ71" s="10">
        <f>IF($E71="","",MAX(0,MIN(1,IFERROR(INDEX(角色面板!$G$18:$G$21,MATCH($E71,角色面板!$A$18:$A$21,0)),0)-FC71*Boss参数!$B$89-Boss参数!$E$4)))</f>
        <v>0.76</v>
      </c>
      <c r="BA71" s="10">
        <f>IF(E71="","",(IF($E71="","",IF($E71="红弩箭",Boss参数!$B$80,IF($E71="J",Boss参数!$B$81,IFERROR(INDEX(角色面板!$H$18:$H$21,MATCH($E71,角色面板!$A$18:$A$21,0)),0)))+IF($B71&lt;=$AI71,Boss参数!$B$13,0)+MIN(30,$AM71)*Boss参数!$B$17+IF(AND($L71="LILYA_ULT",$X71&gt;=6),1,0)+IF(AND($Y71=1,$L71="LILYA_INSIGHT"),IF(MOD($AA71+1,3)=0,Boss参数!$B$83,Boss参数!$B$82),IF(AND($Y71=1,$L71="LILYA_FINISH"),Boss参数!$B$84,0))))-FC71*Boss参数!$B$90)</f>
        <v>2.4780000000000002</v>
      </c>
      <c r="BB71" s="10">
        <f>IF($E71="","",IFERROR(INDEX(角色面板!$M$18:$M$21,MATCH($E71,角色面板!$A$18:$A$21,0)),0)+$AW71*Boss参数!$B$12+IF($B71&lt;=$AG71,$AF71,0)+$EI71+IF($L71="LILYA_DIVE",IF($U71=1,IF($G71=1,0.3,IF($G71=2,0.4,0.5)),IF($U71=2,IF($G71=1,0.6,IF($G71=2,0.8,1)),0)),0)+$R71+IF(AND($E71="J",OR($L71="J_COUNTER",$L71="J_HARD")),Boss参数!$B$79,0)+IF(AND(OR(L71="J_COUNTER",L71="J_HARD"),FA71&gt;=Boss参数!$B$59),FA71*Boss参数!$B$40,0))</f>
        <v>1.2949999999999999</v>
      </c>
      <c r="BC71" s="10">
        <f>IF($E71="","",IFERROR(INDEX(角色面板!$K$18:$K$21,MATCH($E71,角色面板!$A$18:$A$21,0)),0)+IF($B71&lt;=$AH71,Boss参数!$B$46,0)+IF($E71="红弩箭",IF($U71=1,0.6,IF($U71=2,1.2,0))+$W71*0.06,0))-DI71*Boss参数!$B$23</f>
        <v>-0.7</v>
      </c>
      <c r="BD71" s="10">
        <f>IF($E71="","",IFERROR(INDEX(角色面板!$L$18:$L$21,MATCH($E71,角色面板!$A$18:$A$21,0)),0)+IF($B71&lt;=$AH71,Boss参数!$B$46,0)+IF($E71="J",$AL71*Boss参数!$B$16,0)+IF($E71="红弩箭",$X71*0.025,0)+IF(AND($L71="LILYA_ULT",$X71&gt;=6),1,0))-DI71*Boss参数!$B$23</f>
        <v>-0.3</v>
      </c>
      <c r="BE71" s="10">
        <f>IF($E71="","",IF($H71="洞知",IF($E71="红弩箭",$AO71*Boss参数!$B$15,0)+$AX71*Boss参数!$B$14,0))</f>
        <v>0</v>
      </c>
      <c r="BF71" s="10">
        <f t="shared" si="71"/>
        <v>0</v>
      </c>
      <c r="BG71" s="10">
        <f>IF($D71="",0,IF(AND($L71&lt;&gt;"LILYA_DIVE",$L71&lt;&gt;"LILYA_ULT",$L71&lt;&gt;"LILYA_INSIGHT",$L71&lt;&gt;"LILYA_FINISH",$L71&lt;&gt;"37_FOLLOW",$L71&lt;&gt;"RHI_ATTACK",$L71&lt;&gt;"RHI_BERRY",$L71&lt;&gt;"J_COUNTER",$L71&lt;&gt;"J_ULT"),$J71,0)+IF($L71="LILYA_DIVE",$J71+IF($U71=1,IF($G71=1,6,IF($G71=2,12,18)),IF($U71=2,IF($G71=1,12,IF($G71=2,24,36)),0)),0)+IF($L71="LILYA_ULT",$J71+IF($X71&gt;=6,18,0),0)+IF($L71="LILYA_INSIGHT",IF($Y71=1,IF(MOD($AA71+1,3)=0,32,15),0),0)+IF($L71="LILYA_FINISH",IF($Y71=1,50+2.5*$Z71,0),0)+IF($L71="37_FOLLOW",$J71,0)+IF($L71="RHI_ATTACK",$J71*IF($B71&lt;=$AJ71,2,1),0)+IF($L71="RHI_BERRY",15+1.5*$AV71,0)+IF($L71="J_COUNTER",$J71+$AD71*Boss参数!$B$39,0)+IF($L71="J_ULT",$J71+Boss参数!$B$45*MAX(0,$AE71+$AD71-Boss参数!$I$4),0)+$S71)</f>
        <v>3</v>
      </c>
      <c r="BH71" s="10">
        <f t="shared" si="72"/>
        <v>1</v>
      </c>
      <c r="BI71" s="10">
        <f>IF(E71="","",IF(DT71=1,1+Boss参数!$B$8+AV71*Boss参数!$B$19,1))</f>
        <v>1.5</v>
      </c>
      <c r="BJ71" s="9">
        <f>IF($I71="现实",Boss参数!$C$4,IF($I71="精神",Boss参数!$D$4,0))</f>
        <v>1000</v>
      </c>
      <c r="BK71" s="9">
        <f>IF($E71="","",MAX($AY71*Boss参数!$B$9,$AY71-$BJ71*(1-$BF71)))</f>
        <v>2517</v>
      </c>
      <c r="BL71" s="10">
        <f>MAX(0,Boss参数!$F$4+IF(DT71=0,Boss参数!$B$27,0)-EJ71)</f>
        <v>0.10000000000000003</v>
      </c>
      <c r="BM71" s="10">
        <f>Boss参数!$G$4+DU71-IF(Y71=1,Boss参数!$B$11,0)</f>
        <v>0.60000000000000009</v>
      </c>
      <c r="BN71" s="10">
        <f>IF($E71="","",MAX(Boss参数!$B$10,1+IFERROR(INDEX(角色面板!$I$18:$I$21,MATCH($E71,角色面板!$A$18:$A$21,0)),0)+$BB71+Boss参数!$H$4-$BM71))</f>
        <v>1.6999999999999997</v>
      </c>
      <c r="BO71" s="10">
        <f>IF(E71="","",IF(OR(L71="J_COUNTER",L71="J_HARD"),MAX(0,1+INDEX(角色面板!$K$18:$K$21,MATCH(E71,角色面板!$A$18:$A$21,0))-DI71*Boss参数!$B$23+IF(OR(Boss参数!$B$43=1,L71="J_HARD"),IF(B71&lt;=AH71,Boss参数!$B$46,0),0)),MAX(0,IF(OR(H71="术法",L71="RHI_BERRY",AND(L71="37_FOLLOW",Boss参数!$B$31=1)),1+BC71,IF(H71="仪式",1+BD71,IF(H71="洞知",EK71,1))))))</f>
        <v>0.30000000000000004</v>
      </c>
      <c r="BP71" s="10">
        <f t="shared" si="73"/>
        <v>2.3780000000000001</v>
      </c>
      <c r="BQ71" s="1">
        <f t="shared" si="74"/>
        <v>5776.5149999999994</v>
      </c>
      <c r="BR71" s="1">
        <f t="shared" si="75"/>
        <v>13736.552669999999</v>
      </c>
      <c r="BS71" s="1">
        <f>IF(BH71=0,0,ROUNDDOWN(AY71*BH71,0)*DV71*IF(Boss参数!$B$29=1,BN71,1)*IF(Boss参数!$B$33=1,BO71,1)*IF(Boss参数!$B$76=1,1-ES71,1))</f>
        <v>1758.4999999999995</v>
      </c>
      <c r="BT71" s="1">
        <f t="shared" si="76"/>
        <v>4181.7129999999988</v>
      </c>
      <c r="BU71" s="9">
        <f>IF(D71="",0,MIN(IF(Boss参数!$B$77=1,Boss参数!$B$63*Boss参数!$B$62,Boss参数!$B$61*Boss参数!$B$62),DW71+ROUNDDOWN(BS71,0)+ROUNDDOWN(DW71*Q71,0)))</f>
        <v>4068</v>
      </c>
      <c r="BV71" s="9">
        <f>IF(D71="",0,MIN(IF(Boss参数!$B$77=1,Boss参数!$B$63*Boss参数!$B$62,Boss参数!$B$61*Boss参数!$B$62),DX71+ROUNDDOWN(BT71,0)+ROUNDDOWN(DX71*Q71,0)))</f>
        <v>9675</v>
      </c>
      <c r="BW71" s="9">
        <f t="shared" si="77"/>
        <v>8329</v>
      </c>
      <c r="BX71" s="1" t="str">
        <f t="shared" si="78"/>
        <v/>
      </c>
      <c r="BY71" s="1">
        <f t="shared" si="79"/>
        <v>1</v>
      </c>
      <c r="BZ71" s="1">
        <f t="shared" si="80"/>
        <v>0</v>
      </c>
      <c r="CA71" s="1">
        <f>MIN(10,W71+IF(AND(L71="LILYA_COBRA",COUNTIF($L$3:L71,"LILYA_COBRA")=1),5,0)+IF(AND(L71="LILYA_DIVE",U71=1,COUNTIFS($DG$3:DG71,DG71,$L$3:L71,"LILYA_DIVE")=1),2,0)+IF(AND(FE71=1,U71=1),3,0))</f>
        <v>3</v>
      </c>
      <c r="CB71" s="1">
        <f>MIN(20,MAX(0,X71+IF(L71="LILYA_COBRA",IF(COUNTIF($L$3:L71,"LILYA_COBRA")=1,6,IF(U71=1,MAX(1,G71),IF(U71=2,2*MAX(1,G71),0))),0)+IF(AND(Y71=1,E71="红弩箭",L71&lt;&gt;"ENTER_INSIGHT"),1,0)-IF(AND(L71="LILYA_ULT",X71&gt;=6),6,0)))</f>
        <v>12</v>
      </c>
      <c r="CC71" s="1">
        <f t="shared" si="81"/>
        <v>0</v>
      </c>
      <c r="CD71" s="1">
        <f t="shared" si="82"/>
        <v>0</v>
      </c>
      <c r="CE71" s="1">
        <f t="shared" si="83"/>
        <v>0</v>
      </c>
      <c r="CF71" s="1">
        <f t="shared" si="84"/>
        <v>0</v>
      </c>
      <c r="CG71" s="1">
        <f t="shared" si="85"/>
        <v>1</v>
      </c>
      <c r="CH71" s="1">
        <f>MIN(35,AD71+IF(L71="J_HARD",6,0)+IF(L71="J_COUNTER",Boss参数!$B$30,0))</f>
        <v>35</v>
      </c>
      <c r="CI71" s="1">
        <f>MIN(Boss参数!$I$4,AE71+IF(L71="J_HARD",6,0)+IF(L71="J_ULT",AD71,0)+IF(L71="J_COUNTER",Boss参数!$B$30,0))</f>
        <v>30</v>
      </c>
      <c r="CJ71" s="10">
        <f>IF(L71="J_ULT",AD71*Boss参数!$B$41,IF(B71&lt;=AG71,AF71,0))</f>
        <v>0.875</v>
      </c>
      <c r="CK71" s="1">
        <f t="shared" si="86"/>
        <v>6</v>
      </c>
      <c r="CL71" s="1">
        <f t="shared" si="87"/>
        <v>6</v>
      </c>
      <c r="CM71" s="1">
        <f t="shared" si="88"/>
        <v>6</v>
      </c>
      <c r="CN71" s="1">
        <f t="shared" si="89"/>
        <v>7</v>
      </c>
      <c r="CO71" s="1">
        <f t="shared" si="90"/>
        <v>6</v>
      </c>
      <c r="CP71" s="1">
        <f t="shared" si="91"/>
        <v>3</v>
      </c>
      <c r="CQ71" s="1">
        <f t="shared" si="92"/>
        <v>30</v>
      </c>
      <c r="CR71" s="1">
        <f t="shared" si="93"/>
        <v>6</v>
      </c>
      <c r="CS71" s="1">
        <f t="shared" si="94"/>
        <v>0</v>
      </c>
      <c r="CT71" s="10">
        <f t="shared" si="95"/>
        <v>0.12</v>
      </c>
      <c r="CU71" s="1">
        <f t="shared" si="96"/>
        <v>6</v>
      </c>
      <c r="CV71" s="10">
        <f t="shared" si="97"/>
        <v>0.3</v>
      </c>
      <c r="CW71" s="1">
        <f t="shared" si="98"/>
        <v>6</v>
      </c>
      <c r="CX71" s="10">
        <f t="shared" si="99"/>
        <v>0.3</v>
      </c>
      <c r="CY71" s="1">
        <f t="shared" si="100"/>
        <v>6</v>
      </c>
      <c r="CZ71" s="1"/>
      <c r="DA71" s="1"/>
      <c r="DB71" s="1"/>
      <c r="DC71" s="1"/>
      <c r="DD71" s="1"/>
      <c r="DE71" s="1"/>
      <c r="DF71" s="1"/>
      <c r="DG71" s="1">
        <f>IF(D71="","",行动模拟!B77)</f>
        <v>4</v>
      </c>
      <c r="DH71" s="1" t="str">
        <f>IF(L71="END_TURN","回合结束",IF(D71="","",IF(INDEX(回合状态!$C$7:$C$17,MATCH(DG71,回合状态!$A$7:$A$17,0))="洞穿","洞穿",IF(OR(L71="J_COUNTER",L71="BOSS_ACTION",L71="BOSS_CONSERVATIVE"),"敌方",IF(AND(L71="37_FOLLOW",DG71=DG70,DH70="敌方"),"敌方",IF(INDEX(回合状态!$C$7:$C$17,MATCH(DG71,回合状态!$A$7:$A$17,0))="普通","出牌",INDEX(回合状态!$C$7:$C$17,MATCH(DG71,回合状态!$A$7:$A$17,0))))))))</f>
        <v>出牌</v>
      </c>
      <c r="DI71" s="1">
        <f t="shared" si="101"/>
        <v>4</v>
      </c>
      <c r="DJ71" s="1">
        <f>IF(D71="",0,MIN(Boss参数!$B$25,IF(OR(AND(DH71="敌方",OR(DH70&lt;&gt;"敌方",DG71&lt;&gt;DG70)),AND(L71="END_TURN",DH71&lt;&gt;"洞穿"),AND(DG71&lt;&gt;DG70,DH70&lt;&gt;"洞穿",L70&lt;&gt;"END_TURN",COUNTIFS($DG$3:DG70,DG70,$DH$3:DH70,"敌方")=0)),EW71,DN70)))</f>
        <v>5</v>
      </c>
      <c r="DK71" s="1">
        <f>IF(D71="",0,MIN(Boss参数!$B$25,IF(OR(AND(DH71="敌方",OR(DH70&lt;&gt;"敌方",DG71&lt;&gt;DG70)),AND(L71="END_TURN",DH71&lt;&gt;"洞穿"),AND(DG71&lt;&gt;DG70,DH70&lt;&gt;"洞穿",L70&lt;&gt;"END_TURN",COUNTIFS($DG$3:DG70,DG70,$DH$3:DH70,"敌方")=0)),EW71,DO70)))</f>
        <v>4</v>
      </c>
      <c r="DL71" s="1">
        <f>IF(D71="",0,MIN(Boss参数!$B$25,IF(OR(AND(DH71="敌方",OR(DH70&lt;&gt;"敌方",DG71&lt;&gt;DG70)),AND(L71="END_TURN",DH71&lt;&gt;"洞穿"),AND(DG71&lt;&gt;DG70,DH70&lt;&gt;"洞穿",L70&lt;&gt;"END_TURN",COUNTIFS($DG$3:DG70,DG70,$DH$3:DH70,"敌方")=0)),EW71,DP70)))</f>
        <v>3</v>
      </c>
      <c r="DM71" s="1">
        <f>IF(D71="",0,MIN(Boss参数!$B$25,IF(OR(AND(DH71="敌方",OR(DH70&lt;&gt;"敌方",DG71&lt;&gt;DG70)),AND(L71="END_TURN",DH71&lt;&gt;"洞穿"),AND(DG71&lt;&gt;DG70,DH70&lt;&gt;"洞穿",L70&lt;&gt;"END_TURN",COUNTIFS($DG$3:DG70,DG70,$DH$3:DH70,"敌方")=0)),EW71,DQ70)))</f>
        <v>3</v>
      </c>
      <c r="DN71" s="1">
        <f>MAX(0,MIN(Boss参数!$B$25,DJ71+DR71)-IF(E71="红弩箭",2*DR71,0))</f>
        <v>5</v>
      </c>
      <c r="DO71" s="1">
        <f>MAX(0,MIN(Boss参数!$B$25,DK71+DR71)-IF(E71="37",2*DR71,0))</f>
        <v>3</v>
      </c>
      <c r="DP71" s="1">
        <f>MAX(0,MIN(Boss参数!$B$25,DL71+DR71)-IF(E71="小瑞安侬",2*DR71,0))</f>
        <v>4</v>
      </c>
      <c r="DQ71" s="1">
        <f>MAX(0,MIN(Boss参数!$B$25,DM71+DR71)-IF(E71="J",2*DR71,0))</f>
        <v>4</v>
      </c>
      <c r="DR71" s="1">
        <f t="shared" si="102"/>
        <v>1</v>
      </c>
      <c r="DS71" s="1">
        <f t="shared" si="103"/>
        <v>0</v>
      </c>
      <c r="DT71" s="1">
        <f>IF(OR(E71="",E71="系统"),0,IF(OR(AND(DS71=1,Boss参数!$B$32=1),L71="RHI_BERRY",OR(AND(INDEX(角色面板!$B$18:$B$21,MATCH(E71,角色面板!$A$18:$A$21,0))="星",Boss参数!$B$4="岩"),AND(INDEX(角色面板!$B$18:$B$21,MATCH(E71,角色面板!$A$18:$A$21,0))="岩",Boss参数!$B$4="兽"),AND(INDEX(角色面板!$B$18:$B$21,MATCH(E71,角色面板!$A$18:$A$21,0))="兽",Boss参数!$B$4="木"),AND(INDEX(角色面板!$B$18:$B$21,MATCH(E71,角色面板!$A$18:$A$21,0))="木",Boss参数!$B$4="星"),AND(INDEX(角色面板!$B$18:$B$21,MATCH(E71,角色面板!$A$18:$A$21,0))="智",Boss参数!$B$4="灵"),AND(INDEX(角色面板!$B$18:$B$21,MATCH(E71,角色面板!$A$18:$A$21,0))="灵",Boss参数!$B$4="智"))),1,0))</f>
        <v>1</v>
      </c>
      <c r="DU71" s="1">
        <f>IF(D71="",0,INDEX(回合状态!$E$7:$E$17,MATCH(DG71,回合状态!$A$7:$A$17,0))+IF(AND(DH71="敌方",OR(INDEX(回合状态!$C$7:$C$17,MATCH(DG71,回合状态!$A$7:$A$17,0))="普通",INDEX(回合状态!$C$7:$C$17,MATCH(DG71,回合状态!$A$7:$A$17,0))="额外")),0.05,0))</f>
        <v>0.2</v>
      </c>
      <c r="DV71" s="1">
        <f>MAX(Boss参数!$B$28,1+IF(AND(E71="37",AC71&gt;0,BH71&gt;0),Boss参数!$B$42,0)-DI71*Boss参数!$B$24+EA71-ER71)</f>
        <v>0.49999999999999989</v>
      </c>
      <c r="DW71" s="1">
        <f>MIN(IF(Boss参数!$B$77=1,Boss参数!$B$63*Boss参数!$B$62,Boss参数!$B$61*Boss参数!$B$62),ROUNDDOWN(BQ71*(1-ES71),0))</f>
        <v>2310</v>
      </c>
      <c r="DX71" s="1">
        <f>MIN(IF(Boss参数!$B$77=1,Boss参数!$B$63*Boss参数!$B$62,Boss参数!$B$61*Boss参数!$B$62),ROUNDDOWN(BR71*(1-ES71),0))</f>
        <v>5494</v>
      </c>
      <c r="DY71" s="1">
        <f t="shared" si="135"/>
        <v>250</v>
      </c>
      <c r="DZ71" s="1">
        <f>IF(L71="RHI_ULT",MIN(Boss参数!$B$48,ROUNDDOWN(AY71*Boss参数!$B$47,0)),DY71)</f>
        <v>250</v>
      </c>
      <c r="EA71" s="11">
        <v>0</v>
      </c>
      <c r="EB71" s="1">
        <f t="shared" si="104"/>
        <v>0</v>
      </c>
      <c r="EC71" s="1">
        <f>SUMIFS($EB$3:EB71,$B$3:B71,"&gt;="&amp;MAX(1,B71-2),$B$3:B71,"&lt;="&amp;B71)*Boss参数!$B$51</f>
        <v>16</v>
      </c>
      <c r="ED71" s="1">
        <f>IF(D71="",EG70,IF(AND(DG71&lt;&gt;DG70,DH71&lt;&gt;"洞穿"),MIN(Boss参数!$B$55,EG70+2),EG70))</f>
        <v>0</v>
      </c>
      <c r="EE71" s="1">
        <f t="shared" si="105"/>
        <v>0</v>
      </c>
      <c r="EF71" s="1">
        <f>IF(AND(OR(L71="END_TURN",AND(DH71="敌方",OR(DH70&lt;&gt;"敌方",DG71&lt;&gt;DG70))),SUMIFS($EF$3:EF70,$DG$3:DG70,DG71)=0),MIN(1,MAX(0,ED71-EE71)),0)</f>
        <v>0</v>
      </c>
      <c r="EG71" s="1">
        <f t="shared" si="106"/>
        <v>0</v>
      </c>
      <c r="EH71" s="11">
        <f>Boss参数!$B$53-IF(Y71=1,Boss参数!$B$54,0)</f>
        <v>0</v>
      </c>
      <c r="EI71" s="11">
        <f t="shared" si="107"/>
        <v>0.3</v>
      </c>
      <c r="EJ71" s="11">
        <f t="shared" si="108"/>
        <v>0.3</v>
      </c>
      <c r="EK71" s="11">
        <f t="shared" si="109"/>
        <v>1</v>
      </c>
      <c r="EL71" s="1">
        <f t="shared" si="136"/>
        <v>0</v>
      </c>
      <c r="EM71" s="1">
        <f>IF(AND(DG71&lt;&gt;DG70,DH71="洞穿"),0,IF(L71="ENTER_INSIGHT",Boss参数!$B$57,EO70))</f>
        <v>0</v>
      </c>
      <c r="EN71" s="11">
        <f>IF(AND(Y71=1,H71="洞知",EM71&gt;0),Boss参数!$B$56,0)</f>
        <v>0</v>
      </c>
      <c r="EO71" s="1">
        <f t="shared" si="110"/>
        <v>0</v>
      </c>
      <c r="EP71" s="12">
        <f t="shared" si="137"/>
        <v>13388929</v>
      </c>
      <c r="EQ71" s="12">
        <f>ROUNDDOWN(EP71/Boss参数!$B$62,0)</f>
        <v>133</v>
      </c>
      <c r="ER71" s="11">
        <f>IF(EQ71&gt;=Boss参数!$B$66,Boss参数!$B$69,IF(EQ71&gt;=Boss参数!$B$65,Boss参数!$B$68,IF(EQ71&gt;=Boss参数!$B$64,Boss参数!$B$67,0)))</f>
        <v>0.9</v>
      </c>
      <c r="ES71" s="11">
        <f>MIN(1,IF(EQ71&gt;=Boss参数!$B$66,Boss参数!$B$72+ROUNDDOWN((EQ71-Boss参数!$B$66)/Boss参数!$B$73,0)*Boss参数!$B$74,IF(EQ71&gt;=Boss参数!$B$65,Boss参数!$B$71,IF(EQ71&gt;=Boss参数!$B$64,Boss参数!$B$70,0))))</f>
        <v>0.6</v>
      </c>
      <c r="ET71" s="12">
        <f>MIN(Boss参数!$B$61*Boss参数!$B$62,EP71+IF(AND(Boss参数!$B$60=1,ISNUMBER(验证表!H77)),验证表!H77,EU71))</f>
        <v>13398604</v>
      </c>
      <c r="EU71" s="12">
        <f>IF(D71="",0,IF(验证表!G77="是",BV71,IF(验证表!G77="否",BU71,BW71)))</f>
        <v>9675</v>
      </c>
      <c r="EV71" s="12">
        <f>IF(EQ71&gt;=Boss参数!$B$66,2,IF(EQ71&gt;=Boss参数!$B$65,1,0))</f>
        <v>2</v>
      </c>
      <c r="EW71" s="12">
        <f t="shared" si="111"/>
        <v>3</v>
      </c>
      <c r="EX71" s="1">
        <f>IF(D71="",0,INDEX(回合状态!$D$7:$D$17,MATCH(DG71,回合状态!$A$7:$A$17,0)))</f>
        <v>4</v>
      </c>
      <c r="EY71" s="1">
        <f>IF(OR(L71="RHI_ATTACK",L71="RHI_BUFF"),1,IF(L71="RHI_ULT",Boss参数!$B$52,0))</f>
        <v>0</v>
      </c>
      <c r="EZ71" s="1">
        <f>MIN(6,SUMIFS($EY$3:EY71,$EX$3:EX71,"&gt;="&amp;MAX(1,EX71-Boss参数!$B$87+1),$EX$3:EX71,"&lt;="&amp;EX71))</f>
        <v>6</v>
      </c>
      <c r="FA71" s="1">
        <f t="shared" si="138"/>
        <v>35</v>
      </c>
      <c r="FB71" s="17">
        <f>IF(L71="BOSS_CONSERVATIVE",B71+Boss参数!$B$91,FB70)</f>
        <v>0</v>
      </c>
      <c r="FC71" s="17">
        <f t="shared" si="139"/>
        <v>0</v>
      </c>
      <c r="FD71" s="17">
        <f>IF(D71="",FD70,FD70+IF(AND(DG71&lt;&gt;DG70,INDEX(回合状态!$C$7:$C$17,MATCH(DG71,回合状态!$A$7:$A$17,0))&lt;&gt;"洞穿"),1,0))</f>
        <v>5</v>
      </c>
      <c r="FE71" s="17">
        <f>IF(D71="",0,IF(AND(OR(L71="END_TURN",DH71="敌方"),INDEX(回合状态!$C$7:$C$17,MATCH(DG71,回合状态!$A$7:$A$17,0))&lt;&gt;"洞穿",SUMIFS($FE$3:FE70,$DG$3:DG70,DG71)=0),1,0))</f>
        <v>0</v>
      </c>
    </row>
    <row r="72" spans="1:161" ht="84.95" customHeight="1">
      <c r="A72" s="1">
        <f>行动模拟!A78</f>
        <v>70</v>
      </c>
      <c r="B72" s="1">
        <f>IF(D72="",0,INDEX(回合状态!$B$7:$B$17,MATCH(DG72,回合状态!$A$7:$A$17,0)))</f>
        <v>4</v>
      </c>
      <c r="C72" s="1">
        <f>行动模拟!C78</f>
        <v>10</v>
      </c>
      <c r="D72" s="1" t="str">
        <f>IF(行动模拟!D78="","",行动模拟!D78)</f>
        <v>红弩箭｜极限俯冲Ⅱ</v>
      </c>
      <c r="E72" s="1" t="str">
        <f>IF($D72="","",IFERROR(INDEX(技能数据库!$B$4:$B$38,MATCH($D72,技能数据库!$A$4:$A$38,0)),""))</f>
        <v>红弩箭</v>
      </c>
      <c r="F72" s="1" t="str">
        <f>IF($D72="","",IFERROR(INDEX(技能数据库!$C$4:$C$38,MATCH($D72,技能数据库!$A$4:$A$38,0)),""))</f>
        <v>极限俯冲</v>
      </c>
      <c r="G72" s="1">
        <f>IF($D72="","",IFERROR(INDEX(技能数据库!$D$4:$D$38,MATCH($D72,技能数据库!$A$4:$A$38,0)),""))</f>
        <v>2</v>
      </c>
      <c r="H72" s="1" t="str">
        <f>IF($D72="","",IFERROR(INDEX(技能数据库!$E$4:$E$38,MATCH($D72,技能数据库!$A$4:$A$38,0)),""))</f>
        <v>术法</v>
      </c>
      <c r="I72" s="1" t="str">
        <f>IF($D72="","",IFERROR(INDEX(技能数据库!$F$4:$F$38,MATCH($D72,技能数据库!$A$4:$A$38,0)),""))</f>
        <v>现实</v>
      </c>
      <c r="J72" s="1">
        <f>IF($D72="","",IFERROR(INDEX(技能数据库!$G$4:$G$38,MATCH($D72,技能数据库!$A$4:$A$38,0)),""))</f>
        <v>6</v>
      </c>
      <c r="K72" s="1">
        <f>IF($D72="","",IFERROR(INDEX(技能数据库!$H$4:$H$38,MATCH($D72,技能数据库!$A$4:$A$38,0)),""))</f>
        <v>0</v>
      </c>
      <c r="L72" s="1" t="str">
        <f>IF($D72="","",IFERROR(INDEX(技能数据库!$I$4:$I$38,MATCH($D72,技能数据库!$A$4:$A$38,0)),""))</f>
        <v>LILYA_DIVE</v>
      </c>
      <c r="M72" s="10">
        <v>1</v>
      </c>
      <c r="N72" s="1"/>
      <c r="O72" s="1"/>
      <c r="P72" s="1"/>
      <c r="Q72" s="10">
        <f t="shared" si="70"/>
        <v>0</v>
      </c>
      <c r="R72" s="10">
        <v>0</v>
      </c>
      <c r="S72" s="10">
        <v>0</v>
      </c>
      <c r="T72" s="1">
        <f>行动模拟!I78</f>
        <v>0</v>
      </c>
      <c r="U72" s="1">
        <f>IF(FD72&lt;&gt;FD71,IF(BY71=1,IF(MIN(10,CA71+IF(AND(DG72&lt;&gt;DG71,DH71&lt;&gt;"洞穿",SUMIFS($FE$3:FE71,$DG$3:DG71,DG71)=0,BY71=1),3,0))&gt;=10,2,1),IF(BY71=2,IF(BZ71&lt;=1,0,2),0)),BY71)</f>
        <v>1</v>
      </c>
      <c r="V72" s="1">
        <f>IF(FD72&lt;&gt;FD71,IF(BY71=1,IF(MIN(10,CA71+IF(AND(DG72&lt;&gt;DG71,DH71&lt;&gt;"洞穿",SUMIFS($FE$3:FE71,$DG$3:DG71,DG71)=0,BY71=1),3,0))&gt;=10,2,0),IF(BY71=2,MAX(0,BZ71-1),0)),BZ71)</f>
        <v>0</v>
      </c>
      <c r="W72" s="1">
        <f>IF(AND(FD72&lt;&gt;FD71,BY71=2,BZ71&lt;=1),0,MIN(10,CA71+IF(AND(DG72&lt;&gt;DG71,DH71&lt;&gt;"洞穿",SUMIFS($FE$3:FE71,$DG$3:DG71,DG71)=0,BY71=1),3,0)))</f>
        <v>3</v>
      </c>
      <c r="X72" s="1">
        <f t="shared" si="112"/>
        <v>12</v>
      </c>
      <c r="Y72" s="1">
        <f t="shared" si="113"/>
        <v>0</v>
      </c>
      <c r="Z72" s="1">
        <f t="shared" si="114"/>
        <v>0</v>
      </c>
      <c r="AA72" s="1">
        <f t="shared" si="115"/>
        <v>0</v>
      </c>
      <c r="AB72" s="1">
        <f t="shared" si="116"/>
        <v>0</v>
      </c>
      <c r="AC72" s="1">
        <f t="shared" si="117"/>
        <v>1</v>
      </c>
      <c r="AD72" s="1">
        <f t="shared" si="118"/>
        <v>35</v>
      </c>
      <c r="AE72" s="1">
        <f>IF(D72="",0,IF(DG72&lt;&gt;DG71,IFERROR(INDEX(回合状态!$F$7:$F$17,MATCH(DG72,回合状态!$A$7:$A$17,0)),0),CI71))</f>
        <v>30</v>
      </c>
      <c r="AF72" s="10">
        <f t="shared" si="119"/>
        <v>0.875</v>
      </c>
      <c r="AG72" s="1">
        <f t="shared" si="120"/>
        <v>6</v>
      </c>
      <c r="AH72" s="1">
        <f t="shared" si="121"/>
        <v>6</v>
      </c>
      <c r="AI72" s="1">
        <f t="shared" si="122"/>
        <v>6</v>
      </c>
      <c r="AJ72" s="1">
        <f t="shared" si="123"/>
        <v>7</v>
      </c>
      <c r="AK72" s="1">
        <f t="shared" si="124"/>
        <v>6</v>
      </c>
      <c r="AL72" s="1">
        <f t="shared" si="125"/>
        <v>3</v>
      </c>
      <c r="AM72" s="1">
        <f t="shared" si="126"/>
        <v>30</v>
      </c>
      <c r="AN72" s="1">
        <f t="shared" si="127"/>
        <v>6</v>
      </c>
      <c r="AO72" s="1">
        <f t="shared" si="128"/>
        <v>0</v>
      </c>
      <c r="AP72" s="10">
        <f t="shared" si="129"/>
        <v>0.12</v>
      </c>
      <c r="AQ72" s="1">
        <f t="shared" si="130"/>
        <v>6</v>
      </c>
      <c r="AR72" s="10">
        <f t="shared" si="131"/>
        <v>0.3</v>
      </c>
      <c r="AS72" s="1">
        <f t="shared" si="132"/>
        <v>6</v>
      </c>
      <c r="AT72" s="10">
        <f t="shared" si="133"/>
        <v>0.3</v>
      </c>
      <c r="AU72" s="1">
        <f t="shared" si="134"/>
        <v>6</v>
      </c>
      <c r="AV72" s="1">
        <f>MIN(5,SUMIFS($EL$3:EL72,$B$3:B72,"&gt;="&amp;MAX(1,B72-2),$B$3:B72,"&lt;="&amp;B72)+EC72)</f>
        <v>5</v>
      </c>
      <c r="AW72" s="1">
        <f>MIN(6,SUMIFS($EY$3:EY71,$EX$3:EX71,"&gt;="&amp;MAX(1,EX72-Boss参数!$B$87+1),$EX$3:EX71,"&lt;="&amp;EX72))</f>
        <v>6</v>
      </c>
      <c r="AX72" s="1">
        <f>MIN(4,COUNTIFS($B$3:$B$71,"&gt;="&amp;MAX(1,$B72-2),$B$3:$B$71,"&lt;="&amp;$B72,$L$3:$L$71,"37_FOLLOW"))</f>
        <v>4</v>
      </c>
      <c r="AY72" s="9">
        <f>IF($E72="","",IF($E72="系统",0,ROUNDDOWN(INDEX(角色面板!$C$4:$C$7,MATCH($E72,角色面板!$A$4:$A$7,0))*(1+INDEX(角色面板!$C$11:$C$14,MATCH($E72,角色面板!$A$11:$A$14,0))+IF($E72="小瑞安侬",MAX(IF($B72&lt;=$AQ72,$AP72,0),IF(AND($L72="RHI_ATTACK",$EE72&gt;0),0.11+0.01*$G72,0)),0)+IF($E72="J",$AD72*Boss参数!$B$18,0))+IF(FD72&lt;=$AN72,MIN(Boss参数!$B$21,ROUNDDOWN(角色面板!$C$19*Boss参数!$B$20,0)),0)+IF(AND($B72&lt;=$AK72,$E72&lt;&gt;"小瑞安侬"),$DY72,0),0)))</f>
        <v>3505</v>
      </c>
      <c r="AZ72" s="10">
        <f>IF($E72="","",MAX(0,MIN(1,IFERROR(INDEX(角色面板!$G$18:$G$21,MATCH($E72,角色面板!$A$18:$A$21,0)),0)-FC72*Boss参数!$B$89-Boss参数!$E$4)))</f>
        <v>1</v>
      </c>
      <c r="BA72" s="10">
        <f>IF(E72="","",(IF($E72="","",IF($E72="红弩箭",Boss参数!$B$80,IF($E72="J",Boss参数!$B$81,IFERROR(INDEX(角色面板!$H$18:$H$21,MATCH($E72,角色面板!$A$18:$A$21,0)),0)))+IF($B72&lt;=$AI72,Boss参数!$B$13,0)+MIN(30,$AM72)*Boss参数!$B$17+IF(AND($L72="LILYA_ULT",$X72&gt;=6),1,0)+IF(AND($Y72=1,$L72="LILYA_INSIGHT"),IF(MOD($AA72+1,3)=0,Boss参数!$B$83,Boss参数!$B$82),IF(AND($Y72=1,$L72="LILYA_FINISH"),Boss参数!$B$84,0))))-FC72*Boss参数!$B$90)</f>
        <v>2.3050000000000002</v>
      </c>
      <c r="BB72" s="10">
        <f>IF($E72="","",IFERROR(INDEX(角色面板!$M$18:$M$21,MATCH($E72,角色面板!$A$18:$A$21,0)),0)+$AW72*Boss参数!$B$12+IF($B72&lt;=$AG72,$AF72,0)+$EI72+IF($L72="LILYA_DIVE",IF($U72=1,IF($G72=1,0.3,IF($G72=2,0.4,0.5)),IF($U72=2,IF($G72=1,0.6,IF($G72=2,0.8,1)),0)),0)+$R72+IF(AND($E72="J",OR($L72="J_COUNTER",$L72="J_HARD")),Boss参数!$B$79,0)+IF(AND(OR(L72="J_COUNTER",L72="J_HARD"),FA72&gt;=Boss参数!$B$59),FA72*Boss参数!$B$40,0))</f>
        <v>1.9350000000000001</v>
      </c>
      <c r="BC72" s="10">
        <f>IF($E72="","",IFERROR(INDEX(角色面板!$K$18:$K$21,MATCH($E72,角色面板!$A$18:$A$21,0)),0)+IF($B72&lt;=$AH72,Boss参数!$B$46,0)+IF($E72="红弩箭",IF($U72=1,0.6,IF($U72=2,1.2,0))+$W72*0.06,0))-DI72*Boss参数!$B$23</f>
        <v>-7.0000000000000062E-2</v>
      </c>
      <c r="BD72" s="10">
        <f>IF($E72="","",IFERROR(INDEX(角色面板!$L$18:$L$21,MATCH($E72,角色面板!$A$18:$A$21,0)),0)+IF($B72&lt;=$AH72,Boss参数!$B$46,0)+IF($E72="J",$AL72*Boss参数!$B$16,0)+IF($E72="红弩箭",$X72*0.025,0)+IF(AND($L72="LILYA_ULT",$X72&gt;=6),1,0))-DI72*Boss参数!$B$23</f>
        <v>-0.14999999999999991</v>
      </c>
      <c r="BE72" s="10">
        <f>IF($E72="","",IF($H72="洞知",IF($E72="红弩箭",$AO72*Boss参数!$B$15,0)+$AX72*Boss参数!$B$14,0))</f>
        <v>0</v>
      </c>
      <c r="BF72" s="10">
        <f t="shared" si="71"/>
        <v>0</v>
      </c>
      <c r="BG72" s="10">
        <f>IF($D72="",0,IF(AND($L72&lt;&gt;"LILYA_DIVE",$L72&lt;&gt;"LILYA_ULT",$L72&lt;&gt;"LILYA_INSIGHT",$L72&lt;&gt;"LILYA_FINISH",$L72&lt;&gt;"37_FOLLOW",$L72&lt;&gt;"RHI_ATTACK",$L72&lt;&gt;"RHI_BERRY",$L72&lt;&gt;"J_COUNTER",$L72&lt;&gt;"J_ULT"),$J72,0)+IF($L72="LILYA_DIVE",$J72+IF($U72=1,IF($G72=1,6,IF($G72=2,12,18)),IF($U72=2,IF($G72=1,12,IF($G72=2,24,36)),0)),0)+IF($L72="LILYA_ULT",$J72+IF($X72&gt;=6,18,0),0)+IF($L72="LILYA_INSIGHT",IF($Y72=1,IF(MOD($AA72+1,3)=0,32,15),0),0)+IF($L72="LILYA_FINISH",IF($Y72=1,50+2.5*$Z72,0),0)+IF($L72="37_FOLLOW",$J72,0)+IF($L72="RHI_ATTACK",$J72*IF($B72&lt;=$AJ72,2,1),0)+IF($L72="RHI_BERRY",15+1.5*$AV72,0)+IF($L72="J_COUNTER",$J72+$AD72*Boss参数!$B$39,0)+IF($L72="J_ULT",$J72+Boss参数!$B$45*MAX(0,$AE72+$AD72-Boss参数!$I$4),0)+$S72)</f>
        <v>18</v>
      </c>
      <c r="BH72" s="10">
        <f t="shared" si="72"/>
        <v>0</v>
      </c>
      <c r="BI72" s="10">
        <f>IF(E72="","",IF(DT72=1,1+Boss参数!$B$8+AV72*Boss参数!$B$19,1))</f>
        <v>1.5</v>
      </c>
      <c r="BJ72" s="9">
        <f>IF($I72="现实",Boss参数!$C$4,IF($I72="精神",Boss参数!$D$4,0))</f>
        <v>1200</v>
      </c>
      <c r="BK72" s="9">
        <f>IF($E72="","",MAX($AY72*Boss参数!$B$9,$AY72-$BJ72*(1-$BF72)))</f>
        <v>2305</v>
      </c>
      <c r="BL72" s="10">
        <f>MAX(0,Boss参数!$F$4+IF(DT72=0,Boss参数!$B$27,0)-EJ72)</f>
        <v>0.10000000000000003</v>
      </c>
      <c r="BM72" s="10">
        <f>Boss参数!$G$4+DU72-IF(Y72=1,Boss参数!$B$11,0)</f>
        <v>0.60000000000000009</v>
      </c>
      <c r="BN72" s="10">
        <f>IF($E72="","",MAX(Boss参数!$B$10,1+IFERROR(INDEX(角色面板!$I$18:$I$21,MATCH($E72,角色面板!$A$18:$A$21,0)),0)+$BB72+Boss参数!$H$4-$BM72))</f>
        <v>2.4350000000000001</v>
      </c>
      <c r="BO72" s="10">
        <f>IF(E72="","",IF(OR(L72="J_COUNTER",L72="J_HARD"),MAX(0,1+INDEX(角色面板!$K$18:$K$21,MATCH(E72,角色面板!$A$18:$A$21,0))-DI72*Boss参数!$B$23+IF(OR(Boss参数!$B$43=1,L72="J_HARD"),IF(B72&lt;=AH72,Boss参数!$B$46,0),0)),MAX(0,IF(OR(H72="术法",L72="RHI_BERRY",AND(L72="37_FOLLOW",Boss参数!$B$31=1)),1+BC72,IF(H72="仪式",1+BD72,IF(H72="洞知",EK72,1))))))</f>
        <v>0.92999999999999994</v>
      </c>
      <c r="BP72" s="10">
        <f t="shared" si="73"/>
        <v>2.2050000000000001</v>
      </c>
      <c r="BQ72" s="1">
        <f t="shared" si="74"/>
        <v>140934.26925000001</v>
      </c>
      <c r="BR72" s="1">
        <f t="shared" si="75"/>
        <v>310760.06369625003</v>
      </c>
      <c r="BS72" s="1">
        <f>IF(BH72=0,0,ROUNDDOWN(AY72*BH72,0)*DV72*IF(Boss参数!$B$29=1,BN72,1)*IF(Boss参数!$B$33=1,BO72,1)*IF(Boss参数!$B$76=1,1-ES72,1))</f>
        <v>0</v>
      </c>
      <c r="BT72" s="1">
        <f t="shared" si="76"/>
        <v>0</v>
      </c>
      <c r="BU72" s="9">
        <f>IF(D72="",0,MIN(IF(Boss参数!$B$77=1,Boss参数!$B$63*Boss参数!$B$62,Boss参数!$B$61*Boss参数!$B$62),DW72+ROUNDDOWN(BS72,0)+ROUNDDOWN(DW72*Q72,0)))</f>
        <v>56373</v>
      </c>
      <c r="BV72" s="9">
        <f>IF(D72="",0,MIN(IF(Boss参数!$B$77=1,Boss参数!$B$63*Boss参数!$B$62,Boss参数!$B$61*Boss参数!$B$62),DX72+ROUNDDOWN(BT72,0)+ROUNDDOWN(DX72*Q72,0)))</f>
        <v>124304</v>
      </c>
      <c r="BW72" s="9">
        <f t="shared" si="77"/>
        <v>124304</v>
      </c>
      <c r="BX72" s="1" t="str">
        <f t="shared" si="78"/>
        <v/>
      </c>
      <c r="BY72" s="1">
        <f t="shared" si="79"/>
        <v>1</v>
      </c>
      <c r="BZ72" s="1">
        <f t="shared" si="80"/>
        <v>0</v>
      </c>
      <c r="CA72" s="1">
        <f>MIN(10,W72+IF(AND(L72="LILYA_COBRA",COUNTIF($L$3:L72,"LILYA_COBRA")=1),5,0)+IF(AND(L72="LILYA_DIVE",U72=1,COUNTIFS($DG$3:DG72,DG72,$L$3:L72,"LILYA_DIVE")=1),2,0)+IF(AND(FE72=1,U72=1),3,0))</f>
        <v>5</v>
      </c>
      <c r="CB72" s="1">
        <f>MIN(20,MAX(0,X72+IF(L72="LILYA_COBRA",IF(COUNTIF($L$3:L72,"LILYA_COBRA")=1,6,IF(U72=1,MAX(1,G72),IF(U72=2,2*MAX(1,G72),0))),0)+IF(AND(Y72=1,E72="红弩箭",L72&lt;&gt;"ENTER_INSIGHT"),1,0)-IF(AND(L72="LILYA_ULT",X72&gt;=6),6,0)))</f>
        <v>12</v>
      </c>
      <c r="CC72" s="1">
        <f t="shared" si="81"/>
        <v>0</v>
      </c>
      <c r="CD72" s="1">
        <f t="shared" si="82"/>
        <v>0</v>
      </c>
      <c r="CE72" s="1">
        <f t="shared" si="83"/>
        <v>0</v>
      </c>
      <c r="CF72" s="1">
        <f t="shared" si="84"/>
        <v>1</v>
      </c>
      <c r="CG72" s="1">
        <f t="shared" si="85"/>
        <v>1</v>
      </c>
      <c r="CH72" s="1">
        <f>MIN(35,AD72+IF(L72="J_HARD",6,0)+IF(L72="J_COUNTER",Boss参数!$B$30,0))</f>
        <v>35</v>
      </c>
      <c r="CI72" s="1">
        <f>MIN(Boss参数!$I$4,AE72+IF(L72="J_HARD",6,0)+IF(L72="J_ULT",AD72,0)+IF(L72="J_COUNTER",Boss参数!$B$30,0))</f>
        <v>30</v>
      </c>
      <c r="CJ72" s="10">
        <f>IF(L72="J_ULT",AD72*Boss参数!$B$41,IF(B72&lt;=AG72,AF72,0))</f>
        <v>0.875</v>
      </c>
      <c r="CK72" s="1">
        <f t="shared" si="86"/>
        <v>6</v>
      </c>
      <c r="CL72" s="1">
        <f t="shared" si="87"/>
        <v>6</v>
      </c>
      <c r="CM72" s="1">
        <f t="shared" si="88"/>
        <v>6</v>
      </c>
      <c r="CN72" s="1">
        <f t="shared" si="89"/>
        <v>7</v>
      </c>
      <c r="CO72" s="1">
        <f t="shared" si="90"/>
        <v>6</v>
      </c>
      <c r="CP72" s="1">
        <f t="shared" si="91"/>
        <v>3</v>
      </c>
      <c r="CQ72" s="1">
        <f t="shared" si="92"/>
        <v>30</v>
      </c>
      <c r="CR72" s="1">
        <f t="shared" si="93"/>
        <v>6</v>
      </c>
      <c r="CS72" s="1">
        <f t="shared" si="94"/>
        <v>0</v>
      </c>
      <c r="CT72" s="10">
        <f t="shared" si="95"/>
        <v>0.12</v>
      </c>
      <c r="CU72" s="1">
        <f t="shared" si="96"/>
        <v>6</v>
      </c>
      <c r="CV72" s="10">
        <f t="shared" si="97"/>
        <v>0.3</v>
      </c>
      <c r="CW72" s="1">
        <f t="shared" si="98"/>
        <v>6</v>
      </c>
      <c r="CX72" s="10">
        <f t="shared" si="99"/>
        <v>0.3</v>
      </c>
      <c r="CY72" s="1">
        <f t="shared" si="100"/>
        <v>6</v>
      </c>
      <c r="CZ72" s="1"/>
      <c r="DA72" s="1"/>
      <c r="DB72" s="1"/>
      <c r="DC72" s="1"/>
      <c r="DD72" s="1"/>
      <c r="DE72" s="1"/>
      <c r="DF72" s="1"/>
      <c r="DG72" s="1">
        <f>IF(D72="","",行动模拟!B78)</f>
        <v>4</v>
      </c>
      <c r="DH72" s="1" t="str">
        <f>IF(L72="END_TURN","回合结束",IF(D72="","",IF(INDEX(回合状态!$C$7:$C$17,MATCH(DG72,回合状态!$A$7:$A$17,0))="洞穿","洞穿",IF(OR(L72="J_COUNTER",L72="BOSS_ACTION",L72="BOSS_CONSERVATIVE"),"敌方",IF(AND(L72="37_FOLLOW",DG72=DG71,DH71="敌方"),"敌方",IF(INDEX(回合状态!$C$7:$C$17,MATCH(DG72,回合状态!$A$7:$A$17,0))="普通","出牌",INDEX(回合状态!$C$7:$C$17,MATCH(DG72,回合状态!$A$7:$A$17,0))))))))</f>
        <v>出牌</v>
      </c>
      <c r="DI72" s="1">
        <f t="shared" si="101"/>
        <v>5</v>
      </c>
      <c r="DJ72" s="1">
        <f>IF(D72="",0,MIN(Boss参数!$B$25,IF(OR(AND(DH72="敌方",OR(DH71&lt;&gt;"敌方",DG72&lt;&gt;DG71)),AND(L72="END_TURN",DH72&lt;&gt;"洞穿"),AND(DG72&lt;&gt;DG71,DH71&lt;&gt;"洞穿",L71&lt;&gt;"END_TURN",COUNTIFS($DG$3:DG71,DG71,$DH$3:DH71,"敌方")=0)),EW72,DN71)))</f>
        <v>5</v>
      </c>
      <c r="DK72" s="1">
        <f>IF(D72="",0,MIN(Boss参数!$B$25,IF(OR(AND(DH72="敌方",OR(DH71&lt;&gt;"敌方",DG72&lt;&gt;DG71)),AND(L72="END_TURN",DH72&lt;&gt;"洞穿"),AND(DG72&lt;&gt;DG71,DH71&lt;&gt;"洞穿",L71&lt;&gt;"END_TURN",COUNTIFS($DG$3:DG71,DG71,$DH$3:DH71,"敌方")=0)),EW72,DO71)))</f>
        <v>3</v>
      </c>
      <c r="DL72" s="1">
        <f>IF(D72="",0,MIN(Boss参数!$B$25,IF(OR(AND(DH72="敌方",OR(DH71&lt;&gt;"敌方",DG72&lt;&gt;DG71)),AND(L72="END_TURN",DH72&lt;&gt;"洞穿"),AND(DG72&lt;&gt;DG71,DH71&lt;&gt;"洞穿",L71&lt;&gt;"END_TURN",COUNTIFS($DG$3:DG71,DG71,$DH$3:DH71,"敌方")=0)),EW72,DP71)))</f>
        <v>4</v>
      </c>
      <c r="DM72" s="1">
        <f>IF(D72="",0,MIN(Boss参数!$B$25,IF(OR(AND(DH72="敌方",OR(DH71&lt;&gt;"敌方",DG72&lt;&gt;DG71)),AND(L72="END_TURN",DH72&lt;&gt;"洞穿"),AND(DG72&lt;&gt;DG71,DH71&lt;&gt;"洞穿",L71&lt;&gt;"END_TURN",COUNTIFS($DG$3:DG71,DG71,$DH$3:DH71,"敌方")=0)),EW72,DQ71)))</f>
        <v>4</v>
      </c>
      <c r="DN72" s="1">
        <f>MAX(0,MIN(Boss参数!$B$25,DJ72+DR72)-IF(E72="红弩箭",2*DR72,0))</f>
        <v>3</v>
      </c>
      <c r="DO72" s="1">
        <f>MAX(0,MIN(Boss参数!$B$25,DK72+DR72)-IF(E72="37",2*DR72,0))</f>
        <v>4</v>
      </c>
      <c r="DP72" s="1">
        <f>MAX(0,MIN(Boss参数!$B$25,DL72+DR72)-IF(E72="小瑞安侬",2*DR72,0))</f>
        <v>5</v>
      </c>
      <c r="DQ72" s="1">
        <f>MAX(0,MIN(Boss参数!$B$25,DM72+DR72)-IF(E72="J",2*DR72,0))</f>
        <v>5</v>
      </c>
      <c r="DR72" s="1">
        <f t="shared" si="102"/>
        <v>1</v>
      </c>
      <c r="DS72" s="1">
        <f t="shared" si="103"/>
        <v>1</v>
      </c>
      <c r="DT72" s="1">
        <f>IF(OR(E72="",E72="系统"),0,IF(OR(AND(DS72=1,Boss参数!$B$32=1),L72="RHI_BERRY",OR(AND(INDEX(角色面板!$B$18:$B$21,MATCH(E72,角色面板!$A$18:$A$21,0))="星",Boss参数!$B$4="岩"),AND(INDEX(角色面板!$B$18:$B$21,MATCH(E72,角色面板!$A$18:$A$21,0))="岩",Boss参数!$B$4="兽"),AND(INDEX(角色面板!$B$18:$B$21,MATCH(E72,角色面板!$A$18:$A$21,0))="兽",Boss参数!$B$4="木"),AND(INDEX(角色面板!$B$18:$B$21,MATCH(E72,角色面板!$A$18:$A$21,0))="木",Boss参数!$B$4="星"),AND(INDEX(角色面板!$B$18:$B$21,MATCH(E72,角色面板!$A$18:$A$21,0))="智",Boss参数!$B$4="灵"),AND(INDEX(角色面板!$B$18:$B$21,MATCH(E72,角色面板!$A$18:$A$21,0))="灵",Boss参数!$B$4="智"))),1,0))</f>
        <v>1</v>
      </c>
      <c r="DU72" s="1">
        <f>IF(D72="",0,INDEX(回合状态!$E$7:$E$17,MATCH(DG72,回合状态!$A$7:$A$17,0))+IF(AND(DH72="敌方",OR(INDEX(回合状态!$C$7:$C$17,MATCH(DG72,回合状态!$A$7:$A$17,0))="普通",INDEX(回合状态!$C$7:$C$17,MATCH(DG72,回合状态!$A$7:$A$17,0))="额外")),0.05,0))</f>
        <v>0.2</v>
      </c>
      <c r="DV72" s="1">
        <f>MAX(Boss参数!$B$28,1+IF(AND(E72="37",AC72&gt;0,BH72&gt;0),Boss参数!$B$42,0)-DI72*Boss参数!$B$24+EA72-ER72)</f>
        <v>0</v>
      </c>
      <c r="DW72" s="1">
        <f>MIN(IF(Boss参数!$B$77=1,Boss参数!$B$63*Boss参数!$B$62,Boss参数!$B$61*Boss参数!$B$62),ROUNDDOWN(BQ72*(1-ES72),0))</f>
        <v>56373</v>
      </c>
      <c r="DX72" s="1">
        <f>MIN(IF(Boss参数!$B$77=1,Boss参数!$B$63*Boss参数!$B$62,Boss参数!$B$61*Boss参数!$B$62),ROUNDDOWN(BR72*(1-ES72),0))</f>
        <v>124304</v>
      </c>
      <c r="DY72" s="1">
        <f t="shared" si="135"/>
        <v>250</v>
      </c>
      <c r="DZ72" s="1">
        <f>IF(L72="RHI_ULT",MIN(Boss参数!$B$48,ROUNDDOWN(AY72*Boss参数!$B$47,0)),DY72)</f>
        <v>250</v>
      </c>
      <c r="EA72" s="11">
        <v>0</v>
      </c>
      <c r="EB72" s="1">
        <f t="shared" si="104"/>
        <v>0</v>
      </c>
      <c r="EC72" s="1">
        <f>SUMIFS($EB$3:EB72,$B$3:B72,"&gt;="&amp;MAX(1,B72-2),$B$3:B72,"&lt;="&amp;B72)*Boss参数!$B$51</f>
        <v>16</v>
      </c>
      <c r="ED72" s="1">
        <f>IF(D72="",EG71,IF(AND(DG72&lt;&gt;DG71,DH72&lt;&gt;"洞穿"),MIN(Boss参数!$B$55,EG71+2),EG71))</f>
        <v>0</v>
      </c>
      <c r="EE72" s="1">
        <f t="shared" si="105"/>
        <v>0</v>
      </c>
      <c r="EF72" s="1">
        <f>IF(AND(OR(L72="END_TURN",AND(DH72="敌方",OR(DH71&lt;&gt;"敌方",DG72&lt;&gt;DG71))),SUMIFS($EF$3:EF71,$DG$3:DG71,DG72)=0),MIN(1,MAX(0,ED72-EE72)),0)</f>
        <v>0</v>
      </c>
      <c r="EG72" s="1">
        <f t="shared" si="106"/>
        <v>0</v>
      </c>
      <c r="EH72" s="11">
        <f>Boss参数!$B$53-IF(Y72=1,Boss参数!$B$54,0)</f>
        <v>0</v>
      </c>
      <c r="EI72" s="11">
        <f t="shared" si="107"/>
        <v>0.3</v>
      </c>
      <c r="EJ72" s="11">
        <f t="shared" si="108"/>
        <v>0.3</v>
      </c>
      <c r="EK72" s="11">
        <f t="shared" si="109"/>
        <v>1</v>
      </c>
      <c r="EL72" s="1">
        <f t="shared" si="136"/>
        <v>0</v>
      </c>
      <c r="EM72" s="1">
        <f>IF(AND(DG72&lt;&gt;DG71,DH72="洞穿"),0,IF(L72="ENTER_INSIGHT",Boss参数!$B$57,EO71))</f>
        <v>0</v>
      </c>
      <c r="EN72" s="11">
        <f>IF(AND(Y72=1,H72="洞知",EM72&gt;0),Boss参数!$B$56,0)</f>
        <v>0</v>
      </c>
      <c r="EO72" s="1">
        <f t="shared" si="110"/>
        <v>0</v>
      </c>
      <c r="EP72" s="12">
        <f t="shared" si="137"/>
        <v>13398604</v>
      </c>
      <c r="EQ72" s="12">
        <f>ROUNDDOWN(EP72/Boss参数!$B$62,0)</f>
        <v>133</v>
      </c>
      <c r="ER72" s="11">
        <f>IF(EQ72&gt;=Boss参数!$B$66,Boss参数!$B$69,IF(EQ72&gt;=Boss参数!$B$65,Boss参数!$B$68,IF(EQ72&gt;=Boss参数!$B$64,Boss参数!$B$67,0)))</f>
        <v>0.9</v>
      </c>
      <c r="ES72" s="11">
        <f>MIN(1,IF(EQ72&gt;=Boss参数!$B$66,Boss参数!$B$72+ROUNDDOWN((EQ72-Boss参数!$B$66)/Boss参数!$B$73,0)*Boss参数!$B$74,IF(EQ72&gt;=Boss参数!$B$65,Boss参数!$B$71,IF(EQ72&gt;=Boss参数!$B$64,Boss参数!$B$70,0))))</f>
        <v>0.6</v>
      </c>
      <c r="ET72" s="12">
        <f>MIN(Boss参数!$B$61*Boss参数!$B$62,EP72+IF(AND(Boss参数!$B$60=1,ISNUMBER(验证表!H78)),验证表!H78,EU72))</f>
        <v>13522908</v>
      </c>
      <c r="EU72" s="12">
        <f>IF(D72="",0,IF(验证表!G78="是",BV72,IF(验证表!G78="否",BU72,BW72)))</f>
        <v>124304</v>
      </c>
      <c r="EV72" s="12">
        <f>IF(EQ72&gt;=Boss参数!$B$66,2,IF(EQ72&gt;=Boss参数!$B$65,1,0))</f>
        <v>2</v>
      </c>
      <c r="EW72" s="12">
        <f t="shared" si="111"/>
        <v>3</v>
      </c>
      <c r="EX72" s="1">
        <f>IF(D72="",0,INDEX(回合状态!$D$7:$D$17,MATCH(DG72,回合状态!$A$7:$A$17,0)))</f>
        <v>4</v>
      </c>
      <c r="EY72" s="1">
        <f>IF(OR(L72="RHI_ATTACK",L72="RHI_BUFF"),1,IF(L72="RHI_ULT",Boss参数!$B$52,0))</f>
        <v>0</v>
      </c>
      <c r="EZ72" s="1">
        <f>MIN(6,SUMIFS($EY$3:EY72,$EX$3:EX72,"&gt;="&amp;MAX(1,EX72-Boss参数!$B$87+1),$EX$3:EX72,"&lt;="&amp;EX72))</f>
        <v>6</v>
      </c>
      <c r="FA72" s="1">
        <f t="shared" si="138"/>
        <v>35</v>
      </c>
      <c r="FB72" s="17">
        <f>IF(L72="BOSS_CONSERVATIVE",B72+Boss参数!$B$91,FB71)</f>
        <v>0</v>
      </c>
      <c r="FC72" s="17">
        <f t="shared" si="139"/>
        <v>0</v>
      </c>
      <c r="FD72" s="17">
        <f>IF(D72="",FD71,FD71+IF(AND(DG72&lt;&gt;DG71,INDEX(回合状态!$C$7:$C$17,MATCH(DG72,回合状态!$A$7:$A$17,0))&lt;&gt;"洞穿"),1,0))</f>
        <v>5</v>
      </c>
      <c r="FE72" s="17">
        <f>IF(D72="",0,IF(AND(OR(L72="END_TURN",DH72="敌方"),INDEX(回合状态!$C$7:$C$17,MATCH(DG72,回合状态!$A$7:$A$17,0))&lt;&gt;"洞穿",SUMIFS($FE$3:FE71,$DG$3:DG71,DG72)=0),1,0))</f>
        <v>0</v>
      </c>
    </row>
    <row r="73" spans="1:161" ht="84.95" customHeight="1">
      <c r="A73" s="1">
        <f>行动模拟!A79</f>
        <v>71</v>
      </c>
      <c r="B73" s="1">
        <f>IF(D73="",0,INDEX(回合状态!$B$7:$B$17,MATCH(DG73,回合状态!$A$7:$A$17,0)))</f>
        <v>4</v>
      </c>
      <c r="C73" s="1">
        <f>行动模拟!C79</f>
        <v>11</v>
      </c>
      <c r="D73" s="1" t="str">
        <f>IF(行动模拟!D79="","",行动模拟!D79)</f>
        <v>37｜曲线映射Ⅰ</v>
      </c>
      <c r="E73" s="1" t="str">
        <f>IF($D73="","",IFERROR(INDEX(技能数据库!$B$4:$B$38,MATCH($D73,技能数据库!$A$4:$A$38,0)),""))</f>
        <v>37</v>
      </c>
      <c r="F73" s="1" t="str">
        <f>IF($D73="","",IFERROR(INDEX(技能数据库!$C$4:$C$38,MATCH($D73,技能数据库!$A$4:$A$38,0)),""))</f>
        <v>曲线映射</v>
      </c>
      <c r="G73" s="1">
        <f>IF($D73="","",IFERROR(INDEX(技能数据库!$D$4:$D$38,MATCH($D73,技能数据库!$A$4:$A$38,0)),""))</f>
        <v>1</v>
      </c>
      <c r="H73" s="1" t="str">
        <f>IF($D73="","",IFERROR(INDEX(技能数据库!$E$4:$E$38,MATCH($D73,技能数据库!$A$4:$A$38,0)),""))</f>
        <v>术法</v>
      </c>
      <c r="I73" s="1" t="str">
        <f>IF($D73="","",IFERROR(INDEX(技能数据库!$F$4:$F$38,MATCH($D73,技能数据库!$A$4:$A$38,0)),""))</f>
        <v>精神</v>
      </c>
      <c r="J73" s="1">
        <f>IF($D73="","",IFERROR(INDEX(技能数据库!$G$4:$G$38,MATCH($D73,技能数据库!$A$4:$A$38,0)),""))</f>
        <v>1.4</v>
      </c>
      <c r="K73" s="1">
        <f>IF($D73="","",IFERROR(INDEX(技能数据库!$H$4:$H$38,MATCH($D73,技能数据库!$A$4:$A$38,0)),""))</f>
        <v>0.8</v>
      </c>
      <c r="L73" s="1" t="str">
        <f>IF($D73="","",IFERROR(INDEX(技能数据库!$I$4:$I$38,MATCH($D73,技能数据库!$A$4:$A$38,0)),""))</f>
        <v>37_CURVE</v>
      </c>
      <c r="M73" s="10">
        <v>1</v>
      </c>
      <c r="N73" s="1"/>
      <c r="O73" s="1"/>
      <c r="P73" s="1"/>
      <c r="Q73" s="10">
        <f t="shared" si="70"/>
        <v>0</v>
      </c>
      <c r="R73" s="10">
        <v>0</v>
      </c>
      <c r="S73" s="10">
        <v>0</v>
      </c>
      <c r="T73" s="1">
        <f>行动模拟!I79</f>
        <v>0</v>
      </c>
      <c r="U73" s="1">
        <f>IF(FD73&lt;&gt;FD72,IF(BY72=1,IF(MIN(10,CA72+IF(AND(DG73&lt;&gt;DG72,DH72&lt;&gt;"洞穿",SUMIFS($FE$3:FE72,$DG$3:DG72,DG72)=0,BY72=1),3,0))&gt;=10,2,1),IF(BY72=2,IF(BZ72&lt;=1,0,2),0)),BY72)</f>
        <v>1</v>
      </c>
      <c r="V73" s="1">
        <f>IF(FD73&lt;&gt;FD72,IF(BY72=1,IF(MIN(10,CA72+IF(AND(DG73&lt;&gt;DG72,DH72&lt;&gt;"洞穿",SUMIFS($FE$3:FE72,$DG$3:DG72,DG72)=0,BY72=1),3,0))&gt;=10,2,0),IF(BY72=2,MAX(0,BZ72-1),0)),BZ72)</f>
        <v>0</v>
      </c>
      <c r="W73" s="1">
        <f>IF(AND(FD73&lt;&gt;FD72,BY72=2,BZ72&lt;=1),0,MIN(10,CA72+IF(AND(DG73&lt;&gt;DG72,DH72&lt;&gt;"洞穿",SUMIFS($FE$3:FE72,$DG$3:DG72,DG72)=0,BY72=1),3,0)))</f>
        <v>5</v>
      </c>
      <c r="X73" s="1">
        <f t="shared" si="112"/>
        <v>12</v>
      </c>
      <c r="Y73" s="1">
        <f t="shared" si="113"/>
        <v>0</v>
      </c>
      <c r="Z73" s="1">
        <f t="shared" si="114"/>
        <v>0</v>
      </c>
      <c r="AA73" s="1">
        <f t="shared" si="115"/>
        <v>0</v>
      </c>
      <c r="AB73" s="1">
        <f t="shared" si="116"/>
        <v>1</v>
      </c>
      <c r="AC73" s="1">
        <f t="shared" si="117"/>
        <v>1</v>
      </c>
      <c r="AD73" s="1">
        <f t="shared" si="118"/>
        <v>35</v>
      </c>
      <c r="AE73" s="1">
        <f>IF(D73="",0,IF(DG73&lt;&gt;DG72,IFERROR(INDEX(回合状态!$F$7:$F$17,MATCH(DG73,回合状态!$A$7:$A$17,0)),0),CI72))</f>
        <v>30</v>
      </c>
      <c r="AF73" s="10">
        <f t="shared" si="119"/>
        <v>0.875</v>
      </c>
      <c r="AG73" s="1">
        <f t="shared" si="120"/>
        <v>6</v>
      </c>
      <c r="AH73" s="1">
        <f t="shared" si="121"/>
        <v>6</v>
      </c>
      <c r="AI73" s="1">
        <f t="shared" si="122"/>
        <v>6</v>
      </c>
      <c r="AJ73" s="1">
        <f t="shared" si="123"/>
        <v>7</v>
      </c>
      <c r="AK73" s="1">
        <f t="shared" si="124"/>
        <v>6</v>
      </c>
      <c r="AL73" s="1">
        <f t="shared" si="125"/>
        <v>3</v>
      </c>
      <c r="AM73" s="1">
        <f t="shared" si="126"/>
        <v>30</v>
      </c>
      <c r="AN73" s="1">
        <f t="shared" si="127"/>
        <v>6</v>
      </c>
      <c r="AO73" s="1">
        <f t="shared" si="128"/>
        <v>0</v>
      </c>
      <c r="AP73" s="10">
        <f t="shared" si="129"/>
        <v>0.12</v>
      </c>
      <c r="AQ73" s="1">
        <f t="shared" si="130"/>
        <v>6</v>
      </c>
      <c r="AR73" s="10">
        <f t="shared" si="131"/>
        <v>0.3</v>
      </c>
      <c r="AS73" s="1">
        <f t="shared" si="132"/>
        <v>6</v>
      </c>
      <c r="AT73" s="10">
        <f t="shared" si="133"/>
        <v>0.3</v>
      </c>
      <c r="AU73" s="1">
        <f t="shared" si="134"/>
        <v>6</v>
      </c>
      <c r="AV73" s="1">
        <f>MIN(5,SUMIFS($EL$3:EL73,$B$3:B73,"&gt;="&amp;MAX(1,B73-2),$B$3:B73,"&lt;="&amp;B73)+EC73)</f>
        <v>5</v>
      </c>
      <c r="AW73" s="1">
        <f>MIN(6,SUMIFS($EY$3:EY72,$EX$3:EX72,"&gt;="&amp;MAX(1,EX73-Boss参数!$B$87+1),$EX$3:EX72,"&lt;="&amp;EX73))</f>
        <v>6</v>
      </c>
      <c r="AX73" s="1">
        <f>MIN(4,COUNTIFS($B$3:$B$72,"&gt;="&amp;MAX(1,$B73-2),$B$3:$B$72,"&lt;="&amp;$B73,$L$3:$L$72,"37_FOLLOW"))</f>
        <v>4</v>
      </c>
      <c r="AY73" s="9">
        <f>IF($E73="","",IF($E73="系统",0,ROUNDDOWN(INDEX(角色面板!$C$4:$C$7,MATCH($E73,角色面板!$A$4:$A$7,0))*(1+INDEX(角色面板!$C$11:$C$14,MATCH($E73,角色面板!$A$11:$A$14,0))+IF($E73="小瑞安侬",MAX(IF($B73&lt;=$AQ73,$AP73,0),IF(AND($L73="RHI_ATTACK",$EE73&gt;0),0.11+0.01*$G73,0)),0)+IF($E73="J",$AD73*Boss参数!$B$18,0))+IF(FD73&lt;=$AN73,MIN(Boss参数!$B$21,ROUNDDOWN(角色面板!$C$19*Boss参数!$B$20,0)),0)+IF(AND($B73&lt;=$AK73,$E73&lt;&gt;"小瑞安侬"),$DY73,0),0)))</f>
        <v>3517</v>
      </c>
      <c r="AZ73" s="10">
        <f>IF($E73="","",MAX(0,MIN(1,IFERROR(INDEX(角色面板!$G$18:$G$21,MATCH($E73,角色面板!$A$18:$A$21,0)),0)-FC73*Boss参数!$B$89-Boss参数!$E$4)))</f>
        <v>0.76</v>
      </c>
      <c r="BA73" s="10">
        <f>IF(E73="","",(IF($E73="","",IF($E73="红弩箭",Boss参数!$B$80,IF($E73="J",Boss参数!$B$81,IFERROR(INDEX(角色面板!$H$18:$H$21,MATCH($E73,角色面板!$A$18:$A$21,0)),0)))+IF($B73&lt;=$AI73,Boss参数!$B$13,0)+MIN(30,$AM73)*Boss参数!$B$17+IF(AND($L73="LILYA_ULT",$X73&gt;=6),1,0)+IF(AND($Y73=1,$L73="LILYA_INSIGHT"),IF(MOD($AA73+1,3)=0,Boss参数!$B$83,Boss参数!$B$82),IF(AND($Y73=1,$L73="LILYA_FINISH"),Boss参数!$B$84,0))))-FC73*Boss参数!$B$90)</f>
        <v>2.4780000000000002</v>
      </c>
      <c r="BB73" s="10">
        <f>IF($E73="","",IFERROR(INDEX(角色面板!$M$18:$M$21,MATCH($E73,角色面板!$A$18:$A$21,0)),0)+$AW73*Boss参数!$B$12+IF($B73&lt;=$AG73,$AF73,0)+$EI73+IF($L73="LILYA_DIVE",IF($U73=1,IF($G73=1,0.3,IF($G73=2,0.4,0.5)),IF($U73=2,IF($G73=1,0.6,IF($G73=2,0.8,1)),0)),0)+$R73+IF(AND($E73="J",OR($L73="J_COUNTER",$L73="J_HARD")),Boss参数!$B$79,0)+IF(AND(OR(L73="J_COUNTER",L73="J_HARD"),FA73&gt;=Boss参数!$B$59),FA73*Boss参数!$B$40,0))</f>
        <v>1.2949999999999999</v>
      </c>
      <c r="BC73" s="10">
        <f>IF($E73="","",IFERROR(INDEX(角色面板!$K$18:$K$21,MATCH($E73,角色面板!$A$18:$A$21,0)),0)+IF($B73&lt;=$AH73,Boss参数!$B$46,0)+IF($E73="红弩箭",IF($U73=1,0.6,IF($U73=2,1.2,0))+$W73*0.06,0))-DI73*Boss参数!$B$23</f>
        <v>-0.7</v>
      </c>
      <c r="BD73" s="10">
        <f>IF($E73="","",IFERROR(INDEX(角色面板!$L$18:$L$21,MATCH($E73,角色面板!$A$18:$A$21,0)),0)+IF($B73&lt;=$AH73,Boss参数!$B$46,0)+IF($E73="J",$AL73*Boss参数!$B$16,0)+IF($E73="红弩箭",$X73*0.025,0)+IF(AND($L73="LILYA_ULT",$X73&gt;=6),1,0))-DI73*Boss参数!$B$23</f>
        <v>-0.3</v>
      </c>
      <c r="BE73" s="10">
        <f>IF($E73="","",IF($H73="洞知",IF($E73="红弩箭",$AO73*Boss参数!$B$15,0)+$AX73*Boss参数!$B$14,0))</f>
        <v>0</v>
      </c>
      <c r="BF73" s="10">
        <f t="shared" si="71"/>
        <v>0</v>
      </c>
      <c r="BG73" s="10">
        <f>IF($D73="",0,IF(AND($L73&lt;&gt;"LILYA_DIVE",$L73&lt;&gt;"LILYA_ULT",$L73&lt;&gt;"LILYA_INSIGHT",$L73&lt;&gt;"LILYA_FINISH",$L73&lt;&gt;"37_FOLLOW",$L73&lt;&gt;"RHI_ATTACK",$L73&lt;&gt;"RHI_BERRY",$L73&lt;&gt;"J_COUNTER",$L73&lt;&gt;"J_ULT"),$J73,0)+IF($L73="LILYA_DIVE",$J73+IF($U73=1,IF($G73=1,6,IF($G73=2,12,18)),IF($U73=2,IF($G73=1,12,IF($G73=2,24,36)),0)),0)+IF($L73="LILYA_ULT",$J73+IF($X73&gt;=6,18,0),0)+IF($L73="LILYA_INSIGHT",IF($Y73=1,IF(MOD($AA73+1,3)=0,32,15),0),0)+IF($L73="LILYA_FINISH",IF($Y73=1,50+2.5*$Z73,0),0)+IF($L73="37_FOLLOW",$J73,0)+IF($L73="RHI_ATTACK",$J73*IF($B73&lt;=$AJ73,2,1),0)+IF($L73="RHI_BERRY",15+1.5*$AV73,0)+IF($L73="J_COUNTER",$J73+$AD73*Boss参数!$B$39,0)+IF($L73="J_ULT",$J73+Boss参数!$B$45*MAX(0,$AE73+$AD73-Boss参数!$I$4),0)+$S73)</f>
        <v>1.4</v>
      </c>
      <c r="BH73" s="10">
        <f t="shared" si="72"/>
        <v>0.8</v>
      </c>
      <c r="BI73" s="10">
        <f>IF(E73="","",IF(DT73=1,1+Boss参数!$B$8+AV73*Boss参数!$B$19,1))</f>
        <v>1.5</v>
      </c>
      <c r="BJ73" s="9">
        <f>IF($I73="现实",Boss参数!$C$4,IF($I73="精神",Boss参数!$D$4,0))</f>
        <v>1000</v>
      </c>
      <c r="BK73" s="9">
        <f>IF($E73="","",MAX($AY73*Boss参数!$B$9,$AY73-$BJ73*(1-$BF73)))</f>
        <v>2517</v>
      </c>
      <c r="BL73" s="10">
        <f>MAX(0,Boss参数!$F$4+IF(DT73=0,Boss参数!$B$27,0)-EJ73)</f>
        <v>0.10000000000000003</v>
      </c>
      <c r="BM73" s="10">
        <f>Boss参数!$G$4+DU73-IF(Y73=1,Boss参数!$B$11,0)</f>
        <v>0.60000000000000009</v>
      </c>
      <c r="BN73" s="10">
        <f>IF($E73="","",MAX(Boss参数!$B$10,1+IFERROR(INDEX(角色面板!$I$18:$I$21,MATCH($E73,角色面板!$A$18:$A$21,0)),0)+$BB73+Boss参数!$H$4-$BM73))</f>
        <v>1.6999999999999997</v>
      </c>
      <c r="BO73" s="10">
        <f>IF(E73="","",IF(OR(L73="J_COUNTER",L73="J_HARD"),MAX(0,1+INDEX(角色面板!$K$18:$K$21,MATCH(E73,角色面板!$A$18:$A$21,0))-DI73*Boss参数!$B$23+IF(OR(Boss参数!$B$43=1,L73="J_HARD"),IF(B73&lt;=AH73,Boss参数!$B$46,0),0)),MAX(0,IF(OR(H73="术法",L73="RHI_BERRY",AND(L73="37_FOLLOW",Boss参数!$B$31=1)),1+BC73,IF(H73="仪式",1+BD73,IF(H73="洞知",EK73,1))))))</f>
        <v>0.30000000000000004</v>
      </c>
      <c r="BP73" s="10">
        <f t="shared" si="73"/>
        <v>2.3780000000000001</v>
      </c>
      <c r="BQ73" s="1">
        <f t="shared" si="74"/>
        <v>2695.7069999999994</v>
      </c>
      <c r="BR73" s="1">
        <f t="shared" si="75"/>
        <v>6410.3912459999992</v>
      </c>
      <c r="BS73" s="1">
        <f>IF(BH73=0,0,ROUNDDOWN(AY73*BH73,0)*DV73*IF(Boss参数!$B$29=1,BN73,1)*IF(Boss参数!$B$33=1,BO73,1)*IF(Boss参数!$B$76=1,1-ES73,1))</f>
        <v>1406.4999999999998</v>
      </c>
      <c r="BT73" s="1">
        <f t="shared" si="76"/>
        <v>3344.6569999999997</v>
      </c>
      <c r="BU73" s="9">
        <f>IF(D73="",0,MIN(IF(Boss参数!$B$77=1,Boss参数!$B$63*Boss参数!$B$62,Boss参数!$B$61*Boss参数!$B$62),DW73+ROUNDDOWN(BS73,0)+ROUNDDOWN(DW73*Q73,0)))</f>
        <v>2484</v>
      </c>
      <c r="BV73" s="9">
        <f>IF(D73="",0,MIN(IF(Boss参数!$B$77=1,Boss参数!$B$63*Boss参数!$B$62,Boss参数!$B$61*Boss参数!$B$62),DX73+ROUNDDOWN(BT73,0)+ROUNDDOWN(DX73*Q73,0)))</f>
        <v>5908</v>
      </c>
      <c r="BW73" s="9">
        <f t="shared" si="77"/>
        <v>5086</v>
      </c>
      <c r="BX73" s="1" t="str">
        <f t="shared" si="78"/>
        <v/>
      </c>
      <c r="BY73" s="1">
        <f t="shared" si="79"/>
        <v>1</v>
      </c>
      <c r="BZ73" s="1">
        <f t="shared" si="80"/>
        <v>0</v>
      </c>
      <c r="CA73" s="1">
        <f>MIN(10,W73+IF(AND(L73="LILYA_COBRA",COUNTIF($L$3:L73,"LILYA_COBRA")=1),5,0)+IF(AND(L73="LILYA_DIVE",U73=1,COUNTIFS($DG$3:DG73,DG73,$L$3:L73,"LILYA_DIVE")=1),2,0)+IF(AND(FE73=1,U73=1),3,0))</f>
        <v>5</v>
      </c>
      <c r="CB73" s="1">
        <f>MIN(20,MAX(0,X73+IF(L73="LILYA_COBRA",IF(COUNTIF($L$3:L73,"LILYA_COBRA")=1,6,IF(U73=1,MAX(1,G73),IF(U73=2,2*MAX(1,G73),0))),0)+IF(AND(Y73=1,E73="红弩箭",L73&lt;&gt;"ENTER_INSIGHT"),1,0)-IF(AND(L73="LILYA_ULT",X73&gt;=6),6,0)))</f>
        <v>12</v>
      </c>
      <c r="CC73" s="1">
        <f t="shared" si="81"/>
        <v>0</v>
      </c>
      <c r="CD73" s="1">
        <f t="shared" si="82"/>
        <v>0</v>
      </c>
      <c r="CE73" s="1">
        <f t="shared" si="83"/>
        <v>0</v>
      </c>
      <c r="CF73" s="1">
        <f t="shared" si="84"/>
        <v>2</v>
      </c>
      <c r="CG73" s="1">
        <f t="shared" si="85"/>
        <v>0</v>
      </c>
      <c r="CH73" s="1">
        <f>MIN(35,AD73+IF(L73="J_HARD",6,0)+IF(L73="J_COUNTER",Boss参数!$B$30,0))</f>
        <v>35</v>
      </c>
      <c r="CI73" s="1">
        <f>MIN(Boss参数!$I$4,AE73+IF(L73="J_HARD",6,0)+IF(L73="J_ULT",AD73,0)+IF(L73="J_COUNTER",Boss参数!$B$30,0))</f>
        <v>30</v>
      </c>
      <c r="CJ73" s="10">
        <f>IF(L73="J_ULT",AD73*Boss参数!$B$41,IF(B73&lt;=AG73,AF73,0))</f>
        <v>0.875</v>
      </c>
      <c r="CK73" s="1">
        <f t="shared" si="86"/>
        <v>6</v>
      </c>
      <c r="CL73" s="1">
        <f t="shared" si="87"/>
        <v>6</v>
      </c>
      <c r="CM73" s="1">
        <f t="shared" si="88"/>
        <v>6</v>
      </c>
      <c r="CN73" s="1">
        <f t="shared" si="89"/>
        <v>7</v>
      </c>
      <c r="CO73" s="1">
        <f t="shared" si="90"/>
        <v>6</v>
      </c>
      <c r="CP73" s="1">
        <f t="shared" si="91"/>
        <v>3</v>
      </c>
      <c r="CQ73" s="1">
        <f t="shared" si="92"/>
        <v>30</v>
      </c>
      <c r="CR73" s="1">
        <f t="shared" si="93"/>
        <v>6</v>
      </c>
      <c r="CS73" s="1">
        <f t="shared" si="94"/>
        <v>0</v>
      </c>
      <c r="CT73" s="10">
        <f t="shared" si="95"/>
        <v>0.12</v>
      </c>
      <c r="CU73" s="1">
        <f t="shared" si="96"/>
        <v>6</v>
      </c>
      <c r="CV73" s="10">
        <f t="shared" si="97"/>
        <v>0.3</v>
      </c>
      <c r="CW73" s="1">
        <f t="shared" si="98"/>
        <v>6</v>
      </c>
      <c r="CX73" s="10">
        <f t="shared" si="99"/>
        <v>0.3</v>
      </c>
      <c r="CY73" s="1">
        <f t="shared" si="100"/>
        <v>6</v>
      </c>
      <c r="CZ73" s="1"/>
      <c r="DA73" s="1"/>
      <c r="DB73" s="1"/>
      <c r="DC73" s="1"/>
      <c r="DD73" s="1"/>
      <c r="DE73" s="1"/>
      <c r="DF73" s="1"/>
      <c r="DG73" s="1">
        <f>IF(D73="","",行动模拟!B79)</f>
        <v>4</v>
      </c>
      <c r="DH73" s="1" t="str">
        <f>IF(L73="END_TURN","回合结束",IF(D73="","",IF(INDEX(回合状态!$C$7:$C$17,MATCH(DG73,回合状态!$A$7:$A$17,0))="洞穿","洞穿",IF(OR(L73="J_COUNTER",L73="BOSS_ACTION",L73="BOSS_CONSERVATIVE"),"敌方",IF(AND(L73="37_FOLLOW",DG73=DG72,DH72="敌方"),"敌方",IF(INDEX(回合状态!$C$7:$C$17,MATCH(DG73,回合状态!$A$7:$A$17,0))="普通","出牌",INDEX(回合状态!$C$7:$C$17,MATCH(DG73,回合状态!$A$7:$A$17,0))))))))</f>
        <v>出牌</v>
      </c>
      <c r="DI73" s="1">
        <f t="shared" si="101"/>
        <v>4</v>
      </c>
      <c r="DJ73" s="1">
        <f>IF(D73="",0,MIN(Boss参数!$B$25,IF(OR(AND(DH73="敌方",OR(DH72&lt;&gt;"敌方",DG73&lt;&gt;DG72)),AND(L73="END_TURN",DH73&lt;&gt;"洞穿"),AND(DG73&lt;&gt;DG72,DH72&lt;&gt;"洞穿",L72&lt;&gt;"END_TURN",COUNTIFS($DG$3:DG72,DG72,$DH$3:DH72,"敌方")=0)),EW73,DN72)))</f>
        <v>3</v>
      </c>
      <c r="DK73" s="1">
        <f>IF(D73="",0,MIN(Boss参数!$B$25,IF(OR(AND(DH73="敌方",OR(DH72&lt;&gt;"敌方",DG73&lt;&gt;DG72)),AND(L73="END_TURN",DH73&lt;&gt;"洞穿"),AND(DG73&lt;&gt;DG72,DH72&lt;&gt;"洞穿",L72&lt;&gt;"END_TURN",COUNTIFS($DG$3:DG72,DG72,$DH$3:DH72,"敌方")=0)),EW73,DO72)))</f>
        <v>4</v>
      </c>
      <c r="DL73" s="1">
        <f>IF(D73="",0,MIN(Boss参数!$B$25,IF(OR(AND(DH73="敌方",OR(DH72&lt;&gt;"敌方",DG73&lt;&gt;DG72)),AND(L73="END_TURN",DH73&lt;&gt;"洞穿"),AND(DG73&lt;&gt;DG72,DH72&lt;&gt;"洞穿",L72&lt;&gt;"END_TURN",COUNTIFS($DG$3:DG72,DG72,$DH$3:DH72,"敌方")=0)),EW73,DP72)))</f>
        <v>5</v>
      </c>
      <c r="DM73" s="1">
        <f>IF(D73="",0,MIN(Boss参数!$B$25,IF(OR(AND(DH73="敌方",OR(DH72&lt;&gt;"敌方",DG73&lt;&gt;DG72)),AND(L73="END_TURN",DH73&lt;&gt;"洞穿"),AND(DG73&lt;&gt;DG72,DH72&lt;&gt;"洞穿",L72&lt;&gt;"END_TURN",COUNTIFS($DG$3:DG72,DG72,$DH$3:DH72,"敌方")=0)),EW73,DQ72)))</f>
        <v>5</v>
      </c>
      <c r="DN73" s="1">
        <f>MAX(0,MIN(Boss参数!$B$25,DJ73+DR73)-IF(E73="红弩箭",2*DR73,0))</f>
        <v>4</v>
      </c>
      <c r="DO73" s="1">
        <f>MAX(0,MIN(Boss参数!$B$25,DK73+DR73)-IF(E73="37",2*DR73,0))</f>
        <v>3</v>
      </c>
      <c r="DP73" s="1">
        <f>MAX(0,MIN(Boss参数!$B$25,DL73+DR73)-IF(E73="小瑞安侬",2*DR73,0))</f>
        <v>5</v>
      </c>
      <c r="DQ73" s="1">
        <f>MAX(0,MIN(Boss参数!$B$25,DM73+DR73)-IF(E73="J",2*DR73,0))</f>
        <v>5</v>
      </c>
      <c r="DR73" s="1">
        <f t="shared" si="102"/>
        <v>1</v>
      </c>
      <c r="DS73" s="1">
        <f t="shared" si="103"/>
        <v>1</v>
      </c>
      <c r="DT73" s="1">
        <f>IF(OR(E73="",E73="系统"),0,IF(OR(AND(DS73=1,Boss参数!$B$32=1),L73="RHI_BERRY",OR(AND(INDEX(角色面板!$B$18:$B$21,MATCH(E73,角色面板!$A$18:$A$21,0))="星",Boss参数!$B$4="岩"),AND(INDEX(角色面板!$B$18:$B$21,MATCH(E73,角色面板!$A$18:$A$21,0))="岩",Boss参数!$B$4="兽"),AND(INDEX(角色面板!$B$18:$B$21,MATCH(E73,角色面板!$A$18:$A$21,0))="兽",Boss参数!$B$4="木"),AND(INDEX(角色面板!$B$18:$B$21,MATCH(E73,角色面板!$A$18:$A$21,0))="木",Boss参数!$B$4="星"),AND(INDEX(角色面板!$B$18:$B$21,MATCH(E73,角色面板!$A$18:$A$21,0))="智",Boss参数!$B$4="灵"),AND(INDEX(角色面板!$B$18:$B$21,MATCH(E73,角色面板!$A$18:$A$21,0))="灵",Boss参数!$B$4="智"))),1,0))</f>
        <v>1</v>
      </c>
      <c r="DU73" s="1">
        <f>IF(D73="",0,INDEX(回合状态!$E$7:$E$17,MATCH(DG73,回合状态!$A$7:$A$17,0))+IF(AND(DH73="敌方",OR(INDEX(回合状态!$C$7:$C$17,MATCH(DG73,回合状态!$A$7:$A$17,0))="普通",INDEX(回合状态!$C$7:$C$17,MATCH(DG73,回合状态!$A$7:$A$17,0))="额外")),0.05,0))</f>
        <v>0.2</v>
      </c>
      <c r="DV73" s="1">
        <f>MAX(Boss参数!$B$28,1+IF(AND(E73="37",AC73&gt;0,BH73&gt;0),Boss参数!$B$42,0)-DI73*Boss参数!$B$24+EA73-ER73)</f>
        <v>0.49999999999999989</v>
      </c>
      <c r="DW73" s="1">
        <f>MIN(IF(Boss参数!$B$77=1,Boss参数!$B$63*Boss参数!$B$62,Boss参数!$B$61*Boss参数!$B$62),ROUNDDOWN(BQ73*(1-ES73),0))</f>
        <v>1078</v>
      </c>
      <c r="DX73" s="1">
        <f>MIN(IF(Boss参数!$B$77=1,Boss参数!$B$63*Boss参数!$B$62,Boss参数!$B$61*Boss参数!$B$62),ROUNDDOWN(BR73*(1-ES73),0))</f>
        <v>2564</v>
      </c>
      <c r="DY73" s="1">
        <f t="shared" si="135"/>
        <v>250</v>
      </c>
      <c r="DZ73" s="1">
        <f>IF(L73="RHI_ULT",MIN(Boss参数!$B$48,ROUNDDOWN(AY73*Boss参数!$B$47,0)),DY73)</f>
        <v>250</v>
      </c>
      <c r="EA73" s="11">
        <v>0</v>
      </c>
      <c r="EB73" s="1">
        <f t="shared" si="104"/>
        <v>0</v>
      </c>
      <c r="EC73" s="1">
        <f>SUMIFS($EB$3:EB73,$B$3:B73,"&gt;="&amp;MAX(1,B73-2),$B$3:B73,"&lt;="&amp;B73)*Boss参数!$B$51</f>
        <v>16</v>
      </c>
      <c r="ED73" s="1">
        <f>IF(D73="",EG72,IF(AND(DG73&lt;&gt;DG72,DH73&lt;&gt;"洞穿"),MIN(Boss参数!$B$55,EG72+2),EG72))</f>
        <v>0</v>
      </c>
      <c r="EE73" s="1">
        <f t="shared" si="105"/>
        <v>0</v>
      </c>
      <c r="EF73" s="1">
        <f>IF(AND(OR(L73="END_TURN",AND(DH73="敌方",OR(DH72&lt;&gt;"敌方",DG73&lt;&gt;DG72))),SUMIFS($EF$3:EF72,$DG$3:DG72,DG73)=0),MIN(1,MAX(0,ED73-EE73)),0)</f>
        <v>0</v>
      </c>
      <c r="EG73" s="1">
        <f t="shared" si="106"/>
        <v>0</v>
      </c>
      <c r="EH73" s="11">
        <f>Boss参数!$B$53-IF(Y73=1,Boss参数!$B$54,0)</f>
        <v>0</v>
      </c>
      <c r="EI73" s="11">
        <f t="shared" si="107"/>
        <v>0.3</v>
      </c>
      <c r="EJ73" s="11">
        <f t="shared" si="108"/>
        <v>0.3</v>
      </c>
      <c r="EK73" s="11">
        <f t="shared" si="109"/>
        <v>1</v>
      </c>
      <c r="EL73" s="1">
        <f t="shared" si="136"/>
        <v>0</v>
      </c>
      <c r="EM73" s="1">
        <f>IF(AND(DG73&lt;&gt;DG72,DH73="洞穿"),0,IF(L73="ENTER_INSIGHT",Boss参数!$B$57,EO72))</f>
        <v>0</v>
      </c>
      <c r="EN73" s="11">
        <f>IF(AND(Y73=1,H73="洞知",EM73&gt;0),Boss参数!$B$56,0)</f>
        <v>0</v>
      </c>
      <c r="EO73" s="1">
        <f t="shared" si="110"/>
        <v>0</v>
      </c>
      <c r="EP73" s="12">
        <f t="shared" si="137"/>
        <v>13522908</v>
      </c>
      <c r="EQ73" s="12">
        <f>ROUNDDOWN(EP73/Boss参数!$B$62,0)</f>
        <v>135</v>
      </c>
      <c r="ER73" s="11">
        <f>IF(EQ73&gt;=Boss参数!$B$66,Boss参数!$B$69,IF(EQ73&gt;=Boss参数!$B$65,Boss参数!$B$68,IF(EQ73&gt;=Boss参数!$B$64,Boss参数!$B$67,0)))</f>
        <v>0.9</v>
      </c>
      <c r="ES73" s="11">
        <f>MIN(1,IF(EQ73&gt;=Boss参数!$B$66,Boss参数!$B$72+ROUNDDOWN((EQ73-Boss参数!$B$66)/Boss参数!$B$73,0)*Boss参数!$B$74,IF(EQ73&gt;=Boss参数!$B$65,Boss参数!$B$71,IF(EQ73&gt;=Boss参数!$B$64,Boss参数!$B$70,0))))</f>
        <v>0.6</v>
      </c>
      <c r="ET73" s="12">
        <f>MIN(Boss参数!$B$61*Boss参数!$B$62,EP73+IF(AND(Boss参数!$B$60=1,ISNUMBER(验证表!H79)),验证表!H79,EU73))</f>
        <v>13528816</v>
      </c>
      <c r="EU73" s="12">
        <f>IF(D73="",0,IF(验证表!G79="是",BV73,IF(验证表!G79="否",BU73,BW73)))</f>
        <v>5908</v>
      </c>
      <c r="EV73" s="12">
        <f>IF(EQ73&gt;=Boss参数!$B$66,2,IF(EQ73&gt;=Boss参数!$B$65,1,0))</f>
        <v>2</v>
      </c>
      <c r="EW73" s="12">
        <f t="shared" si="111"/>
        <v>3</v>
      </c>
      <c r="EX73" s="1">
        <f>IF(D73="",0,INDEX(回合状态!$D$7:$D$17,MATCH(DG73,回合状态!$A$7:$A$17,0)))</f>
        <v>4</v>
      </c>
      <c r="EY73" s="1">
        <f>IF(OR(L73="RHI_ATTACK",L73="RHI_BUFF"),1,IF(L73="RHI_ULT",Boss参数!$B$52,0))</f>
        <v>0</v>
      </c>
      <c r="EZ73" s="1">
        <f>MIN(6,SUMIFS($EY$3:EY73,$EX$3:EX73,"&gt;="&amp;MAX(1,EX73-Boss参数!$B$87+1),$EX$3:EX73,"&lt;="&amp;EX73))</f>
        <v>6</v>
      </c>
      <c r="FA73" s="1">
        <f t="shared" si="138"/>
        <v>35</v>
      </c>
      <c r="FB73" s="17">
        <f>IF(L73="BOSS_CONSERVATIVE",B73+Boss参数!$B$91,FB72)</f>
        <v>0</v>
      </c>
      <c r="FC73" s="17">
        <f t="shared" si="139"/>
        <v>0</v>
      </c>
      <c r="FD73" s="17">
        <f>IF(D73="",FD72,FD72+IF(AND(DG73&lt;&gt;DG72,INDEX(回合状态!$C$7:$C$17,MATCH(DG73,回合状态!$A$7:$A$17,0))&lt;&gt;"洞穿"),1,0))</f>
        <v>5</v>
      </c>
      <c r="FE73" s="17">
        <f>IF(D73="",0,IF(AND(OR(L73="END_TURN",DH73="敌方"),INDEX(回合状态!$C$7:$C$17,MATCH(DG73,回合状态!$A$7:$A$17,0))&lt;&gt;"洞穿",SUMIFS($FE$3:FE72,$DG$3:DG72,DG73)=0),1,0))</f>
        <v>0</v>
      </c>
    </row>
    <row r="74" spans="1:161" ht="84.95" customHeight="1">
      <c r="A74" s="1">
        <f>行动模拟!A80</f>
        <v>72</v>
      </c>
      <c r="B74" s="1">
        <f>IF(D74="",0,INDEX(回合状态!$B$7:$B$17,MATCH(DG74,回合状态!$A$7:$A$17,0)))</f>
        <v>4</v>
      </c>
      <c r="C74" s="1">
        <f>行动模拟!C80</f>
        <v>12</v>
      </c>
      <c r="D74" s="1" t="str">
        <f>IF(行动模拟!D80="","",行动模拟!D80)</f>
        <v>J｜高温回火</v>
      </c>
      <c r="E74" s="1" t="str">
        <f>IF($D74="","",IFERROR(INDEX(技能数据库!$B$4:$B$38,MATCH($D74,技能数据库!$A$4:$A$38,0)),""))</f>
        <v>J</v>
      </c>
      <c r="F74" s="1" t="str">
        <f>IF($D74="","",IFERROR(INDEX(技能数据库!$C$4:$C$38,MATCH($D74,技能数据库!$A$4:$A$38,0)),""))</f>
        <v>高温回火</v>
      </c>
      <c r="G74" s="1">
        <f>IF($D74="","",IFERROR(INDEX(技能数据库!$D$4:$D$38,MATCH($D74,技能数据库!$A$4:$A$38,0)),""))</f>
        <v>0</v>
      </c>
      <c r="H74" s="1" t="str">
        <f>IF($D74="","",IFERROR(INDEX(技能数据库!$E$4:$E$38,MATCH($D74,技能数据库!$A$4:$A$38,0)),""))</f>
        <v>反击</v>
      </c>
      <c r="I74" s="1" t="str">
        <f>IF($D74="","",IFERROR(INDEX(技能数据库!$F$4:$F$38,MATCH($D74,技能数据库!$A$4:$A$38,0)),""))</f>
        <v>现实</v>
      </c>
      <c r="J74" s="1">
        <f>IF($D74="","",IFERROR(INDEX(技能数据库!$G$4:$G$38,MATCH($D74,技能数据库!$A$4:$A$38,0)),""))</f>
        <v>3</v>
      </c>
      <c r="K74" s="1">
        <f>IF($D74="","",IFERROR(INDEX(技能数据库!$H$4:$H$38,MATCH($D74,技能数据库!$A$4:$A$38,0)),""))</f>
        <v>0</v>
      </c>
      <c r="L74" s="1" t="str">
        <f>IF($D74="","",IFERROR(INDEX(技能数据库!$I$4:$I$38,MATCH($D74,技能数据库!$A$4:$A$38,0)),""))</f>
        <v>J_COUNTER</v>
      </c>
      <c r="M74" s="10">
        <v>1</v>
      </c>
      <c r="N74" s="1"/>
      <c r="O74" s="1"/>
      <c r="P74" s="1"/>
      <c r="Q74" s="10">
        <f t="shared" si="70"/>
        <v>0</v>
      </c>
      <c r="R74" s="10">
        <v>0</v>
      </c>
      <c r="S74" s="10">
        <v>0</v>
      </c>
      <c r="T74" s="1">
        <f>行动模拟!I80</f>
        <v>0</v>
      </c>
      <c r="U74" s="1">
        <f>IF(FD74&lt;&gt;FD73,IF(BY73=1,IF(MIN(10,CA73+IF(AND(DG74&lt;&gt;DG73,DH73&lt;&gt;"洞穿",SUMIFS($FE$3:FE73,$DG$3:DG73,DG73)=0,BY73=1),3,0))&gt;=10,2,1),IF(BY73=2,IF(BZ73&lt;=1,0,2),0)),BY73)</f>
        <v>1</v>
      </c>
      <c r="V74" s="1">
        <f>IF(FD74&lt;&gt;FD73,IF(BY73=1,IF(MIN(10,CA73+IF(AND(DG74&lt;&gt;DG73,DH73&lt;&gt;"洞穿",SUMIFS($FE$3:FE73,$DG$3:DG73,DG73)=0,BY73=1),3,0))&gt;=10,2,0),IF(BY73=2,MAX(0,BZ73-1),0)),BZ73)</f>
        <v>0</v>
      </c>
      <c r="W74" s="1">
        <f>IF(AND(FD74&lt;&gt;FD73,BY73=2,BZ73&lt;=1),0,MIN(10,CA73+IF(AND(DG74&lt;&gt;DG73,DH73&lt;&gt;"洞穿",SUMIFS($FE$3:FE73,$DG$3:DG73,DG73)=0,BY73=1),3,0)))</f>
        <v>5</v>
      </c>
      <c r="X74" s="1">
        <f t="shared" si="112"/>
        <v>12</v>
      </c>
      <c r="Y74" s="1">
        <f t="shared" si="113"/>
        <v>0</v>
      </c>
      <c r="Z74" s="1">
        <f t="shared" si="114"/>
        <v>0</v>
      </c>
      <c r="AA74" s="1">
        <f t="shared" si="115"/>
        <v>0</v>
      </c>
      <c r="AB74" s="1">
        <f t="shared" si="116"/>
        <v>2</v>
      </c>
      <c r="AC74" s="1">
        <f t="shared" si="117"/>
        <v>0</v>
      </c>
      <c r="AD74" s="1">
        <f t="shared" si="118"/>
        <v>35</v>
      </c>
      <c r="AE74" s="1">
        <f>IF(D74="",0,IF(DG74&lt;&gt;DG73,IFERROR(INDEX(回合状态!$F$7:$F$17,MATCH(DG74,回合状态!$A$7:$A$17,0)),0),CI73))</f>
        <v>30</v>
      </c>
      <c r="AF74" s="10">
        <f t="shared" si="119"/>
        <v>0.875</v>
      </c>
      <c r="AG74" s="1">
        <f t="shared" si="120"/>
        <v>6</v>
      </c>
      <c r="AH74" s="1">
        <f t="shared" si="121"/>
        <v>6</v>
      </c>
      <c r="AI74" s="1">
        <f t="shared" si="122"/>
        <v>6</v>
      </c>
      <c r="AJ74" s="1">
        <f t="shared" si="123"/>
        <v>7</v>
      </c>
      <c r="AK74" s="1">
        <f t="shared" si="124"/>
        <v>6</v>
      </c>
      <c r="AL74" s="1">
        <f t="shared" si="125"/>
        <v>3</v>
      </c>
      <c r="AM74" s="1">
        <f t="shared" si="126"/>
        <v>30</v>
      </c>
      <c r="AN74" s="1">
        <f t="shared" si="127"/>
        <v>6</v>
      </c>
      <c r="AO74" s="1">
        <f t="shared" si="128"/>
        <v>0</v>
      </c>
      <c r="AP74" s="10">
        <f t="shared" si="129"/>
        <v>0.12</v>
      </c>
      <c r="AQ74" s="1">
        <f t="shared" si="130"/>
        <v>6</v>
      </c>
      <c r="AR74" s="10">
        <f t="shared" si="131"/>
        <v>0.3</v>
      </c>
      <c r="AS74" s="1">
        <f t="shared" si="132"/>
        <v>6</v>
      </c>
      <c r="AT74" s="10">
        <f t="shared" si="133"/>
        <v>0.3</v>
      </c>
      <c r="AU74" s="1">
        <f t="shared" si="134"/>
        <v>6</v>
      </c>
      <c r="AV74" s="1">
        <f>MIN(5,SUMIFS($EL$3:EL74,$B$3:B74,"&gt;="&amp;MAX(1,B74-2),$B$3:B74,"&lt;="&amp;B74)+EC74)</f>
        <v>5</v>
      </c>
      <c r="AW74" s="1">
        <f>MIN(6,SUMIFS($EY$3:EY73,$EX$3:EX73,"&gt;="&amp;MAX(1,EX74-Boss参数!$B$87+1),$EX$3:EX73,"&lt;="&amp;EX74))</f>
        <v>6</v>
      </c>
      <c r="AX74" s="1">
        <f>MIN(4,COUNTIFS($B$3:$B$73,"&gt;="&amp;MAX(1,$B74-2),$B$3:$B$73,"&lt;="&amp;$B74,$L$3:$L$73,"37_FOLLOW"))</f>
        <v>4</v>
      </c>
      <c r="AY74" s="9">
        <f>IF($E74="","",IF($E74="系统",0,ROUNDDOWN(INDEX(角色面板!$C$4:$C$7,MATCH($E74,角色面板!$A$4:$A$7,0))*(1+INDEX(角色面板!$C$11:$C$14,MATCH($E74,角色面板!$A$11:$A$14,0))+IF($E74="小瑞安侬",MAX(IF($B74&lt;=$AQ74,$AP74,0),IF(AND($L74="RHI_ATTACK",$EE74&gt;0),0.11+0.01*$G74,0)),0)+IF($E74="J",$AD74*Boss参数!$B$18,0))+IF(FD74&lt;=$AN74,MIN(Boss参数!$B$21,ROUNDDOWN(角色面板!$C$19*Boss参数!$B$20,0)),0)+IF(AND($B74&lt;=$AK74,$E74&lt;&gt;"小瑞安侬"),$DY74,0),0)))</f>
        <v>3323</v>
      </c>
      <c r="AZ74" s="10">
        <f>IF($E74="","",MAX(0,MIN(1,IFERROR(INDEX(角色面板!$G$18:$G$21,MATCH($E74,角色面板!$A$18:$A$21,0)),0)-FC74*Boss参数!$B$89-Boss参数!$E$4)))</f>
        <v>0.66700000000000004</v>
      </c>
      <c r="BA74" s="10">
        <f>IF(E74="","",(IF($E74="","",IF($E74="红弩箭",Boss参数!$B$80,IF($E74="J",Boss参数!$B$81,IFERROR(INDEX(角色面板!$H$18:$H$21,MATCH($E74,角色面板!$A$18:$A$21,0)),0)))+IF($B74&lt;=$AI74,Boss参数!$B$13,0)+MIN(30,$AM74)*Boss参数!$B$17+IF(AND($L74="LILYA_ULT",$X74&gt;=6),1,0)+IF(AND($Y74=1,$L74="LILYA_INSIGHT"),IF(MOD($AA74+1,3)=0,Boss参数!$B$83,Boss参数!$B$82),IF(AND($Y74=1,$L74="LILYA_FINISH"),Boss参数!$B$84,0))))-FC74*Boss参数!$B$90)</f>
        <v>1.9969999999999999</v>
      </c>
      <c r="BB74" s="10">
        <f>IF($E74="","",IFERROR(INDEX(角色面板!$M$18:$M$21,MATCH($E74,角色面板!$A$18:$A$21,0)),0)+$AW74*Boss参数!$B$12+IF($B74&lt;=$AG74,$AF74,0)+$EI74+IF($L74="LILYA_DIVE",IF($U74=1,IF($G74=1,0.3,IF($G74=2,0.4,0.5)),IF($U74=2,IF($G74=1,0.6,IF($G74=2,0.8,1)),0)),0)+$R74+IF(AND($E74="J",OR($L74="J_COUNTER",$L74="J_HARD")),Boss参数!$B$79,0)+IF(AND(OR(L74="J_COUNTER",L74="J_HARD"),FA74&gt;=Boss参数!$B$59),FA74*Boss参数!$B$40,0))</f>
        <v>1.8250000000000002</v>
      </c>
      <c r="BC74" s="10">
        <f>IF($E74="","",IFERROR(INDEX(角色面板!$K$18:$K$21,MATCH($E74,角色面板!$A$18:$A$21,0)),0)+IF($B74&lt;=$AH74,Boss参数!$B$46,0)+IF($E74="红弩箭",IF($U74=1,0.6,IF($U74=2,1.2,0))+$W74*0.06,0))-DI74*Boss参数!$B$23</f>
        <v>-0.55000000000000004</v>
      </c>
      <c r="BD74" s="10">
        <f>IF($E74="","",IFERROR(INDEX(角色面板!$L$18:$L$21,MATCH($E74,角色面板!$A$18:$A$21,0)),0)+IF($B74&lt;=$AH74,Boss参数!$B$46,0)+IF($E74="J",$AL74*Boss参数!$B$16,0)+IF($E74="红弩箭",$X74*0.025,0)+IF(AND($L74="LILYA_ULT",$X74&gt;=6),1,0))-DI74*Boss参数!$B$23</f>
        <v>-2.9999999999999971E-2</v>
      </c>
      <c r="BE74" s="10">
        <f>IF($E74="","",IF($H74="洞知",IF($E74="红弩箭",$AO74*Boss参数!$B$15,0)+$AX74*Boss参数!$B$14,0))</f>
        <v>0</v>
      </c>
      <c r="BF74" s="10">
        <f t="shared" si="71"/>
        <v>0</v>
      </c>
      <c r="BG74" s="10">
        <f>IF($D74="",0,IF(AND($L74&lt;&gt;"LILYA_DIVE",$L74&lt;&gt;"LILYA_ULT",$L74&lt;&gt;"LILYA_INSIGHT",$L74&lt;&gt;"LILYA_FINISH",$L74&lt;&gt;"37_FOLLOW",$L74&lt;&gt;"RHI_ATTACK",$L74&lt;&gt;"RHI_BERRY",$L74&lt;&gt;"J_COUNTER",$L74&lt;&gt;"J_ULT"),$J74,0)+IF($L74="LILYA_DIVE",$J74+IF($U74=1,IF($G74=1,6,IF($G74=2,12,18)),IF($U74=2,IF($G74=1,12,IF($G74=2,24,36)),0)),0)+IF($L74="LILYA_ULT",$J74+IF($X74&gt;=6,18,0),0)+IF($L74="LILYA_INSIGHT",IF($Y74=1,IF(MOD($AA74+1,3)=0,32,15),0),0)+IF($L74="LILYA_FINISH",IF($Y74=1,50+2.5*$Z74,0),0)+IF($L74="37_FOLLOW",$J74,0)+IF($L74="RHI_ATTACK",$J74*IF($B74&lt;=$AJ74,2,1),0)+IF($L74="RHI_BERRY",15+1.5*$AV74,0)+IF($L74="J_COUNTER",$J74+$AD74*Boss参数!$B$39,0)+IF($L74="J_ULT",$J74+Boss参数!$B$45*MAX(0,$AE74+$AD74-Boss参数!$I$4),0)+$S74)</f>
        <v>4.75</v>
      </c>
      <c r="BH74" s="10">
        <f t="shared" si="72"/>
        <v>0</v>
      </c>
      <c r="BI74" s="10">
        <f>IF(E74="","",IF(DT74=1,1+Boss参数!$B$8+AV74*Boss参数!$B$19,1))</f>
        <v>1</v>
      </c>
      <c r="BJ74" s="9">
        <f>IF($I74="现实",Boss参数!$C$4,IF($I74="精神",Boss参数!$D$4,0))</f>
        <v>1200</v>
      </c>
      <c r="BK74" s="9">
        <f>IF($E74="","",MAX($AY74*Boss参数!$B$9,$AY74-$BJ74*(1-$BF74)))</f>
        <v>2123</v>
      </c>
      <c r="BL74" s="10">
        <f>MAX(0,Boss参数!$F$4+IF(DT74=0,Boss参数!$B$27,0)-EJ74)</f>
        <v>1.0999999999999999</v>
      </c>
      <c r="BM74" s="10">
        <f>Boss参数!$G$4+DU74-IF(Y74=1,Boss参数!$B$11,0)</f>
        <v>0.65</v>
      </c>
      <c r="BN74" s="10">
        <f>IF($E74="","",MAX(Boss参数!$B$10,1+IFERROR(INDEX(角色面板!$I$18:$I$21,MATCH($E74,角色面板!$A$18:$A$21,0)),0)+$BB74+Boss参数!$H$4-$BM74))</f>
        <v>2.2000000000000002</v>
      </c>
      <c r="BO74" s="10">
        <f>IF(E74="","",IF(OR(L74="J_COUNTER",L74="J_HARD"),MAX(0,1+INDEX(角色面板!$K$18:$K$21,MATCH(E74,角色面板!$A$18:$A$21,0))-DI74*Boss参数!$B$23+IF(OR(Boss参数!$B$43=1,L74="J_HARD"),IF(B74&lt;=AH74,Boss参数!$B$46,0),0)),MAX(0,IF(OR(H74="术法",L74="RHI_BERRY",AND(L74="37_FOLLOW",Boss参数!$B$31=1)),1+BC74,IF(H74="仪式",1+BD74,IF(H74="洞知",EK74,1))))))</f>
        <v>0.45</v>
      </c>
      <c r="BP74" s="10">
        <f t="shared" si="73"/>
        <v>1.1000000000000001</v>
      </c>
      <c r="BQ74" s="1">
        <f t="shared" si="74"/>
        <v>9983.4075000000012</v>
      </c>
      <c r="BR74" s="1">
        <f t="shared" si="75"/>
        <v>10981.748250000002</v>
      </c>
      <c r="BS74" s="1">
        <f>IF(BH74=0,0,ROUNDDOWN(AY74*BH74,0)*DV74*IF(Boss参数!$B$29=1,BN74,1)*IF(Boss参数!$B$33=1,BO74,1)*IF(Boss参数!$B$76=1,1-ES74,1))</f>
        <v>0</v>
      </c>
      <c r="BT74" s="1">
        <f t="shared" si="76"/>
        <v>0</v>
      </c>
      <c r="BU74" s="9">
        <f>IF(D74="",0,MIN(IF(Boss参数!$B$77=1,Boss参数!$B$63*Boss参数!$B$62,Boss参数!$B$61*Boss参数!$B$62),DW74+ROUNDDOWN(BS74,0)+ROUNDDOWN(DW74*Q74,0)))</f>
        <v>3993</v>
      </c>
      <c r="BV74" s="9">
        <f>IF(D74="",0,MIN(IF(Boss参数!$B$77=1,Boss参数!$B$63*Boss参数!$B$62,Boss参数!$B$61*Boss参数!$B$62),DX74+ROUNDDOWN(BT74,0)+ROUNDDOWN(DX74*Q74,0)))</f>
        <v>4392</v>
      </c>
      <c r="BW74" s="9">
        <f t="shared" si="77"/>
        <v>4259</v>
      </c>
      <c r="BX74" s="1" t="str">
        <f t="shared" si="78"/>
        <v/>
      </c>
      <c r="BY74" s="1">
        <f t="shared" si="79"/>
        <v>1</v>
      </c>
      <c r="BZ74" s="1">
        <f t="shared" si="80"/>
        <v>0</v>
      </c>
      <c r="CA74" s="1">
        <f>MIN(10,W74+IF(AND(L74="LILYA_COBRA",COUNTIF($L$3:L74,"LILYA_COBRA")=1),5,0)+IF(AND(L74="LILYA_DIVE",U74=1,COUNTIFS($DG$3:DG74,DG74,$L$3:L74,"LILYA_DIVE")=1),2,0)+IF(AND(FE74=1,U74=1),3,0))</f>
        <v>8</v>
      </c>
      <c r="CB74" s="1">
        <f>MIN(20,MAX(0,X74+IF(L74="LILYA_COBRA",IF(COUNTIF($L$3:L74,"LILYA_COBRA")=1,6,IF(U74=1,MAX(1,G74),IF(U74=2,2*MAX(1,G74),0))),0)+IF(AND(Y74=1,E74="红弩箭",L74&lt;&gt;"ENTER_INSIGHT"),1,0)-IF(AND(L74="LILYA_ULT",X74&gt;=6),6,0)))</f>
        <v>12</v>
      </c>
      <c r="CC74" s="1">
        <f t="shared" si="81"/>
        <v>0</v>
      </c>
      <c r="CD74" s="1">
        <f t="shared" si="82"/>
        <v>0</v>
      </c>
      <c r="CE74" s="1">
        <f t="shared" si="83"/>
        <v>0</v>
      </c>
      <c r="CF74" s="1">
        <f t="shared" si="84"/>
        <v>3</v>
      </c>
      <c r="CG74" s="1">
        <f t="shared" si="85"/>
        <v>0</v>
      </c>
      <c r="CH74" s="1">
        <f>MIN(35,AD74+IF(L74="J_HARD",6,0)+IF(L74="J_COUNTER",Boss参数!$B$30,0))</f>
        <v>35</v>
      </c>
      <c r="CI74" s="1">
        <f>MIN(Boss参数!$I$4,AE74+IF(L74="J_HARD",6,0)+IF(L74="J_ULT",AD74,0)+IF(L74="J_COUNTER",Boss参数!$B$30,0))</f>
        <v>30</v>
      </c>
      <c r="CJ74" s="10">
        <f>IF(L74="J_ULT",AD74*Boss参数!$B$41,IF(B74&lt;=AG74,AF74,0))</f>
        <v>0.875</v>
      </c>
      <c r="CK74" s="1">
        <f t="shared" si="86"/>
        <v>6</v>
      </c>
      <c r="CL74" s="1">
        <f t="shared" si="87"/>
        <v>6</v>
      </c>
      <c r="CM74" s="1">
        <f t="shared" si="88"/>
        <v>6</v>
      </c>
      <c r="CN74" s="1">
        <f t="shared" si="89"/>
        <v>7</v>
      </c>
      <c r="CO74" s="1">
        <f t="shared" si="90"/>
        <v>6</v>
      </c>
      <c r="CP74" s="1">
        <f t="shared" si="91"/>
        <v>3</v>
      </c>
      <c r="CQ74" s="1">
        <f t="shared" si="92"/>
        <v>30</v>
      </c>
      <c r="CR74" s="1">
        <f t="shared" si="93"/>
        <v>6</v>
      </c>
      <c r="CS74" s="1">
        <f t="shared" si="94"/>
        <v>0</v>
      </c>
      <c r="CT74" s="10">
        <f t="shared" si="95"/>
        <v>0.12</v>
      </c>
      <c r="CU74" s="1">
        <f t="shared" si="96"/>
        <v>6</v>
      </c>
      <c r="CV74" s="10">
        <f t="shared" si="97"/>
        <v>0.3</v>
      </c>
      <c r="CW74" s="1">
        <f t="shared" si="98"/>
        <v>6</v>
      </c>
      <c r="CX74" s="10">
        <f t="shared" si="99"/>
        <v>0.3</v>
      </c>
      <c r="CY74" s="1">
        <f t="shared" si="100"/>
        <v>6</v>
      </c>
      <c r="CZ74" s="1"/>
      <c r="DA74" s="1"/>
      <c r="DB74" s="1"/>
      <c r="DC74" s="1"/>
      <c r="DD74" s="1"/>
      <c r="DE74" s="1"/>
      <c r="DF74" s="1"/>
      <c r="DG74" s="1">
        <f>IF(D74="","",行动模拟!B80)</f>
        <v>4</v>
      </c>
      <c r="DH74" s="1" t="str">
        <f>IF(L74="END_TURN","回合结束",IF(D74="","",IF(INDEX(回合状态!$C$7:$C$17,MATCH(DG74,回合状态!$A$7:$A$17,0))="洞穿","洞穿",IF(OR(L74="J_COUNTER",L74="BOSS_ACTION",L74="BOSS_CONSERVATIVE"),"敌方",IF(AND(L74="37_FOLLOW",DG74=DG73,DH73="敌方"),"敌方",IF(INDEX(回合状态!$C$7:$C$17,MATCH(DG74,回合状态!$A$7:$A$17,0))="普通","出牌",INDEX(回合状态!$C$7:$C$17,MATCH(DG74,回合状态!$A$7:$A$17,0))))))))</f>
        <v>敌方</v>
      </c>
      <c r="DI74" s="1">
        <f t="shared" si="101"/>
        <v>3</v>
      </c>
      <c r="DJ74" s="1">
        <f>IF(D74="",0,MIN(Boss参数!$B$25,IF(OR(AND(DH74="敌方",OR(DH73&lt;&gt;"敌方",DG74&lt;&gt;DG73)),AND(L74="END_TURN",DH74&lt;&gt;"洞穿"),AND(DG74&lt;&gt;DG73,DH73&lt;&gt;"洞穿",L73&lt;&gt;"END_TURN",COUNTIFS($DG$3:DG73,DG73,$DH$3:DH73,"敌方")=0)),EW74,DN73)))</f>
        <v>3</v>
      </c>
      <c r="DK74" s="1">
        <f>IF(D74="",0,MIN(Boss参数!$B$25,IF(OR(AND(DH74="敌方",OR(DH73&lt;&gt;"敌方",DG74&lt;&gt;DG73)),AND(L74="END_TURN",DH74&lt;&gt;"洞穿"),AND(DG74&lt;&gt;DG73,DH73&lt;&gt;"洞穿",L73&lt;&gt;"END_TURN",COUNTIFS($DG$3:DG73,DG73,$DH$3:DH73,"敌方")=0)),EW74,DO73)))</f>
        <v>3</v>
      </c>
      <c r="DL74" s="1">
        <f>IF(D74="",0,MIN(Boss参数!$B$25,IF(OR(AND(DH74="敌方",OR(DH73&lt;&gt;"敌方",DG74&lt;&gt;DG73)),AND(L74="END_TURN",DH74&lt;&gt;"洞穿"),AND(DG74&lt;&gt;DG73,DH73&lt;&gt;"洞穿",L73&lt;&gt;"END_TURN",COUNTIFS($DG$3:DG73,DG73,$DH$3:DH73,"敌方")=0)),EW74,DP73)))</f>
        <v>3</v>
      </c>
      <c r="DM74" s="1">
        <f>IF(D74="",0,MIN(Boss参数!$B$25,IF(OR(AND(DH74="敌方",OR(DH73&lt;&gt;"敌方",DG74&lt;&gt;DG73)),AND(L74="END_TURN",DH74&lt;&gt;"洞穿"),AND(DG74&lt;&gt;DG73,DH73&lt;&gt;"洞穿",L73&lt;&gt;"END_TURN",COUNTIFS($DG$3:DG73,DG73,$DH$3:DH73,"敌方")=0)),EW74,DQ73)))</f>
        <v>3</v>
      </c>
      <c r="DN74" s="1">
        <f>MAX(0,MIN(Boss参数!$B$25,DJ74+DR74)-IF(E74="红弩箭",2*DR74,0))</f>
        <v>4</v>
      </c>
      <c r="DO74" s="1">
        <f>MAX(0,MIN(Boss参数!$B$25,DK74+DR74)-IF(E74="37",2*DR74,0))</f>
        <v>4</v>
      </c>
      <c r="DP74" s="1">
        <f>MAX(0,MIN(Boss参数!$B$25,DL74+DR74)-IF(E74="小瑞安侬",2*DR74,0))</f>
        <v>4</v>
      </c>
      <c r="DQ74" s="1">
        <f>MAX(0,MIN(Boss参数!$B$25,DM74+DR74)-IF(E74="J",2*DR74,0))</f>
        <v>2</v>
      </c>
      <c r="DR74" s="1">
        <f t="shared" si="102"/>
        <v>1</v>
      </c>
      <c r="DS74" s="1">
        <f t="shared" si="103"/>
        <v>0</v>
      </c>
      <c r="DT74" s="1">
        <f>IF(OR(E74="",E74="系统"),0,IF(OR(AND(DS74=1,Boss参数!$B$32=1),L74="RHI_BERRY",OR(AND(INDEX(角色面板!$B$18:$B$21,MATCH(E74,角色面板!$A$18:$A$21,0))="星",Boss参数!$B$4="岩"),AND(INDEX(角色面板!$B$18:$B$21,MATCH(E74,角色面板!$A$18:$A$21,0))="岩",Boss参数!$B$4="兽"),AND(INDEX(角色面板!$B$18:$B$21,MATCH(E74,角色面板!$A$18:$A$21,0))="兽",Boss参数!$B$4="木"),AND(INDEX(角色面板!$B$18:$B$21,MATCH(E74,角色面板!$A$18:$A$21,0))="木",Boss参数!$B$4="星"),AND(INDEX(角色面板!$B$18:$B$21,MATCH(E74,角色面板!$A$18:$A$21,0))="智",Boss参数!$B$4="灵"),AND(INDEX(角色面板!$B$18:$B$21,MATCH(E74,角色面板!$A$18:$A$21,0))="灵",Boss参数!$B$4="智"))),1,0))</f>
        <v>0</v>
      </c>
      <c r="DU74" s="1">
        <f>IF(D74="",0,INDEX(回合状态!$E$7:$E$17,MATCH(DG74,回合状态!$A$7:$A$17,0))+IF(AND(DH74="敌方",OR(INDEX(回合状态!$C$7:$C$17,MATCH(DG74,回合状态!$A$7:$A$17,0))="普通",INDEX(回合状态!$C$7:$C$17,MATCH(DG74,回合状态!$A$7:$A$17,0))="额外")),0.05,0))</f>
        <v>0.25</v>
      </c>
      <c r="DV74" s="1">
        <f>MAX(Boss参数!$B$28,1+IF(AND(E74="37",AC74&gt;0,BH74&gt;0),Boss参数!$B$42,0)-DI74*Boss参数!$B$24+EA74-ER74)</f>
        <v>0</v>
      </c>
      <c r="DW74" s="1">
        <f>MIN(IF(Boss参数!$B$77=1,Boss参数!$B$63*Boss参数!$B$62,Boss参数!$B$61*Boss参数!$B$62),ROUNDDOWN(BQ74*(1-ES74),0))</f>
        <v>3993</v>
      </c>
      <c r="DX74" s="1">
        <f>MIN(IF(Boss参数!$B$77=1,Boss参数!$B$63*Boss参数!$B$62,Boss参数!$B$61*Boss参数!$B$62),ROUNDDOWN(BR74*(1-ES74),0))</f>
        <v>4392</v>
      </c>
      <c r="DY74" s="1">
        <f t="shared" si="135"/>
        <v>250</v>
      </c>
      <c r="DZ74" s="1">
        <f>IF(L74="RHI_ULT",MIN(Boss参数!$B$48,ROUNDDOWN(AY74*Boss参数!$B$47,0)),DY74)</f>
        <v>250</v>
      </c>
      <c r="EA74" s="11">
        <v>0</v>
      </c>
      <c r="EB74" s="1">
        <f t="shared" si="104"/>
        <v>0</v>
      </c>
      <c r="EC74" s="1">
        <f>SUMIFS($EB$3:EB74,$B$3:B74,"&gt;="&amp;MAX(1,B74-2),$B$3:B74,"&lt;="&amp;B74)*Boss参数!$B$51</f>
        <v>16</v>
      </c>
      <c r="ED74" s="1">
        <f>IF(D74="",EG73,IF(AND(DG74&lt;&gt;DG73,DH74&lt;&gt;"洞穿"),MIN(Boss参数!$B$55,EG73+2),EG73))</f>
        <v>0</v>
      </c>
      <c r="EE74" s="1">
        <f t="shared" si="105"/>
        <v>0</v>
      </c>
      <c r="EF74" s="1">
        <f>IF(AND(OR(L74="END_TURN",AND(DH74="敌方",OR(DH73&lt;&gt;"敌方",DG74&lt;&gt;DG73))),SUMIFS($EF$3:EF73,$DG$3:DG73,DG74)=0),MIN(1,MAX(0,ED74-EE74)),0)</f>
        <v>0</v>
      </c>
      <c r="EG74" s="1">
        <f t="shared" si="106"/>
        <v>0</v>
      </c>
      <c r="EH74" s="11">
        <f>Boss参数!$B$53-IF(Y74=1,Boss参数!$B$54,0)</f>
        <v>0</v>
      </c>
      <c r="EI74" s="11">
        <f t="shared" si="107"/>
        <v>0.3</v>
      </c>
      <c r="EJ74" s="11">
        <f t="shared" si="108"/>
        <v>0.3</v>
      </c>
      <c r="EK74" s="11">
        <f t="shared" si="109"/>
        <v>1</v>
      </c>
      <c r="EL74" s="1">
        <f t="shared" si="136"/>
        <v>0</v>
      </c>
      <c r="EM74" s="1">
        <f>IF(AND(DG74&lt;&gt;DG73,DH74="洞穿"),0,IF(L74="ENTER_INSIGHT",Boss参数!$B$57,EO73))</f>
        <v>0</v>
      </c>
      <c r="EN74" s="11">
        <f>IF(AND(Y74=1,H74="洞知",EM74&gt;0),Boss参数!$B$56,0)</f>
        <v>0</v>
      </c>
      <c r="EO74" s="1">
        <f t="shared" si="110"/>
        <v>0</v>
      </c>
      <c r="EP74" s="12">
        <f t="shared" si="137"/>
        <v>13528816</v>
      </c>
      <c r="EQ74" s="12">
        <f>ROUNDDOWN(EP74/Boss参数!$B$62,0)</f>
        <v>135</v>
      </c>
      <c r="ER74" s="11">
        <f>IF(EQ74&gt;=Boss参数!$B$66,Boss参数!$B$69,IF(EQ74&gt;=Boss参数!$B$65,Boss参数!$B$68,IF(EQ74&gt;=Boss参数!$B$64,Boss参数!$B$67,0)))</f>
        <v>0.9</v>
      </c>
      <c r="ES74" s="11">
        <f>MIN(1,IF(EQ74&gt;=Boss参数!$B$66,Boss参数!$B$72+ROUNDDOWN((EQ74-Boss参数!$B$66)/Boss参数!$B$73,0)*Boss参数!$B$74,IF(EQ74&gt;=Boss参数!$B$65,Boss参数!$B$71,IF(EQ74&gt;=Boss参数!$B$64,Boss参数!$B$70,0))))</f>
        <v>0.6</v>
      </c>
      <c r="ET74" s="12">
        <f>MIN(Boss参数!$B$61*Boss参数!$B$62,EP74+IF(AND(Boss参数!$B$60=1,ISNUMBER(验证表!H80)),验证表!H80,EU74))</f>
        <v>13533208</v>
      </c>
      <c r="EU74" s="12">
        <f>IF(D74="",0,IF(验证表!G80="是",BV74,IF(验证表!G80="否",BU74,BW74)))</f>
        <v>4392</v>
      </c>
      <c r="EV74" s="12">
        <f>IF(EQ74&gt;=Boss参数!$B$66,2,IF(EQ74&gt;=Boss参数!$B$65,1,0))</f>
        <v>2</v>
      </c>
      <c r="EW74" s="12">
        <f t="shared" si="111"/>
        <v>3</v>
      </c>
      <c r="EX74" s="1">
        <f>IF(D74="",0,INDEX(回合状态!$D$7:$D$17,MATCH(DG74,回合状态!$A$7:$A$17,0)))</f>
        <v>4</v>
      </c>
      <c r="EY74" s="1">
        <f>IF(OR(L74="RHI_ATTACK",L74="RHI_BUFF"),1,IF(L74="RHI_ULT",Boss参数!$B$52,0))</f>
        <v>0</v>
      </c>
      <c r="EZ74" s="1">
        <f>MIN(6,SUMIFS($EY$3:EY74,$EX$3:EX74,"&gt;="&amp;MAX(1,EX74-Boss参数!$B$87+1),$EX$3:EX74,"&lt;="&amp;EX74))</f>
        <v>6</v>
      </c>
      <c r="FA74" s="1">
        <f t="shared" si="138"/>
        <v>35</v>
      </c>
      <c r="FB74" s="17">
        <f>IF(L74="BOSS_CONSERVATIVE",B74+Boss参数!$B$91,FB73)</f>
        <v>0</v>
      </c>
      <c r="FC74" s="17">
        <f t="shared" si="139"/>
        <v>0</v>
      </c>
      <c r="FD74" s="17">
        <f>IF(D74="",FD73,FD73+IF(AND(DG74&lt;&gt;DG73,INDEX(回合状态!$C$7:$C$17,MATCH(DG74,回合状态!$A$7:$A$17,0))&lt;&gt;"洞穿"),1,0))</f>
        <v>5</v>
      </c>
      <c r="FE74" s="17">
        <f>IF(D74="",0,IF(AND(OR(L74="END_TURN",DH74="敌方"),INDEX(回合状态!$C$7:$C$17,MATCH(DG74,回合状态!$A$7:$A$17,0))&lt;&gt;"洞穿",SUMIFS($FE$3:FE73,$DG$3:DG73,DG74)=0),1,0))</f>
        <v>1</v>
      </c>
    </row>
    <row r="75" spans="1:161" ht="84.95" customHeight="1">
      <c r="A75" s="1">
        <f>行动模拟!A81</f>
        <v>73</v>
      </c>
      <c r="B75" s="1">
        <f>IF(D75="",0,INDEX(回合状态!$B$7:$B$17,MATCH(DG75,回合状态!$A$7:$A$17,0)))</f>
        <v>4</v>
      </c>
      <c r="C75" s="1">
        <f>行动模拟!C81</f>
        <v>13</v>
      </c>
      <c r="D75" s="1" t="str">
        <f>IF(行动模拟!D81="","",行动模拟!D81)</f>
        <v>J｜高温回火</v>
      </c>
      <c r="E75" s="1" t="str">
        <f>IF($D75="","",IFERROR(INDEX(技能数据库!$B$4:$B$38,MATCH($D75,技能数据库!$A$4:$A$38,0)),""))</f>
        <v>J</v>
      </c>
      <c r="F75" s="1" t="str">
        <f>IF($D75="","",IFERROR(INDEX(技能数据库!$C$4:$C$38,MATCH($D75,技能数据库!$A$4:$A$38,0)),""))</f>
        <v>高温回火</v>
      </c>
      <c r="G75" s="1">
        <f>IF($D75="","",IFERROR(INDEX(技能数据库!$D$4:$D$38,MATCH($D75,技能数据库!$A$4:$A$38,0)),""))</f>
        <v>0</v>
      </c>
      <c r="H75" s="1" t="str">
        <f>IF($D75="","",IFERROR(INDEX(技能数据库!$E$4:$E$38,MATCH($D75,技能数据库!$A$4:$A$38,0)),""))</f>
        <v>反击</v>
      </c>
      <c r="I75" s="1" t="str">
        <f>IF($D75="","",IFERROR(INDEX(技能数据库!$F$4:$F$38,MATCH($D75,技能数据库!$A$4:$A$38,0)),""))</f>
        <v>现实</v>
      </c>
      <c r="J75" s="1">
        <f>IF($D75="","",IFERROR(INDEX(技能数据库!$G$4:$G$38,MATCH($D75,技能数据库!$A$4:$A$38,0)),""))</f>
        <v>3</v>
      </c>
      <c r="K75" s="1">
        <f>IF($D75="","",IFERROR(INDEX(技能数据库!$H$4:$H$38,MATCH($D75,技能数据库!$A$4:$A$38,0)),""))</f>
        <v>0</v>
      </c>
      <c r="L75" s="1" t="str">
        <f>IF($D75="","",IFERROR(INDEX(技能数据库!$I$4:$I$38,MATCH($D75,技能数据库!$A$4:$A$38,0)),""))</f>
        <v>J_COUNTER</v>
      </c>
      <c r="M75" s="10">
        <v>1</v>
      </c>
      <c r="N75" s="1"/>
      <c r="O75" s="1"/>
      <c r="P75" s="1"/>
      <c r="Q75" s="10">
        <f t="shared" si="70"/>
        <v>0</v>
      </c>
      <c r="R75" s="10">
        <v>0</v>
      </c>
      <c r="S75" s="10">
        <v>0</v>
      </c>
      <c r="T75" s="1">
        <f>行动模拟!I81</f>
        <v>0</v>
      </c>
      <c r="U75" s="1">
        <f>IF(FD75&lt;&gt;FD74,IF(BY74=1,IF(MIN(10,CA74+IF(AND(DG75&lt;&gt;DG74,DH74&lt;&gt;"洞穿",SUMIFS($FE$3:FE74,$DG$3:DG74,DG74)=0,BY74=1),3,0))&gt;=10,2,1),IF(BY74=2,IF(BZ74&lt;=1,0,2),0)),BY74)</f>
        <v>1</v>
      </c>
      <c r="V75" s="1">
        <f>IF(FD75&lt;&gt;FD74,IF(BY74=1,IF(MIN(10,CA74+IF(AND(DG75&lt;&gt;DG74,DH74&lt;&gt;"洞穿",SUMIFS($FE$3:FE74,$DG$3:DG74,DG74)=0,BY74=1),3,0))&gt;=10,2,0),IF(BY74=2,MAX(0,BZ74-1),0)),BZ74)</f>
        <v>0</v>
      </c>
      <c r="W75" s="1">
        <f>IF(AND(FD75&lt;&gt;FD74,BY74=2,BZ74&lt;=1),0,MIN(10,CA74+IF(AND(DG75&lt;&gt;DG74,DH74&lt;&gt;"洞穿",SUMIFS($FE$3:FE74,$DG$3:DG74,DG74)=0,BY74=1),3,0)))</f>
        <v>8</v>
      </c>
      <c r="X75" s="1">
        <f t="shared" si="112"/>
        <v>12</v>
      </c>
      <c r="Y75" s="1">
        <f t="shared" si="113"/>
        <v>0</v>
      </c>
      <c r="Z75" s="1">
        <f t="shared" si="114"/>
        <v>0</v>
      </c>
      <c r="AA75" s="1">
        <f t="shared" si="115"/>
        <v>0</v>
      </c>
      <c r="AB75" s="1">
        <f t="shared" si="116"/>
        <v>3</v>
      </c>
      <c r="AC75" s="1">
        <f t="shared" si="117"/>
        <v>0</v>
      </c>
      <c r="AD75" s="1">
        <f t="shared" si="118"/>
        <v>35</v>
      </c>
      <c r="AE75" s="1">
        <f>IF(D75="",0,IF(DG75&lt;&gt;DG74,IFERROR(INDEX(回合状态!$F$7:$F$17,MATCH(DG75,回合状态!$A$7:$A$17,0)),0),CI74))</f>
        <v>30</v>
      </c>
      <c r="AF75" s="10">
        <f t="shared" si="119"/>
        <v>0.875</v>
      </c>
      <c r="AG75" s="1">
        <f t="shared" si="120"/>
        <v>6</v>
      </c>
      <c r="AH75" s="1">
        <f t="shared" si="121"/>
        <v>6</v>
      </c>
      <c r="AI75" s="1">
        <f t="shared" si="122"/>
        <v>6</v>
      </c>
      <c r="AJ75" s="1">
        <f t="shared" si="123"/>
        <v>7</v>
      </c>
      <c r="AK75" s="1">
        <f t="shared" si="124"/>
        <v>6</v>
      </c>
      <c r="AL75" s="1">
        <f t="shared" si="125"/>
        <v>3</v>
      </c>
      <c r="AM75" s="1">
        <f t="shared" si="126"/>
        <v>30</v>
      </c>
      <c r="AN75" s="1">
        <f t="shared" si="127"/>
        <v>6</v>
      </c>
      <c r="AO75" s="1">
        <f t="shared" si="128"/>
        <v>0</v>
      </c>
      <c r="AP75" s="10">
        <f t="shared" si="129"/>
        <v>0.12</v>
      </c>
      <c r="AQ75" s="1">
        <f t="shared" si="130"/>
        <v>6</v>
      </c>
      <c r="AR75" s="10">
        <f t="shared" si="131"/>
        <v>0.3</v>
      </c>
      <c r="AS75" s="1">
        <f t="shared" si="132"/>
        <v>6</v>
      </c>
      <c r="AT75" s="10">
        <f t="shared" si="133"/>
        <v>0.3</v>
      </c>
      <c r="AU75" s="1">
        <f t="shared" si="134"/>
        <v>6</v>
      </c>
      <c r="AV75" s="1">
        <f>MIN(5,SUMIFS($EL$3:EL75,$B$3:B75,"&gt;="&amp;MAX(1,B75-2),$B$3:B75,"&lt;="&amp;B75)+EC75)</f>
        <v>5</v>
      </c>
      <c r="AW75" s="1">
        <f>MIN(6,SUMIFS($EY$3:EY74,$EX$3:EX74,"&gt;="&amp;MAX(1,EX75-Boss参数!$B$87+1),$EX$3:EX74,"&lt;="&amp;EX75))</f>
        <v>6</v>
      </c>
      <c r="AX75" s="1">
        <f>MIN(4,COUNTIFS($B$3:$B$74,"&gt;="&amp;MAX(1,$B75-2),$B$3:$B$74,"&lt;="&amp;$B75,$L$3:$L$74,"37_FOLLOW"))</f>
        <v>4</v>
      </c>
      <c r="AY75" s="9">
        <f>IF($E75="","",IF($E75="系统",0,ROUNDDOWN(INDEX(角色面板!$C$4:$C$7,MATCH($E75,角色面板!$A$4:$A$7,0))*(1+INDEX(角色面板!$C$11:$C$14,MATCH($E75,角色面板!$A$11:$A$14,0))+IF($E75="小瑞安侬",MAX(IF($B75&lt;=$AQ75,$AP75,0),IF(AND($L75="RHI_ATTACK",$EE75&gt;0),0.11+0.01*$G75,0)),0)+IF($E75="J",$AD75*Boss参数!$B$18,0))+IF(FD75&lt;=$AN75,MIN(Boss参数!$B$21,ROUNDDOWN(角色面板!$C$19*Boss参数!$B$20,0)),0)+IF(AND($B75&lt;=$AK75,$E75&lt;&gt;"小瑞安侬"),$DY75,0),0)))</f>
        <v>3323</v>
      </c>
      <c r="AZ75" s="10">
        <f>IF($E75="","",MAX(0,MIN(1,IFERROR(INDEX(角色面板!$G$18:$G$21,MATCH($E75,角色面板!$A$18:$A$21,0)),0)-FC75*Boss参数!$B$89-Boss参数!$E$4)))</f>
        <v>0.66700000000000004</v>
      </c>
      <c r="BA75" s="10">
        <f>IF(E75="","",(IF($E75="","",IF($E75="红弩箭",Boss参数!$B$80,IF($E75="J",Boss参数!$B$81,IFERROR(INDEX(角色面板!$H$18:$H$21,MATCH($E75,角色面板!$A$18:$A$21,0)),0)))+IF($B75&lt;=$AI75,Boss参数!$B$13,0)+MIN(30,$AM75)*Boss参数!$B$17+IF(AND($L75="LILYA_ULT",$X75&gt;=6),1,0)+IF(AND($Y75=1,$L75="LILYA_INSIGHT"),IF(MOD($AA75+1,3)=0,Boss参数!$B$83,Boss参数!$B$82),IF(AND($Y75=1,$L75="LILYA_FINISH"),Boss参数!$B$84,0))))-FC75*Boss参数!$B$90)</f>
        <v>1.9969999999999999</v>
      </c>
      <c r="BB75" s="10">
        <f>IF($E75="","",IFERROR(INDEX(角色面板!$M$18:$M$21,MATCH($E75,角色面板!$A$18:$A$21,0)),0)+$AW75*Boss参数!$B$12+IF($B75&lt;=$AG75,$AF75,0)+$EI75+IF($L75="LILYA_DIVE",IF($U75=1,IF($G75=1,0.3,IF($G75=2,0.4,0.5)),IF($U75=2,IF($G75=1,0.6,IF($G75=2,0.8,1)),0)),0)+$R75+IF(AND($E75="J",OR($L75="J_COUNTER",$L75="J_HARD")),Boss参数!$B$79,0)+IF(AND(OR(L75="J_COUNTER",L75="J_HARD"),FA75&gt;=Boss参数!$B$59),FA75*Boss参数!$B$40,0))</f>
        <v>1.8250000000000002</v>
      </c>
      <c r="BC75" s="10">
        <f>IF($E75="","",IFERROR(INDEX(角色面板!$K$18:$K$21,MATCH($E75,角色面板!$A$18:$A$21,0)),0)+IF($B75&lt;=$AH75,Boss参数!$B$46,0)+IF($E75="红弩箭",IF($U75=1,0.6,IF($U75=2,1.2,0))+$W75*0.06,0))-DI75*Boss参数!$B$23</f>
        <v>-0.4</v>
      </c>
      <c r="BD75" s="10">
        <f>IF($E75="","",IFERROR(INDEX(角色面板!$L$18:$L$21,MATCH($E75,角色面板!$A$18:$A$21,0)),0)+IF($B75&lt;=$AH75,Boss参数!$B$46,0)+IF($E75="J",$AL75*Boss参数!$B$16,0)+IF($E75="红弩箭",$X75*0.025,0)+IF(AND($L75="LILYA_ULT",$X75&gt;=6),1,0))-DI75*Boss参数!$B$23</f>
        <v>0.12</v>
      </c>
      <c r="BE75" s="10">
        <f>IF($E75="","",IF($H75="洞知",IF($E75="红弩箭",$AO75*Boss参数!$B$15,0)+$AX75*Boss参数!$B$14,0))</f>
        <v>0</v>
      </c>
      <c r="BF75" s="10">
        <f t="shared" si="71"/>
        <v>0</v>
      </c>
      <c r="BG75" s="10">
        <f>IF($D75="",0,IF(AND($L75&lt;&gt;"LILYA_DIVE",$L75&lt;&gt;"LILYA_ULT",$L75&lt;&gt;"LILYA_INSIGHT",$L75&lt;&gt;"LILYA_FINISH",$L75&lt;&gt;"37_FOLLOW",$L75&lt;&gt;"RHI_ATTACK",$L75&lt;&gt;"RHI_BERRY",$L75&lt;&gt;"J_COUNTER",$L75&lt;&gt;"J_ULT"),$J75,0)+IF($L75="LILYA_DIVE",$J75+IF($U75=1,IF($G75=1,6,IF($G75=2,12,18)),IF($U75=2,IF($G75=1,12,IF($G75=2,24,36)),0)),0)+IF($L75="LILYA_ULT",$J75+IF($X75&gt;=6,18,0),0)+IF($L75="LILYA_INSIGHT",IF($Y75=1,IF(MOD($AA75+1,3)=0,32,15),0),0)+IF($L75="LILYA_FINISH",IF($Y75=1,50+2.5*$Z75,0),0)+IF($L75="37_FOLLOW",$J75,0)+IF($L75="RHI_ATTACK",$J75*IF($B75&lt;=$AJ75,2,1),0)+IF($L75="RHI_BERRY",15+1.5*$AV75,0)+IF($L75="J_COUNTER",$J75+$AD75*Boss参数!$B$39,0)+IF($L75="J_ULT",$J75+Boss参数!$B$45*MAX(0,$AE75+$AD75-Boss参数!$I$4),0)+$S75)</f>
        <v>4.75</v>
      </c>
      <c r="BH75" s="10">
        <f t="shared" si="72"/>
        <v>0</v>
      </c>
      <c r="BI75" s="10">
        <f>IF(E75="","",IF(DT75=1,1+Boss参数!$B$8+AV75*Boss参数!$B$19,1))</f>
        <v>1</v>
      </c>
      <c r="BJ75" s="9">
        <f>IF($I75="现实",Boss参数!$C$4,IF($I75="精神",Boss参数!$D$4,0))</f>
        <v>1200</v>
      </c>
      <c r="BK75" s="9">
        <f>IF($E75="","",MAX($AY75*Boss参数!$B$9,$AY75-$BJ75*(1-$BF75)))</f>
        <v>2123</v>
      </c>
      <c r="BL75" s="10">
        <f>MAX(0,Boss参数!$F$4+IF(DT75=0,Boss参数!$B$27,0)-EJ75)</f>
        <v>1.0999999999999999</v>
      </c>
      <c r="BM75" s="10">
        <f>Boss参数!$G$4+DU75-IF(Y75=1,Boss参数!$B$11,0)</f>
        <v>0.65</v>
      </c>
      <c r="BN75" s="10">
        <f>IF($E75="","",MAX(Boss参数!$B$10,1+IFERROR(INDEX(角色面板!$I$18:$I$21,MATCH($E75,角色面板!$A$18:$A$21,0)),0)+$BB75+Boss参数!$H$4-$BM75))</f>
        <v>2.2000000000000002</v>
      </c>
      <c r="BO75" s="10">
        <f>IF(E75="","",IF(OR(L75="J_COUNTER",L75="J_HARD"),MAX(0,1+INDEX(角色面板!$K$18:$K$21,MATCH(E75,角色面板!$A$18:$A$21,0))-DI75*Boss参数!$B$23+IF(OR(Boss参数!$B$43=1,L75="J_HARD"),IF(B75&lt;=AH75,Boss参数!$B$46,0),0)),MAX(0,IF(OR(H75="术法",L75="RHI_BERRY",AND(L75="37_FOLLOW",Boss参数!$B$31=1)),1+BC75,IF(H75="仪式",1+BD75,IF(H75="洞知",EK75,1))))))</f>
        <v>0.6</v>
      </c>
      <c r="BP75" s="10">
        <f t="shared" si="73"/>
        <v>1.1000000000000001</v>
      </c>
      <c r="BQ75" s="1">
        <f t="shared" si="74"/>
        <v>13311.210000000001</v>
      </c>
      <c r="BR75" s="1">
        <f t="shared" si="75"/>
        <v>14642.331000000002</v>
      </c>
      <c r="BS75" s="1">
        <f>IF(BH75=0,0,ROUNDDOWN(AY75*BH75,0)*DV75*IF(Boss参数!$B$29=1,BN75,1)*IF(Boss参数!$B$33=1,BO75,1)*IF(Boss参数!$B$76=1,1-ES75,1))</f>
        <v>0</v>
      </c>
      <c r="BT75" s="1">
        <f t="shared" si="76"/>
        <v>0</v>
      </c>
      <c r="BU75" s="9">
        <f>IF(D75="",0,MIN(IF(Boss参数!$B$77=1,Boss参数!$B$63*Boss参数!$B$62,Boss参数!$B$61*Boss参数!$B$62),DW75+ROUNDDOWN(BS75,0)+ROUNDDOWN(DW75*Q75,0)))</f>
        <v>5324</v>
      </c>
      <c r="BV75" s="9">
        <f>IF(D75="",0,MIN(IF(Boss参数!$B$77=1,Boss参数!$B$63*Boss参数!$B$62,Boss参数!$B$61*Boss参数!$B$62),DX75+ROUNDDOWN(BT75,0)+ROUNDDOWN(DX75*Q75,0)))</f>
        <v>5856</v>
      </c>
      <c r="BW75" s="9">
        <f t="shared" si="77"/>
        <v>5678</v>
      </c>
      <c r="BX75" s="1" t="str">
        <f t="shared" si="78"/>
        <v/>
      </c>
      <c r="BY75" s="1">
        <f t="shared" si="79"/>
        <v>1</v>
      </c>
      <c r="BZ75" s="1">
        <f t="shared" si="80"/>
        <v>0</v>
      </c>
      <c r="CA75" s="1">
        <f>MIN(10,W75+IF(AND(L75="LILYA_COBRA",COUNTIF($L$3:L75,"LILYA_COBRA")=1),5,0)+IF(AND(L75="LILYA_DIVE",U75=1,COUNTIFS($DG$3:DG75,DG75,$L$3:L75,"LILYA_DIVE")=1),2,0)+IF(AND(FE75=1,U75=1),3,0))</f>
        <v>8</v>
      </c>
      <c r="CB75" s="1">
        <f>MIN(20,MAX(0,X75+IF(L75="LILYA_COBRA",IF(COUNTIF($L$3:L75,"LILYA_COBRA")=1,6,IF(U75=1,MAX(1,G75),IF(U75=2,2*MAX(1,G75),0))),0)+IF(AND(Y75=1,E75="红弩箭",L75&lt;&gt;"ENTER_INSIGHT"),1,0)-IF(AND(L75="LILYA_ULT",X75&gt;=6),6,0)))</f>
        <v>12</v>
      </c>
      <c r="CC75" s="1">
        <f t="shared" si="81"/>
        <v>0</v>
      </c>
      <c r="CD75" s="1">
        <f t="shared" si="82"/>
        <v>0</v>
      </c>
      <c r="CE75" s="1">
        <f t="shared" si="83"/>
        <v>0</v>
      </c>
      <c r="CF75" s="1">
        <f t="shared" si="84"/>
        <v>4</v>
      </c>
      <c r="CG75" s="1">
        <f t="shared" si="85"/>
        <v>0</v>
      </c>
      <c r="CH75" s="1">
        <f>MIN(35,AD75+IF(L75="J_HARD",6,0)+IF(L75="J_COUNTER",Boss参数!$B$30,0))</f>
        <v>35</v>
      </c>
      <c r="CI75" s="1">
        <f>MIN(Boss参数!$I$4,AE75+IF(L75="J_HARD",6,0)+IF(L75="J_ULT",AD75,0)+IF(L75="J_COUNTER",Boss参数!$B$30,0))</f>
        <v>30</v>
      </c>
      <c r="CJ75" s="10">
        <f>IF(L75="J_ULT",AD75*Boss参数!$B$41,IF(B75&lt;=AG75,AF75,0))</f>
        <v>0.875</v>
      </c>
      <c r="CK75" s="1">
        <f t="shared" si="86"/>
        <v>6</v>
      </c>
      <c r="CL75" s="1">
        <f t="shared" si="87"/>
        <v>6</v>
      </c>
      <c r="CM75" s="1">
        <f t="shared" si="88"/>
        <v>6</v>
      </c>
      <c r="CN75" s="1">
        <f t="shared" si="89"/>
        <v>7</v>
      </c>
      <c r="CO75" s="1">
        <f t="shared" si="90"/>
        <v>6</v>
      </c>
      <c r="CP75" s="1">
        <f t="shared" si="91"/>
        <v>3</v>
      </c>
      <c r="CQ75" s="1">
        <f t="shared" si="92"/>
        <v>30</v>
      </c>
      <c r="CR75" s="1">
        <f t="shared" si="93"/>
        <v>6</v>
      </c>
      <c r="CS75" s="1">
        <f t="shared" si="94"/>
        <v>0</v>
      </c>
      <c r="CT75" s="10">
        <f t="shared" si="95"/>
        <v>0.12</v>
      </c>
      <c r="CU75" s="1">
        <f t="shared" si="96"/>
        <v>6</v>
      </c>
      <c r="CV75" s="10">
        <f t="shared" si="97"/>
        <v>0.3</v>
      </c>
      <c r="CW75" s="1">
        <f t="shared" si="98"/>
        <v>6</v>
      </c>
      <c r="CX75" s="10">
        <f t="shared" si="99"/>
        <v>0.3</v>
      </c>
      <c r="CY75" s="1">
        <f t="shared" si="100"/>
        <v>6</v>
      </c>
      <c r="CZ75" s="1"/>
      <c r="DA75" s="1"/>
      <c r="DB75" s="1"/>
      <c r="DC75" s="1"/>
      <c r="DD75" s="1"/>
      <c r="DE75" s="1"/>
      <c r="DF75" s="1"/>
      <c r="DG75" s="1">
        <f>IF(D75="","",行动模拟!B81)</f>
        <v>4</v>
      </c>
      <c r="DH75" s="1" t="str">
        <f>IF(L75="END_TURN","回合结束",IF(D75="","",IF(INDEX(回合状态!$C$7:$C$17,MATCH(DG75,回合状态!$A$7:$A$17,0))="洞穿","洞穿",IF(OR(L75="J_COUNTER",L75="BOSS_ACTION",L75="BOSS_CONSERVATIVE"),"敌方",IF(AND(L75="37_FOLLOW",DG75=DG74,DH74="敌方"),"敌方",IF(INDEX(回合状态!$C$7:$C$17,MATCH(DG75,回合状态!$A$7:$A$17,0))="普通","出牌",INDEX(回合状态!$C$7:$C$17,MATCH(DG75,回合状态!$A$7:$A$17,0))))))))</f>
        <v>敌方</v>
      </c>
      <c r="DI75" s="1">
        <f t="shared" si="101"/>
        <v>2</v>
      </c>
      <c r="DJ75" s="1">
        <f>IF(D75="",0,MIN(Boss参数!$B$25,IF(OR(AND(DH75="敌方",OR(DH74&lt;&gt;"敌方",DG75&lt;&gt;DG74)),AND(L75="END_TURN",DH75&lt;&gt;"洞穿"),AND(DG75&lt;&gt;DG74,DH74&lt;&gt;"洞穿",L74&lt;&gt;"END_TURN",COUNTIFS($DG$3:DG74,DG74,$DH$3:DH74,"敌方")=0)),EW75,DN74)))</f>
        <v>4</v>
      </c>
      <c r="DK75" s="1">
        <f>IF(D75="",0,MIN(Boss参数!$B$25,IF(OR(AND(DH75="敌方",OR(DH74&lt;&gt;"敌方",DG75&lt;&gt;DG74)),AND(L75="END_TURN",DH75&lt;&gt;"洞穿"),AND(DG75&lt;&gt;DG74,DH74&lt;&gt;"洞穿",L74&lt;&gt;"END_TURN",COUNTIFS($DG$3:DG74,DG74,$DH$3:DH74,"敌方")=0)),EW75,DO74)))</f>
        <v>4</v>
      </c>
      <c r="DL75" s="1">
        <f>IF(D75="",0,MIN(Boss参数!$B$25,IF(OR(AND(DH75="敌方",OR(DH74&lt;&gt;"敌方",DG75&lt;&gt;DG74)),AND(L75="END_TURN",DH75&lt;&gt;"洞穿"),AND(DG75&lt;&gt;DG74,DH74&lt;&gt;"洞穿",L74&lt;&gt;"END_TURN",COUNTIFS($DG$3:DG74,DG74,$DH$3:DH74,"敌方")=0)),EW75,DP74)))</f>
        <v>4</v>
      </c>
      <c r="DM75" s="1">
        <f>IF(D75="",0,MIN(Boss参数!$B$25,IF(OR(AND(DH75="敌方",OR(DH74&lt;&gt;"敌方",DG75&lt;&gt;DG74)),AND(L75="END_TURN",DH75&lt;&gt;"洞穿"),AND(DG75&lt;&gt;DG74,DH74&lt;&gt;"洞穿",L74&lt;&gt;"END_TURN",COUNTIFS($DG$3:DG74,DG74,$DH$3:DH74,"敌方")=0)),EW75,DQ74)))</f>
        <v>2</v>
      </c>
      <c r="DN75" s="1">
        <f>MAX(0,MIN(Boss参数!$B$25,DJ75+DR75)-IF(E75="红弩箭",2*DR75,0))</f>
        <v>5</v>
      </c>
      <c r="DO75" s="1">
        <f>MAX(0,MIN(Boss参数!$B$25,DK75+DR75)-IF(E75="37",2*DR75,0))</f>
        <v>5</v>
      </c>
      <c r="DP75" s="1">
        <f>MAX(0,MIN(Boss参数!$B$25,DL75+DR75)-IF(E75="小瑞安侬",2*DR75,0))</f>
        <v>5</v>
      </c>
      <c r="DQ75" s="1">
        <f>MAX(0,MIN(Boss参数!$B$25,DM75+DR75)-IF(E75="J",2*DR75,0))</f>
        <v>1</v>
      </c>
      <c r="DR75" s="1">
        <f t="shared" si="102"/>
        <v>1</v>
      </c>
      <c r="DS75" s="1">
        <f t="shared" si="103"/>
        <v>0</v>
      </c>
      <c r="DT75" s="1">
        <f>IF(OR(E75="",E75="系统"),0,IF(OR(AND(DS75=1,Boss参数!$B$32=1),L75="RHI_BERRY",OR(AND(INDEX(角色面板!$B$18:$B$21,MATCH(E75,角色面板!$A$18:$A$21,0))="星",Boss参数!$B$4="岩"),AND(INDEX(角色面板!$B$18:$B$21,MATCH(E75,角色面板!$A$18:$A$21,0))="岩",Boss参数!$B$4="兽"),AND(INDEX(角色面板!$B$18:$B$21,MATCH(E75,角色面板!$A$18:$A$21,0))="兽",Boss参数!$B$4="木"),AND(INDEX(角色面板!$B$18:$B$21,MATCH(E75,角色面板!$A$18:$A$21,0))="木",Boss参数!$B$4="星"),AND(INDEX(角色面板!$B$18:$B$21,MATCH(E75,角色面板!$A$18:$A$21,0))="智",Boss参数!$B$4="灵"),AND(INDEX(角色面板!$B$18:$B$21,MATCH(E75,角色面板!$A$18:$A$21,0))="灵",Boss参数!$B$4="智"))),1,0))</f>
        <v>0</v>
      </c>
      <c r="DU75" s="1">
        <f>IF(D75="",0,INDEX(回合状态!$E$7:$E$17,MATCH(DG75,回合状态!$A$7:$A$17,0))+IF(AND(DH75="敌方",OR(INDEX(回合状态!$C$7:$C$17,MATCH(DG75,回合状态!$A$7:$A$17,0))="普通",INDEX(回合状态!$C$7:$C$17,MATCH(DG75,回合状态!$A$7:$A$17,0))="额外")),0.05,0))</f>
        <v>0.25</v>
      </c>
      <c r="DV75" s="1">
        <f>MAX(Boss参数!$B$28,1+IF(AND(E75="37",AC75&gt;0,BH75&gt;0),Boss参数!$B$42,0)-DI75*Boss参数!$B$24+EA75-ER75)</f>
        <v>0</v>
      </c>
      <c r="DW75" s="1">
        <f>MIN(IF(Boss参数!$B$77=1,Boss参数!$B$63*Boss参数!$B$62,Boss参数!$B$61*Boss参数!$B$62),ROUNDDOWN(BQ75*(1-ES75),0))</f>
        <v>5324</v>
      </c>
      <c r="DX75" s="1">
        <f>MIN(IF(Boss参数!$B$77=1,Boss参数!$B$63*Boss参数!$B$62,Boss参数!$B$61*Boss参数!$B$62),ROUNDDOWN(BR75*(1-ES75),0))</f>
        <v>5856</v>
      </c>
      <c r="DY75" s="1">
        <f t="shared" si="135"/>
        <v>250</v>
      </c>
      <c r="DZ75" s="1">
        <f>IF(L75="RHI_ULT",MIN(Boss参数!$B$48,ROUNDDOWN(AY75*Boss参数!$B$47,0)),DY75)</f>
        <v>250</v>
      </c>
      <c r="EA75" s="11">
        <v>0</v>
      </c>
      <c r="EB75" s="1">
        <f t="shared" si="104"/>
        <v>0</v>
      </c>
      <c r="EC75" s="1">
        <f>SUMIFS($EB$3:EB75,$B$3:B75,"&gt;="&amp;MAX(1,B75-2),$B$3:B75,"&lt;="&amp;B75)*Boss参数!$B$51</f>
        <v>16</v>
      </c>
      <c r="ED75" s="1">
        <f>IF(D75="",EG74,IF(AND(DG75&lt;&gt;DG74,DH75&lt;&gt;"洞穿"),MIN(Boss参数!$B$55,EG74+2),EG74))</f>
        <v>0</v>
      </c>
      <c r="EE75" s="1">
        <f t="shared" si="105"/>
        <v>0</v>
      </c>
      <c r="EF75" s="1">
        <f>IF(AND(OR(L75="END_TURN",AND(DH75="敌方",OR(DH74&lt;&gt;"敌方",DG75&lt;&gt;DG74))),SUMIFS($EF$3:EF74,$DG$3:DG74,DG75)=0),MIN(1,MAX(0,ED75-EE75)),0)</f>
        <v>0</v>
      </c>
      <c r="EG75" s="1">
        <f t="shared" si="106"/>
        <v>0</v>
      </c>
      <c r="EH75" s="11">
        <f>Boss参数!$B$53-IF(Y75=1,Boss参数!$B$54,0)</f>
        <v>0</v>
      </c>
      <c r="EI75" s="11">
        <f t="shared" si="107"/>
        <v>0.3</v>
      </c>
      <c r="EJ75" s="11">
        <f t="shared" si="108"/>
        <v>0.3</v>
      </c>
      <c r="EK75" s="11">
        <f t="shared" si="109"/>
        <v>1</v>
      </c>
      <c r="EL75" s="1">
        <f t="shared" si="136"/>
        <v>0</v>
      </c>
      <c r="EM75" s="1">
        <f>IF(AND(DG75&lt;&gt;DG74,DH75="洞穿"),0,IF(L75="ENTER_INSIGHT",Boss参数!$B$57,EO74))</f>
        <v>0</v>
      </c>
      <c r="EN75" s="11">
        <f>IF(AND(Y75=1,H75="洞知",EM75&gt;0),Boss参数!$B$56,0)</f>
        <v>0</v>
      </c>
      <c r="EO75" s="1">
        <f t="shared" si="110"/>
        <v>0</v>
      </c>
      <c r="EP75" s="12">
        <f t="shared" si="137"/>
        <v>13533208</v>
      </c>
      <c r="EQ75" s="12">
        <f>ROUNDDOWN(EP75/Boss参数!$B$62,0)</f>
        <v>135</v>
      </c>
      <c r="ER75" s="11">
        <f>IF(EQ75&gt;=Boss参数!$B$66,Boss参数!$B$69,IF(EQ75&gt;=Boss参数!$B$65,Boss参数!$B$68,IF(EQ75&gt;=Boss参数!$B$64,Boss参数!$B$67,0)))</f>
        <v>0.9</v>
      </c>
      <c r="ES75" s="11">
        <f>MIN(1,IF(EQ75&gt;=Boss参数!$B$66,Boss参数!$B$72+ROUNDDOWN((EQ75-Boss参数!$B$66)/Boss参数!$B$73,0)*Boss参数!$B$74,IF(EQ75&gt;=Boss参数!$B$65,Boss参数!$B$71,IF(EQ75&gt;=Boss参数!$B$64,Boss参数!$B$70,0))))</f>
        <v>0.6</v>
      </c>
      <c r="ET75" s="12">
        <f>MIN(Boss参数!$B$61*Boss参数!$B$62,EP75+IF(AND(Boss参数!$B$60=1,ISNUMBER(验证表!H81)),验证表!H81,EU75))</f>
        <v>13538532</v>
      </c>
      <c r="EU75" s="12">
        <f>IF(D75="",0,IF(验证表!G81="是",BV75,IF(验证表!G81="否",BU75,BW75)))</f>
        <v>5324</v>
      </c>
      <c r="EV75" s="12">
        <f>IF(EQ75&gt;=Boss参数!$B$66,2,IF(EQ75&gt;=Boss参数!$B$65,1,0))</f>
        <v>2</v>
      </c>
      <c r="EW75" s="12">
        <f t="shared" si="111"/>
        <v>3</v>
      </c>
      <c r="EX75" s="1">
        <f>IF(D75="",0,INDEX(回合状态!$D$7:$D$17,MATCH(DG75,回合状态!$A$7:$A$17,0)))</f>
        <v>4</v>
      </c>
      <c r="EY75" s="1">
        <f>IF(OR(L75="RHI_ATTACK",L75="RHI_BUFF"),1,IF(L75="RHI_ULT",Boss参数!$B$52,0))</f>
        <v>0</v>
      </c>
      <c r="EZ75" s="1">
        <f>MIN(6,SUMIFS($EY$3:EY75,$EX$3:EX75,"&gt;="&amp;MAX(1,EX75-Boss参数!$B$87+1),$EX$3:EX75,"&lt;="&amp;EX75))</f>
        <v>6</v>
      </c>
      <c r="FA75" s="1">
        <f t="shared" si="138"/>
        <v>35</v>
      </c>
      <c r="FB75" s="17">
        <f>IF(L75="BOSS_CONSERVATIVE",B75+Boss参数!$B$91,FB74)</f>
        <v>0</v>
      </c>
      <c r="FC75" s="17">
        <f t="shared" si="139"/>
        <v>0</v>
      </c>
      <c r="FD75" s="17">
        <f>IF(D75="",FD74,FD74+IF(AND(DG75&lt;&gt;DG74,INDEX(回合状态!$C$7:$C$17,MATCH(DG75,回合状态!$A$7:$A$17,0))&lt;&gt;"洞穿"),1,0))</f>
        <v>5</v>
      </c>
      <c r="FE75" s="17">
        <f>IF(D75="",0,IF(AND(OR(L75="END_TURN",DH75="敌方"),INDEX(回合状态!$C$7:$C$17,MATCH(DG75,回合状态!$A$7:$A$17,0))&lt;&gt;"洞穿",SUMIFS($FE$3:FE74,$DG$3:DG74,DG75)=0),1,0))</f>
        <v>0</v>
      </c>
    </row>
    <row r="76" spans="1:161" ht="84.95" customHeight="1">
      <c r="A76" s="1">
        <f>行动模拟!A82</f>
        <v>74</v>
      </c>
      <c r="B76" s="1">
        <f>IF(D76="",0,INDEX(回合状态!$B$7:$B$17,MATCH(DG76,回合状态!$A$7:$A$17,0)))</f>
        <v>4</v>
      </c>
      <c r="C76" s="1">
        <f>行动模拟!C82</f>
        <v>14</v>
      </c>
      <c r="D76" s="1" t="str">
        <f>IF(行动模拟!D82="","",行动模拟!D82)</f>
        <v>J｜高温回火</v>
      </c>
      <c r="E76" s="1" t="str">
        <f>IF($D76="","",IFERROR(INDEX(技能数据库!$B$4:$B$38,MATCH($D76,技能数据库!$A$4:$A$38,0)),""))</f>
        <v>J</v>
      </c>
      <c r="F76" s="1" t="str">
        <f>IF($D76="","",IFERROR(INDEX(技能数据库!$C$4:$C$38,MATCH($D76,技能数据库!$A$4:$A$38,0)),""))</f>
        <v>高温回火</v>
      </c>
      <c r="G76" s="1">
        <f>IF($D76="","",IFERROR(INDEX(技能数据库!$D$4:$D$38,MATCH($D76,技能数据库!$A$4:$A$38,0)),""))</f>
        <v>0</v>
      </c>
      <c r="H76" s="1" t="str">
        <f>IF($D76="","",IFERROR(INDEX(技能数据库!$E$4:$E$38,MATCH($D76,技能数据库!$A$4:$A$38,0)),""))</f>
        <v>反击</v>
      </c>
      <c r="I76" s="1" t="str">
        <f>IF($D76="","",IFERROR(INDEX(技能数据库!$F$4:$F$38,MATCH($D76,技能数据库!$A$4:$A$38,0)),""))</f>
        <v>现实</v>
      </c>
      <c r="J76" s="1">
        <f>IF($D76="","",IFERROR(INDEX(技能数据库!$G$4:$G$38,MATCH($D76,技能数据库!$A$4:$A$38,0)),""))</f>
        <v>3</v>
      </c>
      <c r="K76" s="1">
        <f>IF($D76="","",IFERROR(INDEX(技能数据库!$H$4:$H$38,MATCH($D76,技能数据库!$A$4:$A$38,0)),""))</f>
        <v>0</v>
      </c>
      <c r="L76" s="1" t="str">
        <f>IF($D76="","",IFERROR(INDEX(技能数据库!$I$4:$I$38,MATCH($D76,技能数据库!$A$4:$A$38,0)),""))</f>
        <v>J_COUNTER</v>
      </c>
      <c r="M76" s="10">
        <v>1</v>
      </c>
      <c r="N76" s="1"/>
      <c r="O76" s="1"/>
      <c r="P76" s="1"/>
      <c r="Q76" s="10">
        <f t="shared" si="70"/>
        <v>0</v>
      </c>
      <c r="R76" s="10">
        <v>0</v>
      </c>
      <c r="S76" s="10">
        <v>0</v>
      </c>
      <c r="T76" s="1">
        <f>行动模拟!I82</f>
        <v>0</v>
      </c>
      <c r="U76" s="1">
        <f>IF(FD76&lt;&gt;FD75,IF(BY75=1,IF(MIN(10,CA75+IF(AND(DG76&lt;&gt;DG75,DH75&lt;&gt;"洞穿",SUMIFS($FE$3:FE75,$DG$3:DG75,DG75)=0,BY75=1),3,0))&gt;=10,2,1),IF(BY75=2,IF(BZ75&lt;=1,0,2),0)),BY75)</f>
        <v>1</v>
      </c>
      <c r="V76" s="1">
        <f>IF(FD76&lt;&gt;FD75,IF(BY75=1,IF(MIN(10,CA75+IF(AND(DG76&lt;&gt;DG75,DH75&lt;&gt;"洞穿",SUMIFS($FE$3:FE75,$DG$3:DG75,DG75)=0,BY75=1),3,0))&gt;=10,2,0),IF(BY75=2,MAX(0,BZ75-1),0)),BZ75)</f>
        <v>0</v>
      </c>
      <c r="W76" s="1">
        <f>IF(AND(FD76&lt;&gt;FD75,BY75=2,BZ75&lt;=1),0,MIN(10,CA75+IF(AND(DG76&lt;&gt;DG75,DH75&lt;&gt;"洞穿",SUMIFS($FE$3:FE75,$DG$3:DG75,DG75)=0,BY75=1),3,0)))</f>
        <v>8</v>
      </c>
      <c r="X76" s="1">
        <f t="shared" si="112"/>
        <v>12</v>
      </c>
      <c r="Y76" s="1">
        <f t="shared" si="113"/>
        <v>0</v>
      </c>
      <c r="Z76" s="1">
        <f t="shared" si="114"/>
        <v>0</v>
      </c>
      <c r="AA76" s="1">
        <f t="shared" si="115"/>
        <v>0</v>
      </c>
      <c r="AB76" s="1">
        <f t="shared" si="116"/>
        <v>4</v>
      </c>
      <c r="AC76" s="1">
        <f t="shared" si="117"/>
        <v>0</v>
      </c>
      <c r="AD76" s="1">
        <f t="shared" si="118"/>
        <v>35</v>
      </c>
      <c r="AE76" s="1">
        <f>IF(D76="",0,IF(DG76&lt;&gt;DG75,IFERROR(INDEX(回合状态!$F$7:$F$17,MATCH(DG76,回合状态!$A$7:$A$17,0)),0),CI75))</f>
        <v>30</v>
      </c>
      <c r="AF76" s="10">
        <f t="shared" si="119"/>
        <v>0.875</v>
      </c>
      <c r="AG76" s="1">
        <f t="shared" si="120"/>
        <v>6</v>
      </c>
      <c r="AH76" s="1">
        <f t="shared" si="121"/>
        <v>6</v>
      </c>
      <c r="AI76" s="1">
        <f t="shared" si="122"/>
        <v>6</v>
      </c>
      <c r="AJ76" s="1">
        <f t="shared" si="123"/>
        <v>7</v>
      </c>
      <c r="AK76" s="1">
        <f t="shared" si="124"/>
        <v>6</v>
      </c>
      <c r="AL76" s="1">
        <f t="shared" si="125"/>
        <v>3</v>
      </c>
      <c r="AM76" s="1">
        <f t="shared" si="126"/>
        <v>30</v>
      </c>
      <c r="AN76" s="1">
        <f t="shared" si="127"/>
        <v>6</v>
      </c>
      <c r="AO76" s="1">
        <f t="shared" si="128"/>
        <v>0</v>
      </c>
      <c r="AP76" s="10">
        <f t="shared" si="129"/>
        <v>0.12</v>
      </c>
      <c r="AQ76" s="1">
        <f t="shared" si="130"/>
        <v>6</v>
      </c>
      <c r="AR76" s="10">
        <f t="shared" si="131"/>
        <v>0.3</v>
      </c>
      <c r="AS76" s="1">
        <f t="shared" si="132"/>
        <v>6</v>
      </c>
      <c r="AT76" s="10">
        <f t="shared" si="133"/>
        <v>0.3</v>
      </c>
      <c r="AU76" s="1">
        <f t="shared" si="134"/>
        <v>6</v>
      </c>
      <c r="AV76" s="1">
        <f>MIN(5,SUMIFS($EL$3:EL76,$B$3:B76,"&gt;="&amp;MAX(1,B76-2),$B$3:B76,"&lt;="&amp;B76)+EC76)</f>
        <v>5</v>
      </c>
      <c r="AW76" s="1">
        <f>MIN(6,SUMIFS($EY$3:EY75,$EX$3:EX75,"&gt;="&amp;MAX(1,EX76-Boss参数!$B$87+1),$EX$3:EX75,"&lt;="&amp;EX76))</f>
        <v>6</v>
      </c>
      <c r="AX76" s="1">
        <f>MIN(4,COUNTIFS($B$3:$B$75,"&gt;="&amp;MAX(1,$B76-2),$B$3:$B$75,"&lt;="&amp;$B76,$L$3:$L$75,"37_FOLLOW"))</f>
        <v>4</v>
      </c>
      <c r="AY76" s="9">
        <f>IF($E76="","",IF($E76="系统",0,ROUNDDOWN(INDEX(角色面板!$C$4:$C$7,MATCH($E76,角色面板!$A$4:$A$7,0))*(1+INDEX(角色面板!$C$11:$C$14,MATCH($E76,角色面板!$A$11:$A$14,0))+IF($E76="小瑞安侬",MAX(IF($B76&lt;=$AQ76,$AP76,0),IF(AND($L76="RHI_ATTACK",$EE76&gt;0),0.11+0.01*$G76,0)),0)+IF($E76="J",$AD76*Boss参数!$B$18,0))+IF(FD76&lt;=$AN76,MIN(Boss参数!$B$21,ROUNDDOWN(角色面板!$C$19*Boss参数!$B$20,0)),0)+IF(AND($B76&lt;=$AK76,$E76&lt;&gt;"小瑞安侬"),$DY76,0),0)))</f>
        <v>3323</v>
      </c>
      <c r="AZ76" s="10">
        <f>IF($E76="","",MAX(0,MIN(1,IFERROR(INDEX(角色面板!$G$18:$G$21,MATCH($E76,角色面板!$A$18:$A$21,0)),0)-FC76*Boss参数!$B$89-Boss参数!$E$4)))</f>
        <v>0.66700000000000004</v>
      </c>
      <c r="BA76" s="10">
        <f>IF(E76="","",(IF($E76="","",IF($E76="红弩箭",Boss参数!$B$80,IF($E76="J",Boss参数!$B$81,IFERROR(INDEX(角色面板!$H$18:$H$21,MATCH($E76,角色面板!$A$18:$A$21,0)),0)))+IF($B76&lt;=$AI76,Boss参数!$B$13,0)+MIN(30,$AM76)*Boss参数!$B$17+IF(AND($L76="LILYA_ULT",$X76&gt;=6),1,0)+IF(AND($Y76=1,$L76="LILYA_INSIGHT"),IF(MOD($AA76+1,3)=0,Boss参数!$B$83,Boss参数!$B$82),IF(AND($Y76=1,$L76="LILYA_FINISH"),Boss参数!$B$84,0))))-FC76*Boss参数!$B$90)</f>
        <v>1.9969999999999999</v>
      </c>
      <c r="BB76" s="10">
        <f>IF($E76="","",IFERROR(INDEX(角色面板!$M$18:$M$21,MATCH($E76,角色面板!$A$18:$A$21,0)),0)+$AW76*Boss参数!$B$12+IF($B76&lt;=$AG76,$AF76,0)+$EI76+IF($L76="LILYA_DIVE",IF($U76=1,IF($G76=1,0.3,IF($G76=2,0.4,0.5)),IF($U76=2,IF($G76=1,0.6,IF($G76=2,0.8,1)),0)),0)+$R76+IF(AND($E76="J",OR($L76="J_COUNTER",$L76="J_HARD")),Boss参数!$B$79,0)+IF(AND(OR(L76="J_COUNTER",L76="J_HARD"),FA76&gt;=Boss参数!$B$59),FA76*Boss参数!$B$40,0))</f>
        <v>1.8250000000000002</v>
      </c>
      <c r="BC76" s="10">
        <f>IF($E76="","",IFERROR(INDEX(角色面板!$K$18:$K$21,MATCH($E76,角色面板!$A$18:$A$21,0)),0)+IF($B76&lt;=$AH76,Boss参数!$B$46,0)+IF($E76="红弩箭",IF($U76=1,0.6,IF($U76=2,1.2,0))+$W76*0.06,0))-DI76*Boss参数!$B$23</f>
        <v>-0.25</v>
      </c>
      <c r="BD76" s="10">
        <f>IF($E76="","",IFERROR(INDEX(角色面板!$L$18:$L$21,MATCH($E76,角色面板!$A$18:$A$21,0)),0)+IF($B76&lt;=$AH76,Boss参数!$B$46,0)+IF($E76="J",$AL76*Boss参数!$B$16,0)+IF($E76="红弩箭",$X76*0.025,0)+IF(AND($L76="LILYA_ULT",$X76&gt;=6),1,0))-DI76*Boss参数!$B$23</f>
        <v>0.27</v>
      </c>
      <c r="BE76" s="10">
        <f>IF($E76="","",IF($H76="洞知",IF($E76="红弩箭",$AO76*Boss参数!$B$15,0)+$AX76*Boss参数!$B$14,0))</f>
        <v>0</v>
      </c>
      <c r="BF76" s="10">
        <f t="shared" si="71"/>
        <v>0</v>
      </c>
      <c r="BG76" s="10">
        <f>IF($D76="",0,IF(AND($L76&lt;&gt;"LILYA_DIVE",$L76&lt;&gt;"LILYA_ULT",$L76&lt;&gt;"LILYA_INSIGHT",$L76&lt;&gt;"LILYA_FINISH",$L76&lt;&gt;"37_FOLLOW",$L76&lt;&gt;"RHI_ATTACK",$L76&lt;&gt;"RHI_BERRY",$L76&lt;&gt;"J_COUNTER",$L76&lt;&gt;"J_ULT"),$J76,0)+IF($L76="LILYA_DIVE",$J76+IF($U76=1,IF($G76=1,6,IF($G76=2,12,18)),IF($U76=2,IF($G76=1,12,IF($G76=2,24,36)),0)),0)+IF($L76="LILYA_ULT",$J76+IF($X76&gt;=6,18,0),0)+IF($L76="LILYA_INSIGHT",IF($Y76=1,IF(MOD($AA76+1,3)=0,32,15),0),0)+IF($L76="LILYA_FINISH",IF($Y76=1,50+2.5*$Z76,0),0)+IF($L76="37_FOLLOW",$J76,0)+IF($L76="RHI_ATTACK",$J76*IF($B76&lt;=$AJ76,2,1),0)+IF($L76="RHI_BERRY",15+1.5*$AV76,0)+IF($L76="J_COUNTER",$J76+$AD76*Boss参数!$B$39,0)+IF($L76="J_ULT",$J76+Boss参数!$B$45*MAX(0,$AE76+$AD76-Boss参数!$I$4),0)+$S76)</f>
        <v>4.75</v>
      </c>
      <c r="BH76" s="10">
        <f t="shared" si="72"/>
        <v>0</v>
      </c>
      <c r="BI76" s="10">
        <f>IF(E76="","",IF(DT76=1,1+Boss参数!$B$8+AV76*Boss参数!$B$19,1))</f>
        <v>1</v>
      </c>
      <c r="BJ76" s="9">
        <f>IF($I76="现实",Boss参数!$C$4,IF($I76="精神",Boss参数!$D$4,0))</f>
        <v>1200</v>
      </c>
      <c r="BK76" s="9">
        <f>IF($E76="","",MAX($AY76*Boss参数!$B$9,$AY76-$BJ76*(1-$BF76)))</f>
        <v>2123</v>
      </c>
      <c r="BL76" s="10">
        <f>MAX(0,Boss参数!$F$4+IF(DT76=0,Boss参数!$B$27,0)-EJ76)</f>
        <v>1.0999999999999999</v>
      </c>
      <c r="BM76" s="10">
        <f>Boss参数!$G$4+DU76-IF(Y76=1,Boss参数!$B$11,0)</f>
        <v>0.65</v>
      </c>
      <c r="BN76" s="10">
        <f>IF($E76="","",MAX(Boss参数!$B$10,1+IFERROR(INDEX(角色面板!$I$18:$I$21,MATCH($E76,角色面板!$A$18:$A$21,0)),0)+$BB76+Boss参数!$H$4-$BM76))</f>
        <v>2.2000000000000002</v>
      </c>
      <c r="BO76" s="10">
        <f>IF(E76="","",IF(OR(L76="J_COUNTER",L76="J_HARD"),MAX(0,1+INDEX(角色面板!$K$18:$K$21,MATCH(E76,角色面板!$A$18:$A$21,0))-DI76*Boss参数!$B$23+IF(OR(Boss参数!$B$43=1,L76="J_HARD"),IF(B76&lt;=AH76,Boss参数!$B$46,0),0)),MAX(0,IF(OR(H76="术法",L76="RHI_BERRY",AND(L76="37_FOLLOW",Boss参数!$B$31=1)),1+BC76,IF(H76="仪式",1+BD76,IF(H76="洞知",EK76,1))))))</f>
        <v>0.75</v>
      </c>
      <c r="BP76" s="10">
        <f t="shared" si="73"/>
        <v>1.1000000000000001</v>
      </c>
      <c r="BQ76" s="1">
        <f t="shared" si="74"/>
        <v>16639.012500000001</v>
      </c>
      <c r="BR76" s="1">
        <f t="shared" si="75"/>
        <v>18302.913750000003</v>
      </c>
      <c r="BS76" s="1">
        <f>IF(BH76=0,0,ROUNDDOWN(AY76*BH76,0)*DV76*IF(Boss参数!$B$29=1,BN76,1)*IF(Boss参数!$B$33=1,BO76,1)*IF(Boss参数!$B$76=1,1-ES76,1))</f>
        <v>0</v>
      </c>
      <c r="BT76" s="1">
        <f t="shared" si="76"/>
        <v>0</v>
      </c>
      <c r="BU76" s="9">
        <f>IF(D76="",0,MIN(IF(Boss参数!$B$77=1,Boss参数!$B$63*Boss参数!$B$62,Boss参数!$B$61*Boss参数!$B$62),DW76+ROUNDDOWN(BS76,0)+ROUNDDOWN(DW76*Q76,0)))</f>
        <v>6655</v>
      </c>
      <c r="BV76" s="9">
        <f>IF(D76="",0,MIN(IF(Boss参数!$B$77=1,Boss参数!$B$63*Boss参数!$B$62,Boss参数!$B$61*Boss参数!$B$62),DX76+ROUNDDOWN(BT76,0)+ROUNDDOWN(DX76*Q76,0)))</f>
        <v>7321</v>
      </c>
      <c r="BW76" s="9">
        <f t="shared" si="77"/>
        <v>7099</v>
      </c>
      <c r="BX76" s="1" t="str">
        <f t="shared" si="78"/>
        <v/>
      </c>
      <c r="BY76" s="1">
        <f t="shared" si="79"/>
        <v>1</v>
      </c>
      <c r="BZ76" s="1">
        <f t="shared" si="80"/>
        <v>0</v>
      </c>
      <c r="CA76" s="1">
        <f>MIN(10,W76+IF(AND(L76="LILYA_COBRA",COUNTIF($L$3:L76,"LILYA_COBRA")=1),5,0)+IF(AND(L76="LILYA_DIVE",U76=1,COUNTIFS($DG$3:DG76,DG76,$L$3:L76,"LILYA_DIVE")=1),2,0)+IF(AND(FE76=1,U76=1),3,0))</f>
        <v>8</v>
      </c>
      <c r="CB76" s="1">
        <f>MIN(20,MAX(0,X76+IF(L76="LILYA_COBRA",IF(COUNTIF($L$3:L76,"LILYA_COBRA")=1,6,IF(U76=1,MAX(1,G76),IF(U76=2,2*MAX(1,G76),0))),0)+IF(AND(Y76=1,E76="红弩箭",L76&lt;&gt;"ENTER_INSIGHT"),1,0)-IF(AND(L76="LILYA_ULT",X76&gt;=6),6,0)))</f>
        <v>12</v>
      </c>
      <c r="CC76" s="1">
        <f t="shared" si="81"/>
        <v>0</v>
      </c>
      <c r="CD76" s="1">
        <f t="shared" si="82"/>
        <v>0</v>
      </c>
      <c r="CE76" s="1">
        <f t="shared" si="83"/>
        <v>0</v>
      </c>
      <c r="CF76" s="1">
        <f t="shared" si="84"/>
        <v>5</v>
      </c>
      <c r="CG76" s="1">
        <f t="shared" si="85"/>
        <v>0</v>
      </c>
      <c r="CH76" s="1">
        <f>MIN(35,AD76+IF(L76="J_HARD",6,0)+IF(L76="J_COUNTER",Boss参数!$B$30,0))</f>
        <v>35</v>
      </c>
      <c r="CI76" s="1">
        <f>MIN(Boss参数!$I$4,AE76+IF(L76="J_HARD",6,0)+IF(L76="J_ULT",AD76,0)+IF(L76="J_COUNTER",Boss参数!$B$30,0))</f>
        <v>30</v>
      </c>
      <c r="CJ76" s="10">
        <f>IF(L76="J_ULT",AD76*Boss参数!$B$41,IF(B76&lt;=AG76,AF76,0))</f>
        <v>0.875</v>
      </c>
      <c r="CK76" s="1">
        <f t="shared" si="86"/>
        <v>6</v>
      </c>
      <c r="CL76" s="1">
        <f t="shared" si="87"/>
        <v>6</v>
      </c>
      <c r="CM76" s="1">
        <f t="shared" si="88"/>
        <v>6</v>
      </c>
      <c r="CN76" s="1">
        <f t="shared" si="89"/>
        <v>7</v>
      </c>
      <c r="CO76" s="1">
        <f t="shared" si="90"/>
        <v>6</v>
      </c>
      <c r="CP76" s="1">
        <f t="shared" si="91"/>
        <v>3</v>
      </c>
      <c r="CQ76" s="1">
        <f t="shared" si="92"/>
        <v>30</v>
      </c>
      <c r="CR76" s="1">
        <f t="shared" si="93"/>
        <v>6</v>
      </c>
      <c r="CS76" s="1">
        <f t="shared" si="94"/>
        <v>0</v>
      </c>
      <c r="CT76" s="10">
        <f t="shared" si="95"/>
        <v>0.12</v>
      </c>
      <c r="CU76" s="1">
        <f t="shared" si="96"/>
        <v>6</v>
      </c>
      <c r="CV76" s="10">
        <f t="shared" si="97"/>
        <v>0.3</v>
      </c>
      <c r="CW76" s="1">
        <f t="shared" si="98"/>
        <v>6</v>
      </c>
      <c r="CX76" s="10">
        <f t="shared" si="99"/>
        <v>0.3</v>
      </c>
      <c r="CY76" s="1">
        <f t="shared" si="100"/>
        <v>6</v>
      </c>
      <c r="CZ76" s="1"/>
      <c r="DA76" s="1"/>
      <c r="DB76" s="1"/>
      <c r="DC76" s="1"/>
      <c r="DD76" s="1"/>
      <c r="DE76" s="1"/>
      <c r="DF76" s="1"/>
      <c r="DG76" s="1">
        <f>IF(D76="","",行动模拟!B82)</f>
        <v>4</v>
      </c>
      <c r="DH76" s="1" t="str">
        <f>IF(L76="END_TURN","回合结束",IF(D76="","",IF(INDEX(回合状态!$C$7:$C$17,MATCH(DG76,回合状态!$A$7:$A$17,0))="洞穿","洞穿",IF(OR(L76="J_COUNTER",L76="BOSS_ACTION",L76="BOSS_CONSERVATIVE"),"敌方",IF(AND(L76="37_FOLLOW",DG76=DG75,DH75="敌方"),"敌方",IF(INDEX(回合状态!$C$7:$C$17,MATCH(DG76,回合状态!$A$7:$A$17,0))="普通","出牌",INDEX(回合状态!$C$7:$C$17,MATCH(DG76,回合状态!$A$7:$A$17,0))))))))</f>
        <v>敌方</v>
      </c>
      <c r="DI76" s="1">
        <f t="shared" si="101"/>
        <v>1</v>
      </c>
      <c r="DJ76" s="1">
        <f>IF(D76="",0,MIN(Boss参数!$B$25,IF(OR(AND(DH76="敌方",OR(DH75&lt;&gt;"敌方",DG76&lt;&gt;DG75)),AND(L76="END_TURN",DH76&lt;&gt;"洞穿"),AND(DG76&lt;&gt;DG75,DH75&lt;&gt;"洞穿",L75&lt;&gt;"END_TURN",COUNTIFS($DG$3:DG75,DG75,$DH$3:DH75,"敌方")=0)),EW76,DN75)))</f>
        <v>5</v>
      </c>
      <c r="DK76" s="1">
        <f>IF(D76="",0,MIN(Boss参数!$B$25,IF(OR(AND(DH76="敌方",OR(DH75&lt;&gt;"敌方",DG76&lt;&gt;DG75)),AND(L76="END_TURN",DH76&lt;&gt;"洞穿"),AND(DG76&lt;&gt;DG75,DH75&lt;&gt;"洞穿",L75&lt;&gt;"END_TURN",COUNTIFS($DG$3:DG75,DG75,$DH$3:DH75,"敌方")=0)),EW76,DO75)))</f>
        <v>5</v>
      </c>
      <c r="DL76" s="1">
        <f>IF(D76="",0,MIN(Boss参数!$B$25,IF(OR(AND(DH76="敌方",OR(DH75&lt;&gt;"敌方",DG76&lt;&gt;DG75)),AND(L76="END_TURN",DH76&lt;&gt;"洞穿"),AND(DG76&lt;&gt;DG75,DH75&lt;&gt;"洞穿",L75&lt;&gt;"END_TURN",COUNTIFS($DG$3:DG75,DG75,$DH$3:DH75,"敌方")=0)),EW76,DP75)))</f>
        <v>5</v>
      </c>
      <c r="DM76" s="1">
        <f>IF(D76="",0,MIN(Boss参数!$B$25,IF(OR(AND(DH76="敌方",OR(DH75&lt;&gt;"敌方",DG76&lt;&gt;DG75)),AND(L76="END_TURN",DH76&lt;&gt;"洞穿"),AND(DG76&lt;&gt;DG75,DH75&lt;&gt;"洞穿",L75&lt;&gt;"END_TURN",COUNTIFS($DG$3:DG75,DG75,$DH$3:DH75,"敌方")=0)),EW76,DQ75)))</f>
        <v>1</v>
      </c>
      <c r="DN76" s="1">
        <f>MAX(0,MIN(Boss参数!$B$25,DJ76+DR76)-IF(E76="红弩箭",2*DR76,0))</f>
        <v>5</v>
      </c>
      <c r="DO76" s="1">
        <f>MAX(0,MIN(Boss参数!$B$25,DK76+DR76)-IF(E76="37",2*DR76,0))</f>
        <v>5</v>
      </c>
      <c r="DP76" s="1">
        <f>MAX(0,MIN(Boss参数!$B$25,DL76+DR76)-IF(E76="小瑞安侬",2*DR76,0))</f>
        <v>5</v>
      </c>
      <c r="DQ76" s="1">
        <f>MAX(0,MIN(Boss参数!$B$25,DM76+DR76)-IF(E76="J",2*DR76,0))</f>
        <v>0</v>
      </c>
      <c r="DR76" s="1">
        <f t="shared" si="102"/>
        <v>1</v>
      </c>
      <c r="DS76" s="1">
        <f t="shared" si="103"/>
        <v>0</v>
      </c>
      <c r="DT76" s="1">
        <f>IF(OR(E76="",E76="系统"),0,IF(OR(AND(DS76=1,Boss参数!$B$32=1),L76="RHI_BERRY",OR(AND(INDEX(角色面板!$B$18:$B$21,MATCH(E76,角色面板!$A$18:$A$21,0))="星",Boss参数!$B$4="岩"),AND(INDEX(角色面板!$B$18:$B$21,MATCH(E76,角色面板!$A$18:$A$21,0))="岩",Boss参数!$B$4="兽"),AND(INDEX(角色面板!$B$18:$B$21,MATCH(E76,角色面板!$A$18:$A$21,0))="兽",Boss参数!$B$4="木"),AND(INDEX(角色面板!$B$18:$B$21,MATCH(E76,角色面板!$A$18:$A$21,0))="木",Boss参数!$B$4="星"),AND(INDEX(角色面板!$B$18:$B$21,MATCH(E76,角色面板!$A$18:$A$21,0))="智",Boss参数!$B$4="灵"),AND(INDEX(角色面板!$B$18:$B$21,MATCH(E76,角色面板!$A$18:$A$21,0))="灵",Boss参数!$B$4="智"))),1,0))</f>
        <v>0</v>
      </c>
      <c r="DU76" s="1">
        <f>IF(D76="",0,INDEX(回合状态!$E$7:$E$17,MATCH(DG76,回合状态!$A$7:$A$17,0))+IF(AND(DH76="敌方",OR(INDEX(回合状态!$C$7:$C$17,MATCH(DG76,回合状态!$A$7:$A$17,0))="普通",INDEX(回合状态!$C$7:$C$17,MATCH(DG76,回合状态!$A$7:$A$17,0))="额外")),0.05,0))</f>
        <v>0.25</v>
      </c>
      <c r="DV76" s="1">
        <f>MAX(Boss参数!$B$28,1+IF(AND(E76="37",AC76&gt;0,BH76&gt;0),Boss参数!$B$42,0)-DI76*Boss参数!$B$24+EA76-ER76)</f>
        <v>0</v>
      </c>
      <c r="DW76" s="1">
        <f>MIN(IF(Boss参数!$B$77=1,Boss参数!$B$63*Boss参数!$B$62,Boss参数!$B$61*Boss参数!$B$62),ROUNDDOWN(BQ76*(1-ES76),0))</f>
        <v>6655</v>
      </c>
      <c r="DX76" s="1">
        <f>MIN(IF(Boss参数!$B$77=1,Boss参数!$B$63*Boss参数!$B$62,Boss参数!$B$61*Boss参数!$B$62),ROUNDDOWN(BR76*(1-ES76),0))</f>
        <v>7321</v>
      </c>
      <c r="DY76" s="1">
        <f t="shared" si="135"/>
        <v>250</v>
      </c>
      <c r="DZ76" s="1">
        <f>IF(L76="RHI_ULT",MIN(Boss参数!$B$48,ROUNDDOWN(AY76*Boss参数!$B$47,0)),DY76)</f>
        <v>250</v>
      </c>
      <c r="EA76" s="11">
        <v>0</v>
      </c>
      <c r="EB76" s="1">
        <f t="shared" si="104"/>
        <v>0</v>
      </c>
      <c r="EC76" s="1">
        <f>SUMIFS($EB$3:EB76,$B$3:B76,"&gt;="&amp;MAX(1,B76-2),$B$3:B76,"&lt;="&amp;B76)*Boss参数!$B$51</f>
        <v>16</v>
      </c>
      <c r="ED76" s="1">
        <f>IF(D76="",EG75,IF(AND(DG76&lt;&gt;DG75,DH76&lt;&gt;"洞穿"),MIN(Boss参数!$B$55,EG75+2),EG75))</f>
        <v>0</v>
      </c>
      <c r="EE76" s="1">
        <f t="shared" si="105"/>
        <v>0</v>
      </c>
      <c r="EF76" s="1">
        <f>IF(AND(OR(L76="END_TURN",AND(DH76="敌方",OR(DH75&lt;&gt;"敌方",DG76&lt;&gt;DG75))),SUMIFS($EF$3:EF75,$DG$3:DG75,DG76)=0),MIN(1,MAX(0,ED76-EE76)),0)</f>
        <v>0</v>
      </c>
      <c r="EG76" s="1">
        <f t="shared" si="106"/>
        <v>0</v>
      </c>
      <c r="EH76" s="11">
        <f>Boss参数!$B$53-IF(Y76=1,Boss参数!$B$54,0)</f>
        <v>0</v>
      </c>
      <c r="EI76" s="11">
        <f t="shared" si="107"/>
        <v>0.3</v>
      </c>
      <c r="EJ76" s="11">
        <f t="shared" si="108"/>
        <v>0.3</v>
      </c>
      <c r="EK76" s="11">
        <f t="shared" si="109"/>
        <v>1</v>
      </c>
      <c r="EL76" s="1">
        <f t="shared" si="136"/>
        <v>0</v>
      </c>
      <c r="EM76" s="1">
        <f>IF(AND(DG76&lt;&gt;DG75,DH76="洞穿"),0,IF(L76="ENTER_INSIGHT",Boss参数!$B$57,EO75))</f>
        <v>0</v>
      </c>
      <c r="EN76" s="11">
        <f>IF(AND(Y76=1,H76="洞知",EM76&gt;0),Boss参数!$B$56,0)</f>
        <v>0</v>
      </c>
      <c r="EO76" s="1">
        <f t="shared" si="110"/>
        <v>0</v>
      </c>
      <c r="EP76" s="12">
        <f t="shared" si="137"/>
        <v>13538532</v>
      </c>
      <c r="EQ76" s="12">
        <f>ROUNDDOWN(EP76/Boss参数!$B$62,0)</f>
        <v>135</v>
      </c>
      <c r="ER76" s="11">
        <f>IF(EQ76&gt;=Boss参数!$B$66,Boss参数!$B$69,IF(EQ76&gt;=Boss参数!$B$65,Boss参数!$B$68,IF(EQ76&gt;=Boss参数!$B$64,Boss参数!$B$67,0)))</f>
        <v>0.9</v>
      </c>
      <c r="ES76" s="11">
        <f>MIN(1,IF(EQ76&gt;=Boss参数!$B$66,Boss参数!$B$72+ROUNDDOWN((EQ76-Boss参数!$B$66)/Boss参数!$B$73,0)*Boss参数!$B$74,IF(EQ76&gt;=Boss参数!$B$65,Boss参数!$B$71,IF(EQ76&gt;=Boss参数!$B$64,Boss参数!$B$70,0))))</f>
        <v>0.6</v>
      </c>
      <c r="ET76" s="12">
        <f>MIN(Boss参数!$B$61*Boss参数!$B$62,EP76+IF(AND(Boss参数!$B$60=1,ISNUMBER(验证表!H82)),验证表!H82,EU76))</f>
        <v>13545187</v>
      </c>
      <c r="EU76" s="12">
        <f>IF(D76="",0,IF(验证表!G82="是",BV76,IF(验证表!G82="否",BU76,BW76)))</f>
        <v>6655</v>
      </c>
      <c r="EV76" s="12">
        <f>IF(EQ76&gt;=Boss参数!$B$66,2,IF(EQ76&gt;=Boss参数!$B$65,1,0))</f>
        <v>2</v>
      </c>
      <c r="EW76" s="12">
        <f t="shared" si="111"/>
        <v>3</v>
      </c>
      <c r="EX76" s="1">
        <f>IF(D76="",0,INDEX(回合状态!$D$7:$D$17,MATCH(DG76,回合状态!$A$7:$A$17,0)))</f>
        <v>4</v>
      </c>
      <c r="EY76" s="1">
        <f>IF(OR(L76="RHI_ATTACK",L76="RHI_BUFF"),1,IF(L76="RHI_ULT",Boss参数!$B$52,0))</f>
        <v>0</v>
      </c>
      <c r="EZ76" s="1">
        <f>MIN(6,SUMIFS($EY$3:EY76,$EX$3:EX76,"&gt;="&amp;MAX(1,EX76-Boss参数!$B$87+1),$EX$3:EX76,"&lt;="&amp;EX76))</f>
        <v>6</v>
      </c>
      <c r="FA76" s="1">
        <f t="shared" si="138"/>
        <v>35</v>
      </c>
      <c r="FB76" s="17">
        <f>IF(L76="BOSS_CONSERVATIVE",B76+Boss参数!$B$91,FB75)</f>
        <v>0</v>
      </c>
      <c r="FC76" s="17">
        <f t="shared" si="139"/>
        <v>0</v>
      </c>
      <c r="FD76" s="17">
        <f>IF(D76="",FD75,FD75+IF(AND(DG76&lt;&gt;DG75,INDEX(回合状态!$C$7:$C$17,MATCH(DG76,回合状态!$A$7:$A$17,0))&lt;&gt;"洞穿"),1,0))</f>
        <v>5</v>
      </c>
      <c r="FE76" s="17">
        <f>IF(D76="",0,IF(AND(OR(L76="END_TURN",DH76="敌方"),INDEX(回合状态!$C$7:$C$17,MATCH(DG76,回合状态!$A$7:$A$17,0))&lt;&gt;"洞穿",SUMIFS($FE$3:FE75,$DG$3:DG75,DG76)=0),1,0))</f>
        <v>0</v>
      </c>
    </row>
    <row r="77" spans="1:161" ht="84.95" customHeight="1">
      <c r="A77" s="1">
        <f>行动模拟!A83</f>
        <v>75</v>
      </c>
      <c r="B77" s="1">
        <f>IF(D77="",0,INDEX(回合状态!$B$7:$B$17,MATCH(DG77,回合状态!$A$7:$A$17,0)))</f>
        <v>4</v>
      </c>
      <c r="C77" s="1">
        <f>行动模拟!C83</f>
        <v>15</v>
      </c>
      <c r="D77" s="1" t="str">
        <f>IF(行动模拟!D83="","",行动模拟!D83)</f>
        <v>37｜补充算式</v>
      </c>
      <c r="E77" s="1" t="str">
        <f>IF($D77="","",IFERROR(INDEX(技能数据库!$B$4:$B$38,MATCH($D77,技能数据库!$A$4:$A$38,0)),""))</f>
        <v>37</v>
      </c>
      <c r="F77" s="1" t="str">
        <f>IF($D77="","",IFERROR(INDEX(技能数据库!$C$4:$C$38,MATCH($D77,技能数据库!$A$4:$A$38,0)),""))</f>
        <v>补充算式</v>
      </c>
      <c r="G77" s="1">
        <f>IF($D77="","",IFERROR(INDEX(技能数据库!$D$4:$D$38,MATCH($D77,技能数据库!$A$4:$A$38,0)),""))</f>
        <v>0</v>
      </c>
      <c r="H77" s="1" t="str">
        <f>IF($D77="","",IFERROR(INDEX(技能数据库!$E$4:$E$38,MATCH($D77,技能数据库!$A$4:$A$38,0)),""))</f>
        <v>额外行动</v>
      </c>
      <c r="I77" s="1" t="str">
        <f>IF($D77="","",IFERROR(INDEX(技能数据库!$F$4:$F$38,MATCH($D77,技能数据库!$A$4:$A$38,0)),""))</f>
        <v>精神</v>
      </c>
      <c r="J77" s="1">
        <f>IF($D77="","",IFERROR(INDEX(技能数据库!$G$4:$G$38,MATCH($D77,技能数据库!$A$4:$A$38,0)),""))</f>
        <v>3</v>
      </c>
      <c r="K77" s="1">
        <f>IF($D77="","",IFERROR(INDEX(技能数据库!$H$4:$H$38,MATCH($D77,技能数据库!$A$4:$A$38,0)),""))</f>
        <v>1</v>
      </c>
      <c r="L77" s="1" t="str">
        <f>IF($D77="","",IFERROR(INDEX(技能数据库!$I$4:$I$38,MATCH($D77,技能数据库!$A$4:$A$38,0)),""))</f>
        <v>37_FOLLOW</v>
      </c>
      <c r="M77" s="10">
        <v>1</v>
      </c>
      <c r="N77" s="1"/>
      <c r="O77" s="1"/>
      <c r="P77" s="1"/>
      <c r="Q77" s="10">
        <f t="shared" si="70"/>
        <v>0</v>
      </c>
      <c r="R77" s="10">
        <v>0</v>
      </c>
      <c r="S77" s="10">
        <v>0</v>
      </c>
      <c r="T77" s="1">
        <f>行动模拟!I83</f>
        <v>0</v>
      </c>
      <c r="U77" s="1">
        <f>IF(FD77&lt;&gt;FD76,IF(BY76=1,IF(MIN(10,CA76+IF(AND(DG77&lt;&gt;DG76,DH76&lt;&gt;"洞穿",SUMIFS($FE$3:FE76,$DG$3:DG76,DG76)=0,BY76=1),3,0))&gt;=10,2,1),IF(BY76=2,IF(BZ76&lt;=1,0,2),0)),BY76)</f>
        <v>1</v>
      </c>
      <c r="V77" s="1">
        <f>IF(FD77&lt;&gt;FD76,IF(BY76=1,IF(MIN(10,CA76+IF(AND(DG77&lt;&gt;DG76,DH76&lt;&gt;"洞穿",SUMIFS($FE$3:FE76,$DG$3:DG76,DG76)=0,BY76=1),3,0))&gt;=10,2,0),IF(BY76=2,MAX(0,BZ76-1),0)),BZ76)</f>
        <v>0</v>
      </c>
      <c r="W77" s="1">
        <f>IF(AND(FD77&lt;&gt;FD76,BY76=2,BZ76&lt;=1),0,MIN(10,CA76+IF(AND(DG77&lt;&gt;DG76,DH76&lt;&gt;"洞穿",SUMIFS($FE$3:FE76,$DG$3:DG76,DG76)=0,BY76=1),3,0)))</f>
        <v>8</v>
      </c>
      <c r="X77" s="1">
        <f t="shared" si="112"/>
        <v>12</v>
      </c>
      <c r="Y77" s="1">
        <f t="shared" si="113"/>
        <v>0</v>
      </c>
      <c r="Z77" s="1">
        <f t="shared" si="114"/>
        <v>0</v>
      </c>
      <c r="AA77" s="1">
        <f t="shared" si="115"/>
        <v>0</v>
      </c>
      <c r="AB77" s="1">
        <f t="shared" si="116"/>
        <v>5</v>
      </c>
      <c r="AC77" s="1">
        <f t="shared" si="117"/>
        <v>0</v>
      </c>
      <c r="AD77" s="1">
        <f t="shared" si="118"/>
        <v>35</v>
      </c>
      <c r="AE77" s="1">
        <f>IF(D77="",0,IF(DG77&lt;&gt;DG76,IFERROR(INDEX(回合状态!$F$7:$F$17,MATCH(DG77,回合状态!$A$7:$A$17,0)),0),CI76))</f>
        <v>30</v>
      </c>
      <c r="AF77" s="10">
        <f t="shared" si="119"/>
        <v>0.875</v>
      </c>
      <c r="AG77" s="1">
        <f t="shared" si="120"/>
        <v>6</v>
      </c>
      <c r="AH77" s="1">
        <f t="shared" si="121"/>
        <v>6</v>
      </c>
      <c r="AI77" s="1">
        <f t="shared" si="122"/>
        <v>6</v>
      </c>
      <c r="AJ77" s="1">
        <f t="shared" si="123"/>
        <v>7</v>
      </c>
      <c r="AK77" s="1">
        <f t="shared" si="124"/>
        <v>6</v>
      </c>
      <c r="AL77" s="1">
        <f t="shared" si="125"/>
        <v>3</v>
      </c>
      <c r="AM77" s="1">
        <f t="shared" si="126"/>
        <v>30</v>
      </c>
      <c r="AN77" s="1">
        <f t="shared" si="127"/>
        <v>6</v>
      </c>
      <c r="AO77" s="1">
        <f t="shared" si="128"/>
        <v>0</v>
      </c>
      <c r="AP77" s="10">
        <f t="shared" si="129"/>
        <v>0.12</v>
      </c>
      <c r="AQ77" s="1">
        <f t="shared" si="130"/>
        <v>6</v>
      </c>
      <c r="AR77" s="10">
        <f t="shared" si="131"/>
        <v>0.3</v>
      </c>
      <c r="AS77" s="1">
        <f t="shared" si="132"/>
        <v>6</v>
      </c>
      <c r="AT77" s="10">
        <f t="shared" si="133"/>
        <v>0.3</v>
      </c>
      <c r="AU77" s="1">
        <f t="shared" si="134"/>
        <v>6</v>
      </c>
      <c r="AV77" s="1">
        <f>MIN(5,SUMIFS($EL$3:EL77,$B$3:B77,"&gt;="&amp;MAX(1,B77-2),$B$3:B77,"&lt;="&amp;B77)+EC77)</f>
        <v>5</v>
      </c>
      <c r="AW77" s="1">
        <f>MIN(6,SUMIFS($EY$3:EY76,$EX$3:EX76,"&gt;="&amp;MAX(1,EX77-Boss参数!$B$87+1),$EX$3:EX76,"&lt;="&amp;EX77))</f>
        <v>6</v>
      </c>
      <c r="AX77" s="1">
        <f>MIN(4,COUNTIFS($B$3:$B$76,"&gt;="&amp;MAX(1,$B77-2),$B$3:$B$76,"&lt;="&amp;$B77,$L$3:$L$76,"37_FOLLOW"))</f>
        <v>4</v>
      </c>
      <c r="AY77" s="9">
        <f>IF($E77="","",IF($E77="系统",0,ROUNDDOWN(INDEX(角色面板!$C$4:$C$7,MATCH($E77,角色面板!$A$4:$A$7,0))*(1+INDEX(角色面板!$C$11:$C$14,MATCH($E77,角色面板!$A$11:$A$14,0))+IF($E77="小瑞安侬",MAX(IF($B77&lt;=$AQ77,$AP77,0),IF(AND($L77="RHI_ATTACK",$EE77&gt;0),0.11+0.01*$G77,0)),0)+IF($E77="J",$AD77*Boss参数!$B$18,0))+IF(FD77&lt;=$AN77,MIN(Boss参数!$B$21,ROUNDDOWN(角色面板!$C$19*Boss参数!$B$20,0)),0)+IF(AND($B77&lt;=$AK77,$E77&lt;&gt;"小瑞安侬"),$DY77,0),0)))</f>
        <v>3517</v>
      </c>
      <c r="AZ77" s="10">
        <f>IF($E77="","",MAX(0,MIN(1,IFERROR(INDEX(角色面板!$G$18:$G$21,MATCH($E77,角色面板!$A$18:$A$21,0)),0)-FC77*Boss参数!$B$89-Boss参数!$E$4)))</f>
        <v>0.76</v>
      </c>
      <c r="BA77" s="10">
        <f>IF(E77="","",(IF($E77="","",IF($E77="红弩箭",Boss参数!$B$80,IF($E77="J",Boss参数!$B$81,IFERROR(INDEX(角色面板!$H$18:$H$21,MATCH($E77,角色面板!$A$18:$A$21,0)),0)))+IF($B77&lt;=$AI77,Boss参数!$B$13,0)+MIN(30,$AM77)*Boss参数!$B$17+IF(AND($L77="LILYA_ULT",$X77&gt;=6),1,0)+IF(AND($Y77=1,$L77="LILYA_INSIGHT"),IF(MOD($AA77+1,3)=0,Boss参数!$B$83,Boss参数!$B$82),IF(AND($Y77=1,$L77="LILYA_FINISH"),Boss参数!$B$84,0))))-FC77*Boss参数!$B$90)</f>
        <v>2.4780000000000002</v>
      </c>
      <c r="BB77" s="10">
        <f>IF($E77="","",IFERROR(INDEX(角色面板!$M$18:$M$21,MATCH($E77,角色面板!$A$18:$A$21,0)),0)+$AW77*Boss参数!$B$12+IF($B77&lt;=$AG77,$AF77,0)+$EI77+IF($L77="LILYA_DIVE",IF($U77=1,IF($G77=1,0.3,IF($G77=2,0.4,0.5)),IF($U77=2,IF($G77=1,0.6,IF($G77=2,0.8,1)),0)),0)+$R77+IF(AND($E77="J",OR($L77="J_COUNTER",$L77="J_HARD")),Boss参数!$B$79,0)+IF(AND(OR(L77="J_COUNTER",L77="J_HARD"),FA77&gt;=Boss参数!$B$59),FA77*Boss参数!$B$40,0))</f>
        <v>1.2949999999999999</v>
      </c>
      <c r="BC77" s="10">
        <f>IF($E77="","",IFERROR(INDEX(角色面板!$K$18:$K$21,MATCH($E77,角色面板!$A$18:$A$21,0)),0)+IF($B77&lt;=$AH77,Boss参数!$B$46,0)+IF($E77="红弩箭",IF($U77=1,0.6,IF($U77=2,1.2,0))+$W77*0.06,0))-DI77*Boss参数!$B$23</f>
        <v>-0.85000000000000009</v>
      </c>
      <c r="BD77" s="10">
        <f>IF($E77="","",IFERROR(INDEX(角色面板!$L$18:$L$21,MATCH($E77,角色面板!$A$18:$A$21,0)),0)+IF($B77&lt;=$AH77,Boss参数!$B$46,0)+IF($E77="J",$AL77*Boss参数!$B$16,0)+IF($E77="红弩箭",$X77*0.025,0)+IF(AND($L77="LILYA_ULT",$X77&gt;=6),1,0))-DI77*Boss参数!$B$23</f>
        <v>-0.45</v>
      </c>
      <c r="BE77" s="10">
        <f>IF($E77="","",IF($H77="洞知",IF($E77="红弩箭",$AO77*Boss参数!$B$15,0)+$AX77*Boss参数!$B$14,0))</f>
        <v>0</v>
      </c>
      <c r="BF77" s="10">
        <f t="shared" si="71"/>
        <v>0</v>
      </c>
      <c r="BG77" s="10">
        <f>IF($D77="",0,IF(AND($L77&lt;&gt;"LILYA_DIVE",$L77&lt;&gt;"LILYA_ULT",$L77&lt;&gt;"LILYA_INSIGHT",$L77&lt;&gt;"LILYA_FINISH",$L77&lt;&gt;"37_FOLLOW",$L77&lt;&gt;"RHI_ATTACK",$L77&lt;&gt;"RHI_BERRY",$L77&lt;&gt;"J_COUNTER",$L77&lt;&gt;"J_ULT"),$J77,0)+IF($L77="LILYA_DIVE",$J77+IF($U77=1,IF($G77=1,6,IF($G77=2,12,18)),IF($U77=2,IF($G77=1,12,IF($G77=2,24,36)),0)),0)+IF($L77="LILYA_ULT",$J77+IF($X77&gt;=6,18,0),0)+IF($L77="LILYA_INSIGHT",IF($Y77=1,IF(MOD($AA77+1,3)=0,32,15),0),0)+IF($L77="LILYA_FINISH",IF($Y77=1,50+2.5*$Z77,0),0)+IF($L77="37_FOLLOW",$J77,0)+IF($L77="RHI_ATTACK",$J77*IF($B77&lt;=$AJ77,2,1),0)+IF($L77="RHI_BERRY",15+1.5*$AV77,0)+IF($L77="J_COUNTER",$J77+$AD77*Boss参数!$B$39,0)+IF($L77="J_ULT",$J77+Boss参数!$B$45*MAX(0,$AE77+$AD77-Boss参数!$I$4),0)+$S77)</f>
        <v>3</v>
      </c>
      <c r="BH77" s="10">
        <f t="shared" si="72"/>
        <v>1</v>
      </c>
      <c r="BI77" s="10">
        <f>IF(E77="","",IF(DT77=1,1+Boss参数!$B$8+AV77*Boss参数!$B$19,1))</f>
        <v>1.5</v>
      </c>
      <c r="BJ77" s="9">
        <f>IF($I77="现实",Boss参数!$C$4,IF($I77="精神",Boss参数!$D$4,0))</f>
        <v>1000</v>
      </c>
      <c r="BK77" s="9">
        <f>IF($E77="","",MAX($AY77*Boss参数!$B$9,$AY77-$BJ77*(1-$BF77)))</f>
        <v>2517</v>
      </c>
      <c r="BL77" s="10">
        <f>MAX(0,Boss参数!$F$4+IF(DT77=0,Boss参数!$B$27,0)-EJ77)</f>
        <v>0.10000000000000003</v>
      </c>
      <c r="BM77" s="10">
        <f>Boss参数!$G$4+DU77-IF(Y77=1,Boss参数!$B$11,0)</f>
        <v>0.65</v>
      </c>
      <c r="BN77" s="10">
        <f>IF($E77="","",MAX(Boss参数!$B$10,1+IFERROR(INDEX(角色面板!$I$18:$I$21,MATCH($E77,角色面板!$A$18:$A$21,0)),0)+$BB77+Boss参数!$H$4-$BM77))</f>
        <v>1.65</v>
      </c>
      <c r="BO77" s="10">
        <f>IF(E77="","",IF(OR(L77="J_COUNTER",L77="J_HARD"),MAX(0,1+INDEX(角色面板!$K$18:$K$21,MATCH(E77,角色面板!$A$18:$A$21,0))-DI77*Boss参数!$B$23+IF(OR(Boss参数!$B$43=1,L77="J_HARD"),IF(B77&lt;=AH77,Boss参数!$B$46,0),0)),MAX(0,IF(OR(H77="术法",L77="RHI_BERRY",AND(L77="37_FOLLOW",Boss参数!$B$31=1)),1+BC77,IF(H77="仪式",1+BD77,IF(H77="洞知",EK77,1))))))</f>
        <v>0.14999999999999991</v>
      </c>
      <c r="BP77" s="10">
        <f t="shared" si="73"/>
        <v>2.3780000000000001</v>
      </c>
      <c r="BQ77" s="1">
        <f t="shared" si="74"/>
        <v>2803.3087499999983</v>
      </c>
      <c r="BR77" s="1">
        <f t="shared" si="75"/>
        <v>6666.2682074999966</v>
      </c>
      <c r="BS77" s="1">
        <f>IF(BH77=0,0,ROUNDDOWN(AY77*BH77,0)*DV77*IF(Boss参数!$B$29=1,BN77,1)*IF(Boss参数!$B$33=1,BO77,1)*IF(Boss参数!$B$76=1,1-ES77,1))</f>
        <v>0</v>
      </c>
      <c r="BT77" s="1">
        <f t="shared" si="76"/>
        <v>0</v>
      </c>
      <c r="BU77" s="9">
        <f>IF(D77="",0,MIN(IF(Boss参数!$B$77=1,Boss参数!$B$63*Boss参数!$B$62,Boss参数!$B$61*Boss参数!$B$62),DW77+ROUNDDOWN(BS77,0)+ROUNDDOWN(DW77*Q77,0)))</f>
        <v>1121</v>
      </c>
      <c r="BV77" s="9">
        <f>IF(D77="",0,MIN(IF(Boss参数!$B$77=1,Boss参数!$B$63*Boss参数!$B$62,Boss参数!$B$61*Boss参数!$B$62),DX77+ROUNDDOWN(BT77,0)+ROUNDDOWN(DX77*Q77,0)))</f>
        <v>2666</v>
      </c>
      <c r="BW77" s="9">
        <f t="shared" si="77"/>
        <v>2295</v>
      </c>
      <c r="BX77" s="1" t="str">
        <f t="shared" si="78"/>
        <v/>
      </c>
      <c r="BY77" s="1">
        <f t="shared" si="79"/>
        <v>1</v>
      </c>
      <c r="BZ77" s="1">
        <f t="shared" si="80"/>
        <v>0</v>
      </c>
      <c r="CA77" s="1">
        <f>MIN(10,W77+IF(AND(L77="LILYA_COBRA",COUNTIF($L$3:L77,"LILYA_COBRA")=1),5,0)+IF(AND(L77="LILYA_DIVE",U77=1,COUNTIFS($DG$3:DG77,DG77,$L$3:L77,"LILYA_DIVE")=1),2,0)+IF(AND(FE77=1,U77=1),3,0))</f>
        <v>8</v>
      </c>
      <c r="CB77" s="1">
        <f>MIN(20,MAX(0,X77+IF(L77="LILYA_COBRA",IF(COUNTIF($L$3:L77,"LILYA_COBRA")=1,6,IF(U77=1,MAX(1,G77),IF(U77=2,2*MAX(1,G77),0))),0)+IF(AND(Y77=1,E77="红弩箭",L77&lt;&gt;"ENTER_INSIGHT"),1,0)-IF(AND(L77="LILYA_ULT",X77&gt;=6),6,0)))</f>
        <v>12</v>
      </c>
      <c r="CC77" s="1">
        <f t="shared" si="81"/>
        <v>0</v>
      </c>
      <c r="CD77" s="1">
        <f t="shared" si="82"/>
        <v>0</v>
      </c>
      <c r="CE77" s="1">
        <f t="shared" si="83"/>
        <v>0</v>
      </c>
      <c r="CF77" s="1">
        <f t="shared" si="84"/>
        <v>0</v>
      </c>
      <c r="CG77" s="1">
        <f t="shared" si="85"/>
        <v>0</v>
      </c>
      <c r="CH77" s="1">
        <f>MIN(35,AD77+IF(L77="J_HARD",6,0)+IF(L77="J_COUNTER",Boss参数!$B$30,0))</f>
        <v>35</v>
      </c>
      <c r="CI77" s="1">
        <f>MIN(Boss参数!$I$4,AE77+IF(L77="J_HARD",6,0)+IF(L77="J_ULT",AD77,0)+IF(L77="J_COUNTER",Boss参数!$B$30,0))</f>
        <v>30</v>
      </c>
      <c r="CJ77" s="10">
        <f>IF(L77="J_ULT",AD77*Boss参数!$B$41,IF(B77&lt;=AG77,AF77,0))</f>
        <v>0.875</v>
      </c>
      <c r="CK77" s="1">
        <f t="shared" si="86"/>
        <v>6</v>
      </c>
      <c r="CL77" s="1">
        <f t="shared" si="87"/>
        <v>6</v>
      </c>
      <c r="CM77" s="1">
        <f t="shared" si="88"/>
        <v>6</v>
      </c>
      <c r="CN77" s="1">
        <f t="shared" si="89"/>
        <v>7</v>
      </c>
      <c r="CO77" s="1">
        <f t="shared" si="90"/>
        <v>6</v>
      </c>
      <c r="CP77" s="1">
        <f t="shared" si="91"/>
        <v>3</v>
      </c>
      <c r="CQ77" s="1">
        <f t="shared" si="92"/>
        <v>30</v>
      </c>
      <c r="CR77" s="1">
        <f t="shared" si="93"/>
        <v>6</v>
      </c>
      <c r="CS77" s="1">
        <f t="shared" si="94"/>
        <v>0</v>
      </c>
      <c r="CT77" s="10">
        <f t="shared" si="95"/>
        <v>0.12</v>
      </c>
      <c r="CU77" s="1">
        <f t="shared" si="96"/>
        <v>6</v>
      </c>
      <c r="CV77" s="10">
        <f t="shared" si="97"/>
        <v>0.3</v>
      </c>
      <c r="CW77" s="1">
        <f t="shared" si="98"/>
        <v>6</v>
      </c>
      <c r="CX77" s="10">
        <f t="shared" si="99"/>
        <v>0.3</v>
      </c>
      <c r="CY77" s="1">
        <f t="shared" si="100"/>
        <v>6</v>
      </c>
      <c r="CZ77" s="1"/>
      <c r="DA77" s="1"/>
      <c r="DB77" s="1"/>
      <c r="DC77" s="1"/>
      <c r="DD77" s="1"/>
      <c r="DE77" s="1"/>
      <c r="DF77" s="1"/>
      <c r="DG77" s="1">
        <f>IF(D77="","",行动模拟!B83)</f>
        <v>4</v>
      </c>
      <c r="DH77" s="1" t="str">
        <f>IF(L77="END_TURN","回合结束",IF(D77="","",IF(INDEX(回合状态!$C$7:$C$17,MATCH(DG77,回合状态!$A$7:$A$17,0))="洞穿","洞穿",IF(OR(L77="J_COUNTER",L77="BOSS_ACTION",L77="BOSS_CONSERVATIVE"),"敌方",IF(AND(L77="37_FOLLOW",DG77=DG76,DH76="敌方"),"敌方",IF(INDEX(回合状态!$C$7:$C$17,MATCH(DG77,回合状态!$A$7:$A$17,0))="普通","出牌",INDEX(回合状态!$C$7:$C$17,MATCH(DG77,回合状态!$A$7:$A$17,0))))))))</f>
        <v>敌方</v>
      </c>
      <c r="DI77" s="1">
        <f t="shared" si="101"/>
        <v>5</v>
      </c>
      <c r="DJ77" s="1">
        <f>IF(D77="",0,MIN(Boss参数!$B$25,IF(OR(AND(DH77="敌方",OR(DH76&lt;&gt;"敌方",DG77&lt;&gt;DG76)),AND(L77="END_TURN",DH77&lt;&gt;"洞穿"),AND(DG77&lt;&gt;DG76,DH76&lt;&gt;"洞穿",L76&lt;&gt;"END_TURN",COUNTIFS($DG$3:DG76,DG76,$DH$3:DH76,"敌方")=0)),EW77,DN76)))</f>
        <v>5</v>
      </c>
      <c r="DK77" s="1">
        <f>IF(D77="",0,MIN(Boss参数!$B$25,IF(OR(AND(DH77="敌方",OR(DH76&lt;&gt;"敌方",DG77&lt;&gt;DG76)),AND(L77="END_TURN",DH77&lt;&gt;"洞穿"),AND(DG77&lt;&gt;DG76,DH76&lt;&gt;"洞穿",L76&lt;&gt;"END_TURN",COUNTIFS($DG$3:DG76,DG76,$DH$3:DH76,"敌方")=0)),EW77,DO76)))</f>
        <v>5</v>
      </c>
      <c r="DL77" s="1">
        <f>IF(D77="",0,MIN(Boss参数!$B$25,IF(OR(AND(DH77="敌方",OR(DH76&lt;&gt;"敌方",DG77&lt;&gt;DG76)),AND(L77="END_TURN",DH77&lt;&gt;"洞穿"),AND(DG77&lt;&gt;DG76,DH76&lt;&gt;"洞穿",L76&lt;&gt;"END_TURN",COUNTIFS($DG$3:DG76,DG76,$DH$3:DH76,"敌方")=0)),EW77,DP76)))</f>
        <v>5</v>
      </c>
      <c r="DM77" s="1">
        <f>IF(D77="",0,MIN(Boss参数!$B$25,IF(OR(AND(DH77="敌方",OR(DH76&lt;&gt;"敌方",DG77&lt;&gt;DG76)),AND(L77="END_TURN",DH77&lt;&gt;"洞穿"),AND(DG77&lt;&gt;DG76,DH76&lt;&gt;"洞穿",L76&lt;&gt;"END_TURN",COUNTIFS($DG$3:DG76,DG76,$DH$3:DH76,"敌方")=0)),EW77,DQ76)))</f>
        <v>0</v>
      </c>
      <c r="DN77" s="1">
        <f>MAX(0,MIN(Boss参数!$B$25,DJ77+DR77)-IF(E77="红弩箭",2*DR77,0))</f>
        <v>5</v>
      </c>
      <c r="DO77" s="1">
        <f>MAX(0,MIN(Boss参数!$B$25,DK77+DR77)-IF(E77="37",2*DR77,0))</f>
        <v>3</v>
      </c>
      <c r="DP77" s="1">
        <f>MAX(0,MIN(Boss参数!$B$25,DL77+DR77)-IF(E77="小瑞安侬",2*DR77,0))</f>
        <v>5</v>
      </c>
      <c r="DQ77" s="1">
        <f>MAX(0,MIN(Boss参数!$B$25,DM77+DR77)-IF(E77="J",2*DR77,0))</f>
        <v>1</v>
      </c>
      <c r="DR77" s="1">
        <f t="shared" si="102"/>
        <v>1</v>
      </c>
      <c r="DS77" s="1">
        <f t="shared" si="103"/>
        <v>0</v>
      </c>
      <c r="DT77" s="1">
        <f>IF(OR(E77="",E77="系统"),0,IF(OR(AND(DS77=1,Boss参数!$B$32=1),L77="RHI_BERRY",OR(AND(INDEX(角色面板!$B$18:$B$21,MATCH(E77,角色面板!$A$18:$A$21,0))="星",Boss参数!$B$4="岩"),AND(INDEX(角色面板!$B$18:$B$21,MATCH(E77,角色面板!$A$18:$A$21,0))="岩",Boss参数!$B$4="兽"),AND(INDEX(角色面板!$B$18:$B$21,MATCH(E77,角色面板!$A$18:$A$21,0))="兽",Boss参数!$B$4="木"),AND(INDEX(角色面板!$B$18:$B$21,MATCH(E77,角色面板!$A$18:$A$21,0))="木",Boss参数!$B$4="星"),AND(INDEX(角色面板!$B$18:$B$21,MATCH(E77,角色面板!$A$18:$A$21,0))="智",Boss参数!$B$4="灵"),AND(INDEX(角色面板!$B$18:$B$21,MATCH(E77,角色面板!$A$18:$A$21,0))="灵",Boss参数!$B$4="智"))),1,0))</f>
        <v>1</v>
      </c>
      <c r="DU77" s="1">
        <f>IF(D77="",0,INDEX(回合状态!$E$7:$E$17,MATCH(DG77,回合状态!$A$7:$A$17,0))+IF(AND(DH77="敌方",OR(INDEX(回合状态!$C$7:$C$17,MATCH(DG77,回合状态!$A$7:$A$17,0))="普通",INDEX(回合状态!$C$7:$C$17,MATCH(DG77,回合状态!$A$7:$A$17,0))="额外")),0.05,0))</f>
        <v>0.25</v>
      </c>
      <c r="DV77" s="1">
        <f>MAX(Boss参数!$B$28,1+IF(AND(E77="37",AC77&gt;0,BH77&gt;0),Boss参数!$B$42,0)-DI77*Boss参数!$B$24+EA77-ER77)</f>
        <v>0</v>
      </c>
      <c r="DW77" s="1">
        <f>MIN(IF(Boss参数!$B$77=1,Boss参数!$B$63*Boss参数!$B$62,Boss参数!$B$61*Boss参数!$B$62),ROUNDDOWN(BQ77*(1-ES77),0))</f>
        <v>1121</v>
      </c>
      <c r="DX77" s="1">
        <f>MIN(IF(Boss参数!$B$77=1,Boss参数!$B$63*Boss参数!$B$62,Boss参数!$B$61*Boss参数!$B$62),ROUNDDOWN(BR77*(1-ES77),0))</f>
        <v>2666</v>
      </c>
      <c r="DY77" s="1">
        <f t="shared" si="135"/>
        <v>250</v>
      </c>
      <c r="DZ77" s="1">
        <f>IF(L77="RHI_ULT",MIN(Boss参数!$B$48,ROUNDDOWN(AY77*Boss参数!$B$47,0)),DY77)</f>
        <v>250</v>
      </c>
      <c r="EA77" s="11">
        <v>0</v>
      </c>
      <c r="EB77" s="1">
        <f t="shared" si="104"/>
        <v>0</v>
      </c>
      <c r="EC77" s="1">
        <f>SUMIFS($EB$3:EB77,$B$3:B77,"&gt;="&amp;MAX(1,B77-2),$B$3:B77,"&lt;="&amp;B77)*Boss参数!$B$51</f>
        <v>16</v>
      </c>
      <c r="ED77" s="1">
        <f>IF(D77="",EG76,IF(AND(DG77&lt;&gt;DG76,DH77&lt;&gt;"洞穿"),MIN(Boss参数!$B$55,EG76+2),EG76))</f>
        <v>0</v>
      </c>
      <c r="EE77" s="1">
        <f t="shared" si="105"/>
        <v>0</v>
      </c>
      <c r="EF77" s="1">
        <f>IF(AND(OR(L77="END_TURN",AND(DH77="敌方",OR(DH76&lt;&gt;"敌方",DG77&lt;&gt;DG76))),SUMIFS($EF$3:EF76,$DG$3:DG76,DG77)=0),MIN(1,MAX(0,ED77-EE77)),0)</f>
        <v>0</v>
      </c>
      <c r="EG77" s="1">
        <f t="shared" si="106"/>
        <v>0</v>
      </c>
      <c r="EH77" s="11">
        <f>Boss参数!$B$53-IF(Y77=1,Boss参数!$B$54,0)</f>
        <v>0</v>
      </c>
      <c r="EI77" s="11">
        <f t="shared" si="107"/>
        <v>0.3</v>
      </c>
      <c r="EJ77" s="11">
        <f t="shared" si="108"/>
        <v>0.3</v>
      </c>
      <c r="EK77" s="11">
        <f t="shared" si="109"/>
        <v>1</v>
      </c>
      <c r="EL77" s="1">
        <f t="shared" si="136"/>
        <v>0</v>
      </c>
      <c r="EM77" s="1">
        <f>IF(AND(DG77&lt;&gt;DG76,DH77="洞穿"),0,IF(L77="ENTER_INSIGHT",Boss参数!$B$57,EO76))</f>
        <v>0</v>
      </c>
      <c r="EN77" s="11">
        <f>IF(AND(Y77=1,H77="洞知",EM77&gt;0),Boss参数!$B$56,0)</f>
        <v>0</v>
      </c>
      <c r="EO77" s="1">
        <f t="shared" si="110"/>
        <v>0</v>
      </c>
      <c r="EP77" s="12">
        <f t="shared" si="137"/>
        <v>13545187</v>
      </c>
      <c r="EQ77" s="12">
        <f>ROUNDDOWN(EP77/Boss参数!$B$62,0)</f>
        <v>135</v>
      </c>
      <c r="ER77" s="11">
        <f>IF(EQ77&gt;=Boss参数!$B$66,Boss参数!$B$69,IF(EQ77&gt;=Boss参数!$B$65,Boss参数!$B$68,IF(EQ77&gt;=Boss参数!$B$64,Boss参数!$B$67,0)))</f>
        <v>0.9</v>
      </c>
      <c r="ES77" s="11">
        <f>MIN(1,IF(EQ77&gt;=Boss参数!$B$66,Boss参数!$B$72+ROUNDDOWN((EQ77-Boss参数!$B$66)/Boss参数!$B$73,0)*Boss参数!$B$74,IF(EQ77&gt;=Boss参数!$B$65,Boss参数!$B$71,IF(EQ77&gt;=Boss参数!$B$64,Boss参数!$B$70,0))))</f>
        <v>0.6</v>
      </c>
      <c r="ET77" s="12">
        <f>MIN(Boss参数!$B$61*Boss参数!$B$62,EP77+IF(AND(Boss参数!$B$60=1,ISNUMBER(验证表!H83)),验证表!H83,EU77))</f>
        <v>13546308</v>
      </c>
      <c r="EU77" s="12">
        <f>IF(D77="",0,IF(验证表!G83="是",BV77,IF(验证表!G83="否",BU77,BW77)))</f>
        <v>1121</v>
      </c>
      <c r="EV77" s="12">
        <f>IF(EQ77&gt;=Boss参数!$B$66,2,IF(EQ77&gt;=Boss参数!$B$65,1,0))</f>
        <v>2</v>
      </c>
      <c r="EW77" s="12">
        <f t="shared" si="111"/>
        <v>3</v>
      </c>
      <c r="EX77" s="1">
        <f>IF(D77="",0,INDEX(回合状态!$D$7:$D$17,MATCH(DG77,回合状态!$A$7:$A$17,0)))</f>
        <v>4</v>
      </c>
      <c r="EY77" s="1">
        <f>IF(OR(L77="RHI_ATTACK",L77="RHI_BUFF"),1,IF(L77="RHI_ULT",Boss参数!$B$52,0))</f>
        <v>0</v>
      </c>
      <c r="EZ77" s="1">
        <f>MIN(6,SUMIFS($EY$3:EY77,$EX$3:EX77,"&gt;="&amp;MAX(1,EX77-Boss参数!$B$87+1),$EX$3:EX77,"&lt;="&amp;EX77))</f>
        <v>6</v>
      </c>
      <c r="FA77" s="1">
        <f t="shared" si="138"/>
        <v>35</v>
      </c>
      <c r="FB77" s="17">
        <f>IF(L77="BOSS_CONSERVATIVE",B77+Boss参数!$B$91,FB76)</f>
        <v>0</v>
      </c>
      <c r="FC77" s="17">
        <f t="shared" si="139"/>
        <v>0</v>
      </c>
      <c r="FD77" s="17">
        <f>IF(D77="",FD76,FD76+IF(AND(DG77&lt;&gt;DG76,INDEX(回合状态!$C$7:$C$17,MATCH(DG77,回合状态!$A$7:$A$17,0))&lt;&gt;"洞穿"),1,0))</f>
        <v>5</v>
      </c>
      <c r="FE77" s="17">
        <f>IF(D77="",0,IF(AND(OR(L77="END_TURN",DH77="敌方"),INDEX(回合状态!$C$7:$C$17,MATCH(DG77,回合状态!$A$7:$A$17,0))&lt;&gt;"洞穿",SUMIFS($FE$3:FE76,$DG$3:DG76,DG77)=0),1,0))</f>
        <v>0</v>
      </c>
    </row>
    <row r="78" spans="1:161" ht="84.95" customHeight="1">
      <c r="A78" s="1">
        <f>行动模拟!A84</f>
        <v>76</v>
      </c>
      <c r="B78" s="1">
        <f>IF(D78="",0,INDEX(回合状态!$B$7:$B$17,MATCH(DG78,回合状态!$A$7:$A$17,0)))</f>
        <v>4</v>
      </c>
      <c r="C78" s="1">
        <f>行动模拟!C84</f>
        <v>16</v>
      </c>
      <c r="D78" s="1" t="str">
        <f>IF(行动模拟!D84="","",行动模拟!D84)</f>
        <v>J｜高温回火</v>
      </c>
      <c r="E78" s="1" t="str">
        <f>IF($D78="","",IFERROR(INDEX(技能数据库!$B$4:$B$38,MATCH($D78,技能数据库!$A$4:$A$38,0)),""))</f>
        <v>J</v>
      </c>
      <c r="F78" s="1" t="str">
        <f>IF($D78="","",IFERROR(INDEX(技能数据库!$C$4:$C$38,MATCH($D78,技能数据库!$A$4:$A$38,0)),""))</f>
        <v>高温回火</v>
      </c>
      <c r="G78" s="1">
        <f>IF($D78="","",IFERROR(INDEX(技能数据库!$D$4:$D$38,MATCH($D78,技能数据库!$A$4:$A$38,0)),""))</f>
        <v>0</v>
      </c>
      <c r="H78" s="1" t="str">
        <f>IF($D78="","",IFERROR(INDEX(技能数据库!$E$4:$E$38,MATCH($D78,技能数据库!$A$4:$A$38,0)),""))</f>
        <v>反击</v>
      </c>
      <c r="I78" s="1" t="str">
        <f>IF($D78="","",IFERROR(INDEX(技能数据库!$F$4:$F$38,MATCH($D78,技能数据库!$A$4:$A$38,0)),""))</f>
        <v>现实</v>
      </c>
      <c r="J78" s="1">
        <f>IF($D78="","",IFERROR(INDEX(技能数据库!$G$4:$G$38,MATCH($D78,技能数据库!$A$4:$A$38,0)),""))</f>
        <v>3</v>
      </c>
      <c r="K78" s="1">
        <f>IF($D78="","",IFERROR(INDEX(技能数据库!$H$4:$H$38,MATCH($D78,技能数据库!$A$4:$A$38,0)),""))</f>
        <v>0</v>
      </c>
      <c r="L78" s="1" t="str">
        <f>IF($D78="","",IFERROR(INDEX(技能数据库!$I$4:$I$38,MATCH($D78,技能数据库!$A$4:$A$38,0)),""))</f>
        <v>J_COUNTER</v>
      </c>
      <c r="M78" s="10">
        <v>1</v>
      </c>
      <c r="N78" s="1"/>
      <c r="O78" s="1"/>
      <c r="P78" s="1"/>
      <c r="Q78" s="10">
        <f t="shared" si="70"/>
        <v>0</v>
      </c>
      <c r="R78" s="10">
        <v>0</v>
      </c>
      <c r="S78" s="10">
        <v>0</v>
      </c>
      <c r="T78" s="1">
        <f>行动模拟!I84</f>
        <v>0</v>
      </c>
      <c r="U78" s="1">
        <f>IF(FD78&lt;&gt;FD77,IF(BY77=1,IF(MIN(10,CA77+IF(AND(DG78&lt;&gt;DG77,DH77&lt;&gt;"洞穿",SUMIFS($FE$3:FE77,$DG$3:DG77,DG77)=0,BY77=1),3,0))&gt;=10,2,1),IF(BY77=2,IF(BZ77&lt;=1,0,2),0)),BY77)</f>
        <v>1</v>
      </c>
      <c r="V78" s="1">
        <f>IF(FD78&lt;&gt;FD77,IF(BY77=1,IF(MIN(10,CA77+IF(AND(DG78&lt;&gt;DG77,DH77&lt;&gt;"洞穿",SUMIFS($FE$3:FE77,$DG$3:DG77,DG77)=0,BY77=1),3,0))&gt;=10,2,0),IF(BY77=2,MAX(0,BZ77-1),0)),BZ77)</f>
        <v>0</v>
      </c>
      <c r="W78" s="1">
        <f>IF(AND(FD78&lt;&gt;FD77,BY77=2,BZ77&lt;=1),0,MIN(10,CA77+IF(AND(DG78&lt;&gt;DG77,DH77&lt;&gt;"洞穿",SUMIFS($FE$3:FE77,$DG$3:DG77,DG77)=0,BY77=1),3,0)))</f>
        <v>8</v>
      </c>
      <c r="X78" s="1">
        <f t="shared" si="112"/>
        <v>12</v>
      </c>
      <c r="Y78" s="1">
        <f t="shared" si="113"/>
        <v>0</v>
      </c>
      <c r="Z78" s="1">
        <f t="shared" si="114"/>
        <v>0</v>
      </c>
      <c r="AA78" s="1">
        <f t="shared" si="115"/>
        <v>0</v>
      </c>
      <c r="AB78" s="1">
        <f t="shared" si="116"/>
        <v>0</v>
      </c>
      <c r="AC78" s="1">
        <f t="shared" si="117"/>
        <v>0</v>
      </c>
      <c r="AD78" s="1">
        <f t="shared" si="118"/>
        <v>35</v>
      </c>
      <c r="AE78" s="1">
        <f>IF(D78="",0,IF(DG78&lt;&gt;DG77,IFERROR(INDEX(回合状态!$F$7:$F$17,MATCH(DG78,回合状态!$A$7:$A$17,0)),0),CI77))</f>
        <v>30</v>
      </c>
      <c r="AF78" s="10">
        <f t="shared" si="119"/>
        <v>0.875</v>
      </c>
      <c r="AG78" s="1">
        <f t="shared" si="120"/>
        <v>6</v>
      </c>
      <c r="AH78" s="1">
        <f t="shared" si="121"/>
        <v>6</v>
      </c>
      <c r="AI78" s="1">
        <f t="shared" si="122"/>
        <v>6</v>
      </c>
      <c r="AJ78" s="1">
        <f t="shared" si="123"/>
        <v>7</v>
      </c>
      <c r="AK78" s="1">
        <f t="shared" si="124"/>
        <v>6</v>
      </c>
      <c r="AL78" s="1">
        <f t="shared" si="125"/>
        <v>3</v>
      </c>
      <c r="AM78" s="1">
        <f t="shared" si="126"/>
        <v>30</v>
      </c>
      <c r="AN78" s="1">
        <f t="shared" si="127"/>
        <v>6</v>
      </c>
      <c r="AO78" s="1">
        <f t="shared" si="128"/>
        <v>0</v>
      </c>
      <c r="AP78" s="10">
        <f t="shared" si="129"/>
        <v>0.12</v>
      </c>
      <c r="AQ78" s="1">
        <f t="shared" si="130"/>
        <v>6</v>
      </c>
      <c r="AR78" s="10">
        <f t="shared" si="131"/>
        <v>0.3</v>
      </c>
      <c r="AS78" s="1">
        <f t="shared" si="132"/>
        <v>6</v>
      </c>
      <c r="AT78" s="10">
        <f t="shared" si="133"/>
        <v>0.3</v>
      </c>
      <c r="AU78" s="1">
        <f t="shared" si="134"/>
        <v>6</v>
      </c>
      <c r="AV78" s="1">
        <f>MIN(5,SUMIFS($EL$3:EL78,$B$3:B78,"&gt;="&amp;MAX(1,B78-2),$B$3:B78,"&lt;="&amp;B78)+EC78)</f>
        <v>5</v>
      </c>
      <c r="AW78" s="1">
        <f>MIN(6,SUMIFS($EY$3:EY77,$EX$3:EX77,"&gt;="&amp;MAX(1,EX78-Boss参数!$B$87+1),$EX$3:EX77,"&lt;="&amp;EX78))</f>
        <v>6</v>
      </c>
      <c r="AX78" s="1">
        <f>MIN(4,COUNTIFS($B$3:$B$77,"&gt;="&amp;MAX(1,$B78-2),$B$3:$B$77,"&lt;="&amp;$B78,$L$3:$L$77,"37_FOLLOW"))</f>
        <v>4</v>
      </c>
      <c r="AY78" s="9">
        <f>IF($E78="","",IF($E78="系统",0,ROUNDDOWN(INDEX(角色面板!$C$4:$C$7,MATCH($E78,角色面板!$A$4:$A$7,0))*(1+INDEX(角色面板!$C$11:$C$14,MATCH($E78,角色面板!$A$11:$A$14,0))+IF($E78="小瑞安侬",MAX(IF($B78&lt;=$AQ78,$AP78,0),IF(AND($L78="RHI_ATTACK",$EE78&gt;0),0.11+0.01*$G78,0)),0)+IF($E78="J",$AD78*Boss参数!$B$18,0))+IF(FD78&lt;=$AN78,MIN(Boss参数!$B$21,ROUNDDOWN(角色面板!$C$19*Boss参数!$B$20,0)),0)+IF(AND($B78&lt;=$AK78,$E78&lt;&gt;"小瑞安侬"),$DY78,0),0)))</f>
        <v>3323</v>
      </c>
      <c r="AZ78" s="10">
        <f>IF($E78="","",MAX(0,MIN(1,IFERROR(INDEX(角色面板!$G$18:$G$21,MATCH($E78,角色面板!$A$18:$A$21,0)),0)-FC78*Boss参数!$B$89-Boss参数!$E$4)))</f>
        <v>0.66700000000000004</v>
      </c>
      <c r="BA78" s="10">
        <f>IF(E78="","",(IF($E78="","",IF($E78="红弩箭",Boss参数!$B$80,IF($E78="J",Boss参数!$B$81,IFERROR(INDEX(角色面板!$H$18:$H$21,MATCH($E78,角色面板!$A$18:$A$21,0)),0)))+IF($B78&lt;=$AI78,Boss参数!$B$13,0)+MIN(30,$AM78)*Boss参数!$B$17+IF(AND($L78="LILYA_ULT",$X78&gt;=6),1,0)+IF(AND($Y78=1,$L78="LILYA_INSIGHT"),IF(MOD($AA78+1,3)=0,Boss参数!$B$83,Boss参数!$B$82),IF(AND($Y78=1,$L78="LILYA_FINISH"),Boss参数!$B$84,0))))-FC78*Boss参数!$B$90)</f>
        <v>1.9969999999999999</v>
      </c>
      <c r="BB78" s="10">
        <f>IF($E78="","",IFERROR(INDEX(角色面板!$M$18:$M$21,MATCH($E78,角色面板!$A$18:$A$21,0)),0)+$AW78*Boss参数!$B$12+IF($B78&lt;=$AG78,$AF78,0)+$EI78+IF($L78="LILYA_DIVE",IF($U78=1,IF($G78=1,0.3,IF($G78=2,0.4,0.5)),IF($U78=2,IF($G78=1,0.6,IF($G78=2,0.8,1)),0)),0)+$R78+IF(AND($E78="J",OR($L78="J_COUNTER",$L78="J_HARD")),Boss参数!$B$79,0)+IF(AND(OR(L78="J_COUNTER",L78="J_HARD"),FA78&gt;=Boss参数!$B$59),FA78*Boss参数!$B$40,0))</f>
        <v>1.8250000000000002</v>
      </c>
      <c r="BC78" s="10">
        <f>IF($E78="","",IFERROR(INDEX(角色面板!$K$18:$K$21,MATCH($E78,角色面板!$A$18:$A$21,0)),0)+IF($B78&lt;=$AH78,Boss参数!$B$46,0)+IF($E78="红弩箭",IF($U78=1,0.6,IF($U78=2,1.2,0))+$W78*0.06,0))-DI78*Boss参数!$B$23</f>
        <v>-0.25</v>
      </c>
      <c r="BD78" s="10">
        <f>IF($E78="","",IFERROR(INDEX(角色面板!$L$18:$L$21,MATCH($E78,角色面板!$A$18:$A$21,0)),0)+IF($B78&lt;=$AH78,Boss参数!$B$46,0)+IF($E78="J",$AL78*Boss参数!$B$16,0)+IF($E78="红弩箭",$X78*0.025,0)+IF(AND($L78="LILYA_ULT",$X78&gt;=6),1,0))-DI78*Boss参数!$B$23</f>
        <v>0.27</v>
      </c>
      <c r="BE78" s="10">
        <f>IF($E78="","",IF($H78="洞知",IF($E78="红弩箭",$AO78*Boss参数!$B$15,0)+$AX78*Boss参数!$B$14,0))</f>
        <v>0</v>
      </c>
      <c r="BF78" s="10">
        <f t="shared" si="71"/>
        <v>0</v>
      </c>
      <c r="BG78" s="10">
        <f>IF($D78="",0,IF(AND($L78&lt;&gt;"LILYA_DIVE",$L78&lt;&gt;"LILYA_ULT",$L78&lt;&gt;"LILYA_INSIGHT",$L78&lt;&gt;"LILYA_FINISH",$L78&lt;&gt;"37_FOLLOW",$L78&lt;&gt;"RHI_ATTACK",$L78&lt;&gt;"RHI_BERRY",$L78&lt;&gt;"J_COUNTER",$L78&lt;&gt;"J_ULT"),$J78,0)+IF($L78="LILYA_DIVE",$J78+IF($U78=1,IF($G78=1,6,IF($G78=2,12,18)),IF($U78=2,IF($G78=1,12,IF($G78=2,24,36)),0)),0)+IF($L78="LILYA_ULT",$J78+IF($X78&gt;=6,18,0),0)+IF($L78="LILYA_INSIGHT",IF($Y78=1,IF(MOD($AA78+1,3)=0,32,15),0),0)+IF($L78="LILYA_FINISH",IF($Y78=1,50+2.5*$Z78,0),0)+IF($L78="37_FOLLOW",$J78,0)+IF($L78="RHI_ATTACK",$J78*IF($B78&lt;=$AJ78,2,1),0)+IF($L78="RHI_BERRY",15+1.5*$AV78,0)+IF($L78="J_COUNTER",$J78+$AD78*Boss参数!$B$39,0)+IF($L78="J_ULT",$J78+Boss参数!$B$45*MAX(0,$AE78+$AD78-Boss参数!$I$4),0)+$S78)</f>
        <v>4.75</v>
      </c>
      <c r="BH78" s="10">
        <f t="shared" si="72"/>
        <v>0</v>
      </c>
      <c r="BI78" s="10">
        <f>IF(E78="","",IF(DT78=1,1+Boss参数!$B$8+AV78*Boss参数!$B$19,1))</f>
        <v>1</v>
      </c>
      <c r="BJ78" s="9">
        <f>IF($I78="现实",Boss参数!$C$4,IF($I78="精神",Boss参数!$D$4,0))</f>
        <v>1200</v>
      </c>
      <c r="BK78" s="9">
        <f>IF($E78="","",MAX($AY78*Boss参数!$B$9,$AY78-$BJ78*(1-$BF78)))</f>
        <v>2123</v>
      </c>
      <c r="BL78" s="10">
        <f>MAX(0,Boss参数!$F$4+IF(DT78=0,Boss参数!$B$27,0)-EJ78)</f>
        <v>1.0999999999999999</v>
      </c>
      <c r="BM78" s="10">
        <f>Boss参数!$G$4+DU78-IF(Y78=1,Boss参数!$B$11,0)</f>
        <v>0.65</v>
      </c>
      <c r="BN78" s="10">
        <f>IF($E78="","",MAX(Boss参数!$B$10,1+IFERROR(INDEX(角色面板!$I$18:$I$21,MATCH($E78,角色面板!$A$18:$A$21,0)),0)+$BB78+Boss参数!$H$4-$BM78))</f>
        <v>2.2000000000000002</v>
      </c>
      <c r="BO78" s="10">
        <f>IF(E78="","",IF(OR(L78="J_COUNTER",L78="J_HARD"),MAX(0,1+INDEX(角色面板!$K$18:$K$21,MATCH(E78,角色面板!$A$18:$A$21,0))-DI78*Boss参数!$B$23+IF(OR(Boss参数!$B$43=1,L78="J_HARD"),IF(B78&lt;=AH78,Boss参数!$B$46,0),0)),MAX(0,IF(OR(H78="术法",L78="RHI_BERRY",AND(L78="37_FOLLOW",Boss参数!$B$31=1)),1+BC78,IF(H78="仪式",1+BD78,IF(H78="洞知",EK78,1))))))</f>
        <v>0.75</v>
      </c>
      <c r="BP78" s="10">
        <f t="shared" si="73"/>
        <v>1.1000000000000001</v>
      </c>
      <c r="BQ78" s="1">
        <f t="shared" si="74"/>
        <v>16639.012500000001</v>
      </c>
      <c r="BR78" s="1">
        <f t="shared" si="75"/>
        <v>18302.913750000003</v>
      </c>
      <c r="BS78" s="1">
        <f>IF(BH78=0,0,ROUNDDOWN(AY78*BH78,0)*DV78*IF(Boss参数!$B$29=1,BN78,1)*IF(Boss参数!$B$33=1,BO78,1)*IF(Boss参数!$B$76=1,1-ES78,1))</f>
        <v>0</v>
      </c>
      <c r="BT78" s="1">
        <f t="shared" si="76"/>
        <v>0</v>
      </c>
      <c r="BU78" s="9">
        <f>IF(D78="",0,MIN(IF(Boss参数!$B$77=1,Boss参数!$B$63*Boss参数!$B$62,Boss参数!$B$61*Boss参数!$B$62),DW78+ROUNDDOWN(BS78,0)+ROUNDDOWN(DW78*Q78,0)))</f>
        <v>6655</v>
      </c>
      <c r="BV78" s="9">
        <f>IF(D78="",0,MIN(IF(Boss参数!$B$77=1,Boss参数!$B$63*Boss参数!$B$62,Boss参数!$B$61*Boss参数!$B$62),DX78+ROUNDDOWN(BT78,0)+ROUNDDOWN(DX78*Q78,0)))</f>
        <v>7321</v>
      </c>
      <c r="BW78" s="9">
        <f t="shared" si="77"/>
        <v>7099</v>
      </c>
      <c r="BX78" s="1" t="str">
        <f t="shared" si="78"/>
        <v/>
      </c>
      <c r="BY78" s="1">
        <f t="shared" si="79"/>
        <v>1</v>
      </c>
      <c r="BZ78" s="1">
        <f t="shared" si="80"/>
        <v>0</v>
      </c>
      <c r="CA78" s="1">
        <f>MIN(10,W78+IF(AND(L78="LILYA_COBRA",COUNTIF($L$3:L78,"LILYA_COBRA")=1),5,0)+IF(AND(L78="LILYA_DIVE",U78=1,COUNTIFS($DG$3:DG78,DG78,$L$3:L78,"LILYA_DIVE")=1),2,0)+IF(AND(FE78=1,U78=1),3,0))</f>
        <v>8</v>
      </c>
      <c r="CB78" s="1">
        <f>MIN(20,MAX(0,X78+IF(L78="LILYA_COBRA",IF(COUNTIF($L$3:L78,"LILYA_COBRA")=1,6,IF(U78=1,MAX(1,G78),IF(U78=2,2*MAX(1,G78),0))),0)+IF(AND(Y78=1,E78="红弩箭",L78&lt;&gt;"ENTER_INSIGHT"),1,0)-IF(AND(L78="LILYA_ULT",X78&gt;=6),6,0)))</f>
        <v>12</v>
      </c>
      <c r="CC78" s="1">
        <f t="shared" si="81"/>
        <v>0</v>
      </c>
      <c r="CD78" s="1">
        <f t="shared" si="82"/>
        <v>0</v>
      </c>
      <c r="CE78" s="1">
        <f t="shared" si="83"/>
        <v>0</v>
      </c>
      <c r="CF78" s="1">
        <f t="shared" si="84"/>
        <v>1</v>
      </c>
      <c r="CG78" s="1">
        <f t="shared" si="85"/>
        <v>0</v>
      </c>
      <c r="CH78" s="1">
        <f>MIN(35,AD78+IF(L78="J_HARD",6,0)+IF(L78="J_COUNTER",Boss参数!$B$30,0))</f>
        <v>35</v>
      </c>
      <c r="CI78" s="1">
        <f>MIN(Boss参数!$I$4,AE78+IF(L78="J_HARD",6,0)+IF(L78="J_ULT",AD78,0)+IF(L78="J_COUNTER",Boss参数!$B$30,0))</f>
        <v>30</v>
      </c>
      <c r="CJ78" s="10">
        <f>IF(L78="J_ULT",AD78*Boss参数!$B$41,IF(B78&lt;=AG78,AF78,0))</f>
        <v>0.875</v>
      </c>
      <c r="CK78" s="1">
        <f t="shared" si="86"/>
        <v>6</v>
      </c>
      <c r="CL78" s="1">
        <f t="shared" si="87"/>
        <v>6</v>
      </c>
      <c r="CM78" s="1">
        <f t="shared" si="88"/>
        <v>6</v>
      </c>
      <c r="CN78" s="1">
        <f t="shared" si="89"/>
        <v>7</v>
      </c>
      <c r="CO78" s="1">
        <f t="shared" si="90"/>
        <v>6</v>
      </c>
      <c r="CP78" s="1">
        <f t="shared" si="91"/>
        <v>3</v>
      </c>
      <c r="CQ78" s="1">
        <f t="shared" si="92"/>
        <v>30</v>
      </c>
      <c r="CR78" s="1">
        <f t="shared" si="93"/>
        <v>6</v>
      </c>
      <c r="CS78" s="1">
        <f t="shared" si="94"/>
        <v>0</v>
      </c>
      <c r="CT78" s="10">
        <f t="shared" si="95"/>
        <v>0.12</v>
      </c>
      <c r="CU78" s="1">
        <f t="shared" si="96"/>
        <v>6</v>
      </c>
      <c r="CV78" s="10">
        <f t="shared" si="97"/>
        <v>0.3</v>
      </c>
      <c r="CW78" s="1">
        <f t="shared" si="98"/>
        <v>6</v>
      </c>
      <c r="CX78" s="10">
        <f t="shared" si="99"/>
        <v>0.3</v>
      </c>
      <c r="CY78" s="1">
        <f t="shared" si="100"/>
        <v>6</v>
      </c>
      <c r="CZ78" s="1"/>
      <c r="DA78" s="1"/>
      <c r="DB78" s="1"/>
      <c r="DC78" s="1"/>
      <c r="DD78" s="1"/>
      <c r="DE78" s="1"/>
      <c r="DF78" s="1"/>
      <c r="DG78" s="1">
        <f>IF(D78="","",行动模拟!B84)</f>
        <v>4</v>
      </c>
      <c r="DH78" s="1" t="str">
        <f>IF(L78="END_TURN","回合结束",IF(D78="","",IF(INDEX(回合状态!$C$7:$C$17,MATCH(DG78,回合状态!$A$7:$A$17,0))="洞穿","洞穿",IF(OR(L78="J_COUNTER",L78="BOSS_ACTION",L78="BOSS_CONSERVATIVE"),"敌方",IF(AND(L78="37_FOLLOW",DG78=DG77,DH77="敌方"),"敌方",IF(INDEX(回合状态!$C$7:$C$17,MATCH(DG78,回合状态!$A$7:$A$17,0))="普通","出牌",INDEX(回合状态!$C$7:$C$17,MATCH(DG78,回合状态!$A$7:$A$17,0))))))))</f>
        <v>敌方</v>
      </c>
      <c r="DI78" s="1">
        <f t="shared" si="101"/>
        <v>1</v>
      </c>
      <c r="DJ78" s="1">
        <f>IF(D78="",0,MIN(Boss参数!$B$25,IF(OR(AND(DH78="敌方",OR(DH77&lt;&gt;"敌方",DG78&lt;&gt;DG77)),AND(L78="END_TURN",DH78&lt;&gt;"洞穿"),AND(DG78&lt;&gt;DG77,DH77&lt;&gt;"洞穿",L77&lt;&gt;"END_TURN",COUNTIFS($DG$3:DG77,DG77,$DH$3:DH77,"敌方")=0)),EW78,DN77)))</f>
        <v>5</v>
      </c>
      <c r="DK78" s="1">
        <f>IF(D78="",0,MIN(Boss参数!$B$25,IF(OR(AND(DH78="敌方",OR(DH77&lt;&gt;"敌方",DG78&lt;&gt;DG77)),AND(L78="END_TURN",DH78&lt;&gt;"洞穿"),AND(DG78&lt;&gt;DG77,DH77&lt;&gt;"洞穿",L77&lt;&gt;"END_TURN",COUNTIFS($DG$3:DG77,DG77,$DH$3:DH77,"敌方")=0)),EW78,DO77)))</f>
        <v>3</v>
      </c>
      <c r="DL78" s="1">
        <f>IF(D78="",0,MIN(Boss参数!$B$25,IF(OR(AND(DH78="敌方",OR(DH77&lt;&gt;"敌方",DG78&lt;&gt;DG77)),AND(L78="END_TURN",DH78&lt;&gt;"洞穿"),AND(DG78&lt;&gt;DG77,DH77&lt;&gt;"洞穿",L77&lt;&gt;"END_TURN",COUNTIFS($DG$3:DG77,DG77,$DH$3:DH77,"敌方")=0)),EW78,DP77)))</f>
        <v>5</v>
      </c>
      <c r="DM78" s="1">
        <f>IF(D78="",0,MIN(Boss参数!$B$25,IF(OR(AND(DH78="敌方",OR(DH77&lt;&gt;"敌方",DG78&lt;&gt;DG77)),AND(L78="END_TURN",DH78&lt;&gt;"洞穿"),AND(DG78&lt;&gt;DG77,DH77&lt;&gt;"洞穿",L77&lt;&gt;"END_TURN",COUNTIFS($DG$3:DG77,DG77,$DH$3:DH77,"敌方")=0)),EW78,DQ77)))</f>
        <v>1</v>
      </c>
      <c r="DN78" s="1">
        <f>MAX(0,MIN(Boss参数!$B$25,DJ78+DR78)-IF(E78="红弩箭",2*DR78,0))</f>
        <v>5</v>
      </c>
      <c r="DO78" s="1">
        <f>MAX(0,MIN(Boss参数!$B$25,DK78+DR78)-IF(E78="37",2*DR78,0))</f>
        <v>4</v>
      </c>
      <c r="DP78" s="1">
        <f>MAX(0,MIN(Boss参数!$B$25,DL78+DR78)-IF(E78="小瑞安侬",2*DR78,0))</f>
        <v>5</v>
      </c>
      <c r="DQ78" s="1">
        <f>MAX(0,MIN(Boss参数!$B$25,DM78+DR78)-IF(E78="J",2*DR78,0))</f>
        <v>0</v>
      </c>
      <c r="DR78" s="1">
        <f t="shared" si="102"/>
        <v>1</v>
      </c>
      <c r="DS78" s="1">
        <f t="shared" si="103"/>
        <v>0</v>
      </c>
      <c r="DT78" s="1">
        <f>IF(OR(E78="",E78="系统"),0,IF(OR(AND(DS78=1,Boss参数!$B$32=1),L78="RHI_BERRY",OR(AND(INDEX(角色面板!$B$18:$B$21,MATCH(E78,角色面板!$A$18:$A$21,0))="星",Boss参数!$B$4="岩"),AND(INDEX(角色面板!$B$18:$B$21,MATCH(E78,角色面板!$A$18:$A$21,0))="岩",Boss参数!$B$4="兽"),AND(INDEX(角色面板!$B$18:$B$21,MATCH(E78,角色面板!$A$18:$A$21,0))="兽",Boss参数!$B$4="木"),AND(INDEX(角色面板!$B$18:$B$21,MATCH(E78,角色面板!$A$18:$A$21,0))="木",Boss参数!$B$4="星"),AND(INDEX(角色面板!$B$18:$B$21,MATCH(E78,角色面板!$A$18:$A$21,0))="智",Boss参数!$B$4="灵"),AND(INDEX(角色面板!$B$18:$B$21,MATCH(E78,角色面板!$A$18:$A$21,0))="灵",Boss参数!$B$4="智"))),1,0))</f>
        <v>0</v>
      </c>
      <c r="DU78" s="1">
        <f>IF(D78="",0,INDEX(回合状态!$E$7:$E$17,MATCH(DG78,回合状态!$A$7:$A$17,0))+IF(AND(DH78="敌方",OR(INDEX(回合状态!$C$7:$C$17,MATCH(DG78,回合状态!$A$7:$A$17,0))="普通",INDEX(回合状态!$C$7:$C$17,MATCH(DG78,回合状态!$A$7:$A$17,0))="额外")),0.05,0))</f>
        <v>0.25</v>
      </c>
      <c r="DV78" s="1">
        <f>MAX(Boss参数!$B$28,1+IF(AND(E78="37",AC78&gt;0,BH78&gt;0),Boss参数!$B$42,0)-DI78*Boss参数!$B$24+EA78-ER78)</f>
        <v>0</v>
      </c>
      <c r="DW78" s="1">
        <f>MIN(IF(Boss参数!$B$77=1,Boss参数!$B$63*Boss参数!$B$62,Boss参数!$B$61*Boss参数!$B$62),ROUNDDOWN(BQ78*(1-ES78),0))</f>
        <v>6655</v>
      </c>
      <c r="DX78" s="1">
        <f>MIN(IF(Boss参数!$B$77=1,Boss参数!$B$63*Boss参数!$B$62,Boss参数!$B$61*Boss参数!$B$62),ROUNDDOWN(BR78*(1-ES78),0))</f>
        <v>7321</v>
      </c>
      <c r="DY78" s="1">
        <f t="shared" si="135"/>
        <v>250</v>
      </c>
      <c r="DZ78" s="1">
        <f>IF(L78="RHI_ULT",MIN(Boss参数!$B$48,ROUNDDOWN(AY78*Boss参数!$B$47,0)),DY78)</f>
        <v>250</v>
      </c>
      <c r="EA78" s="11">
        <v>0</v>
      </c>
      <c r="EB78" s="1">
        <f t="shared" si="104"/>
        <v>0</v>
      </c>
      <c r="EC78" s="1">
        <f>SUMIFS($EB$3:EB78,$B$3:B78,"&gt;="&amp;MAX(1,B78-2),$B$3:B78,"&lt;="&amp;B78)*Boss参数!$B$51</f>
        <v>16</v>
      </c>
      <c r="ED78" s="1">
        <f>IF(D78="",EG77,IF(AND(DG78&lt;&gt;DG77,DH78&lt;&gt;"洞穿"),MIN(Boss参数!$B$55,EG77+2),EG77))</f>
        <v>0</v>
      </c>
      <c r="EE78" s="1">
        <f t="shared" si="105"/>
        <v>0</v>
      </c>
      <c r="EF78" s="1">
        <f>IF(AND(OR(L78="END_TURN",AND(DH78="敌方",OR(DH77&lt;&gt;"敌方",DG78&lt;&gt;DG77))),SUMIFS($EF$3:EF77,$DG$3:DG77,DG78)=0),MIN(1,MAX(0,ED78-EE78)),0)</f>
        <v>0</v>
      </c>
      <c r="EG78" s="1">
        <f t="shared" si="106"/>
        <v>0</v>
      </c>
      <c r="EH78" s="11">
        <f>Boss参数!$B$53-IF(Y78=1,Boss参数!$B$54,0)</f>
        <v>0</v>
      </c>
      <c r="EI78" s="11">
        <f t="shared" si="107"/>
        <v>0.3</v>
      </c>
      <c r="EJ78" s="11">
        <f t="shared" si="108"/>
        <v>0.3</v>
      </c>
      <c r="EK78" s="11">
        <f t="shared" si="109"/>
        <v>1</v>
      </c>
      <c r="EL78" s="1">
        <f t="shared" si="136"/>
        <v>0</v>
      </c>
      <c r="EM78" s="1">
        <f>IF(AND(DG78&lt;&gt;DG77,DH78="洞穿"),0,IF(L78="ENTER_INSIGHT",Boss参数!$B$57,EO77))</f>
        <v>0</v>
      </c>
      <c r="EN78" s="11">
        <f>IF(AND(Y78=1,H78="洞知",EM78&gt;0),Boss参数!$B$56,0)</f>
        <v>0</v>
      </c>
      <c r="EO78" s="1">
        <f t="shared" si="110"/>
        <v>0</v>
      </c>
      <c r="EP78" s="12">
        <f t="shared" si="137"/>
        <v>13546308</v>
      </c>
      <c r="EQ78" s="12">
        <f>ROUNDDOWN(EP78/Boss参数!$B$62,0)</f>
        <v>135</v>
      </c>
      <c r="ER78" s="11">
        <f>IF(EQ78&gt;=Boss参数!$B$66,Boss参数!$B$69,IF(EQ78&gt;=Boss参数!$B$65,Boss参数!$B$68,IF(EQ78&gt;=Boss参数!$B$64,Boss参数!$B$67,0)))</f>
        <v>0.9</v>
      </c>
      <c r="ES78" s="11">
        <f>MIN(1,IF(EQ78&gt;=Boss参数!$B$66,Boss参数!$B$72+ROUNDDOWN((EQ78-Boss参数!$B$66)/Boss参数!$B$73,0)*Boss参数!$B$74,IF(EQ78&gt;=Boss参数!$B$65,Boss参数!$B$71,IF(EQ78&gt;=Boss参数!$B$64,Boss参数!$B$70,0))))</f>
        <v>0.6</v>
      </c>
      <c r="ET78" s="12">
        <f>MIN(Boss参数!$B$61*Boss参数!$B$62,EP78+IF(AND(Boss参数!$B$60=1,ISNUMBER(验证表!H84)),验证表!H84,EU78))</f>
        <v>13553629</v>
      </c>
      <c r="EU78" s="12">
        <f>IF(D78="",0,IF(验证表!G84="是",BV78,IF(验证表!G84="否",BU78,BW78)))</f>
        <v>7321</v>
      </c>
      <c r="EV78" s="12">
        <f>IF(EQ78&gt;=Boss参数!$B$66,2,IF(EQ78&gt;=Boss参数!$B$65,1,0))</f>
        <v>2</v>
      </c>
      <c r="EW78" s="12">
        <f t="shared" si="111"/>
        <v>3</v>
      </c>
      <c r="EX78" s="1">
        <f>IF(D78="",0,INDEX(回合状态!$D$7:$D$17,MATCH(DG78,回合状态!$A$7:$A$17,0)))</f>
        <v>4</v>
      </c>
      <c r="EY78" s="1">
        <f>IF(OR(L78="RHI_ATTACK",L78="RHI_BUFF"),1,IF(L78="RHI_ULT",Boss参数!$B$52,0))</f>
        <v>0</v>
      </c>
      <c r="EZ78" s="1">
        <f>MIN(6,SUMIFS($EY$3:EY78,$EX$3:EX78,"&gt;="&amp;MAX(1,EX78-Boss参数!$B$87+1),$EX$3:EX78,"&lt;="&amp;EX78))</f>
        <v>6</v>
      </c>
      <c r="FA78" s="1">
        <f t="shared" si="138"/>
        <v>35</v>
      </c>
      <c r="FB78" s="17">
        <f>IF(L78="BOSS_CONSERVATIVE",B78+Boss参数!$B$91,FB77)</f>
        <v>0</v>
      </c>
      <c r="FC78" s="17">
        <f t="shared" si="139"/>
        <v>0</v>
      </c>
      <c r="FD78" s="17">
        <f>IF(D78="",FD77,FD77+IF(AND(DG78&lt;&gt;DG77,INDEX(回合状态!$C$7:$C$17,MATCH(DG78,回合状态!$A$7:$A$17,0))&lt;&gt;"洞穿"),1,0))</f>
        <v>5</v>
      </c>
      <c r="FE78" s="17">
        <f>IF(D78="",0,IF(AND(OR(L78="END_TURN",DH78="敌方"),INDEX(回合状态!$C$7:$C$17,MATCH(DG78,回合状态!$A$7:$A$17,0))&lt;&gt;"洞穿",SUMIFS($FE$3:FE77,$DG$3:DG77,DG78)=0),1,0))</f>
        <v>0</v>
      </c>
    </row>
    <row r="79" spans="1:161" ht="84.95" customHeight="1">
      <c r="A79" s="1">
        <f>行动模拟!A85</f>
        <v>77</v>
      </c>
      <c r="B79" s="1">
        <f>IF(D79="",0,INDEX(回合状态!$B$7:$B$17,MATCH(DG79,回合状态!$A$7:$A$17,0)))</f>
        <v>5</v>
      </c>
      <c r="C79" s="1">
        <f>行动模拟!C85</f>
        <v>1</v>
      </c>
      <c r="D79" s="1" t="str">
        <f>IF(行动模拟!D85="","",行动模拟!D85)</f>
        <v>小瑞安侬｜悄冥冥术阵</v>
      </c>
      <c r="E79" s="1" t="str">
        <f>IF($D79="","",IFERROR(INDEX(技能数据库!$B$4:$B$38,MATCH($D79,技能数据库!$A$4:$A$38,0)),""))</f>
        <v>小瑞安侬</v>
      </c>
      <c r="F79" s="1" t="str">
        <f>IF($D79="","",IFERROR(INDEX(技能数据库!$C$4:$C$38,MATCH($D79,技能数据库!$A$4:$A$38,0)),""))</f>
        <v>悄冥冥术阵</v>
      </c>
      <c r="G79" s="1">
        <f>IF($D79="","",IFERROR(INDEX(技能数据库!$D$4:$D$38,MATCH($D79,技能数据库!$A$4:$A$38,0)),""))</f>
        <v>0</v>
      </c>
      <c r="H79" s="1" t="str">
        <f>IF($D79="","",IFERROR(INDEX(技能数据库!$E$4:$E$38,MATCH($D79,技能数据库!$A$4:$A$38,0)),""))</f>
        <v>增益</v>
      </c>
      <c r="I79" s="1" t="str">
        <f>IF($D79="","",IFERROR(INDEX(技能数据库!$F$4:$F$38,MATCH($D79,技能数据库!$A$4:$A$38,0)),""))</f>
        <v>无</v>
      </c>
      <c r="J79" s="1">
        <f>IF($D79="","",IFERROR(INDEX(技能数据库!$G$4:$G$38,MATCH($D79,技能数据库!$A$4:$A$38,0)),""))</f>
        <v>0</v>
      </c>
      <c r="K79" s="1">
        <f>IF($D79="","",IFERROR(INDEX(技能数据库!$H$4:$H$38,MATCH($D79,技能数据库!$A$4:$A$38,0)),""))</f>
        <v>0</v>
      </c>
      <c r="L79" s="1" t="str">
        <f>IF($D79="","",IFERROR(INDEX(技能数据库!$I$4:$I$38,MATCH($D79,技能数据库!$A$4:$A$38,0)),""))</f>
        <v>RHI_BUFF</v>
      </c>
      <c r="M79" s="10">
        <v>1</v>
      </c>
      <c r="N79" s="1"/>
      <c r="O79" s="1"/>
      <c r="P79" s="1"/>
      <c r="Q79" s="10">
        <f t="shared" si="70"/>
        <v>0</v>
      </c>
      <c r="R79" s="10">
        <v>0</v>
      </c>
      <c r="S79" s="10">
        <v>0</v>
      </c>
      <c r="T79" s="1">
        <f>行动模拟!I85</f>
        <v>0</v>
      </c>
      <c r="U79" s="1">
        <f>IF(FD79&lt;&gt;FD78,IF(BY78=1,IF(MIN(10,CA78+IF(AND(DG79&lt;&gt;DG78,DH78&lt;&gt;"洞穿",SUMIFS($FE$3:FE78,$DG$3:DG78,DG78)=0,BY78=1),3,0))&gt;=10,2,1),IF(BY78=2,IF(BZ78&lt;=1,0,2),0)),BY78)</f>
        <v>1</v>
      </c>
      <c r="V79" s="1">
        <f>IF(FD79&lt;&gt;FD78,IF(BY78=1,IF(MIN(10,CA78+IF(AND(DG79&lt;&gt;DG78,DH78&lt;&gt;"洞穿",SUMIFS($FE$3:FE78,$DG$3:DG78,DG78)=0,BY78=1),3,0))&gt;=10,2,0),IF(BY78=2,MAX(0,BZ78-1),0)),BZ78)</f>
        <v>0</v>
      </c>
      <c r="W79" s="1">
        <f>IF(AND(FD79&lt;&gt;FD78,BY78=2,BZ78&lt;=1),0,MIN(10,CA78+IF(AND(DG79&lt;&gt;DG78,DH78&lt;&gt;"洞穿",SUMIFS($FE$3:FE78,$DG$3:DG78,DG78)=0,BY78=1),3,0)))</f>
        <v>8</v>
      </c>
      <c r="X79" s="1">
        <f t="shared" si="112"/>
        <v>12</v>
      </c>
      <c r="Y79" s="1">
        <f t="shared" si="113"/>
        <v>0</v>
      </c>
      <c r="Z79" s="1">
        <f t="shared" si="114"/>
        <v>0</v>
      </c>
      <c r="AA79" s="1">
        <f t="shared" si="115"/>
        <v>0</v>
      </c>
      <c r="AB79" s="1">
        <f t="shared" si="116"/>
        <v>1</v>
      </c>
      <c r="AC79" s="1">
        <f t="shared" si="117"/>
        <v>0</v>
      </c>
      <c r="AD79" s="1">
        <f t="shared" si="118"/>
        <v>35</v>
      </c>
      <c r="AE79" s="1">
        <f>IF(D79="",0,IF(DG79&lt;&gt;DG78,IFERROR(INDEX(回合状态!$F$7:$F$17,MATCH(DG79,回合状态!$A$7:$A$17,0)),0),CI78))</f>
        <v>15</v>
      </c>
      <c r="AF79" s="10">
        <f t="shared" si="119"/>
        <v>0.875</v>
      </c>
      <c r="AG79" s="1">
        <f t="shared" si="120"/>
        <v>6</v>
      </c>
      <c r="AH79" s="1">
        <f t="shared" si="121"/>
        <v>6</v>
      </c>
      <c r="AI79" s="1">
        <f t="shared" si="122"/>
        <v>6</v>
      </c>
      <c r="AJ79" s="1">
        <f t="shared" si="123"/>
        <v>7</v>
      </c>
      <c r="AK79" s="1">
        <f t="shared" si="124"/>
        <v>6</v>
      </c>
      <c r="AL79" s="1">
        <f t="shared" si="125"/>
        <v>3</v>
      </c>
      <c r="AM79" s="1">
        <f t="shared" si="126"/>
        <v>30</v>
      </c>
      <c r="AN79" s="1">
        <f t="shared" si="127"/>
        <v>6</v>
      </c>
      <c r="AO79" s="1">
        <f t="shared" si="128"/>
        <v>0</v>
      </c>
      <c r="AP79" s="10">
        <f t="shared" si="129"/>
        <v>0.12</v>
      </c>
      <c r="AQ79" s="1">
        <f t="shared" si="130"/>
        <v>6</v>
      </c>
      <c r="AR79" s="10">
        <f t="shared" si="131"/>
        <v>0.3</v>
      </c>
      <c r="AS79" s="1">
        <f t="shared" si="132"/>
        <v>6</v>
      </c>
      <c r="AT79" s="10">
        <f t="shared" si="133"/>
        <v>0.3</v>
      </c>
      <c r="AU79" s="1">
        <f t="shared" si="134"/>
        <v>6</v>
      </c>
      <c r="AV79" s="1">
        <f>MIN(5,SUMIFS($EL$3:EL79,$B$3:B79,"&gt;="&amp;MAX(1,B79-2),$B$3:B79,"&lt;="&amp;B79)+EC79)</f>
        <v>5</v>
      </c>
      <c r="AW79" s="1">
        <f>MIN(6,SUMIFS($EY$3:EY78,$EX$3:EX78,"&gt;="&amp;MAX(1,EX79-Boss参数!$B$87+1),$EX$3:EX78,"&lt;="&amp;EX79))</f>
        <v>6</v>
      </c>
      <c r="AX79" s="1">
        <f>MIN(4,COUNTIFS($B$3:$B$78,"&gt;="&amp;MAX(1,$B79-2),$B$3:$B$78,"&lt;="&amp;$B79,$L$3:$L$78,"37_FOLLOW"))</f>
        <v>4</v>
      </c>
      <c r="AY79" s="9">
        <f>IF($E79="","",IF($E79="系统",0,ROUNDDOWN(INDEX(角色面板!$C$4:$C$7,MATCH($E79,角色面板!$A$4:$A$7,0))*(1+INDEX(角色面板!$C$11:$C$14,MATCH($E79,角色面板!$A$11:$A$14,0))+IF($E79="小瑞安侬",MAX(IF($B79&lt;=$AQ79,$AP79,0),IF(AND($L79="RHI_ATTACK",$EE79&gt;0),0.11+0.01*$G79,0)),0)+IF($E79="J",$AD79*Boss参数!$B$18,0))+IF(FD79&lt;=$AN79,MIN(Boss参数!$B$21,ROUNDDOWN(角色面板!$C$19*Boss参数!$B$20,0)),0)+IF(AND($B79&lt;=$AK79,$E79&lt;&gt;"小瑞安侬"),$DY79,0),0)))</f>
        <v>3798</v>
      </c>
      <c r="AZ79" s="10">
        <f>IF($E79="","",MAX(0,MIN(1,IFERROR(INDEX(角色面板!$G$18:$G$21,MATCH($E79,角色面板!$A$18:$A$21,0)),0)-FC79*Boss参数!$B$89-Boss参数!$E$4)))</f>
        <v>0.55499999999999994</v>
      </c>
      <c r="BA79" s="10">
        <f>IF(E79="","",(IF($E79="","",IF($E79="红弩箭",Boss参数!$B$80,IF($E79="J",Boss参数!$B$81,IFERROR(INDEX(角色面板!$H$18:$H$21,MATCH($E79,角色面板!$A$18:$A$21,0)),0)))+IF($B79&lt;=$AI79,Boss参数!$B$13,0)+MIN(30,$AM79)*Boss参数!$B$17+IF(AND($L79="LILYA_ULT",$X79&gt;=6),1,0)+IF(AND($Y79=1,$L79="LILYA_INSIGHT"),IF(MOD($AA79+1,3)=0,Boss参数!$B$83,Boss参数!$B$82),IF(AND($Y79=1,$L79="LILYA_FINISH"),Boss参数!$B$84,0))))-FC79*Boss参数!$B$90)</f>
        <v>1.83</v>
      </c>
      <c r="BB79" s="10">
        <f>IF($E79="","",IFERROR(INDEX(角色面板!$M$18:$M$21,MATCH($E79,角色面板!$A$18:$A$21,0)),0)+$AW79*Boss参数!$B$12+IF($B79&lt;=$AG79,$AF79,0)+$EI79+IF($L79="LILYA_DIVE",IF($U79=1,IF($G79=1,0.3,IF($G79=2,0.4,0.5)),IF($U79=2,IF($G79=1,0.6,IF($G79=2,0.8,1)),0)),0)+$R79+IF(AND($E79="J",OR($L79="J_COUNTER",$L79="J_HARD")),Boss参数!$B$79,0)+IF(AND(OR(L79="J_COUNTER",L79="J_HARD"),FA79&gt;=Boss参数!$B$59),FA79*Boss参数!$B$40,0))</f>
        <v>1.2949999999999999</v>
      </c>
      <c r="BC79" s="10">
        <f>IF($E79="","",IFERROR(INDEX(角色面板!$K$18:$K$21,MATCH($E79,角色面板!$A$18:$A$21,0)),0)+IF($B79&lt;=$AH79,Boss参数!$B$46,0)+IF($E79="红弩箭",IF($U79=1,0.6,IF($U79=2,1.2,0))+$W79*0.06,0))-DI79*Boss参数!$B$23</f>
        <v>-0.85000000000000009</v>
      </c>
      <c r="BD79" s="10">
        <f>IF($E79="","",IFERROR(INDEX(角色面板!$L$18:$L$21,MATCH($E79,角色面板!$A$18:$A$21,0)),0)+IF($B79&lt;=$AH79,Boss参数!$B$46,0)+IF($E79="J",$AL79*Boss参数!$B$16,0)+IF($E79="红弩箭",$X79*0.025,0)+IF(AND($L79="LILYA_ULT",$X79&gt;=6),1,0))-DI79*Boss参数!$B$23</f>
        <v>-0.45</v>
      </c>
      <c r="BE79" s="10">
        <f>IF($E79="","",IF($H79="洞知",IF($E79="红弩箭",$AO79*Boss参数!$B$15,0)+$AX79*Boss参数!$B$14,0))</f>
        <v>0</v>
      </c>
      <c r="BF79" s="10">
        <f t="shared" si="71"/>
        <v>0</v>
      </c>
      <c r="BG79" s="10">
        <f>IF($D79="",0,IF(AND($L79&lt;&gt;"LILYA_DIVE",$L79&lt;&gt;"LILYA_ULT",$L79&lt;&gt;"LILYA_INSIGHT",$L79&lt;&gt;"LILYA_FINISH",$L79&lt;&gt;"37_FOLLOW",$L79&lt;&gt;"RHI_ATTACK",$L79&lt;&gt;"RHI_BERRY",$L79&lt;&gt;"J_COUNTER",$L79&lt;&gt;"J_ULT"),$J79,0)+IF($L79="LILYA_DIVE",$J79+IF($U79=1,IF($G79=1,6,IF($G79=2,12,18)),IF($U79=2,IF($G79=1,12,IF($G79=2,24,36)),0)),0)+IF($L79="LILYA_ULT",$J79+IF($X79&gt;=6,18,0),0)+IF($L79="LILYA_INSIGHT",IF($Y79=1,IF(MOD($AA79+1,3)=0,32,15),0),0)+IF($L79="LILYA_FINISH",IF($Y79=1,50+2.5*$Z79,0),0)+IF($L79="37_FOLLOW",$J79,0)+IF($L79="RHI_ATTACK",$J79*IF($B79&lt;=$AJ79,2,1),0)+IF($L79="RHI_BERRY",15+1.5*$AV79,0)+IF($L79="J_COUNTER",$J79+$AD79*Boss参数!$B$39,0)+IF($L79="J_ULT",$J79+Boss参数!$B$45*MAX(0,$AE79+$AD79-Boss参数!$I$4),0)+$S79)</f>
        <v>0</v>
      </c>
      <c r="BH79" s="10">
        <f t="shared" si="72"/>
        <v>0</v>
      </c>
      <c r="BI79" s="10">
        <f>IF(E79="","",IF(DT79=1,1+Boss参数!$B$8+AV79*Boss参数!$B$19,1))</f>
        <v>1</v>
      </c>
      <c r="BJ79" s="9">
        <f>IF($I79="现实",Boss参数!$C$4,IF($I79="精神",Boss参数!$D$4,0))</f>
        <v>0</v>
      </c>
      <c r="BK79" s="9">
        <f>IF($E79="","",MAX($AY79*Boss参数!$B$9,$AY79-$BJ79*(1-$BF79)))</f>
        <v>3798</v>
      </c>
      <c r="BL79" s="10">
        <f>MAX(0,Boss参数!$F$4+IF(DT79=0,Boss参数!$B$27,0)-EJ79)</f>
        <v>1.0999999999999999</v>
      </c>
      <c r="BM79" s="10">
        <f>Boss参数!$G$4+DU79-IF(Y79=1,Boss参数!$B$11,0)</f>
        <v>0.65</v>
      </c>
      <c r="BN79" s="10">
        <f>IF($E79="","",MAX(Boss参数!$B$10,1+IFERROR(INDEX(角色面板!$I$18:$I$21,MATCH($E79,角色面板!$A$18:$A$21,0)),0)+$BB79+Boss参数!$H$4-$BM79))</f>
        <v>1.6800000000000002</v>
      </c>
      <c r="BO79" s="10">
        <f>IF(E79="","",IF(OR(L79="J_COUNTER",L79="J_HARD"),MAX(0,1+INDEX(角色面板!$K$18:$K$21,MATCH(E79,角色面板!$A$18:$A$21,0))-DI79*Boss参数!$B$23+IF(OR(Boss参数!$B$43=1,L79="J_HARD"),IF(B79&lt;=AH79,Boss参数!$B$46,0),0)),MAX(0,IF(OR(H79="术法",L79="RHI_BERRY",AND(L79="37_FOLLOW",Boss参数!$B$31=1)),1+BC79,IF(H79="仪式",1+BD79,IF(H79="洞知",EK79,1))))))</f>
        <v>1</v>
      </c>
      <c r="BP79" s="10">
        <f t="shared" si="73"/>
        <v>1.1000000000000001</v>
      </c>
      <c r="BQ79" s="1">
        <f t="shared" si="74"/>
        <v>0</v>
      </c>
      <c r="BR79" s="1">
        <f t="shared" si="75"/>
        <v>0</v>
      </c>
      <c r="BS79" s="1">
        <f>IF(BH79=0,0,ROUNDDOWN(AY79*BH79,0)*DV79*IF(Boss参数!$B$29=1,BN79,1)*IF(Boss参数!$B$33=1,BO79,1)*IF(Boss参数!$B$76=1,1-ES79,1))</f>
        <v>0</v>
      </c>
      <c r="BT79" s="1">
        <f t="shared" si="76"/>
        <v>0</v>
      </c>
      <c r="BU79" s="9">
        <f>IF(D79="",0,MIN(IF(Boss参数!$B$77=1,Boss参数!$B$63*Boss参数!$B$62,Boss参数!$B$61*Boss参数!$B$62),DW79+ROUNDDOWN(BS79,0)+ROUNDDOWN(DW79*Q79,0)))</f>
        <v>0</v>
      </c>
      <c r="BV79" s="9">
        <f>IF(D79="",0,MIN(IF(Boss参数!$B$77=1,Boss参数!$B$63*Boss参数!$B$62,Boss参数!$B$61*Boss参数!$B$62),DX79+ROUNDDOWN(BT79,0)+ROUNDDOWN(DX79*Q79,0)))</f>
        <v>0</v>
      </c>
      <c r="BW79" s="9">
        <f t="shared" si="77"/>
        <v>0</v>
      </c>
      <c r="BX79" s="1" t="str">
        <f t="shared" si="78"/>
        <v/>
      </c>
      <c r="BY79" s="1">
        <f t="shared" si="79"/>
        <v>1</v>
      </c>
      <c r="BZ79" s="1">
        <f t="shared" si="80"/>
        <v>0</v>
      </c>
      <c r="CA79" s="1">
        <f>MIN(10,W79+IF(AND(L79="LILYA_COBRA",COUNTIF($L$3:L79,"LILYA_COBRA")=1),5,0)+IF(AND(L79="LILYA_DIVE",U79=1,COUNTIFS($DG$3:DG79,DG79,$L$3:L79,"LILYA_DIVE")=1),2,0)+IF(AND(FE79=1,U79=1),3,0))</f>
        <v>8</v>
      </c>
      <c r="CB79" s="1">
        <f>MIN(20,MAX(0,X79+IF(L79="LILYA_COBRA",IF(COUNTIF($L$3:L79,"LILYA_COBRA")=1,6,IF(U79=1,MAX(1,G79),IF(U79=2,2*MAX(1,G79),0))),0)+IF(AND(Y79=1,E79="红弩箭",L79&lt;&gt;"ENTER_INSIGHT"),1,0)-IF(AND(L79="LILYA_ULT",X79&gt;=6),6,0)))</f>
        <v>12</v>
      </c>
      <c r="CC79" s="1">
        <f t="shared" si="81"/>
        <v>0</v>
      </c>
      <c r="CD79" s="1">
        <f t="shared" si="82"/>
        <v>0</v>
      </c>
      <c r="CE79" s="1">
        <f t="shared" si="83"/>
        <v>0</v>
      </c>
      <c r="CF79" s="1">
        <f t="shared" si="84"/>
        <v>2</v>
      </c>
      <c r="CG79" s="1">
        <f t="shared" si="85"/>
        <v>0</v>
      </c>
      <c r="CH79" s="1">
        <f>MIN(35,AD79+IF(L79="J_HARD",6,0)+IF(L79="J_COUNTER",Boss参数!$B$30,0))</f>
        <v>35</v>
      </c>
      <c r="CI79" s="1">
        <f>MIN(Boss参数!$I$4,AE79+IF(L79="J_HARD",6,0)+IF(L79="J_ULT",AD79,0)+IF(L79="J_COUNTER",Boss参数!$B$30,0))</f>
        <v>15</v>
      </c>
      <c r="CJ79" s="10">
        <f>IF(L79="J_ULT",AD79*Boss参数!$B$41,IF(B79&lt;=AG79,AF79,0))</f>
        <v>0.875</v>
      </c>
      <c r="CK79" s="1">
        <f t="shared" si="86"/>
        <v>6</v>
      </c>
      <c r="CL79" s="1">
        <f t="shared" si="87"/>
        <v>7</v>
      </c>
      <c r="CM79" s="1">
        <f t="shared" si="88"/>
        <v>6</v>
      </c>
      <c r="CN79" s="1">
        <f t="shared" si="89"/>
        <v>7</v>
      </c>
      <c r="CO79" s="1">
        <f t="shared" si="90"/>
        <v>6</v>
      </c>
      <c r="CP79" s="1">
        <f t="shared" si="91"/>
        <v>3</v>
      </c>
      <c r="CQ79" s="1">
        <f t="shared" si="92"/>
        <v>30</v>
      </c>
      <c r="CR79" s="1">
        <f t="shared" si="93"/>
        <v>6</v>
      </c>
      <c r="CS79" s="1">
        <f t="shared" si="94"/>
        <v>0</v>
      </c>
      <c r="CT79" s="10">
        <f t="shared" si="95"/>
        <v>0.12</v>
      </c>
      <c r="CU79" s="1">
        <f t="shared" si="96"/>
        <v>6</v>
      </c>
      <c r="CV79" s="10">
        <f t="shared" si="97"/>
        <v>0.3</v>
      </c>
      <c r="CW79" s="1">
        <f t="shared" si="98"/>
        <v>6</v>
      </c>
      <c r="CX79" s="10">
        <f t="shared" si="99"/>
        <v>0.3</v>
      </c>
      <c r="CY79" s="1">
        <f t="shared" si="100"/>
        <v>7</v>
      </c>
      <c r="CZ79" s="1"/>
      <c r="DA79" s="1"/>
      <c r="DB79" s="1"/>
      <c r="DC79" s="1"/>
      <c r="DD79" s="1"/>
      <c r="DE79" s="1"/>
      <c r="DF79" s="1"/>
      <c r="DG79" s="1">
        <f>IF(D79="","",行动模拟!B85)</f>
        <v>5</v>
      </c>
      <c r="DH79" s="1" t="str">
        <f>IF(L79="END_TURN","回合结束",IF(D79="","",IF(INDEX(回合状态!$C$7:$C$17,MATCH(DG79,回合状态!$A$7:$A$17,0))="洞穿","洞穿",IF(OR(L79="J_COUNTER",L79="BOSS_ACTION",L79="BOSS_CONSERVATIVE"),"敌方",IF(AND(L79="37_FOLLOW",DG79=DG78,DH78="敌方"),"敌方",IF(INDEX(回合状态!$C$7:$C$17,MATCH(DG79,回合状态!$A$7:$A$17,0))="普通","出牌",INDEX(回合状态!$C$7:$C$17,MATCH(DG79,回合状态!$A$7:$A$17,0))))))))</f>
        <v>出牌</v>
      </c>
      <c r="DI79" s="1">
        <f t="shared" si="101"/>
        <v>5</v>
      </c>
      <c r="DJ79" s="1">
        <f>IF(D79="",0,MIN(Boss参数!$B$25,IF(OR(AND(DH79="敌方",OR(DH78&lt;&gt;"敌方",DG79&lt;&gt;DG78)),AND(L79="END_TURN",DH79&lt;&gt;"洞穿"),AND(DG79&lt;&gt;DG78,DH78&lt;&gt;"洞穿",L78&lt;&gt;"END_TURN",COUNTIFS($DG$3:DG78,DG78,$DH$3:DH78,"敌方")=0)),EW79,DN78)))</f>
        <v>5</v>
      </c>
      <c r="DK79" s="1">
        <f>IF(D79="",0,MIN(Boss参数!$B$25,IF(OR(AND(DH79="敌方",OR(DH78&lt;&gt;"敌方",DG79&lt;&gt;DG78)),AND(L79="END_TURN",DH79&lt;&gt;"洞穿"),AND(DG79&lt;&gt;DG78,DH78&lt;&gt;"洞穿",L78&lt;&gt;"END_TURN",COUNTIFS($DG$3:DG78,DG78,$DH$3:DH78,"敌方")=0)),EW79,DO78)))</f>
        <v>4</v>
      </c>
      <c r="DL79" s="1">
        <f>IF(D79="",0,MIN(Boss参数!$B$25,IF(OR(AND(DH79="敌方",OR(DH78&lt;&gt;"敌方",DG79&lt;&gt;DG78)),AND(L79="END_TURN",DH79&lt;&gt;"洞穿"),AND(DG79&lt;&gt;DG78,DH78&lt;&gt;"洞穿",L78&lt;&gt;"END_TURN",COUNTIFS($DG$3:DG78,DG78,$DH$3:DH78,"敌方")=0)),EW79,DP78)))</f>
        <v>5</v>
      </c>
      <c r="DM79" s="1">
        <f>IF(D79="",0,MIN(Boss参数!$B$25,IF(OR(AND(DH79="敌方",OR(DH78&lt;&gt;"敌方",DG79&lt;&gt;DG78)),AND(L79="END_TURN",DH79&lt;&gt;"洞穿"),AND(DG79&lt;&gt;DG78,DH78&lt;&gt;"洞穿",L78&lt;&gt;"END_TURN",COUNTIFS($DG$3:DG78,DG78,$DH$3:DH78,"敌方")=0)),EW79,DQ78)))</f>
        <v>0</v>
      </c>
      <c r="DN79" s="1">
        <f>MAX(0,MIN(Boss参数!$B$25,DJ79+DR79)-IF(E79="红弩箭",2*DR79,0))</f>
        <v>5</v>
      </c>
      <c r="DO79" s="1">
        <f>MAX(0,MIN(Boss参数!$B$25,DK79+DR79)-IF(E79="37",2*DR79,0))</f>
        <v>4</v>
      </c>
      <c r="DP79" s="1">
        <f>MAX(0,MIN(Boss参数!$B$25,DL79+DR79)-IF(E79="小瑞安侬",2*DR79,0))</f>
        <v>5</v>
      </c>
      <c r="DQ79" s="1">
        <f>MAX(0,MIN(Boss参数!$B$25,DM79+DR79)-IF(E79="J",2*DR79,0))</f>
        <v>0</v>
      </c>
      <c r="DR79" s="1">
        <f t="shared" si="102"/>
        <v>0</v>
      </c>
      <c r="DS79" s="1">
        <f t="shared" si="103"/>
        <v>0</v>
      </c>
      <c r="DT79" s="1">
        <f>IF(OR(E79="",E79="系统"),0,IF(OR(AND(DS79=1,Boss参数!$B$32=1),L79="RHI_BERRY",OR(AND(INDEX(角色面板!$B$18:$B$21,MATCH(E79,角色面板!$A$18:$A$21,0))="星",Boss参数!$B$4="岩"),AND(INDEX(角色面板!$B$18:$B$21,MATCH(E79,角色面板!$A$18:$A$21,0))="岩",Boss参数!$B$4="兽"),AND(INDEX(角色面板!$B$18:$B$21,MATCH(E79,角色面板!$A$18:$A$21,0))="兽",Boss参数!$B$4="木"),AND(INDEX(角色面板!$B$18:$B$21,MATCH(E79,角色面板!$A$18:$A$21,0))="木",Boss参数!$B$4="星"),AND(INDEX(角色面板!$B$18:$B$21,MATCH(E79,角色面板!$A$18:$A$21,0))="智",Boss参数!$B$4="灵"),AND(INDEX(角色面板!$B$18:$B$21,MATCH(E79,角色面板!$A$18:$A$21,0))="灵",Boss参数!$B$4="智"))),1,0))</f>
        <v>0</v>
      </c>
      <c r="DU79" s="1">
        <f>IF(D79="",0,INDEX(回合状态!$E$7:$E$17,MATCH(DG79,回合状态!$A$7:$A$17,0))+IF(AND(DH79="敌方",OR(INDEX(回合状态!$C$7:$C$17,MATCH(DG79,回合状态!$A$7:$A$17,0))="普通",INDEX(回合状态!$C$7:$C$17,MATCH(DG79,回合状态!$A$7:$A$17,0))="额外")),0.05,0))</f>
        <v>0.25</v>
      </c>
      <c r="DV79" s="1">
        <f>MAX(Boss参数!$B$28,1+IF(AND(E79="37",AC79&gt;0,BH79&gt;0),Boss参数!$B$42,0)-DI79*Boss参数!$B$24+EA79-ER79)</f>
        <v>0</v>
      </c>
      <c r="DW79" s="1">
        <f>MIN(IF(Boss参数!$B$77=1,Boss参数!$B$63*Boss参数!$B$62,Boss参数!$B$61*Boss参数!$B$62),ROUNDDOWN(BQ79*(1-ES79),0))</f>
        <v>0</v>
      </c>
      <c r="DX79" s="1">
        <f>MIN(IF(Boss参数!$B$77=1,Boss参数!$B$63*Boss参数!$B$62,Boss参数!$B$61*Boss参数!$B$62),ROUNDDOWN(BR79*(1-ES79),0))</f>
        <v>0</v>
      </c>
      <c r="DY79" s="1">
        <f t="shared" si="135"/>
        <v>250</v>
      </c>
      <c r="DZ79" s="1">
        <f>IF(L79="RHI_ULT",MIN(Boss参数!$B$48,ROUNDDOWN(AY79*Boss参数!$B$47,0)),DY79)</f>
        <v>250</v>
      </c>
      <c r="EA79" s="11">
        <v>0</v>
      </c>
      <c r="EB79" s="1">
        <f t="shared" si="104"/>
        <v>1</v>
      </c>
      <c r="EC79" s="1">
        <f>SUMIFS($EB$3:EB79,$B$3:B79,"&gt;="&amp;MAX(1,B79-2),$B$3:B79,"&lt;="&amp;B79)*Boss参数!$B$51</f>
        <v>16</v>
      </c>
      <c r="ED79" s="1">
        <f>IF(D79="",EG78,IF(AND(DG79&lt;&gt;DG78,DH79&lt;&gt;"洞穿"),MIN(Boss参数!$B$55,EG78+2),EG78))</f>
        <v>2</v>
      </c>
      <c r="EE79" s="1">
        <f t="shared" si="105"/>
        <v>1</v>
      </c>
      <c r="EF79" s="1">
        <f>IF(AND(OR(L79="END_TURN",AND(DH79="敌方",OR(DH78&lt;&gt;"敌方",DG79&lt;&gt;DG78))),SUMIFS($EF$3:EF78,$DG$3:DG78,DG79)=0),MIN(1,MAX(0,ED79-EE79)),0)</f>
        <v>0</v>
      </c>
      <c r="EG79" s="1">
        <f t="shared" si="106"/>
        <v>1</v>
      </c>
      <c r="EH79" s="11">
        <f>Boss参数!$B$53-IF(Y79=1,Boss参数!$B$54,0)</f>
        <v>0</v>
      </c>
      <c r="EI79" s="11">
        <f t="shared" si="107"/>
        <v>0.3</v>
      </c>
      <c r="EJ79" s="11">
        <f t="shared" si="108"/>
        <v>0.3</v>
      </c>
      <c r="EK79" s="11">
        <f t="shared" si="109"/>
        <v>1</v>
      </c>
      <c r="EL79" s="1">
        <f t="shared" si="136"/>
        <v>1</v>
      </c>
      <c r="EM79" s="1">
        <f>IF(AND(DG79&lt;&gt;DG78,DH79="洞穿"),0,IF(L79="ENTER_INSIGHT",Boss参数!$B$57,EO78))</f>
        <v>0</v>
      </c>
      <c r="EN79" s="11">
        <f>IF(AND(Y79=1,H79="洞知",EM79&gt;0),Boss参数!$B$56,0)</f>
        <v>0</v>
      </c>
      <c r="EO79" s="1">
        <f t="shared" si="110"/>
        <v>0</v>
      </c>
      <c r="EP79" s="12">
        <f t="shared" si="137"/>
        <v>13553629</v>
      </c>
      <c r="EQ79" s="12">
        <f>ROUNDDOWN(EP79/Boss参数!$B$62,0)</f>
        <v>135</v>
      </c>
      <c r="ER79" s="11">
        <f>IF(EQ79&gt;=Boss参数!$B$66,Boss参数!$B$69,IF(EQ79&gt;=Boss参数!$B$65,Boss参数!$B$68,IF(EQ79&gt;=Boss参数!$B$64,Boss参数!$B$67,0)))</f>
        <v>0.9</v>
      </c>
      <c r="ES79" s="11">
        <f>MIN(1,IF(EQ79&gt;=Boss参数!$B$66,Boss参数!$B$72+ROUNDDOWN((EQ79-Boss参数!$B$66)/Boss参数!$B$73,0)*Boss参数!$B$74,IF(EQ79&gt;=Boss参数!$B$65,Boss参数!$B$71,IF(EQ79&gt;=Boss参数!$B$64,Boss参数!$B$70,0))))</f>
        <v>0.6</v>
      </c>
      <c r="ET79" s="12">
        <f>MIN(Boss参数!$B$61*Boss参数!$B$62,EP79+IF(AND(Boss参数!$B$60=1,ISNUMBER(验证表!H85)),验证表!H85,EU79))</f>
        <v>13553629</v>
      </c>
      <c r="EU79" s="12">
        <f>IF(D79="",0,IF(验证表!G85="是",BV79,IF(验证表!G85="否",BU79,BW79)))</f>
        <v>0</v>
      </c>
      <c r="EV79" s="12">
        <f>IF(EQ79&gt;=Boss参数!$B$66,2,IF(EQ79&gt;=Boss参数!$B$65,1,0))</f>
        <v>2</v>
      </c>
      <c r="EW79" s="12">
        <f t="shared" si="111"/>
        <v>3</v>
      </c>
      <c r="EX79" s="1">
        <f>IF(D79="",0,INDEX(回合状态!$D$7:$D$17,MATCH(DG79,回合状态!$A$7:$A$17,0)))</f>
        <v>5</v>
      </c>
      <c r="EY79" s="1">
        <f>IF(OR(L79="RHI_ATTACK",L79="RHI_BUFF"),1,IF(L79="RHI_ULT",Boss参数!$B$52,0))</f>
        <v>1</v>
      </c>
      <c r="EZ79" s="1">
        <f>MIN(6,SUMIFS($EY$3:EY79,$EX$3:EX79,"&gt;="&amp;MAX(1,EX79-Boss参数!$B$87+1),$EX$3:EX79,"&lt;="&amp;EX79))</f>
        <v>6</v>
      </c>
      <c r="FA79" s="1">
        <f t="shared" si="138"/>
        <v>35</v>
      </c>
      <c r="FB79" s="17">
        <f>IF(L79="BOSS_CONSERVATIVE",B79+Boss参数!$B$91,FB78)</f>
        <v>0</v>
      </c>
      <c r="FC79" s="17">
        <f t="shared" si="139"/>
        <v>0</v>
      </c>
      <c r="FD79" s="17">
        <f>IF(D79="",FD78,FD78+IF(AND(DG79&lt;&gt;DG78,INDEX(回合状态!$C$7:$C$17,MATCH(DG79,回合状态!$A$7:$A$17,0))&lt;&gt;"洞穿"),1,0))</f>
        <v>6</v>
      </c>
      <c r="FE79" s="17">
        <f>IF(D79="",0,IF(AND(OR(L79="END_TURN",DH79="敌方"),INDEX(回合状态!$C$7:$C$17,MATCH(DG79,回合状态!$A$7:$A$17,0))&lt;&gt;"洞穿",SUMIFS($FE$3:FE78,$DG$3:DG78,DG79)=0),1,0))</f>
        <v>0</v>
      </c>
    </row>
    <row r="80" spans="1:161" ht="84.95" customHeight="1">
      <c r="A80" s="1">
        <f>行动模拟!A86</f>
        <v>78</v>
      </c>
      <c r="B80" s="1">
        <f>IF(D80="",0,INDEX(回合状态!$B$7:$B$17,MATCH(DG80,回合状态!$A$7:$A$17,0)))</f>
        <v>5</v>
      </c>
      <c r="C80" s="1">
        <f>行动模拟!C86</f>
        <v>2</v>
      </c>
      <c r="D80" s="1" t="str">
        <f>IF(行动模拟!D86="","",行动模拟!D86)</f>
        <v>红弩箭｜试试杀手锏</v>
      </c>
      <c r="E80" s="1" t="str">
        <f>IF($D80="","",IFERROR(INDEX(技能数据库!$B$4:$B$38,MATCH($D80,技能数据库!$A$4:$A$38,0)),""))</f>
        <v>红弩箭</v>
      </c>
      <c r="F80" s="1" t="str">
        <f>IF($D80="","",IFERROR(INDEX(技能数据库!$C$4:$C$38,MATCH($D80,技能数据库!$A$4:$A$38,0)),""))</f>
        <v>试试杀手锏</v>
      </c>
      <c r="G80" s="1">
        <f>IF($D80="","",IFERROR(INDEX(技能数据库!$D$4:$D$38,MATCH($D80,技能数据库!$A$4:$A$38,0)),""))</f>
        <v>0</v>
      </c>
      <c r="H80" s="1" t="str">
        <f>IF($D80="","",IFERROR(INDEX(技能数据库!$E$4:$E$38,MATCH($D80,技能数据库!$A$4:$A$38,0)),""))</f>
        <v>仪式</v>
      </c>
      <c r="I80" s="1" t="str">
        <f>IF($D80="","",IFERROR(INDEX(技能数据库!$F$4:$F$38,MATCH($D80,技能数据库!$A$4:$A$38,0)),""))</f>
        <v>现实</v>
      </c>
      <c r="J80" s="1">
        <f>IF($D80="","",IFERROR(INDEX(技能数据库!$G$4:$G$38,MATCH($D80,技能数据库!$A$4:$A$38,0)),""))</f>
        <v>18</v>
      </c>
      <c r="K80" s="1">
        <f>IF($D80="","",IFERROR(INDEX(技能数据库!$H$4:$H$38,MATCH($D80,技能数据库!$A$4:$A$38,0)),""))</f>
        <v>0</v>
      </c>
      <c r="L80" s="1" t="str">
        <f>IF($D80="","",IFERROR(INDEX(技能数据库!$I$4:$I$38,MATCH($D80,技能数据库!$A$4:$A$38,0)),""))</f>
        <v>LILYA_ULT</v>
      </c>
      <c r="M80" s="10">
        <v>1</v>
      </c>
      <c r="N80" s="1"/>
      <c r="O80" s="1"/>
      <c r="P80" s="1"/>
      <c r="Q80" s="10">
        <f t="shared" si="70"/>
        <v>0</v>
      </c>
      <c r="R80" s="10">
        <v>0</v>
      </c>
      <c r="S80" s="10">
        <v>0</v>
      </c>
      <c r="T80" s="1">
        <f>行动模拟!I86</f>
        <v>0</v>
      </c>
      <c r="U80" s="1">
        <f>IF(FD80&lt;&gt;FD79,IF(BY79=1,IF(MIN(10,CA79+IF(AND(DG80&lt;&gt;DG79,DH79&lt;&gt;"洞穿",SUMIFS($FE$3:FE79,$DG$3:DG79,DG79)=0,BY79=1),3,0))&gt;=10,2,1),IF(BY79=2,IF(BZ79&lt;=1,0,2),0)),BY79)</f>
        <v>1</v>
      </c>
      <c r="V80" s="1">
        <f>IF(FD80&lt;&gt;FD79,IF(BY79=1,IF(MIN(10,CA79+IF(AND(DG80&lt;&gt;DG79,DH79&lt;&gt;"洞穿",SUMIFS($FE$3:FE79,$DG$3:DG79,DG79)=0,BY79=1),3,0))&gt;=10,2,0),IF(BY79=2,MAX(0,BZ79-1),0)),BZ79)</f>
        <v>0</v>
      </c>
      <c r="W80" s="1">
        <f>IF(AND(FD80&lt;&gt;FD79,BY79=2,BZ79&lt;=1),0,MIN(10,CA79+IF(AND(DG80&lt;&gt;DG79,DH79&lt;&gt;"洞穿",SUMIFS($FE$3:FE79,$DG$3:DG79,DG79)=0,BY79=1),3,0)))</f>
        <v>8</v>
      </c>
      <c r="X80" s="1">
        <f t="shared" si="112"/>
        <v>12</v>
      </c>
      <c r="Y80" s="1">
        <f t="shared" si="113"/>
        <v>0</v>
      </c>
      <c r="Z80" s="1">
        <f t="shared" si="114"/>
        <v>0</v>
      </c>
      <c r="AA80" s="1">
        <f t="shared" si="115"/>
        <v>0</v>
      </c>
      <c r="AB80" s="1">
        <f t="shared" si="116"/>
        <v>2</v>
      </c>
      <c r="AC80" s="1">
        <f t="shared" si="117"/>
        <v>0</v>
      </c>
      <c r="AD80" s="1">
        <f t="shared" si="118"/>
        <v>35</v>
      </c>
      <c r="AE80" s="1">
        <f>IF(D80="",0,IF(DG80&lt;&gt;DG79,IFERROR(INDEX(回合状态!$F$7:$F$17,MATCH(DG80,回合状态!$A$7:$A$17,0)),0),CI79))</f>
        <v>15</v>
      </c>
      <c r="AF80" s="10">
        <f t="shared" si="119"/>
        <v>0.875</v>
      </c>
      <c r="AG80" s="1">
        <f t="shared" si="120"/>
        <v>6</v>
      </c>
      <c r="AH80" s="1">
        <f t="shared" si="121"/>
        <v>7</v>
      </c>
      <c r="AI80" s="1">
        <f t="shared" si="122"/>
        <v>6</v>
      </c>
      <c r="AJ80" s="1">
        <f t="shared" si="123"/>
        <v>7</v>
      </c>
      <c r="AK80" s="1">
        <f t="shared" si="124"/>
        <v>6</v>
      </c>
      <c r="AL80" s="1">
        <f t="shared" si="125"/>
        <v>3</v>
      </c>
      <c r="AM80" s="1">
        <f t="shared" si="126"/>
        <v>30</v>
      </c>
      <c r="AN80" s="1">
        <f t="shared" si="127"/>
        <v>6</v>
      </c>
      <c r="AO80" s="1">
        <f t="shared" si="128"/>
        <v>0</v>
      </c>
      <c r="AP80" s="10">
        <f t="shared" si="129"/>
        <v>0.12</v>
      </c>
      <c r="AQ80" s="1">
        <f t="shared" si="130"/>
        <v>6</v>
      </c>
      <c r="AR80" s="10">
        <f t="shared" si="131"/>
        <v>0.3</v>
      </c>
      <c r="AS80" s="1">
        <f t="shared" si="132"/>
        <v>6</v>
      </c>
      <c r="AT80" s="10">
        <f t="shared" si="133"/>
        <v>0.3</v>
      </c>
      <c r="AU80" s="1">
        <f t="shared" si="134"/>
        <v>7</v>
      </c>
      <c r="AV80" s="1">
        <f>MIN(5,SUMIFS($EL$3:EL80,$B$3:B80,"&gt;="&amp;MAX(1,B80-2),$B$3:B80,"&lt;="&amp;B80)+EC80)</f>
        <v>5</v>
      </c>
      <c r="AW80" s="1">
        <f>MIN(6,SUMIFS($EY$3:EY79,$EX$3:EX79,"&gt;="&amp;MAX(1,EX80-Boss参数!$B$87+1),$EX$3:EX79,"&lt;="&amp;EX80))</f>
        <v>6</v>
      </c>
      <c r="AX80" s="1">
        <f>MIN(4,COUNTIFS($B$3:$B$79,"&gt;="&amp;MAX(1,$B80-2),$B$3:$B$79,"&lt;="&amp;$B80,$L$3:$L$79,"37_FOLLOW"))</f>
        <v>4</v>
      </c>
      <c r="AY80" s="9">
        <f>IF($E80="","",IF($E80="系统",0,ROUNDDOWN(INDEX(角色面板!$C$4:$C$7,MATCH($E80,角色面板!$A$4:$A$7,0))*(1+INDEX(角色面板!$C$11:$C$14,MATCH($E80,角色面板!$A$11:$A$14,0))+IF($E80="小瑞安侬",MAX(IF($B80&lt;=$AQ80,$AP80,0),IF(AND($L80="RHI_ATTACK",$EE80&gt;0),0.11+0.01*$G80,0)),0)+IF($E80="J",$AD80*Boss参数!$B$18,0))+IF(FD80&lt;=$AN80,MIN(Boss参数!$B$21,ROUNDDOWN(角色面板!$C$19*Boss参数!$B$20,0)),0)+IF(AND($B80&lt;=$AK80,$E80&lt;&gt;"小瑞安侬"),$DY80,0),0)))</f>
        <v>3505</v>
      </c>
      <c r="AZ80" s="10">
        <f>IF($E80="","",MAX(0,MIN(1,IFERROR(INDEX(角色面板!$G$18:$G$21,MATCH($E80,角色面板!$A$18:$A$21,0)),0)-FC80*Boss参数!$B$89-Boss参数!$E$4)))</f>
        <v>1</v>
      </c>
      <c r="BA80" s="10">
        <f>IF(E80="","",(IF($E80="","",IF($E80="红弩箭",Boss参数!$B$80,IF($E80="J",Boss参数!$B$81,IFERROR(INDEX(角色面板!$H$18:$H$21,MATCH($E80,角色面板!$A$18:$A$21,0)),0)))+IF($B80&lt;=$AI80,Boss参数!$B$13,0)+MIN(30,$AM80)*Boss参数!$B$17+IF(AND($L80="LILYA_ULT",$X80&gt;=6),1,0)+IF(AND($Y80=1,$L80="LILYA_INSIGHT"),IF(MOD($AA80+1,3)=0,Boss参数!$B$83,Boss参数!$B$82),IF(AND($Y80=1,$L80="LILYA_FINISH"),Boss参数!$B$84,0))))-FC80*Boss参数!$B$90)</f>
        <v>3.3050000000000002</v>
      </c>
      <c r="BB80" s="10">
        <f>IF($E80="","",IFERROR(INDEX(角色面板!$M$18:$M$21,MATCH($E80,角色面板!$A$18:$A$21,0)),0)+$AW80*Boss参数!$B$12+IF($B80&lt;=$AG80,$AF80,0)+$EI80+IF($L80="LILYA_DIVE",IF($U80=1,IF($G80=1,0.3,IF($G80=2,0.4,0.5)),IF($U80=2,IF($G80=1,0.6,IF($G80=2,0.8,1)),0)),0)+$R80+IF(AND($E80="J",OR($L80="J_COUNTER",$L80="J_HARD")),Boss参数!$B$79,0)+IF(AND(OR(L80="J_COUNTER",L80="J_HARD"),FA80&gt;=Boss参数!$B$59),FA80*Boss参数!$B$40,0))</f>
        <v>1.5349999999999999</v>
      </c>
      <c r="BC80" s="10">
        <f>IF($E80="","",IFERROR(INDEX(角色面板!$K$18:$K$21,MATCH($E80,角色面板!$A$18:$A$21,0)),0)+IF($B80&lt;=$AH80,Boss参数!$B$46,0)+IF($E80="红弩箭",IF($U80=1,0.6,IF($U80=2,1.2,0))+$W80*0.06,0))-DI80*Boss参数!$B$23</f>
        <v>0.22999999999999998</v>
      </c>
      <c r="BD80" s="10">
        <f>IF($E80="","",IFERROR(INDEX(角色面板!$L$18:$L$21,MATCH($E80,角色面板!$A$18:$A$21,0)),0)+IF($B80&lt;=$AH80,Boss参数!$B$46,0)+IF($E80="J",$AL80*Boss参数!$B$16,0)+IF($E80="红弩箭",$X80*0.025,0)+IF(AND($L80="LILYA_ULT",$X80&gt;=6),1,0))-DI80*Boss参数!$B$23</f>
        <v>0.85000000000000009</v>
      </c>
      <c r="BE80" s="10">
        <f>IF($E80="","",IF($H80="洞知",IF($E80="红弩箭",$AO80*Boss参数!$B$15,0)+$AX80*Boss参数!$B$14,0))</f>
        <v>0</v>
      </c>
      <c r="BF80" s="10">
        <f t="shared" si="71"/>
        <v>0.2</v>
      </c>
      <c r="BG80" s="10">
        <f>IF($D80="",0,IF(AND($L80&lt;&gt;"LILYA_DIVE",$L80&lt;&gt;"LILYA_ULT",$L80&lt;&gt;"LILYA_INSIGHT",$L80&lt;&gt;"LILYA_FINISH",$L80&lt;&gt;"37_FOLLOW",$L80&lt;&gt;"RHI_ATTACK",$L80&lt;&gt;"RHI_BERRY",$L80&lt;&gt;"J_COUNTER",$L80&lt;&gt;"J_ULT"),$J80,0)+IF($L80="LILYA_DIVE",$J80+IF($U80=1,IF($G80=1,6,IF($G80=2,12,18)),IF($U80=2,IF($G80=1,12,IF($G80=2,24,36)),0)),0)+IF($L80="LILYA_ULT",$J80+IF($X80&gt;=6,18,0),0)+IF($L80="LILYA_INSIGHT",IF($Y80=1,IF(MOD($AA80+1,3)=0,32,15),0),0)+IF($L80="LILYA_FINISH",IF($Y80=1,50+2.5*$Z80,0),0)+IF($L80="37_FOLLOW",$J80,0)+IF($L80="RHI_ATTACK",$J80*IF($B80&lt;=$AJ80,2,1),0)+IF($L80="RHI_BERRY",15+1.5*$AV80,0)+IF($L80="J_COUNTER",$J80+$AD80*Boss参数!$B$39,0)+IF($L80="J_ULT",$J80+Boss参数!$B$45*MAX(0,$AE80+$AD80-Boss参数!$I$4),0)+$S80)</f>
        <v>36</v>
      </c>
      <c r="BH80" s="10">
        <f t="shared" si="72"/>
        <v>0</v>
      </c>
      <c r="BI80" s="10">
        <f>IF(E80="","",IF(DT80=1,1+Boss参数!$B$8+AV80*Boss参数!$B$19,1))</f>
        <v>1.5</v>
      </c>
      <c r="BJ80" s="9">
        <f>IF($I80="现实",Boss参数!$C$4,IF($I80="精神",Boss参数!$D$4,0))</f>
        <v>1200</v>
      </c>
      <c r="BK80" s="9">
        <f>IF($E80="","",MAX($AY80*Boss参数!$B$9,$AY80-$BJ80*(1-$BF80)))</f>
        <v>2545</v>
      </c>
      <c r="BL80" s="10">
        <f>MAX(0,Boss参数!$F$4+IF(DT80=0,Boss参数!$B$27,0)-EJ80)</f>
        <v>0.10000000000000003</v>
      </c>
      <c r="BM80" s="10">
        <f>Boss参数!$G$4+DU80-IF(Y80=1,Boss参数!$B$11,0)</f>
        <v>0.65</v>
      </c>
      <c r="BN80" s="10">
        <f>IF($E80="","",MAX(Boss参数!$B$10,1+IFERROR(INDEX(角色面板!$I$18:$I$21,MATCH($E80,角色面板!$A$18:$A$21,0)),0)+$BB80+Boss参数!$H$4-$BM80))</f>
        <v>1.9849999999999999</v>
      </c>
      <c r="BO80" s="10">
        <f>IF(E80="","",IF(OR(L80="J_COUNTER",L80="J_HARD"),MAX(0,1+INDEX(角色面板!$K$18:$K$21,MATCH(E80,角色面板!$A$18:$A$21,0))-DI80*Boss参数!$B$23+IF(OR(Boss参数!$B$43=1,L80="J_HARD"),IF(B80&lt;=AH80,Boss参数!$B$46,0),0)),MAX(0,IF(OR(H80="术法",L80="RHI_BERRY",AND(L80="37_FOLLOW",Boss参数!$B$31=1)),1+BC80,IF(H80="仪式",1+BD80,IF(H80="洞知",EK80,1))))))</f>
        <v>1.85</v>
      </c>
      <c r="BP80" s="10">
        <f t="shared" si="73"/>
        <v>3.2050000000000001</v>
      </c>
      <c r="BQ80" s="1">
        <f t="shared" si="74"/>
        <v>504677.3175</v>
      </c>
      <c r="BR80" s="1">
        <f t="shared" si="75"/>
        <v>1617490.8025875001</v>
      </c>
      <c r="BS80" s="1">
        <f>IF(BH80=0,0,ROUNDDOWN(AY80*BH80,0)*DV80*IF(Boss参数!$B$29=1,BN80,1)*IF(Boss参数!$B$33=1,BO80,1)*IF(Boss参数!$B$76=1,1-ES80,1))</f>
        <v>0</v>
      </c>
      <c r="BT80" s="1">
        <f t="shared" si="76"/>
        <v>0</v>
      </c>
      <c r="BU80" s="9">
        <f>IF(D80="",0,MIN(IF(Boss参数!$B$77=1,Boss参数!$B$63*Boss参数!$B$62,Boss参数!$B$61*Boss参数!$B$62),DW80+ROUNDDOWN(BS80,0)+ROUNDDOWN(DW80*Q80,0)))</f>
        <v>201870</v>
      </c>
      <c r="BV80" s="9">
        <f>IF(D80="",0,MIN(IF(Boss参数!$B$77=1,Boss参数!$B$63*Boss参数!$B$62,Boss参数!$B$61*Boss参数!$B$62),DX80+ROUNDDOWN(BT80,0)+ROUNDDOWN(DX80*Q80,0)))</f>
        <v>646996</v>
      </c>
      <c r="BW80" s="9">
        <f t="shared" si="77"/>
        <v>646996</v>
      </c>
      <c r="BX80" s="1" t="str">
        <f t="shared" si="78"/>
        <v/>
      </c>
      <c r="BY80" s="1">
        <f t="shared" si="79"/>
        <v>1</v>
      </c>
      <c r="BZ80" s="1">
        <f t="shared" si="80"/>
        <v>0</v>
      </c>
      <c r="CA80" s="1">
        <f>MIN(10,W80+IF(AND(L80="LILYA_COBRA",COUNTIF($L$3:L80,"LILYA_COBRA")=1),5,0)+IF(AND(L80="LILYA_DIVE",U80=1,COUNTIFS($DG$3:DG80,DG80,$L$3:L80,"LILYA_DIVE")=1),2,0)+IF(AND(FE80=1,U80=1),3,0))</f>
        <v>8</v>
      </c>
      <c r="CB80" s="1">
        <f>MIN(20,MAX(0,X80+IF(L80="LILYA_COBRA",IF(COUNTIF($L$3:L80,"LILYA_COBRA")=1,6,IF(U80=1,MAX(1,G80),IF(U80=2,2*MAX(1,G80),0))),0)+IF(AND(Y80=1,E80="红弩箭",L80&lt;&gt;"ENTER_INSIGHT"),1,0)-IF(AND(L80="LILYA_ULT",X80&gt;=6),6,0)))</f>
        <v>6</v>
      </c>
      <c r="CC80" s="1">
        <f t="shared" si="81"/>
        <v>0</v>
      </c>
      <c r="CD80" s="1">
        <f t="shared" si="82"/>
        <v>0</v>
      </c>
      <c r="CE80" s="1">
        <f t="shared" si="83"/>
        <v>0</v>
      </c>
      <c r="CF80" s="1">
        <f t="shared" si="84"/>
        <v>3</v>
      </c>
      <c r="CG80" s="1">
        <f t="shared" si="85"/>
        <v>0</v>
      </c>
      <c r="CH80" s="1">
        <f>MIN(35,AD80+IF(L80="J_HARD",6,0)+IF(L80="J_COUNTER",Boss参数!$B$30,0))</f>
        <v>35</v>
      </c>
      <c r="CI80" s="1">
        <f>MIN(Boss参数!$I$4,AE80+IF(L80="J_HARD",6,0)+IF(L80="J_ULT",AD80,0)+IF(L80="J_COUNTER",Boss参数!$B$30,0))</f>
        <v>15</v>
      </c>
      <c r="CJ80" s="10">
        <f>IF(L80="J_ULT",AD80*Boss参数!$B$41,IF(B80&lt;=AG80,AF80,0))</f>
        <v>0.875</v>
      </c>
      <c r="CK80" s="1">
        <f t="shared" si="86"/>
        <v>6</v>
      </c>
      <c r="CL80" s="1">
        <f t="shared" si="87"/>
        <v>7</v>
      </c>
      <c r="CM80" s="1">
        <f t="shared" si="88"/>
        <v>6</v>
      </c>
      <c r="CN80" s="1">
        <f t="shared" si="89"/>
        <v>7</v>
      </c>
      <c r="CO80" s="1">
        <f t="shared" si="90"/>
        <v>6</v>
      </c>
      <c r="CP80" s="1">
        <f t="shared" si="91"/>
        <v>3</v>
      </c>
      <c r="CQ80" s="1">
        <f t="shared" si="92"/>
        <v>30</v>
      </c>
      <c r="CR80" s="1">
        <f t="shared" si="93"/>
        <v>6</v>
      </c>
      <c r="CS80" s="1">
        <f t="shared" si="94"/>
        <v>0</v>
      </c>
      <c r="CT80" s="10">
        <f t="shared" si="95"/>
        <v>0.12</v>
      </c>
      <c r="CU80" s="1">
        <f t="shared" si="96"/>
        <v>6</v>
      </c>
      <c r="CV80" s="10">
        <f t="shared" si="97"/>
        <v>0.3</v>
      </c>
      <c r="CW80" s="1">
        <f t="shared" si="98"/>
        <v>6</v>
      </c>
      <c r="CX80" s="10">
        <f t="shared" si="99"/>
        <v>0.3</v>
      </c>
      <c r="CY80" s="1">
        <f t="shared" si="100"/>
        <v>7</v>
      </c>
      <c r="CZ80" s="1"/>
      <c r="DA80" s="1"/>
      <c r="DB80" s="1"/>
      <c r="DC80" s="1"/>
      <c r="DD80" s="1"/>
      <c r="DE80" s="1"/>
      <c r="DF80" s="1"/>
      <c r="DG80" s="1">
        <f>IF(D80="","",行动模拟!B86)</f>
        <v>5</v>
      </c>
      <c r="DH80" s="1" t="str">
        <f>IF(L80="END_TURN","回合结束",IF(D80="","",IF(INDEX(回合状态!$C$7:$C$17,MATCH(DG80,回合状态!$A$7:$A$17,0))="洞穿","洞穿",IF(OR(L80="J_COUNTER",L80="BOSS_ACTION",L80="BOSS_CONSERVATIVE"),"敌方",IF(AND(L80="37_FOLLOW",DG80=DG79,DH79="敌方"),"敌方",IF(INDEX(回合状态!$C$7:$C$17,MATCH(DG80,回合状态!$A$7:$A$17,0))="普通","出牌",INDEX(回合状态!$C$7:$C$17,MATCH(DG80,回合状态!$A$7:$A$17,0))))))))</f>
        <v>出牌</v>
      </c>
      <c r="DI80" s="1">
        <f t="shared" si="101"/>
        <v>5</v>
      </c>
      <c r="DJ80" s="1">
        <f>IF(D80="",0,MIN(Boss参数!$B$25,IF(OR(AND(DH80="敌方",OR(DH79&lt;&gt;"敌方",DG80&lt;&gt;DG79)),AND(L80="END_TURN",DH80&lt;&gt;"洞穿"),AND(DG80&lt;&gt;DG79,DH79&lt;&gt;"洞穿",L79&lt;&gt;"END_TURN",COUNTIFS($DG$3:DG79,DG79,$DH$3:DH79,"敌方")=0)),EW80,DN79)))</f>
        <v>5</v>
      </c>
      <c r="DK80" s="1">
        <f>IF(D80="",0,MIN(Boss参数!$B$25,IF(OR(AND(DH80="敌方",OR(DH79&lt;&gt;"敌方",DG80&lt;&gt;DG79)),AND(L80="END_TURN",DH80&lt;&gt;"洞穿"),AND(DG80&lt;&gt;DG79,DH79&lt;&gt;"洞穿",L79&lt;&gt;"END_TURN",COUNTIFS($DG$3:DG79,DG79,$DH$3:DH79,"敌方")=0)),EW80,DO79)))</f>
        <v>4</v>
      </c>
      <c r="DL80" s="1">
        <f>IF(D80="",0,MIN(Boss参数!$B$25,IF(OR(AND(DH80="敌方",OR(DH79&lt;&gt;"敌方",DG80&lt;&gt;DG79)),AND(L80="END_TURN",DH80&lt;&gt;"洞穿"),AND(DG80&lt;&gt;DG79,DH79&lt;&gt;"洞穿",L79&lt;&gt;"END_TURN",COUNTIFS($DG$3:DG79,DG79,$DH$3:DH79,"敌方")=0)),EW80,DP79)))</f>
        <v>5</v>
      </c>
      <c r="DM80" s="1">
        <f>IF(D80="",0,MIN(Boss参数!$B$25,IF(OR(AND(DH80="敌方",OR(DH79&lt;&gt;"敌方",DG80&lt;&gt;DG79)),AND(L80="END_TURN",DH80&lt;&gt;"洞穿"),AND(DG80&lt;&gt;DG79,DH79&lt;&gt;"洞穿",L79&lt;&gt;"END_TURN",COUNTIFS($DG$3:DG79,DG79,$DH$3:DH79,"敌方")=0)),EW80,DQ79)))</f>
        <v>0</v>
      </c>
      <c r="DN80" s="1">
        <f>MAX(0,MIN(Boss参数!$B$25,DJ80+DR80)-IF(E80="红弩箭",2*DR80,0))</f>
        <v>3</v>
      </c>
      <c r="DO80" s="1">
        <f>MAX(0,MIN(Boss参数!$B$25,DK80+DR80)-IF(E80="37",2*DR80,0))</f>
        <v>5</v>
      </c>
      <c r="DP80" s="1">
        <f>MAX(0,MIN(Boss参数!$B$25,DL80+DR80)-IF(E80="小瑞安侬",2*DR80,0))</f>
        <v>5</v>
      </c>
      <c r="DQ80" s="1">
        <f>MAX(0,MIN(Boss参数!$B$25,DM80+DR80)-IF(E80="J",2*DR80,0))</f>
        <v>1</v>
      </c>
      <c r="DR80" s="1">
        <f t="shared" si="102"/>
        <v>1</v>
      </c>
      <c r="DS80" s="1">
        <f t="shared" si="103"/>
        <v>1</v>
      </c>
      <c r="DT80" s="1">
        <f>IF(OR(E80="",E80="系统"),0,IF(OR(AND(DS80=1,Boss参数!$B$32=1),L80="RHI_BERRY",OR(AND(INDEX(角色面板!$B$18:$B$21,MATCH(E80,角色面板!$A$18:$A$21,0))="星",Boss参数!$B$4="岩"),AND(INDEX(角色面板!$B$18:$B$21,MATCH(E80,角色面板!$A$18:$A$21,0))="岩",Boss参数!$B$4="兽"),AND(INDEX(角色面板!$B$18:$B$21,MATCH(E80,角色面板!$A$18:$A$21,0))="兽",Boss参数!$B$4="木"),AND(INDEX(角色面板!$B$18:$B$21,MATCH(E80,角色面板!$A$18:$A$21,0))="木",Boss参数!$B$4="星"),AND(INDEX(角色面板!$B$18:$B$21,MATCH(E80,角色面板!$A$18:$A$21,0))="智",Boss参数!$B$4="灵"),AND(INDEX(角色面板!$B$18:$B$21,MATCH(E80,角色面板!$A$18:$A$21,0))="灵",Boss参数!$B$4="智"))),1,0))</f>
        <v>1</v>
      </c>
      <c r="DU80" s="1">
        <f>IF(D80="",0,INDEX(回合状态!$E$7:$E$17,MATCH(DG80,回合状态!$A$7:$A$17,0))+IF(AND(DH80="敌方",OR(INDEX(回合状态!$C$7:$C$17,MATCH(DG80,回合状态!$A$7:$A$17,0))="普通",INDEX(回合状态!$C$7:$C$17,MATCH(DG80,回合状态!$A$7:$A$17,0))="额外")),0.05,0))</f>
        <v>0.25</v>
      </c>
      <c r="DV80" s="1">
        <f>MAX(Boss参数!$B$28,1+IF(AND(E80="37",AC80&gt;0,BH80&gt;0),Boss参数!$B$42,0)-DI80*Boss参数!$B$24+EA80-ER80)</f>
        <v>0</v>
      </c>
      <c r="DW80" s="1">
        <f>MIN(IF(Boss参数!$B$77=1,Boss参数!$B$63*Boss参数!$B$62,Boss参数!$B$61*Boss参数!$B$62),ROUNDDOWN(BQ80*(1-ES80),0))</f>
        <v>201870</v>
      </c>
      <c r="DX80" s="1">
        <f>MIN(IF(Boss参数!$B$77=1,Boss参数!$B$63*Boss参数!$B$62,Boss参数!$B$61*Boss参数!$B$62),ROUNDDOWN(BR80*(1-ES80),0))</f>
        <v>646996</v>
      </c>
      <c r="DY80" s="1">
        <f t="shared" si="135"/>
        <v>250</v>
      </c>
      <c r="DZ80" s="1">
        <f>IF(L80="RHI_ULT",MIN(Boss参数!$B$48,ROUNDDOWN(AY80*Boss参数!$B$47,0)),DY80)</f>
        <v>250</v>
      </c>
      <c r="EA80" s="11">
        <v>0</v>
      </c>
      <c r="EB80" s="1">
        <f t="shared" si="104"/>
        <v>0</v>
      </c>
      <c r="EC80" s="1">
        <f>SUMIFS($EB$3:EB80,$B$3:B80,"&gt;="&amp;MAX(1,B80-2),$B$3:B80,"&lt;="&amp;B80)*Boss参数!$B$51</f>
        <v>16</v>
      </c>
      <c r="ED80" s="1">
        <f>IF(D80="",EG79,IF(AND(DG80&lt;&gt;DG79,DH80&lt;&gt;"洞穿"),MIN(Boss参数!$B$55,EG79+2),EG79))</f>
        <v>1</v>
      </c>
      <c r="EE80" s="1">
        <f t="shared" si="105"/>
        <v>0</v>
      </c>
      <c r="EF80" s="1">
        <f>IF(AND(OR(L80="END_TURN",AND(DH80="敌方",OR(DH79&lt;&gt;"敌方",DG80&lt;&gt;DG79))),SUMIFS($EF$3:EF79,$DG$3:DG79,DG80)=0),MIN(1,MAX(0,ED80-EE80)),0)</f>
        <v>0</v>
      </c>
      <c r="EG80" s="1">
        <f t="shared" si="106"/>
        <v>1</v>
      </c>
      <c r="EH80" s="11">
        <f>Boss参数!$B$53-IF(Y80=1,Boss参数!$B$54,0)</f>
        <v>0</v>
      </c>
      <c r="EI80" s="11">
        <f t="shared" si="107"/>
        <v>0.3</v>
      </c>
      <c r="EJ80" s="11">
        <f t="shared" si="108"/>
        <v>0.3</v>
      </c>
      <c r="EK80" s="11">
        <f t="shared" si="109"/>
        <v>1</v>
      </c>
      <c r="EL80" s="1">
        <f t="shared" si="136"/>
        <v>0</v>
      </c>
      <c r="EM80" s="1">
        <f>IF(AND(DG80&lt;&gt;DG79,DH80="洞穿"),0,IF(L80="ENTER_INSIGHT",Boss参数!$B$57,EO79))</f>
        <v>0</v>
      </c>
      <c r="EN80" s="11">
        <f>IF(AND(Y80=1,H80="洞知",EM80&gt;0),Boss参数!$B$56,0)</f>
        <v>0</v>
      </c>
      <c r="EO80" s="1">
        <f t="shared" si="110"/>
        <v>0</v>
      </c>
      <c r="EP80" s="12">
        <f t="shared" si="137"/>
        <v>13553629</v>
      </c>
      <c r="EQ80" s="12">
        <f>ROUNDDOWN(EP80/Boss参数!$B$62,0)</f>
        <v>135</v>
      </c>
      <c r="ER80" s="11">
        <f>IF(EQ80&gt;=Boss参数!$B$66,Boss参数!$B$69,IF(EQ80&gt;=Boss参数!$B$65,Boss参数!$B$68,IF(EQ80&gt;=Boss参数!$B$64,Boss参数!$B$67,0)))</f>
        <v>0.9</v>
      </c>
      <c r="ES80" s="11">
        <f>MIN(1,IF(EQ80&gt;=Boss参数!$B$66,Boss参数!$B$72+ROUNDDOWN((EQ80-Boss参数!$B$66)/Boss参数!$B$73,0)*Boss参数!$B$74,IF(EQ80&gt;=Boss参数!$B$65,Boss参数!$B$71,IF(EQ80&gt;=Boss参数!$B$64,Boss参数!$B$70,0))))</f>
        <v>0.6</v>
      </c>
      <c r="ET80" s="12">
        <f>MIN(Boss参数!$B$61*Boss参数!$B$62,EP80+IF(AND(Boss参数!$B$60=1,ISNUMBER(验证表!H86)),验证表!H86,EU80))</f>
        <v>14200625</v>
      </c>
      <c r="EU80" s="12">
        <f>IF(D80="",0,IF(验证表!G86="是",BV80,IF(验证表!G86="否",BU80,BW80)))</f>
        <v>646996</v>
      </c>
      <c r="EV80" s="12">
        <f>IF(EQ80&gt;=Boss参数!$B$66,2,IF(EQ80&gt;=Boss参数!$B$65,1,0))</f>
        <v>2</v>
      </c>
      <c r="EW80" s="12">
        <f t="shared" si="111"/>
        <v>3</v>
      </c>
      <c r="EX80" s="1">
        <f>IF(D80="",0,INDEX(回合状态!$D$7:$D$17,MATCH(DG80,回合状态!$A$7:$A$17,0)))</f>
        <v>5</v>
      </c>
      <c r="EY80" s="1">
        <f>IF(OR(L80="RHI_ATTACK",L80="RHI_BUFF"),1,IF(L80="RHI_ULT",Boss参数!$B$52,0))</f>
        <v>0</v>
      </c>
      <c r="EZ80" s="1">
        <f>MIN(6,SUMIFS($EY$3:EY80,$EX$3:EX80,"&gt;="&amp;MAX(1,EX80-Boss参数!$B$87+1),$EX$3:EX80,"&lt;="&amp;EX80))</f>
        <v>6</v>
      </c>
      <c r="FA80" s="1">
        <f t="shared" si="138"/>
        <v>35</v>
      </c>
      <c r="FB80" s="17">
        <f>IF(L80="BOSS_CONSERVATIVE",B80+Boss参数!$B$91,FB79)</f>
        <v>0</v>
      </c>
      <c r="FC80" s="17">
        <f t="shared" si="139"/>
        <v>0</v>
      </c>
      <c r="FD80" s="17">
        <f>IF(D80="",FD79,FD79+IF(AND(DG80&lt;&gt;DG79,INDEX(回合状态!$C$7:$C$17,MATCH(DG80,回合状态!$A$7:$A$17,0))&lt;&gt;"洞穿"),1,0))</f>
        <v>6</v>
      </c>
      <c r="FE80" s="17">
        <f>IF(D80="",0,IF(AND(OR(L80="END_TURN",DH80="敌方"),INDEX(回合状态!$C$7:$C$17,MATCH(DG80,回合状态!$A$7:$A$17,0))&lt;&gt;"洞穿",SUMIFS($FE$3:FE79,$DG$3:DG79,DG80)=0),1,0))</f>
        <v>0</v>
      </c>
    </row>
    <row r="81" spans="1:161" ht="84.95" customHeight="1">
      <c r="A81" s="1">
        <f>行动模拟!A87</f>
        <v>79</v>
      </c>
      <c r="B81" s="1">
        <f>IF(D81="",0,INDEX(回合状态!$B$7:$B$17,MATCH(DG81,回合状态!$A$7:$A$17,0)))</f>
        <v>5</v>
      </c>
      <c r="C81" s="1">
        <f>行动模拟!C87</f>
        <v>3</v>
      </c>
      <c r="D81" s="1" t="str">
        <f>IF(行动模拟!D87="","",行动模拟!D87)</f>
        <v>37｜曲线映射Ⅰ</v>
      </c>
      <c r="E81" s="1" t="str">
        <f>IF($D81="","",IFERROR(INDEX(技能数据库!$B$4:$B$38,MATCH($D81,技能数据库!$A$4:$A$38,0)),""))</f>
        <v>37</v>
      </c>
      <c r="F81" s="1" t="str">
        <f>IF($D81="","",IFERROR(INDEX(技能数据库!$C$4:$C$38,MATCH($D81,技能数据库!$A$4:$A$38,0)),""))</f>
        <v>曲线映射</v>
      </c>
      <c r="G81" s="1">
        <f>IF($D81="","",IFERROR(INDEX(技能数据库!$D$4:$D$38,MATCH($D81,技能数据库!$A$4:$A$38,0)),""))</f>
        <v>1</v>
      </c>
      <c r="H81" s="1" t="str">
        <f>IF($D81="","",IFERROR(INDEX(技能数据库!$E$4:$E$38,MATCH($D81,技能数据库!$A$4:$A$38,0)),""))</f>
        <v>术法</v>
      </c>
      <c r="I81" s="1" t="str">
        <f>IF($D81="","",IFERROR(INDEX(技能数据库!$F$4:$F$38,MATCH($D81,技能数据库!$A$4:$A$38,0)),""))</f>
        <v>精神</v>
      </c>
      <c r="J81" s="1">
        <f>IF($D81="","",IFERROR(INDEX(技能数据库!$G$4:$G$38,MATCH($D81,技能数据库!$A$4:$A$38,0)),""))</f>
        <v>1.4</v>
      </c>
      <c r="K81" s="1">
        <f>IF($D81="","",IFERROR(INDEX(技能数据库!$H$4:$H$38,MATCH($D81,技能数据库!$A$4:$A$38,0)),""))</f>
        <v>0.8</v>
      </c>
      <c r="L81" s="1" t="str">
        <f>IF($D81="","",IFERROR(INDEX(技能数据库!$I$4:$I$38,MATCH($D81,技能数据库!$A$4:$A$38,0)),""))</f>
        <v>37_CURVE</v>
      </c>
      <c r="M81" s="10">
        <v>1</v>
      </c>
      <c r="N81" s="1"/>
      <c r="O81" s="1"/>
      <c r="P81" s="1"/>
      <c r="Q81" s="10">
        <f t="shared" si="70"/>
        <v>0</v>
      </c>
      <c r="R81" s="10">
        <v>0</v>
      </c>
      <c r="S81" s="10">
        <v>0</v>
      </c>
      <c r="T81" s="1">
        <f>行动模拟!I87</f>
        <v>0</v>
      </c>
      <c r="U81" s="1">
        <f>IF(FD81&lt;&gt;FD80,IF(BY80=1,IF(MIN(10,CA80+IF(AND(DG81&lt;&gt;DG80,DH80&lt;&gt;"洞穿",SUMIFS($FE$3:FE80,$DG$3:DG80,DG80)=0,BY80=1),3,0))&gt;=10,2,1),IF(BY80=2,IF(BZ80&lt;=1,0,2),0)),BY80)</f>
        <v>1</v>
      </c>
      <c r="V81" s="1">
        <f>IF(FD81&lt;&gt;FD80,IF(BY80=1,IF(MIN(10,CA80+IF(AND(DG81&lt;&gt;DG80,DH80&lt;&gt;"洞穿",SUMIFS($FE$3:FE80,$DG$3:DG80,DG80)=0,BY80=1),3,0))&gt;=10,2,0),IF(BY80=2,MAX(0,BZ80-1),0)),BZ80)</f>
        <v>0</v>
      </c>
      <c r="W81" s="1">
        <f>IF(AND(FD81&lt;&gt;FD80,BY80=2,BZ80&lt;=1),0,MIN(10,CA80+IF(AND(DG81&lt;&gt;DG80,DH80&lt;&gt;"洞穿",SUMIFS($FE$3:FE80,$DG$3:DG80,DG80)=0,BY80=1),3,0)))</f>
        <v>8</v>
      </c>
      <c r="X81" s="1">
        <f t="shared" si="112"/>
        <v>6</v>
      </c>
      <c r="Y81" s="1">
        <f t="shared" si="113"/>
        <v>0</v>
      </c>
      <c r="Z81" s="1">
        <f t="shared" si="114"/>
        <v>0</v>
      </c>
      <c r="AA81" s="1">
        <f t="shared" si="115"/>
        <v>0</v>
      </c>
      <c r="AB81" s="1">
        <f t="shared" si="116"/>
        <v>3</v>
      </c>
      <c r="AC81" s="1">
        <f t="shared" si="117"/>
        <v>0</v>
      </c>
      <c r="AD81" s="1">
        <f t="shared" si="118"/>
        <v>35</v>
      </c>
      <c r="AE81" s="1">
        <f>IF(D81="",0,IF(DG81&lt;&gt;DG80,IFERROR(INDEX(回合状态!$F$7:$F$17,MATCH(DG81,回合状态!$A$7:$A$17,0)),0),CI80))</f>
        <v>15</v>
      </c>
      <c r="AF81" s="10">
        <f t="shared" si="119"/>
        <v>0.875</v>
      </c>
      <c r="AG81" s="1">
        <f t="shared" si="120"/>
        <v>6</v>
      </c>
      <c r="AH81" s="1">
        <f t="shared" si="121"/>
        <v>7</v>
      </c>
      <c r="AI81" s="1">
        <f t="shared" si="122"/>
        <v>6</v>
      </c>
      <c r="AJ81" s="1">
        <f t="shared" si="123"/>
        <v>7</v>
      </c>
      <c r="AK81" s="1">
        <f t="shared" si="124"/>
        <v>6</v>
      </c>
      <c r="AL81" s="1">
        <f t="shared" si="125"/>
        <v>3</v>
      </c>
      <c r="AM81" s="1">
        <f t="shared" si="126"/>
        <v>30</v>
      </c>
      <c r="AN81" s="1">
        <f t="shared" si="127"/>
        <v>6</v>
      </c>
      <c r="AO81" s="1">
        <f t="shared" si="128"/>
        <v>0</v>
      </c>
      <c r="AP81" s="10">
        <f t="shared" si="129"/>
        <v>0.12</v>
      </c>
      <c r="AQ81" s="1">
        <f t="shared" si="130"/>
        <v>6</v>
      </c>
      <c r="AR81" s="10">
        <f t="shared" si="131"/>
        <v>0.3</v>
      </c>
      <c r="AS81" s="1">
        <f t="shared" si="132"/>
        <v>6</v>
      </c>
      <c r="AT81" s="10">
        <f t="shared" si="133"/>
        <v>0.3</v>
      </c>
      <c r="AU81" s="1">
        <f t="shared" si="134"/>
        <v>7</v>
      </c>
      <c r="AV81" s="1">
        <f>MIN(5,SUMIFS($EL$3:EL81,$B$3:B81,"&gt;="&amp;MAX(1,B81-2),$B$3:B81,"&lt;="&amp;B81)+EC81)</f>
        <v>5</v>
      </c>
      <c r="AW81" s="1">
        <f>MIN(6,SUMIFS($EY$3:EY80,$EX$3:EX80,"&gt;="&amp;MAX(1,EX81-Boss参数!$B$87+1),$EX$3:EX80,"&lt;="&amp;EX81))</f>
        <v>6</v>
      </c>
      <c r="AX81" s="1">
        <f>MIN(4,COUNTIFS($B$3:$B$80,"&gt;="&amp;MAX(1,$B81-2),$B$3:$B$80,"&lt;="&amp;$B81,$L$3:$L$80,"37_FOLLOW"))</f>
        <v>4</v>
      </c>
      <c r="AY81" s="9">
        <f>IF($E81="","",IF($E81="系统",0,ROUNDDOWN(INDEX(角色面板!$C$4:$C$7,MATCH($E81,角色面板!$A$4:$A$7,0))*(1+INDEX(角色面板!$C$11:$C$14,MATCH($E81,角色面板!$A$11:$A$14,0))+IF($E81="小瑞安侬",MAX(IF($B81&lt;=$AQ81,$AP81,0),IF(AND($L81="RHI_ATTACK",$EE81&gt;0),0.11+0.01*$G81,0)),0)+IF($E81="J",$AD81*Boss参数!$B$18,0))+IF(FD81&lt;=$AN81,MIN(Boss参数!$B$21,ROUNDDOWN(角色面板!$C$19*Boss参数!$B$20,0)),0)+IF(AND($B81&lt;=$AK81,$E81&lt;&gt;"小瑞安侬"),$DY81,0),0)))</f>
        <v>3517</v>
      </c>
      <c r="AZ81" s="10">
        <f>IF($E81="","",MAX(0,MIN(1,IFERROR(INDEX(角色面板!$G$18:$G$21,MATCH($E81,角色面板!$A$18:$A$21,0)),0)-FC81*Boss参数!$B$89-Boss参数!$E$4)))</f>
        <v>0.76</v>
      </c>
      <c r="BA81" s="10">
        <f>IF(E81="","",(IF($E81="","",IF($E81="红弩箭",Boss参数!$B$80,IF($E81="J",Boss参数!$B$81,IFERROR(INDEX(角色面板!$H$18:$H$21,MATCH($E81,角色面板!$A$18:$A$21,0)),0)))+IF($B81&lt;=$AI81,Boss参数!$B$13,0)+MIN(30,$AM81)*Boss参数!$B$17+IF(AND($L81="LILYA_ULT",$X81&gt;=6),1,0)+IF(AND($Y81=1,$L81="LILYA_INSIGHT"),IF(MOD($AA81+1,3)=0,Boss参数!$B$83,Boss参数!$B$82),IF(AND($Y81=1,$L81="LILYA_FINISH"),Boss参数!$B$84,0))))-FC81*Boss参数!$B$90)</f>
        <v>2.4780000000000002</v>
      </c>
      <c r="BB81" s="10">
        <f>IF($E81="","",IFERROR(INDEX(角色面板!$M$18:$M$21,MATCH($E81,角色面板!$A$18:$A$21,0)),0)+$AW81*Boss参数!$B$12+IF($B81&lt;=$AG81,$AF81,0)+$EI81+IF($L81="LILYA_DIVE",IF($U81=1,IF($G81=1,0.3,IF($G81=2,0.4,0.5)),IF($U81=2,IF($G81=1,0.6,IF($G81=2,0.8,1)),0)),0)+$R81+IF(AND($E81="J",OR($L81="J_COUNTER",$L81="J_HARD")),Boss参数!$B$79,0)+IF(AND(OR(L81="J_COUNTER",L81="J_HARD"),FA81&gt;=Boss参数!$B$59),FA81*Boss参数!$B$40,0))</f>
        <v>1.2949999999999999</v>
      </c>
      <c r="BC81" s="10">
        <f>IF($E81="","",IFERROR(INDEX(角色面板!$K$18:$K$21,MATCH($E81,角色面板!$A$18:$A$21,0)),0)+IF($B81&lt;=$AH81,Boss参数!$B$46,0)+IF($E81="红弩箭",IF($U81=1,0.6,IF($U81=2,1.2,0))+$W81*0.06,0))-DI81*Boss参数!$B$23</f>
        <v>-0.85000000000000009</v>
      </c>
      <c r="BD81" s="10">
        <f>IF($E81="","",IFERROR(INDEX(角色面板!$L$18:$L$21,MATCH($E81,角色面板!$A$18:$A$21,0)),0)+IF($B81&lt;=$AH81,Boss参数!$B$46,0)+IF($E81="J",$AL81*Boss参数!$B$16,0)+IF($E81="红弩箭",$X81*0.025,0)+IF(AND($L81="LILYA_ULT",$X81&gt;=6),1,0))-DI81*Boss参数!$B$23</f>
        <v>-0.45</v>
      </c>
      <c r="BE81" s="10">
        <f>IF($E81="","",IF($H81="洞知",IF($E81="红弩箭",$AO81*Boss参数!$B$15,0)+$AX81*Boss参数!$B$14,0))</f>
        <v>0</v>
      </c>
      <c r="BF81" s="10">
        <f t="shared" si="71"/>
        <v>0</v>
      </c>
      <c r="BG81" s="10">
        <f>IF($D81="",0,IF(AND($L81&lt;&gt;"LILYA_DIVE",$L81&lt;&gt;"LILYA_ULT",$L81&lt;&gt;"LILYA_INSIGHT",$L81&lt;&gt;"LILYA_FINISH",$L81&lt;&gt;"37_FOLLOW",$L81&lt;&gt;"RHI_ATTACK",$L81&lt;&gt;"RHI_BERRY",$L81&lt;&gt;"J_COUNTER",$L81&lt;&gt;"J_ULT"),$J81,0)+IF($L81="LILYA_DIVE",$J81+IF($U81=1,IF($G81=1,6,IF($G81=2,12,18)),IF($U81=2,IF($G81=1,12,IF($G81=2,24,36)),0)),0)+IF($L81="LILYA_ULT",$J81+IF($X81&gt;=6,18,0),0)+IF($L81="LILYA_INSIGHT",IF($Y81=1,IF(MOD($AA81+1,3)=0,32,15),0),0)+IF($L81="LILYA_FINISH",IF($Y81=1,50+2.5*$Z81,0),0)+IF($L81="37_FOLLOW",$J81,0)+IF($L81="RHI_ATTACK",$J81*IF($B81&lt;=$AJ81,2,1),0)+IF($L81="RHI_BERRY",15+1.5*$AV81,0)+IF($L81="J_COUNTER",$J81+$AD81*Boss参数!$B$39,0)+IF($L81="J_ULT",$J81+Boss参数!$B$45*MAX(0,$AE81+$AD81-Boss参数!$I$4),0)+$S81)</f>
        <v>1.4</v>
      </c>
      <c r="BH81" s="10">
        <f t="shared" si="72"/>
        <v>0.8</v>
      </c>
      <c r="BI81" s="10">
        <f>IF(E81="","",IF(DT81=1,1+Boss参数!$B$8+AV81*Boss参数!$B$19,1))</f>
        <v>1.5</v>
      </c>
      <c r="BJ81" s="9">
        <f>IF($I81="现实",Boss参数!$C$4,IF($I81="精神",Boss参数!$D$4,0))</f>
        <v>1000</v>
      </c>
      <c r="BK81" s="9">
        <f>IF($E81="","",MAX($AY81*Boss参数!$B$9,$AY81-$BJ81*(1-$BF81)))</f>
        <v>2517</v>
      </c>
      <c r="BL81" s="10">
        <f>MAX(0,Boss参数!$F$4+IF(DT81=0,Boss参数!$B$27,0)-EJ81)</f>
        <v>0.10000000000000003</v>
      </c>
      <c r="BM81" s="10">
        <f>Boss参数!$G$4+DU81-IF(Y81=1,Boss参数!$B$11,0)</f>
        <v>0.65</v>
      </c>
      <c r="BN81" s="10">
        <f>IF($E81="","",MAX(Boss参数!$B$10,1+IFERROR(INDEX(角色面板!$I$18:$I$21,MATCH($E81,角色面板!$A$18:$A$21,0)),0)+$BB81+Boss参数!$H$4-$BM81))</f>
        <v>1.65</v>
      </c>
      <c r="BO81" s="10">
        <f>IF(E81="","",IF(OR(L81="J_COUNTER",L81="J_HARD"),MAX(0,1+INDEX(角色面板!$K$18:$K$21,MATCH(E81,角色面板!$A$18:$A$21,0))-DI81*Boss参数!$B$23+IF(OR(Boss参数!$B$43=1,L81="J_HARD"),IF(B81&lt;=AH81,Boss参数!$B$46,0),0)),MAX(0,IF(OR(H81="术法",L81="RHI_BERRY",AND(L81="37_FOLLOW",Boss参数!$B$31=1)),1+BC81,IF(H81="仪式",1+BD81,IF(H81="洞知",EK81,1))))))</f>
        <v>0.14999999999999991</v>
      </c>
      <c r="BP81" s="10">
        <f t="shared" si="73"/>
        <v>2.3780000000000001</v>
      </c>
      <c r="BQ81" s="1">
        <f t="shared" si="74"/>
        <v>1308.2107499999991</v>
      </c>
      <c r="BR81" s="1">
        <f t="shared" si="75"/>
        <v>3110.9251634999978</v>
      </c>
      <c r="BS81" s="1">
        <f>IF(BH81=0,0,ROUNDDOWN(AY81*BH81,0)*DV81*IF(Boss参数!$B$29=1,BN81,1)*IF(Boss参数!$B$33=1,BO81,1)*IF(Boss参数!$B$76=1,1-ES81,1))</f>
        <v>0</v>
      </c>
      <c r="BT81" s="1">
        <f t="shared" si="76"/>
        <v>0</v>
      </c>
      <c r="BU81" s="9">
        <f>IF(D81="",0,MIN(IF(Boss参数!$B$77=1,Boss参数!$B$63*Boss参数!$B$62,Boss参数!$B$61*Boss参数!$B$62),DW81+ROUNDDOWN(BS81,0)+ROUNDDOWN(DW81*Q81,0)))</f>
        <v>523</v>
      </c>
      <c r="BV81" s="9">
        <f>IF(D81="",0,MIN(IF(Boss参数!$B$77=1,Boss参数!$B$63*Boss参数!$B$62,Boss参数!$B$61*Boss参数!$B$62),DX81+ROUNDDOWN(BT81,0)+ROUNDDOWN(DX81*Q81,0)))</f>
        <v>1244</v>
      </c>
      <c r="BW81" s="9">
        <f t="shared" si="77"/>
        <v>1070</v>
      </c>
      <c r="BX81" s="1" t="str">
        <f t="shared" si="78"/>
        <v/>
      </c>
      <c r="BY81" s="1">
        <f t="shared" si="79"/>
        <v>1</v>
      </c>
      <c r="BZ81" s="1">
        <f t="shared" si="80"/>
        <v>0</v>
      </c>
      <c r="CA81" s="1">
        <f>MIN(10,W81+IF(AND(L81="LILYA_COBRA",COUNTIF($L$3:L81,"LILYA_COBRA")=1),5,0)+IF(AND(L81="LILYA_DIVE",U81=1,COUNTIFS($DG$3:DG81,DG81,$L$3:L81,"LILYA_DIVE")=1),2,0)+IF(AND(FE81=1,U81=1),3,0))</f>
        <v>8</v>
      </c>
      <c r="CB81" s="1">
        <f>MIN(20,MAX(0,X81+IF(L81="LILYA_COBRA",IF(COUNTIF($L$3:L81,"LILYA_COBRA")=1,6,IF(U81=1,MAX(1,G81),IF(U81=2,2*MAX(1,G81),0))),0)+IF(AND(Y81=1,E81="红弩箭",L81&lt;&gt;"ENTER_INSIGHT"),1,0)-IF(AND(L81="LILYA_ULT",X81&gt;=6),6,0)))</f>
        <v>6</v>
      </c>
      <c r="CC81" s="1">
        <f t="shared" si="81"/>
        <v>0</v>
      </c>
      <c r="CD81" s="1">
        <f t="shared" si="82"/>
        <v>0</v>
      </c>
      <c r="CE81" s="1">
        <f t="shared" si="83"/>
        <v>0</v>
      </c>
      <c r="CF81" s="1">
        <f t="shared" si="84"/>
        <v>4</v>
      </c>
      <c r="CG81" s="1">
        <f t="shared" si="85"/>
        <v>0</v>
      </c>
      <c r="CH81" s="1">
        <f>MIN(35,AD81+IF(L81="J_HARD",6,0)+IF(L81="J_COUNTER",Boss参数!$B$30,0))</f>
        <v>35</v>
      </c>
      <c r="CI81" s="1">
        <f>MIN(Boss参数!$I$4,AE81+IF(L81="J_HARD",6,0)+IF(L81="J_ULT",AD81,0)+IF(L81="J_COUNTER",Boss参数!$B$30,0))</f>
        <v>15</v>
      </c>
      <c r="CJ81" s="10">
        <f>IF(L81="J_ULT",AD81*Boss参数!$B$41,IF(B81&lt;=AG81,AF81,0))</f>
        <v>0.875</v>
      </c>
      <c r="CK81" s="1">
        <f t="shared" si="86"/>
        <v>6</v>
      </c>
      <c r="CL81" s="1">
        <f t="shared" si="87"/>
        <v>7</v>
      </c>
      <c r="CM81" s="1">
        <f t="shared" si="88"/>
        <v>6</v>
      </c>
      <c r="CN81" s="1">
        <f t="shared" si="89"/>
        <v>7</v>
      </c>
      <c r="CO81" s="1">
        <f t="shared" si="90"/>
        <v>6</v>
      </c>
      <c r="CP81" s="1">
        <f t="shared" si="91"/>
        <v>3</v>
      </c>
      <c r="CQ81" s="1">
        <f t="shared" si="92"/>
        <v>30</v>
      </c>
      <c r="CR81" s="1">
        <f t="shared" si="93"/>
        <v>6</v>
      </c>
      <c r="CS81" s="1">
        <f t="shared" si="94"/>
        <v>0</v>
      </c>
      <c r="CT81" s="10">
        <f t="shared" si="95"/>
        <v>0.12</v>
      </c>
      <c r="CU81" s="1">
        <f t="shared" si="96"/>
        <v>6</v>
      </c>
      <c r="CV81" s="10">
        <f t="shared" si="97"/>
        <v>0.3</v>
      </c>
      <c r="CW81" s="1">
        <f t="shared" si="98"/>
        <v>6</v>
      </c>
      <c r="CX81" s="10">
        <f t="shared" si="99"/>
        <v>0.3</v>
      </c>
      <c r="CY81" s="1">
        <f t="shared" si="100"/>
        <v>7</v>
      </c>
      <c r="CZ81" s="1"/>
      <c r="DA81" s="1"/>
      <c r="DB81" s="1"/>
      <c r="DC81" s="1"/>
      <c r="DD81" s="1"/>
      <c r="DE81" s="1"/>
      <c r="DF81" s="1"/>
      <c r="DG81" s="1">
        <f>IF(D81="","",行动模拟!B87)</f>
        <v>5</v>
      </c>
      <c r="DH81" s="1" t="str">
        <f>IF(L81="END_TURN","回合结束",IF(D81="","",IF(INDEX(回合状态!$C$7:$C$17,MATCH(DG81,回合状态!$A$7:$A$17,0))="洞穿","洞穿",IF(OR(L81="J_COUNTER",L81="BOSS_ACTION",L81="BOSS_CONSERVATIVE"),"敌方",IF(AND(L81="37_FOLLOW",DG81=DG80,DH80="敌方"),"敌方",IF(INDEX(回合状态!$C$7:$C$17,MATCH(DG81,回合状态!$A$7:$A$17,0))="普通","出牌",INDEX(回合状态!$C$7:$C$17,MATCH(DG81,回合状态!$A$7:$A$17,0))))))))</f>
        <v>出牌</v>
      </c>
      <c r="DI81" s="1">
        <f t="shared" si="101"/>
        <v>5</v>
      </c>
      <c r="DJ81" s="1">
        <f>IF(D81="",0,MIN(Boss参数!$B$25,IF(OR(AND(DH81="敌方",OR(DH80&lt;&gt;"敌方",DG81&lt;&gt;DG80)),AND(L81="END_TURN",DH81&lt;&gt;"洞穿"),AND(DG81&lt;&gt;DG80,DH80&lt;&gt;"洞穿",L80&lt;&gt;"END_TURN",COUNTIFS($DG$3:DG80,DG80,$DH$3:DH80,"敌方")=0)),EW81,DN80)))</f>
        <v>3</v>
      </c>
      <c r="DK81" s="1">
        <f>IF(D81="",0,MIN(Boss参数!$B$25,IF(OR(AND(DH81="敌方",OR(DH80&lt;&gt;"敌方",DG81&lt;&gt;DG80)),AND(L81="END_TURN",DH81&lt;&gt;"洞穿"),AND(DG81&lt;&gt;DG80,DH80&lt;&gt;"洞穿",L80&lt;&gt;"END_TURN",COUNTIFS($DG$3:DG80,DG80,$DH$3:DH80,"敌方")=0)),EW81,DO80)))</f>
        <v>5</v>
      </c>
      <c r="DL81" s="1">
        <f>IF(D81="",0,MIN(Boss参数!$B$25,IF(OR(AND(DH81="敌方",OR(DH80&lt;&gt;"敌方",DG81&lt;&gt;DG80)),AND(L81="END_TURN",DH81&lt;&gt;"洞穿"),AND(DG81&lt;&gt;DG80,DH80&lt;&gt;"洞穿",L80&lt;&gt;"END_TURN",COUNTIFS($DG$3:DG80,DG80,$DH$3:DH80,"敌方")=0)),EW81,DP80)))</f>
        <v>5</v>
      </c>
      <c r="DM81" s="1">
        <f>IF(D81="",0,MIN(Boss参数!$B$25,IF(OR(AND(DH81="敌方",OR(DH80&lt;&gt;"敌方",DG81&lt;&gt;DG80)),AND(L81="END_TURN",DH81&lt;&gt;"洞穿"),AND(DG81&lt;&gt;DG80,DH80&lt;&gt;"洞穿",L80&lt;&gt;"END_TURN",COUNTIFS($DG$3:DG80,DG80,$DH$3:DH80,"敌方")=0)),EW81,DQ80)))</f>
        <v>1</v>
      </c>
      <c r="DN81" s="1">
        <f>MAX(0,MIN(Boss参数!$B$25,DJ81+DR81)-IF(E81="红弩箭",2*DR81,0))</f>
        <v>4</v>
      </c>
      <c r="DO81" s="1">
        <f>MAX(0,MIN(Boss参数!$B$25,DK81+DR81)-IF(E81="37",2*DR81,0))</f>
        <v>3</v>
      </c>
      <c r="DP81" s="1">
        <f>MAX(0,MIN(Boss参数!$B$25,DL81+DR81)-IF(E81="小瑞安侬",2*DR81,0))</f>
        <v>5</v>
      </c>
      <c r="DQ81" s="1">
        <f>MAX(0,MIN(Boss参数!$B$25,DM81+DR81)-IF(E81="J",2*DR81,0))</f>
        <v>2</v>
      </c>
      <c r="DR81" s="1">
        <f t="shared" si="102"/>
        <v>1</v>
      </c>
      <c r="DS81" s="1">
        <f t="shared" si="103"/>
        <v>1</v>
      </c>
      <c r="DT81" s="1">
        <f>IF(OR(E81="",E81="系统"),0,IF(OR(AND(DS81=1,Boss参数!$B$32=1),L81="RHI_BERRY",OR(AND(INDEX(角色面板!$B$18:$B$21,MATCH(E81,角色面板!$A$18:$A$21,0))="星",Boss参数!$B$4="岩"),AND(INDEX(角色面板!$B$18:$B$21,MATCH(E81,角色面板!$A$18:$A$21,0))="岩",Boss参数!$B$4="兽"),AND(INDEX(角色面板!$B$18:$B$21,MATCH(E81,角色面板!$A$18:$A$21,0))="兽",Boss参数!$B$4="木"),AND(INDEX(角色面板!$B$18:$B$21,MATCH(E81,角色面板!$A$18:$A$21,0))="木",Boss参数!$B$4="星"),AND(INDEX(角色面板!$B$18:$B$21,MATCH(E81,角色面板!$A$18:$A$21,0))="智",Boss参数!$B$4="灵"),AND(INDEX(角色面板!$B$18:$B$21,MATCH(E81,角色面板!$A$18:$A$21,0))="灵",Boss参数!$B$4="智"))),1,0))</f>
        <v>1</v>
      </c>
      <c r="DU81" s="1">
        <f>IF(D81="",0,INDEX(回合状态!$E$7:$E$17,MATCH(DG81,回合状态!$A$7:$A$17,0))+IF(AND(DH81="敌方",OR(INDEX(回合状态!$C$7:$C$17,MATCH(DG81,回合状态!$A$7:$A$17,0))="普通",INDEX(回合状态!$C$7:$C$17,MATCH(DG81,回合状态!$A$7:$A$17,0))="额外")),0.05,0))</f>
        <v>0.25</v>
      </c>
      <c r="DV81" s="1">
        <f>MAX(Boss参数!$B$28,1+IF(AND(E81="37",AC81&gt;0,BH81&gt;0),Boss参数!$B$42,0)-DI81*Boss参数!$B$24+EA81-ER81)</f>
        <v>0</v>
      </c>
      <c r="DW81" s="1">
        <f>MIN(IF(Boss参数!$B$77=1,Boss参数!$B$63*Boss参数!$B$62,Boss参数!$B$61*Boss参数!$B$62),ROUNDDOWN(BQ81*(1-ES81),0))</f>
        <v>523</v>
      </c>
      <c r="DX81" s="1">
        <f>MIN(IF(Boss参数!$B$77=1,Boss参数!$B$63*Boss参数!$B$62,Boss参数!$B$61*Boss参数!$B$62),ROUNDDOWN(BR81*(1-ES81),0))</f>
        <v>1244</v>
      </c>
      <c r="DY81" s="1">
        <f t="shared" si="135"/>
        <v>250</v>
      </c>
      <c r="DZ81" s="1">
        <f>IF(L81="RHI_ULT",MIN(Boss参数!$B$48,ROUNDDOWN(AY81*Boss参数!$B$47,0)),DY81)</f>
        <v>250</v>
      </c>
      <c r="EA81" s="11">
        <v>0</v>
      </c>
      <c r="EB81" s="1">
        <f t="shared" si="104"/>
        <v>0</v>
      </c>
      <c r="EC81" s="1">
        <f>SUMIFS($EB$3:EB81,$B$3:B81,"&gt;="&amp;MAX(1,B81-2),$B$3:B81,"&lt;="&amp;B81)*Boss参数!$B$51</f>
        <v>16</v>
      </c>
      <c r="ED81" s="1">
        <f>IF(D81="",EG80,IF(AND(DG81&lt;&gt;DG80,DH81&lt;&gt;"洞穿"),MIN(Boss参数!$B$55,EG80+2),EG80))</f>
        <v>1</v>
      </c>
      <c r="EE81" s="1">
        <f t="shared" si="105"/>
        <v>0</v>
      </c>
      <c r="EF81" s="1">
        <f>IF(AND(OR(L81="END_TURN",AND(DH81="敌方",OR(DH80&lt;&gt;"敌方",DG81&lt;&gt;DG80))),SUMIFS($EF$3:EF80,$DG$3:DG80,DG81)=0),MIN(1,MAX(0,ED81-EE81)),0)</f>
        <v>0</v>
      </c>
      <c r="EG81" s="1">
        <f t="shared" si="106"/>
        <v>1</v>
      </c>
      <c r="EH81" s="11">
        <f>Boss参数!$B$53-IF(Y81=1,Boss参数!$B$54,0)</f>
        <v>0</v>
      </c>
      <c r="EI81" s="11">
        <f t="shared" si="107"/>
        <v>0.3</v>
      </c>
      <c r="EJ81" s="11">
        <f t="shared" si="108"/>
        <v>0.3</v>
      </c>
      <c r="EK81" s="11">
        <f t="shared" si="109"/>
        <v>1</v>
      </c>
      <c r="EL81" s="1">
        <f t="shared" si="136"/>
        <v>0</v>
      </c>
      <c r="EM81" s="1">
        <f>IF(AND(DG81&lt;&gt;DG80,DH81="洞穿"),0,IF(L81="ENTER_INSIGHT",Boss参数!$B$57,EO80))</f>
        <v>0</v>
      </c>
      <c r="EN81" s="11">
        <f>IF(AND(Y81=1,H81="洞知",EM81&gt;0),Boss参数!$B$56,0)</f>
        <v>0</v>
      </c>
      <c r="EO81" s="1">
        <f t="shared" si="110"/>
        <v>0</v>
      </c>
      <c r="EP81" s="12">
        <f t="shared" si="137"/>
        <v>14200625</v>
      </c>
      <c r="EQ81" s="12">
        <f>ROUNDDOWN(EP81/Boss参数!$B$62,0)</f>
        <v>142</v>
      </c>
      <c r="ER81" s="11">
        <f>IF(EQ81&gt;=Boss参数!$B$66,Boss参数!$B$69,IF(EQ81&gt;=Boss参数!$B$65,Boss参数!$B$68,IF(EQ81&gt;=Boss参数!$B$64,Boss参数!$B$67,0)))</f>
        <v>0.9</v>
      </c>
      <c r="ES81" s="11">
        <f>MIN(1,IF(EQ81&gt;=Boss参数!$B$66,Boss参数!$B$72+ROUNDDOWN((EQ81-Boss参数!$B$66)/Boss参数!$B$73,0)*Boss参数!$B$74,IF(EQ81&gt;=Boss参数!$B$65,Boss参数!$B$71,IF(EQ81&gt;=Boss参数!$B$64,Boss参数!$B$70,0))))</f>
        <v>0.6</v>
      </c>
      <c r="ET81" s="12">
        <f>MIN(Boss参数!$B$61*Boss参数!$B$62,EP81+IF(AND(Boss参数!$B$60=1,ISNUMBER(验证表!H87)),验证表!H87,EU81))</f>
        <v>14201869</v>
      </c>
      <c r="EU81" s="12">
        <f>IF(D81="",0,IF(验证表!G87="是",BV81,IF(验证表!G87="否",BU81,BW81)))</f>
        <v>1244</v>
      </c>
      <c r="EV81" s="12">
        <f>IF(EQ81&gt;=Boss参数!$B$66,2,IF(EQ81&gt;=Boss参数!$B$65,1,0))</f>
        <v>2</v>
      </c>
      <c r="EW81" s="12">
        <f t="shared" si="111"/>
        <v>3</v>
      </c>
      <c r="EX81" s="1">
        <f>IF(D81="",0,INDEX(回合状态!$D$7:$D$17,MATCH(DG81,回合状态!$A$7:$A$17,0)))</f>
        <v>5</v>
      </c>
      <c r="EY81" s="1">
        <f>IF(OR(L81="RHI_ATTACK",L81="RHI_BUFF"),1,IF(L81="RHI_ULT",Boss参数!$B$52,0))</f>
        <v>0</v>
      </c>
      <c r="EZ81" s="1">
        <f>MIN(6,SUMIFS($EY$3:EY81,$EX$3:EX81,"&gt;="&amp;MAX(1,EX81-Boss参数!$B$87+1),$EX$3:EX81,"&lt;="&amp;EX81))</f>
        <v>6</v>
      </c>
      <c r="FA81" s="1">
        <f t="shared" si="138"/>
        <v>35</v>
      </c>
      <c r="FB81" s="17">
        <f>IF(L81="BOSS_CONSERVATIVE",B81+Boss参数!$B$91,FB80)</f>
        <v>0</v>
      </c>
      <c r="FC81" s="17">
        <f t="shared" si="139"/>
        <v>0</v>
      </c>
      <c r="FD81" s="17">
        <f>IF(D81="",FD80,FD80+IF(AND(DG81&lt;&gt;DG80,INDEX(回合状态!$C$7:$C$17,MATCH(DG81,回合状态!$A$7:$A$17,0))&lt;&gt;"洞穿"),1,0))</f>
        <v>6</v>
      </c>
      <c r="FE81" s="17">
        <f>IF(D81="",0,IF(AND(OR(L81="END_TURN",DH81="敌方"),INDEX(回合状态!$C$7:$C$17,MATCH(DG81,回合状态!$A$7:$A$17,0))&lt;&gt;"洞穿",SUMIFS($FE$3:FE80,$DG$3:DG80,DG81)=0),1,0))</f>
        <v>0</v>
      </c>
    </row>
    <row r="82" spans="1:161" ht="84.95" customHeight="1">
      <c r="A82" s="1">
        <f>行动模拟!A88</f>
        <v>80</v>
      </c>
      <c r="B82" s="1">
        <f>IF(D82="",0,INDEX(回合状态!$B$7:$B$17,MATCH(DG82,回合状态!$A$7:$A$17,0)))</f>
        <v>5</v>
      </c>
      <c r="C82" s="1">
        <f>行动模拟!C88</f>
        <v>4</v>
      </c>
      <c r="D82" s="1" t="str">
        <f>IF(行动模拟!D88="","",行动模拟!D88)</f>
        <v>37｜三角正论Ⅰ</v>
      </c>
      <c r="E82" s="1" t="str">
        <f>IF($D82="","",IFERROR(INDEX(技能数据库!$B$4:$B$38,MATCH($D82,技能数据库!$A$4:$A$38,0)),""))</f>
        <v>37</v>
      </c>
      <c r="F82" s="1" t="str">
        <f>IF($D82="","",IFERROR(INDEX(技能数据库!$C$4:$C$38,MATCH($D82,技能数据库!$A$4:$A$38,0)),""))</f>
        <v>三角正论</v>
      </c>
      <c r="G82" s="1">
        <f>IF($D82="","",IFERROR(INDEX(技能数据库!$D$4:$D$38,MATCH($D82,技能数据库!$A$4:$A$38,0)),""))</f>
        <v>1</v>
      </c>
      <c r="H82" s="1" t="str">
        <f>IF($D82="","",IFERROR(INDEX(技能数据库!$E$4:$E$38,MATCH($D82,技能数据库!$A$4:$A$38,0)),""))</f>
        <v>术法</v>
      </c>
      <c r="I82" s="1" t="str">
        <f>IF($D82="","",IFERROR(INDEX(技能数据库!$F$4:$F$38,MATCH($D82,技能数据库!$A$4:$A$38,0)),""))</f>
        <v>精神</v>
      </c>
      <c r="J82" s="1">
        <f>IF($D82="","",IFERROR(INDEX(技能数据库!$G$4:$G$38,MATCH($D82,技能数据库!$A$4:$A$38,0)),""))</f>
        <v>2.8</v>
      </c>
      <c r="K82" s="1">
        <f>IF($D82="","",IFERROR(INDEX(技能数据库!$H$4:$H$38,MATCH($D82,技能数据库!$A$4:$A$38,0)),""))</f>
        <v>0.8</v>
      </c>
      <c r="L82" s="1" t="str">
        <f>IF($D82="","",IFERROR(INDEX(技能数据库!$I$4:$I$38,MATCH($D82,技能数据库!$A$4:$A$38,0)),""))</f>
        <v>37_TRIANGLE</v>
      </c>
      <c r="M82" s="10">
        <v>1</v>
      </c>
      <c r="N82" s="1"/>
      <c r="O82" s="1"/>
      <c r="P82" s="1"/>
      <c r="Q82" s="10">
        <f t="shared" si="70"/>
        <v>0</v>
      </c>
      <c r="R82" s="10">
        <v>0</v>
      </c>
      <c r="S82" s="10">
        <v>0</v>
      </c>
      <c r="T82" s="1">
        <f>行动模拟!I88</f>
        <v>0</v>
      </c>
      <c r="U82" s="1">
        <f>IF(FD82&lt;&gt;FD81,IF(BY81=1,IF(MIN(10,CA81+IF(AND(DG82&lt;&gt;DG81,DH81&lt;&gt;"洞穿",SUMIFS($FE$3:FE81,$DG$3:DG81,DG81)=0,BY81=1),3,0))&gt;=10,2,1),IF(BY81=2,IF(BZ81&lt;=1,0,2),0)),BY81)</f>
        <v>1</v>
      </c>
      <c r="V82" s="1">
        <f>IF(FD82&lt;&gt;FD81,IF(BY81=1,IF(MIN(10,CA81+IF(AND(DG82&lt;&gt;DG81,DH81&lt;&gt;"洞穿",SUMIFS($FE$3:FE81,$DG$3:DG81,DG81)=0,BY81=1),3,0))&gt;=10,2,0),IF(BY81=2,MAX(0,BZ81-1),0)),BZ81)</f>
        <v>0</v>
      </c>
      <c r="W82" s="1">
        <f>IF(AND(FD82&lt;&gt;FD81,BY81=2,BZ81&lt;=1),0,MIN(10,CA81+IF(AND(DG82&lt;&gt;DG81,DH81&lt;&gt;"洞穿",SUMIFS($FE$3:FE81,$DG$3:DG81,DG81)=0,BY81=1),3,0)))</f>
        <v>8</v>
      </c>
      <c r="X82" s="1">
        <f t="shared" si="112"/>
        <v>6</v>
      </c>
      <c r="Y82" s="1">
        <f t="shared" si="113"/>
        <v>0</v>
      </c>
      <c r="Z82" s="1">
        <f t="shared" si="114"/>
        <v>0</v>
      </c>
      <c r="AA82" s="1">
        <f t="shared" si="115"/>
        <v>0</v>
      </c>
      <c r="AB82" s="1">
        <f t="shared" si="116"/>
        <v>4</v>
      </c>
      <c r="AC82" s="1">
        <f t="shared" si="117"/>
        <v>0</v>
      </c>
      <c r="AD82" s="1">
        <f t="shared" si="118"/>
        <v>35</v>
      </c>
      <c r="AE82" s="1">
        <f>IF(D82="",0,IF(DG82&lt;&gt;DG81,IFERROR(INDEX(回合状态!$F$7:$F$17,MATCH(DG82,回合状态!$A$7:$A$17,0)),0),CI81))</f>
        <v>15</v>
      </c>
      <c r="AF82" s="10">
        <f t="shared" si="119"/>
        <v>0.875</v>
      </c>
      <c r="AG82" s="1">
        <f t="shared" si="120"/>
        <v>6</v>
      </c>
      <c r="AH82" s="1">
        <f t="shared" si="121"/>
        <v>7</v>
      </c>
      <c r="AI82" s="1">
        <f t="shared" si="122"/>
        <v>6</v>
      </c>
      <c r="AJ82" s="1">
        <f t="shared" si="123"/>
        <v>7</v>
      </c>
      <c r="AK82" s="1">
        <f t="shared" si="124"/>
        <v>6</v>
      </c>
      <c r="AL82" s="1">
        <f t="shared" si="125"/>
        <v>3</v>
      </c>
      <c r="AM82" s="1">
        <f t="shared" si="126"/>
        <v>30</v>
      </c>
      <c r="AN82" s="1">
        <f t="shared" si="127"/>
        <v>6</v>
      </c>
      <c r="AO82" s="1">
        <f t="shared" si="128"/>
        <v>0</v>
      </c>
      <c r="AP82" s="10">
        <f t="shared" si="129"/>
        <v>0.12</v>
      </c>
      <c r="AQ82" s="1">
        <f t="shared" si="130"/>
        <v>6</v>
      </c>
      <c r="AR82" s="10">
        <f t="shared" si="131"/>
        <v>0.3</v>
      </c>
      <c r="AS82" s="1">
        <f t="shared" si="132"/>
        <v>6</v>
      </c>
      <c r="AT82" s="10">
        <f t="shared" si="133"/>
        <v>0.3</v>
      </c>
      <c r="AU82" s="1">
        <f t="shared" si="134"/>
        <v>7</v>
      </c>
      <c r="AV82" s="1">
        <f>MIN(5,SUMIFS($EL$3:EL82,$B$3:B82,"&gt;="&amp;MAX(1,B82-2),$B$3:B82,"&lt;="&amp;B82)+EC82)</f>
        <v>5</v>
      </c>
      <c r="AW82" s="1">
        <f>MIN(6,SUMIFS($EY$3:EY81,$EX$3:EX81,"&gt;="&amp;MAX(1,EX82-Boss参数!$B$87+1),$EX$3:EX81,"&lt;="&amp;EX82))</f>
        <v>6</v>
      </c>
      <c r="AX82" s="1">
        <f>MIN(4,COUNTIFS($B$3:$B$81,"&gt;="&amp;MAX(1,$B82-2),$B$3:$B$81,"&lt;="&amp;$B82,$L$3:$L$81,"37_FOLLOW"))</f>
        <v>4</v>
      </c>
      <c r="AY82" s="9">
        <f>IF($E82="","",IF($E82="系统",0,ROUNDDOWN(INDEX(角色面板!$C$4:$C$7,MATCH($E82,角色面板!$A$4:$A$7,0))*(1+INDEX(角色面板!$C$11:$C$14,MATCH($E82,角色面板!$A$11:$A$14,0))+IF($E82="小瑞安侬",MAX(IF($B82&lt;=$AQ82,$AP82,0),IF(AND($L82="RHI_ATTACK",$EE82&gt;0),0.11+0.01*$G82,0)),0)+IF($E82="J",$AD82*Boss参数!$B$18,0))+IF(FD82&lt;=$AN82,MIN(Boss参数!$B$21,ROUNDDOWN(角色面板!$C$19*Boss参数!$B$20,0)),0)+IF(AND($B82&lt;=$AK82,$E82&lt;&gt;"小瑞安侬"),$DY82,0),0)))</f>
        <v>3517</v>
      </c>
      <c r="AZ82" s="10">
        <f>IF($E82="","",MAX(0,MIN(1,IFERROR(INDEX(角色面板!$G$18:$G$21,MATCH($E82,角色面板!$A$18:$A$21,0)),0)-FC82*Boss参数!$B$89-Boss参数!$E$4)))</f>
        <v>0.76</v>
      </c>
      <c r="BA82" s="10">
        <f>IF(E82="","",(IF($E82="","",IF($E82="红弩箭",Boss参数!$B$80,IF($E82="J",Boss参数!$B$81,IFERROR(INDEX(角色面板!$H$18:$H$21,MATCH($E82,角色面板!$A$18:$A$21,0)),0)))+IF($B82&lt;=$AI82,Boss参数!$B$13,0)+MIN(30,$AM82)*Boss参数!$B$17+IF(AND($L82="LILYA_ULT",$X82&gt;=6),1,0)+IF(AND($Y82=1,$L82="LILYA_INSIGHT"),IF(MOD($AA82+1,3)=0,Boss参数!$B$83,Boss参数!$B$82),IF(AND($Y82=1,$L82="LILYA_FINISH"),Boss参数!$B$84,0))))-FC82*Boss参数!$B$90)</f>
        <v>2.4780000000000002</v>
      </c>
      <c r="BB82" s="10">
        <f>IF($E82="","",IFERROR(INDEX(角色面板!$M$18:$M$21,MATCH($E82,角色面板!$A$18:$A$21,0)),0)+$AW82*Boss参数!$B$12+IF($B82&lt;=$AG82,$AF82,0)+$EI82+IF($L82="LILYA_DIVE",IF($U82=1,IF($G82=1,0.3,IF($G82=2,0.4,0.5)),IF($U82=2,IF($G82=1,0.6,IF($G82=2,0.8,1)),0)),0)+$R82+IF(AND($E82="J",OR($L82="J_COUNTER",$L82="J_HARD")),Boss参数!$B$79,0)+IF(AND(OR(L82="J_COUNTER",L82="J_HARD"),FA82&gt;=Boss参数!$B$59),FA82*Boss参数!$B$40,0))</f>
        <v>1.2949999999999999</v>
      </c>
      <c r="BC82" s="10">
        <f>IF($E82="","",IFERROR(INDEX(角色面板!$K$18:$K$21,MATCH($E82,角色面板!$A$18:$A$21,0)),0)+IF($B82&lt;=$AH82,Boss参数!$B$46,0)+IF($E82="红弩箭",IF($U82=1,0.6,IF($U82=2,1.2,0))+$W82*0.06,0))-DI82*Boss参数!$B$23</f>
        <v>-0.55000000000000004</v>
      </c>
      <c r="BD82" s="10">
        <f>IF($E82="","",IFERROR(INDEX(角色面板!$L$18:$L$21,MATCH($E82,角色面板!$A$18:$A$21,0)),0)+IF($B82&lt;=$AH82,Boss参数!$B$46,0)+IF($E82="J",$AL82*Boss参数!$B$16,0)+IF($E82="红弩箭",$X82*0.025,0)+IF(AND($L82="LILYA_ULT",$X82&gt;=6),1,0))-DI82*Boss参数!$B$23</f>
        <v>-0.14999999999999997</v>
      </c>
      <c r="BE82" s="10">
        <f>IF($E82="","",IF($H82="洞知",IF($E82="红弩箭",$AO82*Boss参数!$B$15,0)+$AX82*Boss参数!$B$14,0))</f>
        <v>0</v>
      </c>
      <c r="BF82" s="10">
        <f t="shared" si="71"/>
        <v>0</v>
      </c>
      <c r="BG82" s="10">
        <f>IF($D82="",0,IF(AND($L82&lt;&gt;"LILYA_DIVE",$L82&lt;&gt;"LILYA_ULT",$L82&lt;&gt;"LILYA_INSIGHT",$L82&lt;&gt;"LILYA_FINISH",$L82&lt;&gt;"37_FOLLOW",$L82&lt;&gt;"RHI_ATTACK",$L82&lt;&gt;"RHI_BERRY",$L82&lt;&gt;"J_COUNTER",$L82&lt;&gt;"J_ULT"),$J82,0)+IF($L82="LILYA_DIVE",$J82+IF($U82=1,IF($G82=1,6,IF($G82=2,12,18)),IF($U82=2,IF($G82=1,12,IF($G82=2,24,36)),0)),0)+IF($L82="LILYA_ULT",$J82+IF($X82&gt;=6,18,0),0)+IF($L82="LILYA_INSIGHT",IF($Y82=1,IF(MOD($AA82+1,3)=0,32,15),0),0)+IF($L82="LILYA_FINISH",IF($Y82=1,50+2.5*$Z82,0),0)+IF($L82="37_FOLLOW",$J82,0)+IF($L82="RHI_ATTACK",$J82*IF($B82&lt;=$AJ82,2,1),0)+IF($L82="RHI_BERRY",15+1.5*$AV82,0)+IF($L82="J_COUNTER",$J82+$AD82*Boss参数!$B$39,0)+IF($L82="J_ULT",$J82+Boss参数!$B$45*MAX(0,$AE82+$AD82-Boss参数!$I$4),0)+$S82)</f>
        <v>2.8</v>
      </c>
      <c r="BH82" s="10">
        <f t="shared" si="72"/>
        <v>0.8</v>
      </c>
      <c r="BI82" s="10">
        <f>IF(E82="","",IF(DT82=1,1+Boss参数!$B$8+AV82*Boss参数!$B$19,1))</f>
        <v>1.5</v>
      </c>
      <c r="BJ82" s="9">
        <f>IF($I82="现实",Boss参数!$C$4,IF($I82="精神",Boss参数!$D$4,0))</f>
        <v>1000</v>
      </c>
      <c r="BK82" s="9">
        <f>IF($E82="","",MAX($AY82*Boss参数!$B$9,$AY82-$BJ82*(1-$BF82)))</f>
        <v>2517</v>
      </c>
      <c r="BL82" s="10">
        <f>MAX(0,Boss参数!$F$4+IF(DT82=0,Boss参数!$B$27,0)-EJ82)</f>
        <v>0.10000000000000003</v>
      </c>
      <c r="BM82" s="10">
        <f>Boss参数!$G$4+DU82-IF(Y82=1,Boss参数!$B$11,0)</f>
        <v>0.65</v>
      </c>
      <c r="BN82" s="10">
        <f>IF($E82="","",MAX(Boss参数!$B$10,1+IFERROR(INDEX(角色面板!$I$18:$I$21,MATCH($E82,角色面板!$A$18:$A$21,0)),0)+$BB82+Boss参数!$H$4-$BM82))</f>
        <v>1.65</v>
      </c>
      <c r="BO82" s="10">
        <f>IF(E82="","",IF(OR(L82="J_COUNTER",L82="J_HARD"),MAX(0,1+INDEX(角色面板!$K$18:$K$21,MATCH(E82,角色面板!$A$18:$A$21,0))-DI82*Boss参数!$B$23+IF(OR(Boss参数!$B$43=1,L82="J_HARD"),IF(B82&lt;=AH82,Boss参数!$B$46,0),0)),MAX(0,IF(OR(H82="术法",L82="RHI_BERRY",AND(L82="37_FOLLOW",Boss参数!$B$31=1)),1+BC82,IF(H82="仪式",1+BD82,IF(H82="洞知",EK82,1))))))</f>
        <v>0.44999999999999996</v>
      </c>
      <c r="BP82" s="10">
        <f t="shared" si="73"/>
        <v>2.3780000000000001</v>
      </c>
      <c r="BQ82" s="1">
        <f t="shared" si="74"/>
        <v>7849.2644999999984</v>
      </c>
      <c r="BR82" s="1">
        <f t="shared" si="75"/>
        <v>18665.550980999997</v>
      </c>
      <c r="BS82" s="1">
        <f>IF(BH82=0,0,ROUNDDOWN(AY82*BH82,0)*DV82*IF(Boss参数!$B$29=1,BN82,1)*IF(Boss参数!$B$33=1,BO82,1)*IF(Boss参数!$B$76=1,1-ES82,1))</f>
        <v>0</v>
      </c>
      <c r="BT82" s="1">
        <f t="shared" si="76"/>
        <v>0</v>
      </c>
      <c r="BU82" s="9">
        <f>IF(D82="",0,MIN(IF(Boss参数!$B$77=1,Boss参数!$B$63*Boss参数!$B$62,Boss参数!$B$61*Boss参数!$B$62),DW82+ROUNDDOWN(BS82,0)+ROUNDDOWN(DW82*Q82,0)))</f>
        <v>3139</v>
      </c>
      <c r="BV82" s="9">
        <f>IF(D82="",0,MIN(IF(Boss参数!$B$77=1,Boss参数!$B$63*Boss参数!$B$62,Boss参数!$B$61*Boss参数!$B$62),DX82+ROUNDDOWN(BT82,0)+ROUNDDOWN(DX82*Q82,0)))</f>
        <v>7466</v>
      </c>
      <c r="BW82" s="9">
        <f t="shared" si="77"/>
        <v>6427</v>
      </c>
      <c r="BX82" s="1" t="str">
        <f t="shared" si="78"/>
        <v/>
      </c>
      <c r="BY82" s="1">
        <f t="shared" si="79"/>
        <v>1</v>
      </c>
      <c r="BZ82" s="1">
        <f t="shared" si="80"/>
        <v>0</v>
      </c>
      <c r="CA82" s="1">
        <f>MIN(10,W82+IF(AND(L82="LILYA_COBRA",COUNTIF($L$3:L82,"LILYA_COBRA")=1),5,0)+IF(AND(L82="LILYA_DIVE",U82=1,COUNTIFS($DG$3:DG82,DG82,$L$3:L82,"LILYA_DIVE")=1),2,0)+IF(AND(FE82=1,U82=1),3,0))</f>
        <v>8</v>
      </c>
      <c r="CB82" s="1">
        <f>MIN(20,MAX(0,X82+IF(L82="LILYA_COBRA",IF(COUNTIF($L$3:L82,"LILYA_COBRA")=1,6,IF(U82=1,MAX(1,G82),IF(U82=2,2*MAX(1,G82),0))),0)+IF(AND(Y82=1,E82="红弩箭",L82&lt;&gt;"ENTER_INSIGHT"),1,0)-IF(AND(L82="LILYA_ULT",X82&gt;=6),6,0)))</f>
        <v>6</v>
      </c>
      <c r="CC82" s="1">
        <f t="shared" si="81"/>
        <v>0</v>
      </c>
      <c r="CD82" s="1">
        <f t="shared" si="82"/>
        <v>0</v>
      </c>
      <c r="CE82" s="1">
        <f t="shared" si="83"/>
        <v>0</v>
      </c>
      <c r="CF82" s="1">
        <f t="shared" si="84"/>
        <v>5</v>
      </c>
      <c r="CG82" s="1">
        <f t="shared" si="85"/>
        <v>1</v>
      </c>
      <c r="CH82" s="1">
        <f>MIN(35,AD82+IF(L82="J_HARD",6,0)+IF(L82="J_COUNTER",Boss参数!$B$30,0))</f>
        <v>35</v>
      </c>
      <c r="CI82" s="1">
        <f>MIN(Boss参数!$I$4,AE82+IF(L82="J_HARD",6,0)+IF(L82="J_ULT",AD82,0)+IF(L82="J_COUNTER",Boss参数!$B$30,0))</f>
        <v>15</v>
      </c>
      <c r="CJ82" s="10">
        <f>IF(L82="J_ULT",AD82*Boss参数!$B$41,IF(B82&lt;=AG82,AF82,0))</f>
        <v>0.875</v>
      </c>
      <c r="CK82" s="1">
        <f t="shared" si="86"/>
        <v>6</v>
      </c>
      <c r="CL82" s="1">
        <f t="shared" si="87"/>
        <v>7</v>
      </c>
      <c r="CM82" s="1">
        <f t="shared" si="88"/>
        <v>6</v>
      </c>
      <c r="CN82" s="1">
        <f t="shared" si="89"/>
        <v>7</v>
      </c>
      <c r="CO82" s="1">
        <f t="shared" si="90"/>
        <v>6</v>
      </c>
      <c r="CP82" s="1">
        <f t="shared" si="91"/>
        <v>3</v>
      </c>
      <c r="CQ82" s="1">
        <f t="shared" si="92"/>
        <v>30</v>
      </c>
      <c r="CR82" s="1">
        <f t="shared" si="93"/>
        <v>6</v>
      </c>
      <c r="CS82" s="1">
        <f t="shared" si="94"/>
        <v>0</v>
      </c>
      <c r="CT82" s="10">
        <f t="shared" si="95"/>
        <v>0.12</v>
      </c>
      <c r="CU82" s="1">
        <f t="shared" si="96"/>
        <v>6</v>
      </c>
      <c r="CV82" s="10">
        <f t="shared" si="97"/>
        <v>0.3</v>
      </c>
      <c r="CW82" s="1">
        <f t="shared" si="98"/>
        <v>6</v>
      </c>
      <c r="CX82" s="10">
        <f t="shared" si="99"/>
        <v>0.3</v>
      </c>
      <c r="CY82" s="1">
        <f t="shared" si="100"/>
        <v>7</v>
      </c>
      <c r="CZ82" s="1"/>
      <c r="DA82" s="1"/>
      <c r="DB82" s="1"/>
      <c r="DC82" s="1"/>
      <c r="DD82" s="1"/>
      <c r="DE82" s="1"/>
      <c r="DF82" s="1"/>
      <c r="DG82" s="1">
        <f>IF(D82="","",行动模拟!B88)</f>
        <v>5</v>
      </c>
      <c r="DH82" s="1" t="str">
        <f>IF(L82="END_TURN","回合结束",IF(D82="","",IF(INDEX(回合状态!$C$7:$C$17,MATCH(DG82,回合状态!$A$7:$A$17,0))="洞穿","洞穿",IF(OR(L82="J_COUNTER",L82="BOSS_ACTION",L82="BOSS_CONSERVATIVE"),"敌方",IF(AND(L82="37_FOLLOW",DG82=DG81,DH81="敌方"),"敌方",IF(INDEX(回合状态!$C$7:$C$17,MATCH(DG82,回合状态!$A$7:$A$17,0))="普通","出牌",INDEX(回合状态!$C$7:$C$17,MATCH(DG82,回合状态!$A$7:$A$17,0))))))))</f>
        <v>出牌</v>
      </c>
      <c r="DI82" s="1">
        <f t="shared" si="101"/>
        <v>3</v>
      </c>
      <c r="DJ82" s="1">
        <f>IF(D82="",0,MIN(Boss参数!$B$25,IF(OR(AND(DH82="敌方",OR(DH81&lt;&gt;"敌方",DG82&lt;&gt;DG81)),AND(L82="END_TURN",DH82&lt;&gt;"洞穿"),AND(DG82&lt;&gt;DG81,DH81&lt;&gt;"洞穿",L81&lt;&gt;"END_TURN",COUNTIFS($DG$3:DG81,DG81,$DH$3:DH81,"敌方")=0)),EW82,DN81)))</f>
        <v>4</v>
      </c>
      <c r="DK82" s="1">
        <f>IF(D82="",0,MIN(Boss参数!$B$25,IF(OR(AND(DH82="敌方",OR(DH81&lt;&gt;"敌方",DG82&lt;&gt;DG81)),AND(L82="END_TURN",DH82&lt;&gt;"洞穿"),AND(DG82&lt;&gt;DG81,DH81&lt;&gt;"洞穿",L81&lt;&gt;"END_TURN",COUNTIFS($DG$3:DG81,DG81,$DH$3:DH81,"敌方")=0)),EW82,DO81)))</f>
        <v>3</v>
      </c>
      <c r="DL82" s="1">
        <f>IF(D82="",0,MIN(Boss参数!$B$25,IF(OR(AND(DH82="敌方",OR(DH81&lt;&gt;"敌方",DG82&lt;&gt;DG81)),AND(L82="END_TURN",DH82&lt;&gt;"洞穿"),AND(DG82&lt;&gt;DG81,DH81&lt;&gt;"洞穿",L81&lt;&gt;"END_TURN",COUNTIFS($DG$3:DG81,DG81,$DH$3:DH81,"敌方")=0)),EW82,DP81)))</f>
        <v>5</v>
      </c>
      <c r="DM82" s="1">
        <f>IF(D82="",0,MIN(Boss参数!$B$25,IF(OR(AND(DH82="敌方",OR(DH81&lt;&gt;"敌方",DG82&lt;&gt;DG81)),AND(L82="END_TURN",DH82&lt;&gt;"洞穿"),AND(DG82&lt;&gt;DG81,DH81&lt;&gt;"洞穿",L81&lt;&gt;"END_TURN",COUNTIFS($DG$3:DG81,DG81,$DH$3:DH81,"敌方")=0)),EW82,DQ81)))</f>
        <v>2</v>
      </c>
      <c r="DN82" s="1">
        <f>MAX(0,MIN(Boss参数!$B$25,DJ82+DR82)-IF(E82="红弩箭",2*DR82,0))</f>
        <v>5</v>
      </c>
      <c r="DO82" s="1">
        <f>MAX(0,MIN(Boss参数!$B$25,DK82+DR82)-IF(E82="37",2*DR82,0))</f>
        <v>2</v>
      </c>
      <c r="DP82" s="1">
        <f>MAX(0,MIN(Boss参数!$B$25,DL82+DR82)-IF(E82="小瑞安侬",2*DR82,0))</f>
        <v>5</v>
      </c>
      <c r="DQ82" s="1">
        <f>MAX(0,MIN(Boss参数!$B$25,DM82+DR82)-IF(E82="J",2*DR82,0))</f>
        <v>3</v>
      </c>
      <c r="DR82" s="1">
        <f t="shared" si="102"/>
        <v>1</v>
      </c>
      <c r="DS82" s="1">
        <f t="shared" si="103"/>
        <v>1</v>
      </c>
      <c r="DT82" s="1">
        <f>IF(OR(E82="",E82="系统"),0,IF(OR(AND(DS82=1,Boss参数!$B$32=1),L82="RHI_BERRY",OR(AND(INDEX(角色面板!$B$18:$B$21,MATCH(E82,角色面板!$A$18:$A$21,0))="星",Boss参数!$B$4="岩"),AND(INDEX(角色面板!$B$18:$B$21,MATCH(E82,角色面板!$A$18:$A$21,0))="岩",Boss参数!$B$4="兽"),AND(INDEX(角色面板!$B$18:$B$21,MATCH(E82,角色面板!$A$18:$A$21,0))="兽",Boss参数!$B$4="木"),AND(INDEX(角色面板!$B$18:$B$21,MATCH(E82,角色面板!$A$18:$A$21,0))="木",Boss参数!$B$4="星"),AND(INDEX(角色面板!$B$18:$B$21,MATCH(E82,角色面板!$A$18:$A$21,0))="智",Boss参数!$B$4="灵"),AND(INDEX(角色面板!$B$18:$B$21,MATCH(E82,角色面板!$A$18:$A$21,0))="灵",Boss参数!$B$4="智"))),1,0))</f>
        <v>1</v>
      </c>
      <c r="DU82" s="1">
        <f>IF(D82="",0,INDEX(回合状态!$E$7:$E$17,MATCH(DG82,回合状态!$A$7:$A$17,0))+IF(AND(DH82="敌方",OR(INDEX(回合状态!$C$7:$C$17,MATCH(DG82,回合状态!$A$7:$A$17,0))="普通",INDEX(回合状态!$C$7:$C$17,MATCH(DG82,回合状态!$A$7:$A$17,0))="额外")),0.05,0))</f>
        <v>0.25</v>
      </c>
      <c r="DV82" s="1">
        <f>MAX(Boss参数!$B$28,1+IF(AND(E82="37",AC82&gt;0,BH82&gt;0),Boss参数!$B$42,0)-DI82*Boss参数!$B$24+EA82-ER82)</f>
        <v>0</v>
      </c>
      <c r="DW82" s="1">
        <f>MIN(IF(Boss参数!$B$77=1,Boss参数!$B$63*Boss参数!$B$62,Boss参数!$B$61*Boss参数!$B$62),ROUNDDOWN(BQ82*(1-ES82),0))</f>
        <v>3139</v>
      </c>
      <c r="DX82" s="1">
        <f>MIN(IF(Boss参数!$B$77=1,Boss参数!$B$63*Boss参数!$B$62,Boss参数!$B$61*Boss参数!$B$62),ROUNDDOWN(BR82*(1-ES82),0))</f>
        <v>7466</v>
      </c>
      <c r="DY82" s="1">
        <f t="shared" si="135"/>
        <v>250</v>
      </c>
      <c r="DZ82" s="1">
        <f>IF(L82="RHI_ULT",MIN(Boss参数!$B$48,ROUNDDOWN(AY82*Boss参数!$B$47,0)),DY82)</f>
        <v>250</v>
      </c>
      <c r="EA82" s="11">
        <v>0</v>
      </c>
      <c r="EB82" s="1">
        <f t="shared" si="104"/>
        <v>0</v>
      </c>
      <c r="EC82" s="1">
        <f>SUMIFS($EB$3:EB82,$B$3:B82,"&gt;="&amp;MAX(1,B82-2),$B$3:B82,"&lt;="&amp;B82)*Boss参数!$B$51</f>
        <v>16</v>
      </c>
      <c r="ED82" s="1">
        <f>IF(D82="",EG81,IF(AND(DG82&lt;&gt;DG81,DH82&lt;&gt;"洞穿"),MIN(Boss参数!$B$55,EG81+2),EG81))</f>
        <v>1</v>
      </c>
      <c r="EE82" s="1">
        <f t="shared" si="105"/>
        <v>0</v>
      </c>
      <c r="EF82" s="1">
        <f>IF(AND(OR(L82="END_TURN",AND(DH82="敌方",OR(DH81&lt;&gt;"敌方",DG82&lt;&gt;DG81))),SUMIFS($EF$3:EF81,$DG$3:DG81,DG82)=0),MIN(1,MAX(0,ED82-EE82)),0)</f>
        <v>0</v>
      </c>
      <c r="EG82" s="1">
        <f t="shared" si="106"/>
        <v>1</v>
      </c>
      <c r="EH82" s="11">
        <f>Boss参数!$B$53-IF(Y82=1,Boss参数!$B$54,0)</f>
        <v>0</v>
      </c>
      <c r="EI82" s="11">
        <f t="shared" si="107"/>
        <v>0.3</v>
      </c>
      <c r="EJ82" s="11">
        <f t="shared" si="108"/>
        <v>0.3</v>
      </c>
      <c r="EK82" s="11">
        <f t="shared" si="109"/>
        <v>1</v>
      </c>
      <c r="EL82" s="1">
        <f t="shared" si="136"/>
        <v>0</v>
      </c>
      <c r="EM82" s="1">
        <f>IF(AND(DG82&lt;&gt;DG81,DH82="洞穿"),0,IF(L82="ENTER_INSIGHT",Boss参数!$B$57,EO81))</f>
        <v>0</v>
      </c>
      <c r="EN82" s="11">
        <f>IF(AND(Y82=1,H82="洞知",EM82&gt;0),Boss参数!$B$56,0)</f>
        <v>0</v>
      </c>
      <c r="EO82" s="1">
        <f t="shared" si="110"/>
        <v>0</v>
      </c>
      <c r="EP82" s="12">
        <f t="shared" si="137"/>
        <v>14201869</v>
      </c>
      <c r="EQ82" s="12">
        <f>ROUNDDOWN(EP82/Boss参数!$B$62,0)</f>
        <v>142</v>
      </c>
      <c r="ER82" s="11">
        <f>IF(EQ82&gt;=Boss参数!$B$66,Boss参数!$B$69,IF(EQ82&gt;=Boss参数!$B$65,Boss参数!$B$68,IF(EQ82&gt;=Boss参数!$B$64,Boss参数!$B$67,0)))</f>
        <v>0.9</v>
      </c>
      <c r="ES82" s="11">
        <f>MIN(1,IF(EQ82&gt;=Boss参数!$B$66,Boss参数!$B$72+ROUNDDOWN((EQ82-Boss参数!$B$66)/Boss参数!$B$73,0)*Boss参数!$B$74,IF(EQ82&gt;=Boss参数!$B$65,Boss参数!$B$71,IF(EQ82&gt;=Boss参数!$B$64,Boss参数!$B$70,0))))</f>
        <v>0.6</v>
      </c>
      <c r="ET82" s="12">
        <f>MIN(Boss参数!$B$61*Boss参数!$B$62,EP82+IF(AND(Boss参数!$B$60=1,ISNUMBER(验证表!H88)),验证表!H88,EU82))</f>
        <v>14209335</v>
      </c>
      <c r="EU82" s="12">
        <f>IF(D82="",0,IF(验证表!G88="是",BV82,IF(验证表!G88="否",BU82,BW82)))</f>
        <v>7466</v>
      </c>
      <c r="EV82" s="12">
        <f>IF(EQ82&gt;=Boss参数!$B$66,2,IF(EQ82&gt;=Boss参数!$B$65,1,0))</f>
        <v>2</v>
      </c>
      <c r="EW82" s="12">
        <f t="shared" si="111"/>
        <v>3</v>
      </c>
      <c r="EX82" s="1">
        <f>IF(D82="",0,INDEX(回合状态!$D$7:$D$17,MATCH(DG82,回合状态!$A$7:$A$17,0)))</f>
        <v>5</v>
      </c>
      <c r="EY82" s="1">
        <f>IF(OR(L82="RHI_ATTACK",L82="RHI_BUFF"),1,IF(L82="RHI_ULT",Boss参数!$B$52,0))</f>
        <v>0</v>
      </c>
      <c r="EZ82" s="1">
        <f>MIN(6,SUMIFS($EY$3:EY82,$EX$3:EX82,"&gt;="&amp;MAX(1,EX82-Boss参数!$B$87+1),$EX$3:EX82,"&lt;="&amp;EX82))</f>
        <v>6</v>
      </c>
      <c r="FA82" s="1">
        <f t="shared" si="138"/>
        <v>35</v>
      </c>
      <c r="FB82" s="17">
        <f>IF(L82="BOSS_CONSERVATIVE",B82+Boss参数!$B$91,FB81)</f>
        <v>0</v>
      </c>
      <c r="FC82" s="17">
        <f t="shared" si="139"/>
        <v>0</v>
      </c>
      <c r="FD82" s="17">
        <f>IF(D82="",FD81,FD81+IF(AND(DG82&lt;&gt;DG81,INDEX(回合状态!$C$7:$C$17,MATCH(DG82,回合状态!$A$7:$A$17,0))&lt;&gt;"洞穿"),1,0))</f>
        <v>6</v>
      </c>
      <c r="FE82" s="17">
        <f>IF(D82="",0,IF(AND(OR(L82="END_TURN",DH82="敌方"),INDEX(回合状态!$C$7:$C$17,MATCH(DG82,回合状态!$A$7:$A$17,0))&lt;&gt;"洞穿",SUMIFS($FE$3:FE81,$DG$3:DG81,DG82)=0),1,0))</f>
        <v>0</v>
      </c>
    </row>
    <row r="83" spans="1:161" ht="84.95" customHeight="1">
      <c r="A83" s="1">
        <f>行动模拟!A89</f>
        <v>81</v>
      </c>
      <c r="B83" s="1">
        <f>IF(D83="",0,INDEX(回合状态!$B$7:$B$17,MATCH(DG83,回合状态!$A$7:$A$17,0)))</f>
        <v>5</v>
      </c>
      <c r="C83" s="1">
        <f>行动模拟!C89</f>
        <v>5</v>
      </c>
      <c r="D83" s="1" t="str">
        <f>IF(行动模拟!D89="","",行动模拟!D89)</f>
        <v>37｜补充算式</v>
      </c>
      <c r="E83" s="1" t="str">
        <f>IF($D83="","",IFERROR(INDEX(技能数据库!$B$4:$B$38,MATCH($D83,技能数据库!$A$4:$A$38,0)),""))</f>
        <v>37</v>
      </c>
      <c r="F83" s="1" t="str">
        <f>IF($D83="","",IFERROR(INDEX(技能数据库!$C$4:$C$38,MATCH($D83,技能数据库!$A$4:$A$38,0)),""))</f>
        <v>补充算式</v>
      </c>
      <c r="G83" s="1">
        <f>IF($D83="","",IFERROR(INDEX(技能数据库!$D$4:$D$38,MATCH($D83,技能数据库!$A$4:$A$38,0)),""))</f>
        <v>0</v>
      </c>
      <c r="H83" s="1" t="str">
        <f>IF($D83="","",IFERROR(INDEX(技能数据库!$E$4:$E$38,MATCH($D83,技能数据库!$A$4:$A$38,0)),""))</f>
        <v>额外行动</v>
      </c>
      <c r="I83" s="1" t="str">
        <f>IF($D83="","",IFERROR(INDEX(技能数据库!$F$4:$F$38,MATCH($D83,技能数据库!$A$4:$A$38,0)),""))</f>
        <v>精神</v>
      </c>
      <c r="J83" s="1">
        <f>IF($D83="","",IFERROR(INDEX(技能数据库!$G$4:$G$38,MATCH($D83,技能数据库!$A$4:$A$38,0)),""))</f>
        <v>3</v>
      </c>
      <c r="K83" s="1">
        <f>IF($D83="","",IFERROR(INDEX(技能数据库!$H$4:$H$38,MATCH($D83,技能数据库!$A$4:$A$38,0)),""))</f>
        <v>1</v>
      </c>
      <c r="L83" s="1" t="str">
        <f>IF($D83="","",IFERROR(INDEX(技能数据库!$I$4:$I$38,MATCH($D83,技能数据库!$A$4:$A$38,0)),""))</f>
        <v>37_FOLLOW</v>
      </c>
      <c r="M83" s="1">
        <v>1</v>
      </c>
      <c r="N83" s="1"/>
      <c r="O83" s="1"/>
      <c r="P83" s="1"/>
      <c r="Q83" s="1">
        <f t="shared" si="70"/>
        <v>0</v>
      </c>
      <c r="R83" s="1">
        <v>0</v>
      </c>
      <c r="S83" s="1">
        <v>0</v>
      </c>
      <c r="T83" s="1">
        <f>行动模拟!I89</f>
        <v>0</v>
      </c>
      <c r="U83" s="1">
        <f>IF(FD83&lt;&gt;FD82,IF(BY82=1,IF(MIN(10,CA82+IF(AND(DG83&lt;&gt;DG82,DH82&lt;&gt;"洞穿",SUMIFS($FE$3:FE82,$DG$3:DG82,DG82)=0,BY82=1),3,0))&gt;=10,2,1),IF(BY82=2,IF(BZ82&lt;=1,0,2),0)),BY82)</f>
        <v>1</v>
      </c>
      <c r="V83" s="1">
        <f>IF(FD83&lt;&gt;FD82,IF(BY82=1,IF(MIN(10,CA82+IF(AND(DG83&lt;&gt;DG82,DH82&lt;&gt;"洞穿",SUMIFS($FE$3:FE82,$DG$3:DG82,DG82)=0,BY82=1),3,0))&gt;=10,2,0),IF(BY82=2,MAX(0,BZ82-1),0)),BZ82)</f>
        <v>0</v>
      </c>
      <c r="W83" s="1">
        <f>IF(AND(FD83&lt;&gt;FD82,BY82=2,BZ82&lt;=1),0,MIN(10,CA82+IF(AND(DG83&lt;&gt;DG82,DH82&lt;&gt;"洞穿",SUMIFS($FE$3:FE82,$DG$3:DG82,DG82)=0,BY82=1),3,0)))</f>
        <v>8</v>
      </c>
      <c r="X83" s="1">
        <f t="shared" si="112"/>
        <v>6</v>
      </c>
      <c r="Y83" s="1">
        <f t="shared" si="113"/>
        <v>0</v>
      </c>
      <c r="Z83" s="1">
        <f t="shared" si="114"/>
        <v>0</v>
      </c>
      <c r="AA83" s="1">
        <f t="shared" si="115"/>
        <v>0</v>
      </c>
      <c r="AB83" s="1">
        <f t="shared" si="116"/>
        <v>5</v>
      </c>
      <c r="AC83" s="1">
        <f t="shared" si="117"/>
        <v>1</v>
      </c>
      <c r="AD83" s="1">
        <f t="shared" si="118"/>
        <v>35</v>
      </c>
      <c r="AE83" s="1">
        <f>IF(D83="",0,IF(DG83&lt;&gt;DG82,IFERROR(INDEX(回合状态!$F$7:$F$17,MATCH(DG83,回合状态!$A$7:$A$17,0)),0),CI82))</f>
        <v>15</v>
      </c>
      <c r="AF83" s="1">
        <f t="shared" si="119"/>
        <v>0.875</v>
      </c>
      <c r="AG83" s="1">
        <f t="shared" si="120"/>
        <v>6</v>
      </c>
      <c r="AH83" s="1">
        <f t="shared" si="121"/>
        <v>7</v>
      </c>
      <c r="AI83" s="1">
        <f t="shared" si="122"/>
        <v>6</v>
      </c>
      <c r="AJ83" s="1">
        <f t="shared" si="123"/>
        <v>7</v>
      </c>
      <c r="AK83" s="1">
        <f t="shared" si="124"/>
        <v>6</v>
      </c>
      <c r="AL83" s="1">
        <f t="shared" si="125"/>
        <v>3</v>
      </c>
      <c r="AM83" s="1">
        <f t="shared" si="126"/>
        <v>30</v>
      </c>
      <c r="AN83" s="1">
        <f t="shared" si="127"/>
        <v>6</v>
      </c>
      <c r="AO83" s="1">
        <f t="shared" si="128"/>
        <v>0</v>
      </c>
      <c r="AP83" s="1">
        <f t="shared" si="129"/>
        <v>0.12</v>
      </c>
      <c r="AQ83" s="1">
        <f t="shared" si="130"/>
        <v>6</v>
      </c>
      <c r="AR83" s="1">
        <f t="shared" si="131"/>
        <v>0.3</v>
      </c>
      <c r="AS83" s="1">
        <f t="shared" si="132"/>
        <v>6</v>
      </c>
      <c r="AT83" s="1">
        <f t="shared" si="133"/>
        <v>0.3</v>
      </c>
      <c r="AU83" s="1">
        <f t="shared" si="134"/>
        <v>7</v>
      </c>
      <c r="AV83" s="1">
        <f>MIN(5,SUMIFS($EL$3:EL83,$B$3:B83,"&gt;="&amp;MAX(1,B83-2),$B$3:B83,"&lt;="&amp;B83)+EC83)</f>
        <v>5</v>
      </c>
      <c r="AW83" s="1">
        <f>MIN(6,SUMIFS($EY$3:EY82,$EX$3:EX82,"&gt;="&amp;MAX(1,EX83-Boss参数!$B$87+1),$EX$3:EX82,"&lt;="&amp;EX83))</f>
        <v>6</v>
      </c>
      <c r="AX83" s="1">
        <f>MIN(4,COUNTIFS($B$3:$B$82,"&gt;="&amp;MAX(1,$B83-2),$B$3:$B$82,"&lt;="&amp;$B83,$L$3:$L$82,"37_FOLLOW"))</f>
        <v>4</v>
      </c>
      <c r="AY83" s="1">
        <f>IF($E83="","",IF($E83="系统",0,ROUNDDOWN(INDEX(角色面板!$C$4:$C$7,MATCH($E83,角色面板!$A$4:$A$7,0))*(1+INDEX(角色面板!$C$11:$C$14,MATCH($E83,角色面板!$A$11:$A$14,0))+IF($E83="小瑞安侬",MAX(IF($B83&lt;=$AQ83,$AP83,0),IF(AND($L83="RHI_ATTACK",$EE83&gt;0),0.11+0.01*$G83,0)),0)+IF($E83="J",$AD83*Boss参数!$B$18,0))+IF(FD83&lt;=$AN83,MIN(Boss参数!$B$21,ROUNDDOWN(角色面板!$C$19*Boss参数!$B$20,0)),0)+IF(AND($B83&lt;=$AK83,$E83&lt;&gt;"小瑞安侬"),$DY83,0),0)))</f>
        <v>3517</v>
      </c>
      <c r="AZ83" s="1">
        <f>IF($E83="","",MAX(0,MIN(1,IFERROR(INDEX(角色面板!$G$18:$G$21,MATCH($E83,角色面板!$A$18:$A$21,0)),0)-FC83*Boss参数!$B$89-Boss参数!$E$4)))</f>
        <v>0.76</v>
      </c>
      <c r="BA83" s="1">
        <f>IF(E83="","",(IF($E83="","",IF($E83="红弩箭",Boss参数!$B$80,IF($E83="J",Boss参数!$B$81,IFERROR(INDEX(角色面板!$H$18:$H$21,MATCH($E83,角色面板!$A$18:$A$21,0)),0)))+IF($B83&lt;=$AI83,Boss参数!$B$13,0)+MIN(30,$AM83)*Boss参数!$B$17+IF(AND($L83="LILYA_ULT",$X83&gt;=6),1,0)+IF(AND($Y83=1,$L83="LILYA_INSIGHT"),IF(MOD($AA83+1,3)=0,Boss参数!$B$83,Boss参数!$B$82),IF(AND($Y83=1,$L83="LILYA_FINISH"),Boss参数!$B$84,0))))-FC83*Boss参数!$B$90)</f>
        <v>2.4780000000000002</v>
      </c>
      <c r="BB83" s="1">
        <f>IF($E83="","",IFERROR(INDEX(角色面板!$M$18:$M$21,MATCH($E83,角色面板!$A$18:$A$21,0)),0)+$AW83*Boss参数!$B$12+IF($B83&lt;=$AG83,$AF83,0)+$EI83+IF($L83="LILYA_DIVE",IF($U83=1,IF($G83=1,0.3,IF($G83=2,0.4,0.5)),IF($U83=2,IF($G83=1,0.6,IF($G83=2,0.8,1)),0)),0)+$R83+IF(AND($E83="J",OR($L83="J_COUNTER",$L83="J_HARD")),Boss参数!$B$79,0)+IF(AND(OR(L83="J_COUNTER",L83="J_HARD"),FA83&gt;=Boss参数!$B$59),FA83*Boss参数!$B$40,0))</f>
        <v>1.2949999999999999</v>
      </c>
      <c r="BC83" s="1">
        <f>IF($E83="","",IFERROR(INDEX(角色面板!$K$18:$K$21,MATCH($E83,角色面板!$A$18:$A$21,0)),0)+IF($B83&lt;=$AH83,Boss参数!$B$46,0)+IF($E83="红弩箭",IF($U83=1,0.6,IF($U83=2,1.2,0))+$W83*0.06,0))-DI83*Boss参数!$B$23</f>
        <v>-0.4</v>
      </c>
      <c r="BD83" s="1">
        <f>IF($E83="","",IFERROR(INDEX(角色面板!$L$18:$L$21,MATCH($E83,角色面板!$A$18:$A$21,0)),0)+IF($B83&lt;=$AH83,Boss参数!$B$46,0)+IF($E83="J",$AL83*Boss参数!$B$16,0)+IF($E83="红弩箭",$X83*0.025,0)+IF(AND($L83="LILYA_ULT",$X83&gt;=6),1,0))-DI83*Boss参数!$B$23</f>
        <v>0</v>
      </c>
      <c r="BE83" s="1">
        <f>IF($E83="","",IF($H83="洞知",IF($E83="红弩箭",$AO83*Boss参数!$B$15,0)+$AX83*Boss参数!$B$14,0))</f>
        <v>0</v>
      </c>
      <c r="BF83" s="1">
        <f t="shared" si="71"/>
        <v>0</v>
      </c>
      <c r="BG83" s="1">
        <f>IF($D83="",0,IF(AND($L83&lt;&gt;"LILYA_DIVE",$L83&lt;&gt;"LILYA_ULT",$L83&lt;&gt;"LILYA_INSIGHT",$L83&lt;&gt;"LILYA_FINISH",$L83&lt;&gt;"37_FOLLOW",$L83&lt;&gt;"RHI_ATTACK",$L83&lt;&gt;"RHI_BERRY",$L83&lt;&gt;"J_COUNTER",$L83&lt;&gt;"J_ULT"),$J83,0)+IF($L83="LILYA_DIVE",$J83+IF($U83=1,IF($G83=1,6,IF($G83=2,12,18)),IF($U83=2,IF($G83=1,12,IF($G83=2,24,36)),0)),0)+IF($L83="LILYA_ULT",$J83+IF($X83&gt;=6,18,0),0)+IF($L83="LILYA_INSIGHT",IF($Y83=1,IF(MOD($AA83+1,3)=0,32,15),0),0)+IF($L83="LILYA_FINISH",IF($Y83=1,50+2.5*$Z83,0),0)+IF($L83="37_FOLLOW",$J83,0)+IF($L83="RHI_ATTACK",$J83*IF($B83&lt;=$AJ83,2,1),0)+IF($L83="RHI_BERRY",15+1.5*$AV83,0)+IF($L83="J_COUNTER",$J83+$AD83*Boss参数!$B$39,0)+IF($L83="J_ULT",$J83+Boss参数!$B$45*MAX(0,$AE83+$AD83-Boss参数!$I$4),0)+$S83)</f>
        <v>3</v>
      </c>
      <c r="BH83" s="1">
        <f t="shared" si="72"/>
        <v>1</v>
      </c>
      <c r="BI83" s="1">
        <f>IF(E83="","",IF(DT83=1,1+Boss参数!$B$8+AV83*Boss参数!$B$19,1))</f>
        <v>1.5</v>
      </c>
      <c r="BJ83" s="1">
        <f>IF($I83="现实",Boss参数!$C$4,IF($I83="精神",Boss参数!$D$4,0))</f>
        <v>1000</v>
      </c>
      <c r="BK83" s="1">
        <f>IF($E83="","",MAX($AY83*Boss参数!$B$9,$AY83-$BJ83*(1-$BF83)))</f>
        <v>2517</v>
      </c>
      <c r="BL83" s="1">
        <f>MAX(0,Boss参数!$F$4+IF(DT83=0,Boss参数!$B$27,0)-EJ83)</f>
        <v>0.10000000000000003</v>
      </c>
      <c r="BM83" s="1">
        <f>Boss参数!$G$4+DU83-IF(Y83=1,Boss参数!$B$11,0)</f>
        <v>0.65</v>
      </c>
      <c r="BN83" s="1">
        <f>IF($E83="","",MAX(Boss参数!$B$10,1+IFERROR(INDEX(角色面板!$I$18:$I$21,MATCH($E83,角色面板!$A$18:$A$21,0)),0)+$BB83+Boss参数!$H$4-$BM83))</f>
        <v>1.65</v>
      </c>
      <c r="BO83" s="1">
        <f>IF(E83="","",IF(OR(L83="J_COUNTER",L83="J_HARD"),MAX(0,1+INDEX(角色面板!$K$18:$K$21,MATCH(E83,角色面板!$A$18:$A$21,0))-DI83*Boss参数!$B$23+IF(OR(Boss参数!$B$43=1,L83="J_HARD"),IF(B83&lt;=AH83,Boss参数!$B$46,0),0)),MAX(0,IF(OR(H83="术法",L83="RHI_BERRY",AND(L83="37_FOLLOW",Boss参数!$B$31=1)),1+BC83,IF(H83="仪式",1+BD83,IF(H83="洞知",EK83,1))))))</f>
        <v>0.6</v>
      </c>
      <c r="BP83" s="1">
        <f t="shared" si="73"/>
        <v>2.3780000000000001</v>
      </c>
      <c r="BQ83" s="1">
        <f t="shared" si="74"/>
        <v>11213.235000000001</v>
      </c>
      <c r="BR83" s="1">
        <f t="shared" si="75"/>
        <v>26665.072830000001</v>
      </c>
      <c r="BS83" s="1">
        <f>IF(BH83=0,0,ROUNDDOWN(AY83*BH83,0)*DV83*IF(Boss参数!$B$29=1,BN83,1)*IF(Boss参数!$B$33=1,BO83,1)*IF(Boss参数!$B$76=1,1-ES83,1))</f>
        <v>2813.6</v>
      </c>
      <c r="BT83" s="1">
        <f t="shared" si="76"/>
        <v>6690.7408000000005</v>
      </c>
      <c r="BU83" s="1">
        <f>IF(D83="",0,MIN(IF(Boss参数!$B$77=1,Boss参数!$B$63*Boss参数!$B$62,Boss参数!$B$61*Boss参数!$B$62),DW83+ROUNDDOWN(BS83,0)+ROUNDDOWN(DW83*Q83,0)))</f>
        <v>7298</v>
      </c>
      <c r="BV83" s="1">
        <f>IF(D83="",0,MIN(IF(Boss参数!$B$77=1,Boss参数!$B$63*Boss参数!$B$62,Boss参数!$B$61*Boss参数!$B$62),DX83+ROUNDDOWN(BT83,0)+ROUNDDOWN(DX83*Q83,0)))</f>
        <v>17356</v>
      </c>
      <c r="BW83" s="1">
        <f t="shared" si="77"/>
        <v>14942</v>
      </c>
      <c r="BX83" s="1" t="str">
        <f t="shared" si="78"/>
        <v/>
      </c>
      <c r="BY83" s="1">
        <f t="shared" si="79"/>
        <v>1</v>
      </c>
      <c r="BZ83" s="1">
        <f t="shared" si="80"/>
        <v>0</v>
      </c>
      <c r="CA83" s="1">
        <f>MIN(10,W83+IF(AND(L83="LILYA_COBRA",COUNTIF($L$3:L83,"LILYA_COBRA")=1),5,0)+IF(AND(L83="LILYA_DIVE",U83=1,COUNTIFS($DG$3:DG83,DG83,$L$3:L83,"LILYA_DIVE")=1),2,0)+IF(AND(FE83=1,U83=1),3,0))</f>
        <v>8</v>
      </c>
      <c r="CB83" s="1">
        <f>MIN(20,MAX(0,X83+IF(L83="LILYA_COBRA",IF(COUNTIF($L$3:L83,"LILYA_COBRA")=1,6,IF(U83=1,MAX(1,G83),IF(U83=2,2*MAX(1,G83),0))),0)+IF(AND(Y83=1,E83="红弩箭",L83&lt;&gt;"ENTER_INSIGHT"),1,0)-IF(AND(L83="LILYA_ULT",X83&gt;=6),6,0)))</f>
        <v>6</v>
      </c>
      <c r="CC83" s="1">
        <f t="shared" si="81"/>
        <v>0</v>
      </c>
      <c r="CD83" s="1">
        <f t="shared" si="82"/>
        <v>0</v>
      </c>
      <c r="CE83" s="1">
        <f t="shared" si="83"/>
        <v>0</v>
      </c>
      <c r="CF83" s="1">
        <f t="shared" si="84"/>
        <v>0</v>
      </c>
      <c r="CG83" s="1">
        <f t="shared" si="85"/>
        <v>0</v>
      </c>
      <c r="CH83" s="1">
        <f>MIN(35,AD83+IF(L83="J_HARD",6,0)+IF(L83="J_COUNTER",Boss参数!$B$30,0))</f>
        <v>35</v>
      </c>
      <c r="CI83" s="1">
        <f>MIN(Boss参数!$I$4,AE83+IF(L83="J_HARD",6,0)+IF(L83="J_ULT",AD83,0)+IF(L83="J_COUNTER",Boss参数!$B$30,0))</f>
        <v>15</v>
      </c>
      <c r="CJ83" s="1">
        <f>IF(L83="J_ULT",AD83*Boss参数!$B$41,IF(B83&lt;=AG83,AF83,0))</f>
        <v>0.875</v>
      </c>
      <c r="CK83" s="1">
        <f t="shared" si="86"/>
        <v>6</v>
      </c>
      <c r="CL83" s="1">
        <f t="shared" si="87"/>
        <v>7</v>
      </c>
      <c r="CM83" s="1">
        <f t="shared" si="88"/>
        <v>6</v>
      </c>
      <c r="CN83" s="1">
        <f t="shared" si="89"/>
        <v>7</v>
      </c>
      <c r="CO83" s="1">
        <f t="shared" si="90"/>
        <v>6</v>
      </c>
      <c r="CP83" s="1">
        <f t="shared" si="91"/>
        <v>3</v>
      </c>
      <c r="CQ83" s="1">
        <f t="shared" si="92"/>
        <v>30</v>
      </c>
      <c r="CR83" s="1">
        <f t="shared" si="93"/>
        <v>6</v>
      </c>
      <c r="CS83" s="1">
        <f t="shared" si="94"/>
        <v>0</v>
      </c>
      <c r="CT83" s="1">
        <f t="shared" si="95"/>
        <v>0.12</v>
      </c>
      <c r="CU83" s="1">
        <f t="shared" si="96"/>
        <v>6</v>
      </c>
      <c r="CV83" s="1">
        <f t="shared" si="97"/>
        <v>0.3</v>
      </c>
      <c r="CW83" s="1">
        <f t="shared" si="98"/>
        <v>6</v>
      </c>
      <c r="CX83" s="1">
        <f t="shared" si="99"/>
        <v>0.3</v>
      </c>
      <c r="CY83" s="1">
        <f t="shared" si="100"/>
        <v>7</v>
      </c>
      <c r="CZ83" s="1"/>
      <c r="DA83" s="1"/>
      <c r="DB83" s="1"/>
      <c r="DC83" s="1"/>
      <c r="DD83" s="1"/>
      <c r="DE83" s="1"/>
      <c r="DF83" s="1"/>
      <c r="DG83" s="1">
        <f>IF(D83="","",行动模拟!B89)</f>
        <v>5</v>
      </c>
      <c r="DH83" s="1" t="str">
        <f>IF(L83="END_TURN","回合结束",IF(D83="","",IF(INDEX(回合状态!$C$7:$C$17,MATCH(DG83,回合状态!$A$7:$A$17,0))="洞穿","洞穿",IF(OR(L83="J_COUNTER",L83="BOSS_ACTION",L83="BOSS_CONSERVATIVE"),"敌方",IF(AND(L83="37_FOLLOW",DG83=DG82,DH82="敌方"),"敌方",IF(INDEX(回合状态!$C$7:$C$17,MATCH(DG83,回合状态!$A$7:$A$17,0))="普通","出牌",INDEX(回合状态!$C$7:$C$17,MATCH(DG83,回合状态!$A$7:$A$17,0))))))))</f>
        <v>出牌</v>
      </c>
      <c r="DI83" s="1">
        <f t="shared" si="101"/>
        <v>2</v>
      </c>
      <c r="DJ83" s="1">
        <f>IF(D83="",0,MIN(Boss参数!$B$25,IF(OR(AND(DH83="敌方",OR(DH82&lt;&gt;"敌方",DG83&lt;&gt;DG82)),AND(L83="END_TURN",DH83&lt;&gt;"洞穿"),AND(DG83&lt;&gt;DG82,DH82&lt;&gt;"洞穿",L82&lt;&gt;"END_TURN",COUNTIFS($DG$3:DG82,DG82,$DH$3:DH82,"敌方")=0)),EW83,DN82)))</f>
        <v>5</v>
      </c>
      <c r="DK83" s="1">
        <f>IF(D83="",0,MIN(Boss参数!$B$25,IF(OR(AND(DH83="敌方",OR(DH82&lt;&gt;"敌方",DG83&lt;&gt;DG82)),AND(L83="END_TURN",DH83&lt;&gt;"洞穿"),AND(DG83&lt;&gt;DG82,DH82&lt;&gt;"洞穿",L82&lt;&gt;"END_TURN",COUNTIFS($DG$3:DG82,DG82,$DH$3:DH82,"敌方")=0)),EW83,DO82)))</f>
        <v>2</v>
      </c>
      <c r="DL83" s="1">
        <f>IF(D83="",0,MIN(Boss参数!$B$25,IF(OR(AND(DH83="敌方",OR(DH82&lt;&gt;"敌方",DG83&lt;&gt;DG82)),AND(L83="END_TURN",DH83&lt;&gt;"洞穿"),AND(DG83&lt;&gt;DG82,DH82&lt;&gt;"洞穿",L82&lt;&gt;"END_TURN",COUNTIFS($DG$3:DG82,DG82,$DH$3:DH82,"敌方")=0)),EW83,DP82)))</f>
        <v>5</v>
      </c>
      <c r="DM83" s="1">
        <f>IF(D83="",0,MIN(Boss参数!$B$25,IF(OR(AND(DH83="敌方",OR(DH82&lt;&gt;"敌方",DG83&lt;&gt;DG82)),AND(L83="END_TURN",DH83&lt;&gt;"洞穿"),AND(DG83&lt;&gt;DG82,DH82&lt;&gt;"洞穿",L82&lt;&gt;"END_TURN",COUNTIFS($DG$3:DG82,DG82,$DH$3:DH82,"敌方")=0)),EW83,DQ82)))</f>
        <v>3</v>
      </c>
      <c r="DN83" s="1">
        <f>MAX(0,MIN(Boss参数!$B$25,DJ83+DR83)-IF(E83="红弩箭",2*DR83,0))</f>
        <v>5</v>
      </c>
      <c r="DO83" s="1">
        <f>MAX(0,MIN(Boss参数!$B$25,DK83+DR83)-IF(E83="37",2*DR83,0))</f>
        <v>1</v>
      </c>
      <c r="DP83" s="1">
        <f>MAX(0,MIN(Boss参数!$B$25,DL83+DR83)-IF(E83="小瑞安侬",2*DR83,0))</f>
        <v>5</v>
      </c>
      <c r="DQ83" s="1">
        <f>MAX(0,MIN(Boss参数!$B$25,DM83+DR83)-IF(E83="J",2*DR83,0))</f>
        <v>4</v>
      </c>
      <c r="DR83" s="1">
        <f t="shared" si="102"/>
        <v>1</v>
      </c>
      <c r="DS83" s="1">
        <f t="shared" si="103"/>
        <v>0</v>
      </c>
      <c r="DT83" s="1">
        <f>IF(OR(E83="",E83="系统"),0,IF(OR(AND(DS83=1,Boss参数!$B$32=1),L83="RHI_BERRY",OR(AND(INDEX(角色面板!$B$18:$B$21,MATCH(E83,角色面板!$A$18:$A$21,0))="星",Boss参数!$B$4="岩"),AND(INDEX(角色面板!$B$18:$B$21,MATCH(E83,角色面板!$A$18:$A$21,0))="岩",Boss参数!$B$4="兽"),AND(INDEX(角色面板!$B$18:$B$21,MATCH(E83,角色面板!$A$18:$A$21,0))="兽",Boss参数!$B$4="木"),AND(INDEX(角色面板!$B$18:$B$21,MATCH(E83,角色面板!$A$18:$A$21,0))="木",Boss参数!$B$4="星"),AND(INDEX(角色面板!$B$18:$B$21,MATCH(E83,角色面板!$A$18:$A$21,0))="智",Boss参数!$B$4="灵"),AND(INDEX(角色面板!$B$18:$B$21,MATCH(E83,角色面板!$A$18:$A$21,0))="灵",Boss参数!$B$4="智"))),1,0))</f>
        <v>1</v>
      </c>
      <c r="DU83" s="1">
        <f>IF(D83="",0,INDEX(回合状态!$E$7:$E$17,MATCH(DG83,回合状态!$A$7:$A$17,0))+IF(AND(DH83="敌方",OR(INDEX(回合状态!$C$7:$C$17,MATCH(DG83,回合状态!$A$7:$A$17,0))="普通",INDEX(回合状态!$C$7:$C$17,MATCH(DG83,回合状态!$A$7:$A$17,0))="额外")),0.05,0))</f>
        <v>0.25</v>
      </c>
      <c r="DV83" s="1">
        <f>MAX(Boss参数!$B$28,1+IF(AND(E83="37",AC83&gt;0,BH83&gt;0),Boss参数!$B$42,0)-DI83*Boss参数!$B$24+EA83-ER83)</f>
        <v>0.79999999999999993</v>
      </c>
      <c r="DW83" s="1">
        <f>MIN(IF(Boss参数!$B$77=1,Boss参数!$B$63*Boss参数!$B$62,Boss参数!$B$61*Boss参数!$B$62),ROUNDDOWN(BQ83*(1-ES83),0))</f>
        <v>4485</v>
      </c>
      <c r="DX83" s="1">
        <f>MIN(IF(Boss参数!$B$77=1,Boss参数!$B$63*Boss参数!$B$62,Boss参数!$B$61*Boss参数!$B$62),ROUNDDOWN(BR83*(1-ES83),0))</f>
        <v>10666</v>
      </c>
      <c r="DY83" s="1">
        <f t="shared" si="135"/>
        <v>250</v>
      </c>
      <c r="DZ83" s="1">
        <f>IF(L83="RHI_ULT",MIN(Boss参数!$B$48,ROUNDDOWN(AY83*Boss参数!$B$47,0)),DY83)</f>
        <v>250</v>
      </c>
      <c r="EA83" s="1">
        <v>0</v>
      </c>
      <c r="EB83" s="1">
        <f t="shared" si="104"/>
        <v>0</v>
      </c>
      <c r="EC83" s="1">
        <f>SUMIFS($EB$3:EB83,$B$3:B83,"&gt;="&amp;MAX(1,B83-2),$B$3:B83,"&lt;="&amp;B83)*Boss参数!$B$51</f>
        <v>16</v>
      </c>
      <c r="ED83" s="1">
        <f>IF(D83="",EG82,IF(AND(DG83&lt;&gt;DG82,DH83&lt;&gt;"洞穿"),MIN(Boss参数!$B$55,EG82+2),EG82))</f>
        <v>1</v>
      </c>
      <c r="EE83" s="1">
        <f t="shared" si="105"/>
        <v>0</v>
      </c>
      <c r="EF83" s="1">
        <f>IF(AND(OR(L83="END_TURN",AND(DH83="敌方",OR(DH82&lt;&gt;"敌方",DG83&lt;&gt;DG82))),SUMIFS($EF$3:EF82,$DG$3:DG82,DG83)=0),MIN(1,MAX(0,ED83-EE83)),0)</f>
        <v>0</v>
      </c>
      <c r="EG83" s="1">
        <f t="shared" si="106"/>
        <v>1</v>
      </c>
      <c r="EH83" s="1">
        <f>Boss参数!$B$53-IF(Y83=1,Boss参数!$B$54,0)</f>
        <v>0</v>
      </c>
      <c r="EI83" s="1">
        <f t="shared" si="107"/>
        <v>0.3</v>
      </c>
      <c r="EJ83" s="1">
        <f t="shared" si="108"/>
        <v>0.3</v>
      </c>
      <c r="EK83" s="1">
        <f t="shared" si="109"/>
        <v>1</v>
      </c>
      <c r="EL83" s="1">
        <f t="shared" si="136"/>
        <v>0</v>
      </c>
      <c r="EM83" s="1">
        <f>IF(AND(DG83&lt;&gt;DG82,DH83="洞穿"),0,IF(L83="ENTER_INSIGHT",Boss参数!$B$57,EO82))</f>
        <v>0</v>
      </c>
      <c r="EN83" s="1">
        <f>IF(AND(Y83=1,H83="洞知",EM83&gt;0),Boss参数!$B$56,0)</f>
        <v>0</v>
      </c>
      <c r="EO83" s="1">
        <f t="shared" si="110"/>
        <v>0</v>
      </c>
      <c r="EP83" s="1">
        <f t="shared" si="137"/>
        <v>14209335</v>
      </c>
      <c r="EQ83" s="1">
        <f>ROUNDDOWN(EP83/Boss参数!$B$62,0)</f>
        <v>142</v>
      </c>
      <c r="ER83" s="1">
        <f>IF(EQ83&gt;=Boss参数!$B$66,Boss参数!$B$69,IF(EQ83&gt;=Boss参数!$B$65,Boss参数!$B$68,IF(EQ83&gt;=Boss参数!$B$64,Boss参数!$B$67,0)))</f>
        <v>0.9</v>
      </c>
      <c r="ES83" s="1">
        <f>MIN(1,IF(EQ83&gt;=Boss参数!$B$66,Boss参数!$B$72+ROUNDDOWN((EQ83-Boss参数!$B$66)/Boss参数!$B$73,0)*Boss参数!$B$74,IF(EQ83&gt;=Boss参数!$B$65,Boss参数!$B$71,IF(EQ83&gt;=Boss参数!$B$64,Boss参数!$B$70,0))))</f>
        <v>0.6</v>
      </c>
      <c r="ET83" s="1">
        <f>MIN(Boss参数!$B$61*Boss参数!$B$62,EP83+IF(AND(Boss参数!$B$60=1,ISNUMBER(验证表!H89)),验证表!H89,EU83))</f>
        <v>14226691</v>
      </c>
      <c r="EU83" s="1">
        <f>IF(D83="",0,IF(验证表!G89="是",BV83,IF(验证表!G89="否",BU83,BW83)))</f>
        <v>17356</v>
      </c>
      <c r="EV83" s="1">
        <f>IF(EQ83&gt;=Boss参数!$B$66,2,IF(EQ83&gt;=Boss参数!$B$65,1,0))</f>
        <v>2</v>
      </c>
      <c r="EW83" s="1">
        <f t="shared" si="111"/>
        <v>3</v>
      </c>
      <c r="EX83" s="1">
        <f>IF(D83="",0,INDEX(回合状态!$D$7:$D$17,MATCH(DG83,回合状态!$A$7:$A$17,0)))</f>
        <v>5</v>
      </c>
      <c r="EY83" s="1">
        <f>IF(OR(L83="RHI_ATTACK",L83="RHI_BUFF"),1,IF(L83="RHI_ULT",Boss参数!$B$52,0))</f>
        <v>0</v>
      </c>
      <c r="EZ83" s="1">
        <f>MIN(6,SUMIFS($EY$3:EY83,$EX$3:EX83,"&gt;="&amp;MAX(1,EX83-Boss参数!$B$87+1),$EX$3:EX83,"&lt;="&amp;EX83))</f>
        <v>6</v>
      </c>
      <c r="FA83" s="1">
        <f t="shared" si="138"/>
        <v>35</v>
      </c>
      <c r="FB83" s="17">
        <f>IF(L83="BOSS_CONSERVATIVE",B83+Boss参数!$B$91,FB82)</f>
        <v>0</v>
      </c>
      <c r="FC83" s="17">
        <f t="shared" si="139"/>
        <v>0</v>
      </c>
      <c r="FD83" s="17">
        <f>IF(D83="",FD82,FD82+IF(AND(DG83&lt;&gt;DG82,INDEX(回合状态!$C$7:$C$17,MATCH(DG83,回合状态!$A$7:$A$17,0))&lt;&gt;"洞穿"),1,0))</f>
        <v>6</v>
      </c>
      <c r="FE83" s="17">
        <f>IF(D83="",0,IF(AND(OR(L83="END_TURN",DH83="敌方"),INDEX(回合状态!$C$7:$C$17,MATCH(DG83,回合状态!$A$7:$A$17,0))&lt;&gt;"洞穿",SUMIFS($FE$3:FE82,$DG$3:DG82,DG83)=0),1,0))</f>
        <v>0</v>
      </c>
    </row>
    <row r="84" spans="1:161" ht="84.95" customHeight="1">
      <c r="A84" s="1">
        <f>行动模拟!A90</f>
        <v>82</v>
      </c>
      <c r="B84" s="1">
        <f>IF(D84="",0,INDEX(回合状态!$B$7:$B$17,MATCH(DG84,回合状态!$A$7:$A$17,0)))</f>
        <v>5</v>
      </c>
      <c r="C84" s="1">
        <f>行动模拟!C90</f>
        <v>6</v>
      </c>
      <c r="D84" s="1" t="str">
        <f>IF(行动模拟!D90="","",行动模拟!D90)</f>
        <v>红弩箭｜眼镜蛇机动Ⅱ</v>
      </c>
      <c r="E84" s="1" t="str">
        <f>IF($D84="","",IFERROR(INDEX(技能数据库!$B$4:$B$38,MATCH($D84,技能数据库!$A$4:$A$38,0)),""))</f>
        <v>红弩箭</v>
      </c>
      <c r="F84" s="1" t="str">
        <f>IF($D84="","",IFERROR(INDEX(技能数据库!$C$4:$C$38,MATCH($D84,技能数据库!$A$4:$A$38,0)),""))</f>
        <v>眼镜蛇机动</v>
      </c>
      <c r="G84" s="1">
        <f>IF($D84="","",IFERROR(INDEX(技能数据库!$D$4:$D$38,MATCH($D84,技能数据库!$A$4:$A$38,0)),""))</f>
        <v>2</v>
      </c>
      <c r="H84" s="1" t="str">
        <f>IF($D84="","",IFERROR(INDEX(技能数据库!$E$4:$E$38,MATCH($D84,技能数据库!$A$4:$A$38,0)),""))</f>
        <v>增益</v>
      </c>
      <c r="I84" s="1" t="str">
        <f>IF($D84="","",IFERROR(INDEX(技能数据库!$F$4:$F$38,MATCH($D84,技能数据库!$A$4:$A$38,0)),""))</f>
        <v>无</v>
      </c>
      <c r="J84" s="1">
        <f>IF($D84="","",IFERROR(INDEX(技能数据库!$G$4:$G$38,MATCH($D84,技能数据库!$A$4:$A$38,0)),""))</f>
        <v>0</v>
      </c>
      <c r="K84" s="1">
        <f>IF($D84="","",IFERROR(INDEX(技能数据库!$H$4:$H$38,MATCH($D84,技能数据库!$A$4:$A$38,0)),""))</f>
        <v>0</v>
      </c>
      <c r="L84" s="1" t="str">
        <f>IF($D84="","",IFERROR(INDEX(技能数据库!$I$4:$I$38,MATCH($D84,技能数据库!$A$4:$A$38,0)),""))</f>
        <v>LILYA_COBRA</v>
      </c>
      <c r="M84" s="1">
        <v>1</v>
      </c>
      <c r="N84" s="1"/>
      <c r="O84" s="1"/>
      <c r="P84" s="1"/>
      <c r="Q84" s="1">
        <f t="shared" si="70"/>
        <v>0</v>
      </c>
      <c r="R84" s="1">
        <v>0</v>
      </c>
      <c r="S84" s="1">
        <v>0</v>
      </c>
      <c r="T84" s="1" t="str">
        <f>行动模拟!I90</f>
        <v>2阶，提供的弹药装填是1阶的2倍</v>
      </c>
      <c r="U84" s="1">
        <f>IF(FD84&lt;&gt;FD83,IF(BY83=1,IF(MIN(10,CA83+IF(AND(DG84&lt;&gt;DG83,DH83&lt;&gt;"洞穿",SUMIFS($FE$3:FE83,$DG$3:DG83,DG83)=0,BY83=1),3,0))&gt;=10,2,1),IF(BY83=2,IF(BZ83&lt;=1,0,2),0)),BY83)</f>
        <v>1</v>
      </c>
      <c r="V84" s="1">
        <f>IF(FD84&lt;&gt;FD83,IF(BY83=1,IF(MIN(10,CA83+IF(AND(DG84&lt;&gt;DG83,DH83&lt;&gt;"洞穿",SUMIFS($FE$3:FE83,$DG$3:DG83,DG83)=0,BY83=1),3,0))&gt;=10,2,0),IF(BY83=2,MAX(0,BZ83-1),0)),BZ83)</f>
        <v>0</v>
      </c>
      <c r="W84" s="1">
        <f>IF(AND(FD84&lt;&gt;FD83,BY83=2,BZ83&lt;=1),0,MIN(10,CA83+IF(AND(DG84&lt;&gt;DG83,DH83&lt;&gt;"洞穿",SUMIFS($FE$3:FE83,$DG$3:DG83,DG83)=0,BY83=1),3,0)))</f>
        <v>8</v>
      </c>
      <c r="X84" s="1">
        <f t="shared" si="112"/>
        <v>6</v>
      </c>
      <c r="Y84" s="1">
        <f t="shared" si="113"/>
        <v>0</v>
      </c>
      <c r="Z84" s="1">
        <f t="shared" si="114"/>
        <v>0</v>
      </c>
      <c r="AA84" s="1">
        <f t="shared" si="115"/>
        <v>0</v>
      </c>
      <c r="AB84" s="1">
        <f t="shared" si="116"/>
        <v>0</v>
      </c>
      <c r="AC84" s="1">
        <f t="shared" si="117"/>
        <v>0</v>
      </c>
      <c r="AD84" s="1">
        <f t="shared" si="118"/>
        <v>35</v>
      </c>
      <c r="AE84" s="1">
        <f>IF(D84="",0,IF(DG84&lt;&gt;DG83,IFERROR(INDEX(回合状态!$F$7:$F$17,MATCH(DG84,回合状态!$A$7:$A$17,0)),0),CI83))</f>
        <v>15</v>
      </c>
      <c r="AF84" s="1">
        <f t="shared" si="119"/>
        <v>0.875</v>
      </c>
      <c r="AG84" s="1">
        <f t="shared" si="120"/>
        <v>6</v>
      </c>
      <c r="AH84" s="1">
        <f t="shared" si="121"/>
        <v>7</v>
      </c>
      <c r="AI84" s="1">
        <f t="shared" si="122"/>
        <v>6</v>
      </c>
      <c r="AJ84" s="1">
        <f t="shared" si="123"/>
        <v>7</v>
      </c>
      <c r="AK84" s="1">
        <f t="shared" si="124"/>
        <v>6</v>
      </c>
      <c r="AL84" s="1">
        <f t="shared" si="125"/>
        <v>3</v>
      </c>
      <c r="AM84" s="1">
        <f t="shared" si="126"/>
        <v>30</v>
      </c>
      <c r="AN84" s="1">
        <f t="shared" si="127"/>
        <v>6</v>
      </c>
      <c r="AO84" s="1">
        <f t="shared" si="128"/>
        <v>0</v>
      </c>
      <c r="AP84" s="1">
        <f t="shared" si="129"/>
        <v>0.12</v>
      </c>
      <c r="AQ84" s="1">
        <f t="shared" si="130"/>
        <v>6</v>
      </c>
      <c r="AR84" s="1">
        <f t="shared" si="131"/>
        <v>0.3</v>
      </c>
      <c r="AS84" s="1">
        <f t="shared" si="132"/>
        <v>6</v>
      </c>
      <c r="AT84" s="1">
        <f t="shared" si="133"/>
        <v>0.3</v>
      </c>
      <c r="AU84" s="1">
        <f t="shared" si="134"/>
        <v>7</v>
      </c>
      <c r="AV84" s="1">
        <f>MIN(5,SUMIFS($EL$3:EL84,$B$3:B84,"&gt;="&amp;MAX(1,B84-2),$B$3:B84,"&lt;="&amp;B84)+EC84)</f>
        <v>5</v>
      </c>
      <c r="AW84" s="1">
        <f>MIN(6,SUMIFS($EY$3:EY83,$EX$3:EX83,"&gt;="&amp;MAX(1,EX84-Boss参数!$B$87+1),$EX$3:EX83,"&lt;="&amp;EX84))</f>
        <v>6</v>
      </c>
      <c r="AX84" s="1">
        <f>MIN(4,COUNTIFS($B$3:$B$83,"&gt;="&amp;MAX(1,$B84-2),$B$3:$B$83,"&lt;="&amp;$B84,$L$3:$L$83,"37_FOLLOW"))</f>
        <v>4</v>
      </c>
      <c r="AY84" s="1">
        <f>IF($E84="","",IF($E84="系统",0,ROUNDDOWN(INDEX(角色面板!$C$4:$C$7,MATCH($E84,角色面板!$A$4:$A$7,0))*(1+INDEX(角色面板!$C$11:$C$14,MATCH($E84,角色面板!$A$11:$A$14,0))+IF($E84="小瑞安侬",MAX(IF($B84&lt;=$AQ84,$AP84,0),IF(AND($L84="RHI_ATTACK",$EE84&gt;0),0.11+0.01*$G84,0)),0)+IF($E84="J",$AD84*Boss参数!$B$18,0))+IF(FD84&lt;=$AN84,MIN(Boss参数!$B$21,ROUNDDOWN(角色面板!$C$19*Boss参数!$B$20,0)),0)+IF(AND($B84&lt;=$AK84,$E84&lt;&gt;"小瑞安侬"),$DY84,0),0)))</f>
        <v>3505</v>
      </c>
      <c r="AZ84" s="1">
        <f>IF($E84="","",MAX(0,MIN(1,IFERROR(INDEX(角色面板!$G$18:$G$21,MATCH($E84,角色面板!$A$18:$A$21,0)),0)-FC84*Boss参数!$B$89-Boss参数!$E$4)))</f>
        <v>1</v>
      </c>
      <c r="BA84" s="1">
        <f>IF(E84="","",(IF($E84="","",IF($E84="红弩箭",Boss参数!$B$80,IF($E84="J",Boss参数!$B$81,IFERROR(INDEX(角色面板!$H$18:$H$21,MATCH($E84,角色面板!$A$18:$A$21,0)),0)))+IF($B84&lt;=$AI84,Boss参数!$B$13,0)+MIN(30,$AM84)*Boss参数!$B$17+IF(AND($L84="LILYA_ULT",$X84&gt;=6),1,0)+IF(AND($Y84=1,$L84="LILYA_INSIGHT"),IF(MOD($AA84+1,3)=0,Boss参数!$B$83,Boss参数!$B$82),IF(AND($Y84=1,$L84="LILYA_FINISH"),Boss参数!$B$84,0))))-FC84*Boss参数!$B$90)</f>
        <v>2.3050000000000002</v>
      </c>
      <c r="BB84" s="1">
        <f>IF($E84="","",IFERROR(INDEX(角色面板!$M$18:$M$21,MATCH($E84,角色面板!$A$18:$A$21,0)),0)+$AW84*Boss参数!$B$12+IF($B84&lt;=$AG84,$AF84,0)+$EI84+IF($L84="LILYA_DIVE",IF($U84=1,IF($G84=1,0.3,IF($G84=2,0.4,0.5)),IF($U84=2,IF($G84=1,0.6,IF($G84=2,0.8,1)),0)),0)+$R84+IF(AND($E84="J",OR($L84="J_COUNTER",$L84="J_HARD")),Boss参数!$B$79,0)+IF(AND(OR(L84="J_COUNTER",L84="J_HARD"),FA84&gt;=Boss参数!$B$59),FA84*Boss参数!$B$40,0))</f>
        <v>1.5349999999999999</v>
      </c>
      <c r="BC84" s="1">
        <f>IF($E84="","",IFERROR(INDEX(角色面板!$K$18:$K$21,MATCH($E84,角色面板!$A$18:$A$21,0)),0)+IF($B84&lt;=$AH84,Boss参数!$B$46,0)+IF($E84="红弩箭",IF($U84=1,0.6,IF($U84=2,1.2,0))+$W84*0.06,0))-DI84*Boss参数!$B$23</f>
        <v>0.22999999999999998</v>
      </c>
      <c r="BD84" s="1">
        <f>IF($E84="","",IFERROR(INDEX(角色面板!$L$18:$L$21,MATCH($E84,角色面板!$A$18:$A$21,0)),0)+IF($B84&lt;=$AH84,Boss参数!$B$46,0)+IF($E84="J",$AL84*Boss参数!$B$16,0)+IF($E84="红弩箭",$X84*0.025,0)+IF(AND($L84="LILYA_ULT",$X84&gt;=6),1,0))-DI84*Boss参数!$B$23</f>
        <v>-0.3</v>
      </c>
      <c r="BE84" s="1">
        <f>IF($E84="","",IF($H84="洞知",IF($E84="红弩箭",$AO84*Boss参数!$B$15,0)+$AX84*Boss参数!$B$14,0))</f>
        <v>0</v>
      </c>
      <c r="BF84" s="1">
        <f t="shared" si="71"/>
        <v>0</v>
      </c>
      <c r="BG84" s="1">
        <f>IF($D84="",0,IF(AND($L84&lt;&gt;"LILYA_DIVE",$L84&lt;&gt;"LILYA_ULT",$L84&lt;&gt;"LILYA_INSIGHT",$L84&lt;&gt;"LILYA_FINISH",$L84&lt;&gt;"37_FOLLOW",$L84&lt;&gt;"RHI_ATTACK",$L84&lt;&gt;"RHI_BERRY",$L84&lt;&gt;"J_COUNTER",$L84&lt;&gt;"J_ULT"),$J84,0)+IF($L84="LILYA_DIVE",$J84+IF($U84=1,IF($G84=1,6,IF($G84=2,12,18)),IF($U84=2,IF($G84=1,12,IF($G84=2,24,36)),0)),0)+IF($L84="LILYA_ULT",$J84+IF($X84&gt;=6,18,0),0)+IF($L84="LILYA_INSIGHT",IF($Y84=1,IF(MOD($AA84+1,3)=0,32,15),0),0)+IF($L84="LILYA_FINISH",IF($Y84=1,50+2.5*$Z84,0),0)+IF($L84="37_FOLLOW",$J84,0)+IF($L84="RHI_ATTACK",$J84*IF($B84&lt;=$AJ84,2,1),0)+IF($L84="RHI_BERRY",15+1.5*$AV84,0)+IF($L84="J_COUNTER",$J84+$AD84*Boss参数!$B$39,0)+IF($L84="J_ULT",$J84+Boss参数!$B$45*MAX(0,$AE84+$AD84-Boss参数!$I$4),0)+$S84)</f>
        <v>0</v>
      </c>
      <c r="BH84" s="1">
        <f t="shared" si="72"/>
        <v>0</v>
      </c>
      <c r="BI84" s="1">
        <f>IF(E84="","",IF(DT84=1,1+Boss参数!$B$8+AV84*Boss参数!$B$19,1))</f>
        <v>1.5</v>
      </c>
      <c r="BJ84" s="1">
        <f>IF($I84="现实",Boss参数!$C$4,IF($I84="精神",Boss参数!$D$4,0))</f>
        <v>0</v>
      </c>
      <c r="BK84" s="1">
        <f>IF($E84="","",MAX($AY84*Boss参数!$B$9,$AY84-$BJ84*(1-$BF84)))</f>
        <v>3505</v>
      </c>
      <c r="BL84" s="1">
        <f>MAX(0,Boss参数!$F$4+IF(DT84=0,Boss参数!$B$27,0)-EJ84)</f>
        <v>0.10000000000000003</v>
      </c>
      <c r="BM84" s="1">
        <f>Boss参数!$G$4+DU84-IF(Y84=1,Boss参数!$B$11,0)</f>
        <v>0.65</v>
      </c>
      <c r="BN84" s="1">
        <f>IF($E84="","",MAX(Boss参数!$B$10,1+IFERROR(INDEX(角色面板!$I$18:$I$21,MATCH($E84,角色面板!$A$18:$A$21,0)),0)+$BB84+Boss参数!$H$4-$BM84))</f>
        <v>1.9849999999999999</v>
      </c>
      <c r="BO84" s="1">
        <f>IF(E84="","",IF(OR(L84="J_COUNTER",L84="J_HARD"),MAX(0,1+INDEX(角色面板!$K$18:$K$21,MATCH(E84,角色面板!$A$18:$A$21,0))-DI84*Boss参数!$B$23+IF(OR(Boss参数!$B$43=1,L84="J_HARD"),IF(B84&lt;=AH84,Boss参数!$B$46,0),0)),MAX(0,IF(OR(H84="术法",L84="RHI_BERRY",AND(L84="37_FOLLOW",Boss参数!$B$31=1)),1+BC84,IF(H84="仪式",1+BD84,IF(H84="洞知",EK84,1))))))</f>
        <v>1</v>
      </c>
      <c r="BP84" s="1">
        <f t="shared" si="73"/>
        <v>2.2050000000000001</v>
      </c>
      <c r="BQ84" s="1">
        <f t="shared" si="74"/>
        <v>0</v>
      </c>
      <c r="BR84" s="1">
        <f t="shared" si="75"/>
        <v>0</v>
      </c>
      <c r="BS84" s="1">
        <f>IF(BH84=0,0,ROUNDDOWN(AY84*BH84,0)*DV84*IF(Boss参数!$B$29=1,BN84,1)*IF(Boss参数!$B$33=1,BO84,1)*IF(Boss参数!$B$76=1,1-ES84,1))</f>
        <v>0</v>
      </c>
      <c r="BT84" s="1">
        <f t="shared" si="76"/>
        <v>0</v>
      </c>
      <c r="BU84" s="1">
        <f>IF(D84="",0,MIN(IF(Boss参数!$B$77=1,Boss参数!$B$63*Boss参数!$B$62,Boss参数!$B$61*Boss参数!$B$62),DW84+ROUNDDOWN(BS84,0)+ROUNDDOWN(DW84*Q84,0)))</f>
        <v>0</v>
      </c>
      <c r="BV84" s="1">
        <f>IF(D84="",0,MIN(IF(Boss参数!$B$77=1,Boss参数!$B$63*Boss参数!$B$62,Boss参数!$B$61*Boss参数!$B$62),DX84+ROUNDDOWN(BT84,0)+ROUNDDOWN(DX84*Q84,0)))</f>
        <v>0</v>
      </c>
      <c r="BW84" s="1">
        <f t="shared" si="77"/>
        <v>0</v>
      </c>
      <c r="BX84" s="1" t="str">
        <f t="shared" si="78"/>
        <v/>
      </c>
      <c r="BY84" s="1">
        <f t="shared" si="79"/>
        <v>1</v>
      </c>
      <c r="BZ84" s="1">
        <f t="shared" si="80"/>
        <v>0</v>
      </c>
      <c r="CA84" s="1">
        <f>MIN(10,W84+IF(AND(L84="LILYA_COBRA",COUNTIF($L$3:L84,"LILYA_COBRA")=1),5,0)+IF(AND(L84="LILYA_DIVE",U84=1,COUNTIFS($DG$3:DG84,DG84,$L$3:L84,"LILYA_DIVE")=1),2,0)+IF(AND(FE84=1,U84=1),3,0))</f>
        <v>8</v>
      </c>
      <c r="CB84" s="1">
        <f>MIN(20,MAX(0,X84+IF(L84="LILYA_COBRA",IF(COUNTIF($L$3:L84,"LILYA_COBRA")=1,6,IF(U84=1,MAX(1,G84),IF(U84=2,2*MAX(1,G84),0))),0)+IF(AND(Y84=1,E84="红弩箭",L84&lt;&gt;"ENTER_INSIGHT"),1,0)-IF(AND(L84="LILYA_ULT",X84&gt;=6),6,0)))</f>
        <v>8</v>
      </c>
      <c r="CC84" s="1">
        <f t="shared" si="81"/>
        <v>0</v>
      </c>
      <c r="CD84" s="1">
        <f t="shared" si="82"/>
        <v>0</v>
      </c>
      <c r="CE84" s="1">
        <f t="shared" si="83"/>
        <v>0</v>
      </c>
      <c r="CF84" s="1">
        <f t="shared" si="84"/>
        <v>1</v>
      </c>
      <c r="CG84" s="1">
        <f t="shared" si="85"/>
        <v>0</v>
      </c>
      <c r="CH84" s="1">
        <f>MIN(35,AD84+IF(L84="J_HARD",6,0)+IF(L84="J_COUNTER",Boss参数!$B$30,0))</f>
        <v>35</v>
      </c>
      <c r="CI84" s="1">
        <f>MIN(Boss参数!$I$4,AE84+IF(L84="J_HARD",6,0)+IF(L84="J_ULT",AD84,0)+IF(L84="J_COUNTER",Boss参数!$B$30,0))</f>
        <v>15</v>
      </c>
      <c r="CJ84" s="1">
        <f>IF(L84="J_ULT",AD84*Boss参数!$B$41,IF(B84&lt;=AG84,AF84,0))</f>
        <v>0.875</v>
      </c>
      <c r="CK84" s="1">
        <f t="shared" si="86"/>
        <v>6</v>
      </c>
      <c r="CL84" s="1">
        <f t="shared" si="87"/>
        <v>7</v>
      </c>
      <c r="CM84" s="1">
        <f t="shared" si="88"/>
        <v>6</v>
      </c>
      <c r="CN84" s="1">
        <f t="shared" si="89"/>
        <v>7</v>
      </c>
      <c r="CO84" s="1">
        <f t="shared" si="90"/>
        <v>6</v>
      </c>
      <c r="CP84" s="1">
        <f t="shared" si="91"/>
        <v>3</v>
      </c>
      <c r="CQ84" s="1">
        <f t="shared" si="92"/>
        <v>30</v>
      </c>
      <c r="CR84" s="1">
        <f t="shared" si="93"/>
        <v>6</v>
      </c>
      <c r="CS84" s="1">
        <f t="shared" si="94"/>
        <v>0</v>
      </c>
      <c r="CT84" s="1">
        <f t="shared" si="95"/>
        <v>0.12</v>
      </c>
      <c r="CU84" s="1">
        <f t="shared" si="96"/>
        <v>6</v>
      </c>
      <c r="CV84" s="1">
        <f t="shared" si="97"/>
        <v>0.3</v>
      </c>
      <c r="CW84" s="1">
        <f t="shared" si="98"/>
        <v>6</v>
      </c>
      <c r="CX84" s="1">
        <f t="shared" si="99"/>
        <v>0.3</v>
      </c>
      <c r="CY84" s="1">
        <f t="shared" si="100"/>
        <v>7</v>
      </c>
      <c r="CZ84" s="1"/>
      <c r="DA84" s="1"/>
      <c r="DB84" s="1"/>
      <c r="DC84" s="1"/>
      <c r="DD84" s="1"/>
      <c r="DE84" s="1"/>
      <c r="DF84" s="1"/>
      <c r="DG84" s="1">
        <f>IF(D84="","",行动模拟!B90)</f>
        <v>5</v>
      </c>
      <c r="DH84" s="1" t="str">
        <f>IF(L84="END_TURN","回合结束",IF(D84="","",IF(INDEX(回合状态!$C$7:$C$17,MATCH(DG84,回合状态!$A$7:$A$17,0))="洞穿","洞穿",IF(OR(L84="J_COUNTER",L84="BOSS_ACTION",L84="BOSS_CONSERVATIVE"),"敌方",IF(AND(L84="37_FOLLOW",DG84=DG83,DH83="敌方"),"敌方",IF(INDEX(回合状态!$C$7:$C$17,MATCH(DG84,回合状态!$A$7:$A$17,0))="普通","出牌",INDEX(回合状态!$C$7:$C$17,MATCH(DG84,回合状态!$A$7:$A$17,0))))))))</f>
        <v>出牌</v>
      </c>
      <c r="DI84" s="1">
        <f t="shared" si="101"/>
        <v>5</v>
      </c>
      <c r="DJ84" s="1">
        <f>IF(D84="",0,MIN(Boss参数!$B$25,IF(OR(AND(DH84="敌方",OR(DH83&lt;&gt;"敌方",DG84&lt;&gt;DG83)),AND(L84="END_TURN",DH84&lt;&gt;"洞穿"),AND(DG84&lt;&gt;DG83,DH83&lt;&gt;"洞穿",L83&lt;&gt;"END_TURN",COUNTIFS($DG$3:DG83,DG83,$DH$3:DH83,"敌方")=0)),EW84,DN83)))</f>
        <v>5</v>
      </c>
      <c r="DK84" s="1">
        <f>IF(D84="",0,MIN(Boss参数!$B$25,IF(OR(AND(DH84="敌方",OR(DH83&lt;&gt;"敌方",DG84&lt;&gt;DG83)),AND(L84="END_TURN",DH84&lt;&gt;"洞穿"),AND(DG84&lt;&gt;DG83,DH83&lt;&gt;"洞穿",L83&lt;&gt;"END_TURN",COUNTIFS($DG$3:DG83,DG83,$DH$3:DH83,"敌方")=0)),EW84,DO83)))</f>
        <v>1</v>
      </c>
      <c r="DL84" s="1">
        <f>IF(D84="",0,MIN(Boss参数!$B$25,IF(OR(AND(DH84="敌方",OR(DH83&lt;&gt;"敌方",DG84&lt;&gt;DG83)),AND(L84="END_TURN",DH84&lt;&gt;"洞穿"),AND(DG84&lt;&gt;DG83,DH83&lt;&gt;"洞穿",L83&lt;&gt;"END_TURN",COUNTIFS($DG$3:DG83,DG83,$DH$3:DH83,"敌方")=0)),EW84,DP83)))</f>
        <v>5</v>
      </c>
      <c r="DM84" s="1">
        <f>IF(D84="",0,MIN(Boss参数!$B$25,IF(OR(AND(DH84="敌方",OR(DH83&lt;&gt;"敌方",DG84&lt;&gt;DG83)),AND(L84="END_TURN",DH84&lt;&gt;"洞穿"),AND(DG84&lt;&gt;DG83,DH83&lt;&gt;"洞穿",L83&lt;&gt;"END_TURN",COUNTIFS($DG$3:DG83,DG83,$DH$3:DH83,"敌方")=0)),EW84,DQ83)))</f>
        <v>4</v>
      </c>
      <c r="DN84" s="1">
        <f>MAX(0,MIN(Boss参数!$B$25,DJ84+DR84)-IF(E84="红弩箭",2*DR84,0))</f>
        <v>5</v>
      </c>
      <c r="DO84" s="1">
        <f>MAX(0,MIN(Boss参数!$B$25,DK84+DR84)-IF(E84="37",2*DR84,0))</f>
        <v>1</v>
      </c>
      <c r="DP84" s="1">
        <f>MAX(0,MIN(Boss参数!$B$25,DL84+DR84)-IF(E84="小瑞安侬",2*DR84,0))</f>
        <v>5</v>
      </c>
      <c r="DQ84" s="1">
        <f>MAX(0,MIN(Boss参数!$B$25,DM84+DR84)-IF(E84="J",2*DR84,0))</f>
        <v>4</v>
      </c>
      <c r="DR84" s="1">
        <f t="shared" si="102"/>
        <v>0</v>
      </c>
      <c r="DS84" s="1">
        <f t="shared" si="103"/>
        <v>0</v>
      </c>
      <c r="DT84" s="1">
        <f>IF(OR(E84="",E84="系统"),0,IF(OR(AND(DS84=1,Boss参数!$B$32=1),L84="RHI_BERRY",OR(AND(INDEX(角色面板!$B$18:$B$21,MATCH(E84,角色面板!$A$18:$A$21,0))="星",Boss参数!$B$4="岩"),AND(INDEX(角色面板!$B$18:$B$21,MATCH(E84,角色面板!$A$18:$A$21,0))="岩",Boss参数!$B$4="兽"),AND(INDEX(角色面板!$B$18:$B$21,MATCH(E84,角色面板!$A$18:$A$21,0))="兽",Boss参数!$B$4="木"),AND(INDEX(角色面板!$B$18:$B$21,MATCH(E84,角色面板!$A$18:$A$21,0))="木",Boss参数!$B$4="星"),AND(INDEX(角色面板!$B$18:$B$21,MATCH(E84,角色面板!$A$18:$A$21,0))="智",Boss参数!$B$4="灵"),AND(INDEX(角色面板!$B$18:$B$21,MATCH(E84,角色面板!$A$18:$A$21,0))="灵",Boss参数!$B$4="智"))),1,0))</f>
        <v>1</v>
      </c>
      <c r="DU84" s="1">
        <f>IF(D84="",0,INDEX(回合状态!$E$7:$E$17,MATCH(DG84,回合状态!$A$7:$A$17,0))+IF(AND(DH84="敌方",OR(INDEX(回合状态!$C$7:$C$17,MATCH(DG84,回合状态!$A$7:$A$17,0))="普通",INDEX(回合状态!$C$7:$C$17,MATCH(DG84,回合状态!$A$7:$A$17,0))="额外")),0.05,0))</f>
        <v>0.25</v>
      </c>
      <c r="DV84" s="1">
        <f>MAX(Boss参数!$B$28,1+IF(AND(E84="37",AC84&gt;0,BH84&gt;0),Boss参数!$B$42,0)-DI84*Boss参数!$B$24+EA84-ER84)</f>
        <v>0</v>
      </c>
      <c r="DW84" s="1">
        <f>MIN(IF(Boss参数!$B$77=1,Boss参数!$B$63*Boss参数!$B$62,Boss参数!$B$61*Boss参数!$B$62),ROUNDDOWN(BQ84*(1-ES84),0))</f>
        <v>0</v>
      </c>
      <c r="DX84" s="1">
        <f>MIN(IF(Boss参数!$B$77=1,Boss参数!$B$63*Boss参数!$B$62,Boss参数!$B$61*Boss参数!$B$62),ROUNDDOWN(BR84*(1-ES84),0))</f>
        <v>0</v>
      </c>
      <c r="DY84" s="1">
        <f t="shared" si="135"/>
        <v>250</v>
      </c>
      <c r="DZ84" s="1">
        <f>IF(L84="RHI_ULT",MIN(Boss参数!$B$48,ROUNDDOWN(AY84*Boss参数!$B$47,0)),DY84)</f>
        <v>250</v>
      </c>
      <c r="EA84" s="1">
        <v>0</v>
      </c>
      <c r="EB84" s="1">
        <f t="shared" si="104"/>
        <v>0</v>
      </c>
      <c r="EC84" s="1">
        <f>SUMIFS($EB$3:EB84,$B$3:B84,"&gt;="&amp;MAX(1,B84-2),$B$3:B84,"&lt;="&amp;B84)*Boss参数!$B$51</f>
        <v>16</v>
      </c>
      <c r="ED84" s="1">
        <f>IF(D84="",EG83,IF(AND(DG84&lt;&gt;DG83,DH84&lt;&gt;"洞穿"),MIN(Boss参数!$B$55,EG83+2),EG83))</f>
        <v>1</v>
      </c>
      <c r="EE84" s="1">
        <f t="shared" si="105"/>
        <v>0</v>
      </c>
      <c r="EF84" s="1">
        <f>IF(AND(OR(L84="END_TURN",AND(DH84="敌方",OR(DH83&lt;&gt;"敌方",DG84&lt;&gt;DG83))),SUMIFS($EF$3:EF83,$DG$3:DG83,DG84)=0),MIN(1,MAX(0,ED84-EE84)),0)</f>
        <v>0</v>
      </c>
      <c r="EG84" s="1">
        <f t="shared" si="106"/>
        <v>1</v>
      </c>
      <c r="EH84" s="1">
        <f>Boss参数!$B$53-IF(Y84=1,Boss参数!$B$54,0)</f>
        <v>0</v>
      </c>
      <c r="EI84" s="1">
        <f t="shared" si="107"/>
        <v>0.3</v>
      </c>
      <c r="EJ84" s="1">
        <f t="shared" si="108"/>
        <v>0.3</v>
      </c>
      <c r="EK84" s="1">
        <f t="shared" si="109"/>
        <v>1</v>
      </c>
      <c r="EL84" s="1">
        <f t="shared" si="136"/>
        <v>0</v>
      </c>
      <c r="EM84" s="1">
        <f>IF(AND(DG84&lt;&gt;DG83,DH84="洞穿"),0,IF(L84="ENTER_INSIGHT",Boss参数!$B$57,EO83))</f>
        <v>0</v>
      </c>
      <c r="EN84" s="1">
        <f>IF(AND(Y84=1,H84="洞知",EM84&gt;0),Boss参数!$B$56,0)</f>
        <v>0</v>
      </c>
      <c r="EO84" s="1">
        <f t="shared" si="110"/>
        <v>0</v>
      </c>
      <c r="EP84" s="1">
        <f t="shared" si="137"/>
        <v>14226691</v>
      </c>
      <c r="EQ84" s="1">
        <f>ROUNDDOWN(EP84/Boss参数!$B$62,0)</f>
        <v>142</v>
      </c>
      <c r="ER84" s="1">
        <f>IF(EQ84&gt;=Boss参数!$B$66,Boss参数!$B$69,IF(EQ84&gt;=Boss参数!$B$65,Boss参数!$B$68,IF(EQ84&gt;=Boss参数!$B$64,Boss参数!$B$67,0)))</f>
        <v>0.9</v>
      </c>
      <c r="ES84" s="1">
        <f>MIN(1,IF(EQ84&gt;=Boss参数!$B$66,Boss参数!$B$72+ROUNDDOWN((EQ84-Boss参数!$B$66)/Boss参数!$B$73,0)*Boss参数!$B$74,IF(EQ84&gt;=Boss参数!$B$65,Boss参数!$B$71,IF(EQ84&gt;=Boss参数!$B$64,Boss参数!$B$70,0))))</f>
        <v>0.6</v>
      </c>
      <c r="ET84" s="1">
        <f>MIN(Boss参数!$B$61*Boss参数!$B$62,EP84+IF(AND(Boss参数!$B$60=1,ISNUMBER(验证表!H90)),验证表!H90,EU84))</f>
        <v>14226691</v>
      </c>
      <c r="EU84" s="1">
        <f>IF(D84="",0,IF(验证表!G90="是",BV84,IF(验证表!G90="否",BU84,BW84)))</f>
        <v>0</v>
      </c>
      <c r="EV84" s="1">
        <f>IF(EQ84&gt;=Boss参数!$B$66,2,IF(EQ84&gt;=Boss参数!$B$65,1,0))</f>
        <v>2</v>
      </c>
      <c r="EW84" s="1">
        <f t="shared" si="111"/>
        <v>3</v>
      </c>
      <c r="EX84" s="1">
        <f>IF(D84="",0,INDEX(回合状态!$D$7:$D$17,MATCH(DG84,回合状态!$A$7:$A$17,0)))</f>
        <v>5</v>
      </c>
      <c r="EY84" s="1">
        <f>IF(OR(L84="RHI_ATTACK",L84="RHI_BUFF"),1,IF(L84="RHI_ULT",Boss参数!$B$52,0))</f>
        <v>0</v>
      </c>
      <c r="EZ84" s="1">
        <f>MIN(6,SUMIFS($EY$3:EY84,$EX$3:EX84,"&gt;="&amp;MAX(1,EX84-Boss参数!$B$87+1),$EX$3:EX84,"&lt;="&amp;EX84))</f>
        <v>6</v>
      </c>
      <c r="FA84" s="1">
        <f t="shared" si="138"/>
        <v>35</v>
      </c>
      <c r="FB84" s="17">
        <f>IF(L84="BOSS_CONSERVATIVE",B84+Boss参数!$B$91,FB83)</f>
        <v>0</v>
      </c>
      <c r="FC84" s="17">
        <f t="shared" si="139"/>
        <v>0</v>
      </c>
      <c r="FD84" s="17">
        <f>IF(D84="",FD83,FD83+IF(AND(DG84&lt;&gt;DG83,INDEX(回合状态!$C$7:$C$17,MATCH(DG84,回合状态!$A$7:$A$17,0))&lt;&gt;"洞穿"),1,0))</f>
        <v>6</v>
      </c>
      <c r="FE84" s="17">
        <f>IF(D84="",0,IF(AND(OR(L84="END_TURN",DH84="敌方"),INDEX(回合状态!$C$7:$C$17,MATCH(DG84,回合状态!$A$7:$A$17,0))&lt;&gt;"洞穿",SUMIFS($FE$3:FE83,$DG$3:DG83,DG84)=0),1,0))</f>
        <v>0</v>
      </c>
    </row>
    <row r="85" spans="1:161" ht="84.95" customHeight="1">
      <c r="A85" s="1">
        <f>行动模拟!A91</f>
        <v>83</v>
      </c>
      <c r="B85" s="1">
        <f>IF(D85="",0,INDEX(回合状态!$B$7:$B$17,MATCH(DG85,回合状态!$A$7:$A$17,0)))</f>
        <v>5</v>
      </c>
      <c r="C85" s="1">
        <f>行动模拟!C91</f>
        <v>7</v>
      </c>
      <c r="D85" s="1" t="str">
        <f>IF(行动模拟!D91="","",行动模拟!D91)</f>
        <v>红弩箭｜极限俯冲Ⅰ</v>
      </c>
      <c r="E85" s="1" t="str">
        <f>IF($D85="","",IFERROR(INDEX(技能数据库!$B$4:$B$38,MATCH($D85,技能数据库!$A$4:$A$38,0)),""))</f>
        <v>红弩箭</v>
      </c>
      <c r="F85" s="1" t="str">
        <f>IF($D85="","",IFERROR(INDEX(技能数据库!$C$4:$C$38,MATCH($D85,技能数据库!$A$4:$A$38,0)),""))</f>
        <v>极限俯冲</v>
      </c>
      <c r="G85" s="1">
        <f>IF($D85="","",IFERROR(INDEX(技能数据库!$D$4:$D$38,MATCH($D85,技能数据库!$A$4:$A$38,0)),""))</f>
        <v>1</v>
      </c>
      <c r="H85" s="1" t="str">
        <f>IF($D85="","",IFERROR(INDEX(技能数据库!$E$4:$E$38,MATCH($D85,技能数据库!$A$4:$A$38,0)),""))</f>
        <v>术法</v>
      </c>
      <c r="I85" s="1" t="str">
        <f>IF($D85="","",IFERROR(INDEX(技能数据库!$F$4:$F$38,MATCH($D85,技能数据库!$A$4:$A$38,0)),""))</f>
        <v>现实</v>
      </c>
      <c r="J85" s="1">
        <f>IF($D85="","",IFERROR(INDEX(技能数据库!$G$4:$G$38,MATCH($D85,技能数据库!$A$4:$A$38,0)),""))</f>
        <v>3</v>
      </c>
      <c r="K85" s="1">
        <f>IF($D85="","",IFERROR(INDEX(技能数据库!$H$4:$H$38,MATCH($D85,技能数据库!$A$4:$A$38,0)),""))</f>
        <v>0</v>
      </c>
      <c r="L85" s="1" t="str">
        <f>IF($D85="","",IFERROR(INDEX(技能数据库!$I$4:$I$38,MATCH($D85,技能数据库!$A$4:$A$38,0)),""))</f>
        <v>LILYA_DIVE</v>
      </c>
      <c r="M85" s="1">
        <v>1</v>
      </c>
      <c r="N85" s="1"/>
      <c r="O85" s="1"/>
      <c r="P85" s="1"/>
      <c r="Q85" s="1">
        <f t="shared" si="70"/>
        <v>0</v>
      </c>
      <c r="R85" s="1">
        <v>0</v>
      </c>
      <c r="S85" s="1">
        <v>0</v>
      </c>
      <c r="T85" s="1">
        <f>行动模拟!I91</f>
        <v>0</v>
      </c>
      <c r="U85" s="1">
        <f>IF(FD85&lt;&gt;FD84,IF(BY84=1,IF(MIN(10,CA84+IF(AND(DG85&lt;&gt;DG84,DH84&lt;&gt;"洞穿",SUMIFS($FE$3:FE84,$DG$3:DG84,DG84)=0,BY84=1),3,0))&gt;=10,2,1),IF(BY84=2,IF(BZ84&lt;=1,0,2),0)),BY84)</f>
        <v>1</v>
      </c>
      <c r="V85" s="1">
        <f>IF(FD85&lt;&gt;FD84,IF(BY84=1,IF(MIN(10,CA84+IF(AND(DG85&lt;&gt;DG84,DH84&lt;&gt;"洞穿",SUMIFS($FE$3:FE84,$DG$3:DG84,DG84)=0,BY84=1),3,0))&gt;=10,2,0),IF(BY84=2,MAX(0,BZ84-1),0)),BZ84)</f>
        <v>0</v>
      </c>
      <c r="W85" s="1">
        <f>IF(AND(FD85&lt;&gt;FD84,BY84=2,BZ84&lt;=1),0,MIN(10,CA84+IF(AND(DG85&lt;&gt;DG84,DH84&lt;&gt;"洞穿",SUMIFS($FE$3:FE84,$DG$3:DG84,DG84)=0,BY84=1),3,0)))</f>
        <v>8</v>
      </c>
      <c r="X85" s="1">
        <f t="shared" si="112"/>
        <v>8</v>
      </c>
      <c r="Y85" s="1">
        <f t="shared" si="113"/>
        <v>0</v>
      </c>
      <c r="Z85" s="1">
        <f t="shared" si="114"/>
        <v>0</v>
      </c>
      <c r="AA85" s="1">
        <f t="shared" si="115"/>
        <v>0</v>
      </c>
      <c r="AB85" s="1">
        <f t="shared" si="116"/>
        <v>1</v>
      </c>
      <c r="AC85" s="1">
        <f t="shared" si="117"/>
        <v>0</v>
      </c>
      <c r="AD85" s="1">
        <f t="shared" si="118"/>
        <v>35</v>
      </c>
      <c r="AE85" s="1">
        <f>IF(D85="",0,IF(DG85&lt;&gt;DG84,IFERROR(INDEX(回合状态!$F$7:$F$17,MATCH(DG85,回合状态!$A$7:$A$17,0)),0),CI84))</f>
        <v>15</v>
      </c>
      <c r="AF85" s="1">
        <f t="shared" si="119"/>
        <v>0.875</v>
      </c>
      <c r="AG85" s="1">
        <f t="shared" si="120"/>
        <v>6</v>
      </c>
      <c r="AH85" s="1">
        <f t="shared" si="121"/>
        <v>7</v>
      </c>
      <c r="AI85" s="1">
        <f t="shared" si="122"/>
        <v>6</v>
      </c>
      <c r="AJ85" s="1">
        <f t="shared" si="123"/>
        <v>7</v>
      </c>
      <c r="AK85" s="1">
        <f t="shared" si="124"/>
        <v>6</v>
      </c>
      <c r="AL85" s="1">
        <f t="shared" si="125"/>
        <v>3</v>
      </c>
      <c r="AM85" s="1">
        <f t="shared" si="126"/>
        <v>30</v>
      </c>
      <c r="AN85" s="1">
        <f t="shared" si="127"/>
        <v>6</v>
      </c>
      <c r="AO85" s="1">
        <f t="shared" si="128"/>
        <v>0</v>
      </c>
      <c r="AP85" s="1">
        <f t="shared" si="129"/>
        <v>0.12</v>
      </c>
      <c r="AQ85" s="1">
        <f t="shared" si="130"/>
        <v>6</v>
      </c>
      <c r="AR85" s="1">
        <f t="shared" si="131"/>
        <v>0.3</v>
      </c>
      <c r="AS85" s="1">
        <f t="shared" si="132"/>
        <v>6</v>
      </c>
      <c r="AT85" s="1">
        <f t="shared" si="133"/>
        <v>0.3</v>
      </c>
      <c r="AU85" s="1">
        <f t="shared" si="134"/>
        <v>7</v>
      </c>
      <c r="AV85" s="1">
        <f>MIN(5,SUMIFS($EL$3:EL85,$B$3:B85,"&gt;="&amp;MAX(1,B85-2),$B$3:B85,"&lt;="&amp;B85)+EC85)</f>
        <v>5</v>
      </c>
      <c r="AW85" s="1">
        <f>MIN(6,SUMIFS($EY$3:EY84,$EX$3:EX84,"&gt;="&amp;MAX(1,EX85-Boss参数!$B$87+1),$EX$3:EX84,"&lt;="&amp;EX85))</f>
        <v>6</v>
      </c>
      <c r="AX85" s="1">
        <f>MIN(4,COUNTIFS($B$3:$B$84,"&gt;="&amp;MAX(1,$B85-2),$B$3:$B$84,"&lt;="&amp;$B85,$L$3:$L$84,"37_FOLLOW"))</f>
        <v>4</v>
      </c>
      <c r="AY85" s="1">
        <f>IF($E85="","",IF($E85="系统",0,ROUNDDOWN(INDEX(角色面板!$C$4:$C$7,MATCH($E85,角色面板!$A$4:$A$7,0))*(1+INDEX(角色面板!$C$11:$C$14,MATCH($E85,角色面板!$A$11:$A$14,0))+IF($E85="小瑞安侬",MAX(IF($B85&lt;=$AQ85,$AP85,0),IF(AND($L85="RHI_ATTACK",$EE85&gt;0),0.11+0.01*$G85,0)),0)+IF($E85="J",$AD85*Boss参数!$B$18,0))+IF(FD85&lt;=$AN85,MIN(Boss参数!$B$21,ROUNDDOWN(角色面板!$C$19*Boss参数!$B$20,0)),0)+IF(AND($B85&lt;=$AK85,$E85&lt;&gt;"小瑞安侬"),$DY85,0),0)))</f>
        <v>3505</v>
      </c>
      <c r="AZ85" s="1">
        <f>IF($E85="","",MAX(0,MIN(1,IFERROR(INDEX(角色面板!$G$18:$G$21,MATCH($E85,角色面板!$A$18:$A$21,0)),0)-FC85*Boss参数!$B$89-Boss参数!$E$4)))</f>
        <v>1</v>
      </c>
      <c r="BA85" s="1">
        <f>IF(E85="","",(IF($E85="","",IF($E85="红弩箭",Boss参数!$B$80,IF($E85="J",Boss参数!$B$81,IFERROR(INDEX(角色面板!$H$18:$H$21,MATCH($E85,角色面板!$A$18:$A$21,0)),0)))+IF($B85&lt;=$AI85,Boss参数!$B$13,0)+MIN(30,$AM85)*Boss参数!$B$17+IF(AND($L85="LILYA_ULT",$X85&gt;=6),1,0)+IF(AND($Y85=1,$L85="LILYA_INSIGHT"),IF(MOD($AA85+1,3)=0,Boss参数!$B$83,Boss参数!$B$82),IF(AND($Y85=1,$L85="LILYA_FINISH"),Boss参数!$B$84,0))))-FC85*Boss参数!$B$90)</f>
        <v>2.3050000000000002</v>
      </c>
      <c r="BB85" s="1">
        <f>IF($E85="","",IFERROR(INDEX(角色面板!$M$18:$M$21,MATCH($E85,角色面板!$A$18:$A$21,0)),0)+$AW85*Boss参数!$B$12+IF($B85&lt;=$AG85,$AF85,0)+$EI85+IF($L85="LILYA_DIVE",IF($U85=1,IF($G85=1,0.3,IF($G85=2,0.4,0.5)),IF($U85=2,IF($G85=1,0.6,IF($G85=2,0.8,1)),0)),0)+$R85+IF(AND($E85="J",OR($L85="J_COUNTER",$L85="J_HARD")),Boss参数!$B$79,0)+IF(AND(OR(L85="J_COUNTER",L85="J_HARD"),FA85&gt;=Boss参数!$B$59),FA85*Boss参数!$B$40,0))</f>
        <v>1.835</v>
      </c>
      <c r="BC85" s="1">
        <f>IF($E85="","",IFERROR(INDEX(角色面板!$K$18:$K$21,MATCH($E85,角色面板!$A$18:$A$21,0)),0)+IF($B85&lt;=$AH85,Boss参数!$B$46,0)+IF($E85="红弩箭",IF($U85=1,0.6,IF($U85=2,1.2,0))+$W85*0.06,0))-DI85*Boss参数!$B$23</f>
        <v>0.22999999999999998</v>
      </c>
      <c r="BD85" s="1">
        <f>IF($E85="","",IFERROR(INDEX(角色面板!$L$18:$L$21,MATCH($E85,角色面板!$A$18:$A$21,0)),0)+IF($B85&lt;=$AH85,Boss参数!$B$46,0)+IF($E85="J",$AL85*Boss参数!$B$16,0)+IF($E85="红弩箭",$X85*0.025,0)+IF(AND($L85="LILYA_ULT",$X85&gt;=6),1,0))-DI85*Boss参数!$B$23</f>
        <v>-0.25</v>
      </c>
      <c r="BE85" s="1">
        <f>IF($E85="","",IF($H85="洞知",IF($E85="红弩箭",$AO85*Boss参数!$B$15,0)+$AX85*Boss参数!$B$14,0))</f>
        <v>0</v>
      </c>
      <c r="BF85" s="1">
        <f t="shared" si="71"/>
        <v>0</v>
      </c>
      <c r="BG85" s="1">
        <f>IF($D85="",0,IF(AND($L85&lt;&gt;"LILYA_DIVE",$L85&lt;&gt;"LILYA_ULT",$L85&lt;&gt;"LILYA_INSIGHT",$L85&lt;&gt;"LILYA_FINISH",$L85&lt;&gt;"37_FOLLOW",$L85&lt;&gt;"RHI_ATTACK",$L85&lt;&gt;"RHI_BERRY",$L85&lt;&gt;"J_COUNTER",$L85&lt;&gt;"J_ULT"),$J85,0)+IF($L85="LILYA_DIVE",$J85+IF($U85=1,IF($G85=1,6,IF($G85=2,12,18)),IF($U85=2,IF($G85=1,12,IF($G85=2,24,36)),0)),0)+IF($L85="LILYA_ULT",$J85+IF($X85&gt;=6,18,0),0)+IF($L85="LILYA_INSIGHT",IF($Y85=1,IF(MOD($AA85+1,3)=0,32,15),0),0)+IF($L85="LILYA_FINISH",IF($Y85=1,50+2.5*$Z85,0),0)+IF($L85="37_FOLLOW",$J85,0)+IF($L85="RHI_ATTACK",$J85*IF($B85&lt;=$AJ85,2,1),0)+IF($L85="RHI_BERRY",15+1.5*$AV85,0)+IF($L85="J_COUNTER",$J85+$AD85*Boss参数!$B$39,0)+IF($L85="J_ULT",$J85+Boss参数!$B$45*MAX(0,$AE85+$AD85-Boss参数!$I$4),0)+$S85)</f>
        <v>9</v>
      </c>
      <c r="BH85" s="1">
        <f t="shared" si="72"/>
        <v>0</v>
      </c>
      <c r="BI85" s="1">
        <f>IF(E85="","",IF(DT85=1,1+Boss参数!$B$8+AV85*Boss参数!$B$19,1))</f>
        <v>1.5</v>
      </c>
      <c r="BJ85" s="1">
        <f>IF($I85="现实",Boss参数!$C$4,IF($I85="精神",Boss参数!$D$4,0))</f>
        <v>1200</v>
      </c>
      <c r="BK85" s="1">
        <f>IF($E85="","",MAX($AY85*Boss参数!$B$9,$AY85-$BJ85*(1-$BF85)))</f>
        <v>2305</v>
      </c>
      <c r="BL85" s="1">
        <f>MAX(0,Boss参数!$F$4+IF(DT85=0,Boss参数!$B$27,0)-EJ85)</f>
        <v>0.10000000000000003</v>
      </c>
      <c r="BM85" s="1">
        <f>Boss参数!$G$4+DU85-IF(Y85=1,Boss参数!$B$11,0)</f>
        <v>0.65</v>
      </c>
      <c r="BN85" s="1">
        <f>IF($E85="","",MAX(Boss参数!$B$10,1+IFERROR(INDEX(角色面板!$I$18:$I$21,MATCH($E85,角色面板!$A$18:$A$21,0)),0)+$BB85+Boss参数!$H$4-$BM85))</f>
        <v>2.2850000000000001</v>
      </c>
      <c r="BO85" s="1">
        <f>IF(E85="","",IF(OR(L85="J_COUNTER",L85="J_HARD"),MAX(0,1+INDEX(角色面板!$K$18:$K$21,MATCH(E85,角色面板!$A$18:$A$21,0))-DI85*Boss参数!$B$23+IF(OR(Boss参数!$B$43=1,L85="J_HARD"),IF(B85&lt;=AH85,Boss参数!$B$46,0),0)),MAX(0,IF(OR(H85="术法",L85="RHI_BERRY",AND(L85="37_FOLLOW",Boss参数!$B$31=1)),1+BC85,IF(H85="仪式",1+BD85,IF(H85="洞知",EK85,1))))))</f>
        <v>1.23</v>
      </c>
      <c r="BP85" s="1">
        <f t="shared" si="73"/>
        <v>2.2050000000000001</v>
      </c>
      <c r="BQ85" s="1">
        <f t="shared" si="74"/>
        <v>87457.289625000005</v>
      </c>
      <c r="BR85" s="1">
        <f t="shared" si="75"/>
        <v>192843.323623125</v>
      </c>
      <c r="BS85" s="1">
        <f>IF(BH85=0,0,ROUNDDOWN(AY85*BH85,0)*DV85*IF(Boss参数!$B$29=1,BN85,1)*IF(Boss参数!$B$33=1,BO85,1)*IF(Boss参数!$B$76=1,1-ES85,1))</f>
        <v>0</v>
      </c>
      <c r="BT85" s="1">
        <f t="shared" si="76"/>
        <v>0</v>
      </c>
      <c r="BU85" s="1">
        <f>IF(D85="",0,MIN(IF(Boss参数!$B$77=1,Boss参数!$B$63*Boss参数!$B$62,Boss参数!$B$61*Boss参数!$B$62),DW85+ROUNDDOWN(BS85,0)+ROUNDDOWN(DW85*Q85,0)))</f>
        <v>34982</v>
      </c>
      <c r="BV85" s="1">
        <f>IF(D85="",0,MIN(IF(Boss参数!$B$77=1,Boss参数!$B$63*Boss参数!$B$62,Boss参数!$B$61*Boss参数!$B$62),DX85+ROUNDDOWN(BT85,0)+ROUNDDOWN(DX85*Q85,0)))</f>
        <v>77137</v>
      </c>
      <c r="BW85" s="1">
        <f t="shared" si="77"/>
        <v>77137</v>
      </c>
      <c r="BX85" s="1" t="str">
        <f t="shared" si="78"/>
        <v/>
      </c>
      <c r="BY85" s="1">
        <f t="shared" si="79"/>
        <v>1</v>
      </c>
      <c r="BZ85" s="1">
        <f t="shared" si="80"/>
        <v>0</v>
      </c>
      <c r="CA85" s="1">
        <f>MIN(10,W85+IF(AND(L85="LILYA_COBRA",COUNTIF($L$3:L85,"LILYA_COBRA")=1),5,0)+IF(AND(L85="LILYA_DIVE",U85=1,COUNTIFS($DG$3:DG85,DG85,$L$3:L85,"LILYA_DIVE")=1),2,0)+IF(AND(FE85=1,U85=1),3,0))</f>
        <v>10</v>
      </c>
      <c r="CB85" s="1">
        <f>MIN(20,MAX(0,X85+IF(L85="LILYA_COBRA",IF(COUNTIF($L$3:L85,"LILYA_COBRA")=1,6,IF(U85=1,MAX(1,G85),IF(U85=2,2*MAX(1,G85),0))),0)+IF(AND(Y85=1,E85="红弩箭",L85&lt;&gt;"ENTER_INSIGHT"),1,0)-IF(AND(L85="LILYA_ULT",X85&gt;=6),6,0)))</f>
        <v>8</v>
      </c>
      <c r="CC85" s="1">
        <f t="shared" si="81"/>
        <v>0</v>
      </c>
      <c r="CD85" s="1">
        <f t="shared" si="82"/>
        <v>0</v>
      </c>
      <c r="CE85" s="1">
        <f t="shared" si="83"/>
        <v>0</v>
      </c>
      <c r="CF85" s="1">
        <f t="shared" si="84"/>
        <v>2</v>
      </c>
      <c r="CG85" s="1">
        <f t="shared" si="85"/>
        <v>0</v>
      </c>
      <c r="CH85" s="1">
        <f>MIN(35,AD85+IF(L85="J_HARD",6,0)+IF(L85="J_COUNTER",Boss参数!$B$30,0))</f>
        <v>35</v>
      </c>
      <c r="CI85" s="1">
        <f>MIN(Boss参数!$I$4,AE85+IF(L85="J_HARD",6,0)+IF(L85="J_ULT",AD85,0)+IF(L85="J_COUNTER",Boss参数!$B$30,0))</f>
        <v>15</v>
      </c>
      <c r="CJ85" s="1">
        <f>IF(L85="J_ULT",AD85*Boss参数!$B$41,IF(B85&lt;=AG85,AF85,0))</f>
        <v>0.875</v>
      </c>
      <c r="CK85" s="1">
        <f t="shared" si="86"/>
        <v>6</v>
      </c>
      <c r="CL85" s="1">
        <f t="shared" si="87"/>
        <v>7</v>
      </c>
      <c r="CM85" s="1">
        <f t="shared" si="88"/>
        <v>6</v>
      </c>
      <c r="CN85" s="1">
        <f t="shared" si="89"/>
        <v>7</v>
      </c>
      <c r="CO85" s="1">
        <f t="shared" si="90"/>
        <v>6</v>
      </c>
      <c r="CP85" s="1">
        <f t="shared" si="91"/>
        <v>3</v>
      </c>
      <c r="CQ85" s="1">
        <f t="shared" si="92"/>
        <v>30</v>
      </c>
      <c r="CR85" s="1">
        <f t="shared" si="93"/>
        <v>6</v>
      </c>
      <c r="CS85" s="1">
        <f t="shared" si="94"/>
        <v>0</v>
      </c>
      <c r="CT85" s="1">
        <f t="shared" si="95"/>
        <v>0.12</v>
      </c>
      <c r="CU85" s="1">
        <f t="shared" si="96"/>
        <v>6</v>
      </c>
      <c r="CV85" s="1">
        <f t="shared" si="97"/>
        <v>0.3</v>
      </c>
      <c r="CW85" s="1">
        <f t="shared" si="98"/>
        <v>6</v>
      </c>
      <c r="CX85" s="1">
        <f t="shared" si="99"/>
        <v>0.3</v>
      </c>
      <c r="CY85" s="1">
        <f t="shared" si="100"/>
        <v>7</v>
      </c>
      <c r="CZ85" s="1"/>
      <c r="DA85" s="1"/>
      <c r="DB85" s="1"/>
      <c r="DC85" s="1"/>
      <c r="DD85" s="1"/>
      <c r="DE85" s="1"/>
      <c r="DF85" s="1"/>
      <c r="DG85" s="1">
        <f>IF(D85="","",行动模拟!B91)</f>
        <v>5</v>
      </c>
      <c r="DH85" s="1" t="str">
        <f>IF(L85="END_TURN","回合结束",IF(D85="","",IF(INDEX(回合状态!$C$7:$C$17,MATCH(DG85,回合状态!$A$7:$A$17,0))="洞穿","洞穿",IF(OR(L85="J_COUNTER",L85="BOSS_ACTION",L85="BOSS_CONSERVATIVE"),"敌方",IF(AND(L85="37_FOLLOW",DG85=DG84,DH84="敌方"),"敌方",IF(INDEX(回合状态!$C$7:$C$17,MATCH(DG85,回合状态!$A$7:$A$17,0))="普通","出牌",INDEX(回合状态!$C$7:$C$17,MATCH(DG85,回合状态!$A$7:$A$17,0))))))))</f>
        <v>出牌</v>
      </c>
      <c r="DI85" s="1">
        <f t="shared" si="101"/>
        <v>5</v>
      </c>
      <c r="DJ85" s="1">
        <f>IF(D85="",0,MIN(Boss参数!$B$25,IF(OR(AND(DH85="敌方",OR(DH84&lt;&gt;"敌方",DG85&lt;&gt;DG84)),AND(L85="END_TURN",DH85&lt;&gt;"洞穿"),AND(DG85&lt;&gt;DG84,DH84&lt;&gt;"洞穿",L84&lt;&gt;"END_TURN",COUNTIFS($DG$3:DG84,DG84,$DH$3:DH84,"敌方")=0)),EW85,DN84)))</f>
        <v>5</v>
      </c>
      <c r="DK85" s="1">
        <f>IF(D85="",0,MIN(Boss参数!$B$25,IF(OR(AND(DH85="敌方",OR(DH84&lt;&gt;"敌方",DG85&lt;&gt;DG84)),AND(L85="END_TURN",DH85&lt;&gt;"洞穿"),AND(DG85&lt;&gt;DG84,DH84&lt;&gt;"洞穿",L84&lt;&gt;"END_TURN",COUNTIFS($DG$3:DG84,DG84,$DH$3:DH84,"敌方")=0)),EW85,DO84)))</f>
        <v>1</v>
      </c>
      <c r="DL85" s="1">
        <f>IF(D85="",0,MIN(Boss参数!$B$25,IF(OR(AND(DH85="敌方",OR(DH84&lt;&gt;"敌方",DG85&lt;&gt;DG84)),AND(L85="END_TURN",DH85&lt;&gt;"洞穿"),AND(DG85&lt;&gt;DG84,DH84&lt;&gt;"洞穿",L84&lt;&gt;"END_TURN",COUNTIFS($DG$3:DG84,DG84,$DH$3:DH84,"敌方")=0)),EW85,DP84)))</f>
        <v>5</v>
      </c>
      <c r="DM85" s="1">
        <f>IF(D85="",0,MIN(Boss参数!$B$25,IF(OR(AND(DH85="敌方",OR(DH84&lt;&gt;"敌方",DG85&lt;&gt;DG84)),AND(L85="END_TURN",DH85&lt;&gt;"洞穿"),AND(DG85&lt;&gt;DG84,DH84&lt;&gt;"洞穿",L84&lt;&gt;"END_TURN",COUNTIFS($DG$3:DG84,DG84,$DH$3:DH84,"敌方")=0)),EW85,DQ84)))</f>
        <v>4</v>
      </c>
      <c r="DN85" s="1">
        <f>MAX(0,MIN(Boss参数!$B$25,DJ85+DR85)-IF(E85="红弩箭",2*DR85,0))</f>
        <v>3</v>
      </c>
      <c r="DO85" s="1">
        <f>MAX(0,MIN(Boss参数!$B$25,DK85+DR85)-IF(E85="37",2*DR85,0))</f>
        <v>2</v>
      </c>
      <c r="DP85" s="1">
        <f>MAX(0,MIN(Boss参数!$B$25,DL85+DR85)-IF(E85="小瑞安侬",2*DR85,0))</f>
        <v>5</v>
      </c>
      <c r="DQ85" s="1">
        <f>MAX(0,MIN(Boss参数!$B$25,DM85+DR85)-IF(E85="J",2*DR85,0))</f>
        <v>5</v>
      </c>
      <c r="DR85" s="1">
        <f t="shared" si="102"/>
        <v>1</v>
      </c>
      <c r="DS85" s="1">
        <f t="shared" si="103"/>
        <v>1</v>
      </c>
      <c r="DT85" s="1">
        <f>IF(OR(E85="",E85="系统"),0,IF(OR(AND(DS85=1,Boss参数!$B$32=1),L85="RHI_BERRY",OR(AND(INDEX(角色面板!$B$18:$B$21,MATCH(E85,角色面板!$A$18:$A$21,0))="星",Boss参数!$B$4="岩"),AND(INDEX(角色面板!$B$18:$B$21,MATCH(E85,角色面板!$A$18:$A$21,0))="岩",Boss参数!$B$4="兽"),AND(INDEX(角色面板!$B$18:$B$21,MATCH(E85,角色面板!$A$18:$A$21,0))="兽",Boss参数!$B$4="木"),AND(INDEX(角色面板!$B$18:$B$21,MATCH(E85,角色面板!$A$18:$A$21,0))="木",Boss参数!$B$4="星"),AND(INDEX(角色面板!$B$18:$B$21,MATCH(E85,角色面板!$A$18:$A$21,0))="智",Boss参数!$B$4="灵"),AND(INDEX(角色面板!$B$18:$B$21,MATCH(E85,角色面板!$A$18:$A$21,0))="灵",Boss参数!$B$4="智"))),1,0))</f>
        <v>1</v>
      </c>
      <c r="DU85" s="1">
        <f>IF(D85="",0,INDEX(回合状态!$E$7:$E$17,MATCH(DG85,回合状态!$A$7:$A$17,0))+IF(AND(DH85="敌方",OR(INDEX(回合状态!$C$7:$C$17,MATCH(DG85,回合状态!$A$7:$A$17,0))="普通",INDEX(回合状态!$C$7:$C$17,MATCH(DG85,回合状态!$A$7:$A$17,0))="额外")),0.05,0))</f>
        <v>0.25</v>
      </c>
      <c r="DV85" s="1">
        <f>MAX(Boss参数!$B$28,1+IF(AND(E85="37",AC85&gt;0,BH85&gt;0),Boss参数!$B$42,0)-DI85*Boss参数!$B$24+EA85-ER85)</f>
        <v>0</v>
      </c>
      <c r="DW85" s="1">
        <f>MIN(IF(Boss参数!$B$77=1,Boss参数!$B$63*Boss参数!$B$62,Boss参数!$B$61*Boss参数!$B$62),ROUNDDOWN(BQ85*(1-ES85),0))</f>
        <v>34982</v>
      </c>
      <c r="DX85" s="1">
        <f>MIN(IF(Boss参数!$B$77=1,Boss参数!$B$63*Boss参数!$B$62,Boss参数!$B$61*Boss参数!$B$62),ROUNDDOWN(BR85*(1-ES85),0))</f>
        <v>77137</v>
      </c>
      <c r="DY85" s="1">
        <f t="shared" si="135"/>
        <v>250</v>
      </c>
      <c r="DZ85" s="1">
        <f>IF(L85="RHI_ULT",MIN(Boss参数!$B$48,ROUNDDOWN(AY85*Boss参数!$B$47,0)),DY85)</f>
        <v>250</v>
      </c>
      <c r="EA85" s="1">
        <v>0</v>
      </c>
      <c r="EB85" s="1">
        <f t="shared" si="104"/>
        <v>0</v>
      </c>
      <c r="EC85" s="1">
        <f>SUMIFS($EB$3:EB85,$B$3:B85,"&gt;="&amp;MAX(1,B85-2),$B$3:B85,"&lt;="&amp;B85)*Boss参数!$B$51</f>
        <v>16</v>
      </c>
      <c r="ED85" s="1">
        <f>IF(D85="",EG84,IF(AND(DG85&lt;&gt;DG84,DH85&lt;&gt;"洞穿"),MIN(Boss参数!$B$55,EG84+2),EG84))</f>
        <v>1</v>
      </c>
      <c r="EE85" s="1">
        <f t="shared" si="105"/>
        <v>0</v>
      </c>
      <c r="EF85" s="1">
        <f>IF(AND(OR(L85="END_TURN",AND(DH85="敌方",OR(DH84&lt;&gt;"敌方",DG85&lt;&gt;DG84))),SUMIFS($EF$3:EF84,$DG$3:DG84,DG85)=0),MIN(1,MAX(0,ED85-EE85)),0)</f>
        <v>0</v>
      </c>
      <c r="EG85" s="1">
        <f t="shared" si="106"/>
        <v>1</v>
      </c>
      <c r="EH85" s="1">
        <f>Boss参数!$B$53-IF(Y85=1,Boss参数!$B$54,0)</f>
        <v>0</v>
      </c>
      <c r="EI85" s="1">
        <f t="shared" si="107"/>
        <v>0.3</v>
      </c>
      <c r="EJ85" s="1">
        <f t="shared" si="108"/>
        <v>0.3</v>
      </c>
      <c r="EK85" s="1">
        <f t="shared" si="109"/>
        <v>1</v>
      </c>
      <c r="EL85" s="1">
        <f t="shared" si="136"/>
        <v>0</v>
      </c>
      <c r="EM85" s="1">
        <f>IF(AND(DG85&lt;&gt;DG84,DH85="洞穿"),0,IF(L85="ENTER_INSIGHT",Boss参数!$B$57,EO84))</f>
        <v>0</v>
      </c>
      <c r="EN85" s="1">
        <f>IF(AND(Y85=1,H85="洞知",EM85&gt;0),Boss参数!$B$56,0)</f>
        <v>0</v>
      </c>
      <c r="EO85" s="1">
        <f t="shared" si="110"/>
        <v>0</v>
      </c>
      <c r="EP85" s="1">
        <f t="shared" si="137"/>
        <v>14226691</v>
      </c>
      <c r="EQ85" s="1">
        <f>ROUNDDOWN(EP85/Boss参数!$B$62,0)</f>
        <v>142</v>
      </c>
      <c r="ER85" s="1">
        <f>IF(EQ85&gt;=Boss参数!$B$66,Boss参数!$B$69,IF(EQ85&gt;=Boss参数!$B$65,Boss参数!$B$68,IF(EQ85&gt;=Boss参数!$B$64,Boss参数!$B$67,0)))</f>
        <v>0.9</v>
      </c>
      <c r="ES85" s="1">
        <f>MIN(1,IF(EQ85&gt;=Boss参数!$B$66,Boss参数!$B$72+ROUNDDOWN((EQ85-Boss参数!$B$66)/Boss参数!$B$73,0)*Boss参数!$B$74,IF(EQ85&gt;=Boss参数!$B$65,Boss参数!$B$71,IF(EQ85&gt;=Boss参数!$B$64,Boss参数!$B$70,0))))</f>
        <v>0.6</v>
      </c>
      <c r="ET85" s="1">
        <f>MIN(Boss参数!$B$61*Boss参数!$B$62,EP85+IF(AND(Boss参数!$B$60=1,ISNUMBER(验证表!H91)),验证表!H91,EU85))</f>
        <v>14303828</v>
      </c>
      <c r="EU85" s="1">
        <f>IF(D85="",0,IF(验证表!G91="是",BV85,IF(验证表!G91="否",BU85,BW85)))</f>
        <v>77137</v>
      </c>
      <c r="EV85" s="1">
        <f>IF(EQ85&gt;=Boss参数!$B$66,2,IF(EQ85&gt;=Boss参数!$B$65,1,0))</f>
        <v>2</v>
      </c>
      <c r="EW85" s="1">
        <f t="shared" si="111"/>
        <v>3</v>
      </c>
      <c r="EX85" s="1">
        <f>IF(D85="",0,INDEX(回合状态!$D$7:$D$17,MATCH(DG85,回合状态!$A$7:$A$17,0)))</f>
        <v>5</v>
      </c>
      <c r="EY85" s="1">
        <f>IF(OR(L85="RHI_ATTACK",L85="RHI_BUFF"),1,IF(L85="RHI_ULT",Boss参数!$B$52,0))</f>
        <v>0</v>
      </c>
      <c r="EZ85" s="1">
        <f>MIN(6,SUMIFS($EY$3:EY85,$EX$3:EX85,"&gt;="&amp;MAX(1,EX85-Boss参数!$B$87+1),$EX$3:EX85,"&lt;="&amp;EX85))</f>
        <v>6</v>
      </c>
      <c r="FA85" s="1">
        <f t="shared" si="138"/>
        <v>35</v>
      </c>
      <c r="FB85" s="17">
        <f>IF(L85="BOSS_CONSERVATIVE",B85+Boss参数!$B$91,FB84)</f>
        <v>0</v>
      </c>
      <c r="FC85" s="17">
        <f t="shared" si="139"/>
        <v>0</v>
      </c>
      <c r="FD85" s="17">
        <f>IF(D85="",FD84,FD84+IF(AND(DG85&lt;&gt;DG84,INDEX(回合状态!$C$7:$C$17,MATCH(DG85,回合状态!$A$7:$A$17,0))&lt;&gt;"洞穿"),1,0))</f>
        <v>6</v>
      </c>
      <c r="FE85" s="17">
        <f>IF(D85="",0,IF(AND(OR(L85="END_TURN",DH85="敌方"),INDEX(回合状态!$C$7:$C$17,MATCH(DG85,回合状态!$A$7:$A$17,0))&lt;&gt;"洞穿",SUMIFS($FE$3:FE84,$DG$3:DG84,DG85)=0),1,0))</f>
        <v>0</v>
      </c>
    </row>
    <row r="86" spans="1:161" ht="84.95" customHeight="1">
      <c r="A86" s="1">
        <f>行动模拟!A92</f>
        <v>84</v>
      </c>
      <c r="B86" s="1">
        <f>IF(D86="",0,INDEX(回合状态!$B$7:$B$17,MATCH(DG86,回合状态!$A$7:$A$17,0)))</f>
        <v>5</v>
      </c>
      <c r="C86" s="1">
        <f>行动模拟!C92</f>
        <v>8</v>
      </c>
      <c r="D86" s="1" t="str">
        <f>IF(行动模拟!D92="","",行动模拟!D92)</f>
        <v>系统｜Boss仪式·保守主义</v>
      </c>
      <c r="E86" s="1" t="str">
        <f>IF($D86="","",IFERROR(INDEX(技能数据库!$B$4:$B$38,MATCH($D86,技能数据库!$A$4:$A$38,0)),""))</f>
        <v>系统</v>
      </c>
      <c r="F86" s="1" t="str">
        <f>IF($D86="","",IFERROR(INDEX(技能数据库!$C$4:$C$38,MATCH($D86,技能数据库!$A$4:$A$38,0)),""))</f>
        <v>Boss仪式·保守主义</v>
      </c>
      <c r="G86" s="1">
        <f>IF($D86="","",IFERROR(INDEX(技能数据库!$D$4:$D$38,MATCH($D86,技能数据库!$A$4:$A$38,0)),""))</f>
        <v>0</v>
      </c>
      <c r="H86" s="1" t="str">
        <f>IF($D86="","",IFERROR(INDEX(技能数据库!$E$4:$E$38,MATCH($D86,技能数据库!$A$4:$A$38,0)),""))</f>
        <v>系统</v>
      </c>
      <c r="I86" s="1" t="str">
        <f>IF($D86="","",IFERROR(INDEX(技能数据库!$F$4:$F$38,MATCH($D86,技能数据库!$A$4:$A$38,0)),""))</f>
        <v>无</v>
      </c>
      <c r="J86" s="1">
        <f>IF($D86="","",IFERROR(INDEX(技能数据库!$G$4:$G$38,MATCH($D86,技能数据库!$A$4:$A$38,0)),""))</f>
        <v>0</v>
      </c>
      <c r="K86" s="1">
        <f>IF($D86="","",IFERROR(INDEX(技能数据库!$H$4:$H$38,MATCH($D86,技能数据库!$A$4:$A$38,0)),""))</f>
        <v>0</v>
      </c>
      <c r="L86" s="1" t="str">
        <f>IF($D86="","",IFERROR(INDEX(技能数据库!$I$4:$I$38,MATCH($D86,技能数据库!$A$4:$A$38,0)),""))</f>
        <v>BOSS_CONSERVATIVE</v>
      </c>
      <c r="M86" s="1">
        <v>1</v>
      </c>
      <c r="N86" s="1"/>
      <c r="O86" s="1"/>
      <c r="P86" s="1"/>
      <c r="Q86" s="1">
        <f t="shared" si="70"/>
        <v>0</v>
      </c>
      <c r="R86" s="1">
        <v>0</v>
      </c>
      <c r="S86" s="1">
        <v>0</v>
      </c>
      <c r="T86" s="1" t="str">
        <f>行动模拟!I92</f>
        <v>对我方全体施加“保守主义”：额外行动时，暴击降低50%，暴击创伤降低70%，持续2回合</v>
      </c>
      <c r="U86" s="1">
        <f>IF(FD86&lt;&gt;FD85,IF(BY85=1,IF(MIN(10,CA85+IF(AND(DG86&lt;&gt;DG85,DH85&lt;&gt;"洞穿",SUMIFS($FE$3:FE85,$DG$3:DG85,DG85)=0,BY85=1),3,0))&gt;=10,2,1),IF(BY85=2,IF(BZ85&lt;=1,0,2),0)),BY85)</f>
        <v>1</v>
      </c>
      <c r="V86" s="1">
        <f>IF(FD86&lt;&gt;FD85,IF(BY85=1,IF(MIN(10,CA85+IF(AND(DG86&lt;&gt;DG85,DH85&lt;&gt;"洞穿",SUMIFS($FE$3:FE85,$DG$3:DG85,DG85)=0,BY85=1),3,0))&gt;=10,2,0),IF(BY85=2,MAX(0,BZ85-1),0)),BZ85)</f>
        <v>0</v>
      </c>
      <c r="W86" s="1">
        <f>IF(AND(FD86&lt;&gt;FD85,BY85=2,BZ85&lt;=1),0,MIN(10,CA85+IF(AND(DG86&lt;&gt;DG85,DH85&lt;&gt;"洞穿",SUMIFS($FE$3:FE85,$DG$3:DG85,DG85)=0,BY85=1),3,0)))</f>
        <v>10</v>
      </c>
      <c r="X86" s="1">
        <f t="shared" si="112"/>
        <v>8</v>
      </c>
      <c r="Y86" s="1">
        <f t="shared" si="113"/>
        <v>0</v>
      </c>
      <c r="Z86" s="1">
        <f t="shared" si="114"/>
        <v>0</v>
      </c>
      <c r="AA86" s="1">
        <f t="shared" si="115"/>
        <v>0</v>
      </c>
      <c r="AB86" s="1">
        <f t="shared" si="116"/>
        <v>2</v>
      </c>
      <c r="AC86" s="1">
        <f t="shared" si="117"/>
        <v>0</v>
      </c>
      <c r="AD86" s="1">
        <f t="shared" si="118"/>
        <v>35</v>
      </c>
      <c r="AE86" s="1">
        <f>IF(D86="",0,IF(DG86&lt;&gt;DG85,IFERROR(INDEX(回合状态!$F$7:$F$17,MATCH(DG86,回合状态!$A$7:$A$17,0)),0),CI85))</f>
        <v>15</v>
      </c>
      <c r="AF86" s="1">
        <f t="shared" si="119"/>
        <v>0.875</v>
      </c>
      <c r="AG86" s="1">
        <f t="shared" si="120"/>
        <v>6</v>
      </c>
      <c r="AH86" s="1">
        <f t="shared" si="121"/>
        <v>7</v>
      </c>
      <c r="AI86" s="1">
        <f t="shared" si="122"/>
        <v>6</v>
      </c>
      <c r="AJ86" s="1">
        <f t="shared" si="123"/>
        <v>7</v>
      </c>
      <c r="AK86" s="1">
        <f t="shared" si="124"/>
        <v>6</v>
      </c>
      <c r="AL86" s="1">
        <f t="shared" si="125"/>
        <v>3</v>
      </c>
      <c r="AM86" s="1">
        <f t="shared" si="126"/>
        <v>30</v>
      </c>
      <c r="AN86" s="1">
        <f t="shared" si="127"/>
        <v>6</v>
      </c>
      <c r="AO86" s="1">
        <f t="shared" si="128"/>
        <v>0</v>
      </c>
      <c r="AP86" s="1">
        <f t="shared" si="129"/>
        <v>0.12</v>
      </c>
      <c r="AQ86" s="1">
        <f t="shared" si="130"/>
        <v>6</v>
      </c>
      <c r="AR86" s="1">
        <f t="shared" si="131"/>
        <v>0.3</v>
      </c>
      <c r="AS86" s="1">
        <f t="shared" si="132"/>
        <v>6</v>
      </c>
      <c r="AT86" s="1">
        <f t="shared" si="133"/>
        <v>0.3</v>
      </c>
      <c r="AU86" s="1">
        <f t="shared" si="134"/>
        <v>7</v>
      </c>
      <c r="AV86" s="1">
        <f>MIN(5,SUMIFS($EL$3:EL86,$B$3:B86,"&gt;="&amp;MAX(1,B86-2),$B$3:B86,"&lt;="&amp;B86)+EC86)</f>
        <v>5</v>
      </c>
      <c r="AW86" s="1">
        <f>MIN(6,SUMIFS($EY$3:EY85,$EX$3:EX85,"&gt;="&amp;MAX(1,EX86-Boss参数!$B$87+1),$EX$3:EX85,"&lt;="&amp;EX86))</f>
        <v>6</v>
      </c>
      <c r="AX86" s="1">
        <f>MIN(4,COUNTIFS($B$3:$B$85,"&gt;="&amp;MAX(1,$B86-2),$B$3:$B$85,"&lt;="&amp;$B86,$L$3:$L$85,"37_FOLLOW"))</f>
        <v>4</v>
      </c>
      <c r="AY86" s="1">
        <f>IF($E86="","",IF($E86="系统",0,ROUNDDOWN(INDEX(角色面板!$C$4:$C$7,MATCH($E86,角色面板!$A$4:$A$7,0))*(1+INDEX(角色面板!$C$11:$C$14,MATCH($E86,角色面板!$A$11:$A$14,0))+IF($E86="小瑞安侬",MAX(IF($B86&lt;=$AQ86,$AP86,0),IF(AND($L86="RHI_ATTACK",$EE86&gt;0),0.11+0.01*$G86,0)),0)+IF($E86="J",$AD86*Boss参数!$B$18,0))+IF(FD86&lt;=$AN86,MIN(Boss参数!$B$21,ROUNDDOWN(角色面板!$C$19*Boss参数!$B$20,0)),0)+IF(AND($B86&lt;=$AK86,$E86&lt;&gt;"小瑞安侬"),$DY86,0),0)))</f>
        <v>0</v>
      </c>
      <c r="AZ86" s="1">
        <f>IF($E86="","",MAX(0,MIN(1,IFERROR(INDEX(角色面板!$G$18:$G$21,MATCH($E86,角色面板!$A$18:$A$21,0)),0)-FC86*Boss参数!$B$89-Boss参数!$E$4)))</f>
        <v>0</v>
      </c>
      <c r="BA86" s="1">
        <f>IF(E86="","",(IF($E86="","",IF($E86="红弩箭",Boss参数!$B$80,IF($E86="J",Boss参数!$B$81,IFERROR(INDEX(角色面板!$H$18:$H$21,MATCH($E86,角色面板!$A$18:$A$21,0)),0)))+IF($B86&lt;=$AI86,Boss参数!$B$13,0)+MIN(30,$AM86)*Boss参数!$B$17+IF(AND($L86="LILYA_ULT",$X86&gt;=6),1,0)+IF(AND($Y86=1,$L86="LILYA_INSIGHT"),IF(MOD($AA86+1,3)=0,Boss参数!$B$83,Boss参数!$B$82),IF(AND($Y86=1,$L86="LILYA_FINISH"),Boss参数!$B$84,0))))-FC86*Boss参数!$B$90)</f>
        <v>0.28000000000000003</v>
      </c>
      <c r="BB86" s="1">
        <f>IF($E86="","",IFERROR(INDEX(角色面板!$M$18:$M$21,MATCH($E86,角色面板!$A$18:$A$21,0)),0)+$AW86*Boss参数!$B$12+IF($B86&lt;=$AG86,$AF86,0)+$EI86+IF($L86="LILYA_DIVE",IF($U86=1,IF($G86=1,0.3,IF($G86=2,0.4,0.5)),IF($U86=2,IF($G86=1,0.6,IF($G86=2,0.8,1)),0)),0)+$R86+IF(AND($E86="J",OR($L86="J_COUNTER",$L86="J_HARD")),Boss参数!$B$79,0)+IF(AND(OR(L86="J_COUNTER",L86="J_HARD"),FA86&gt;=Boss参数!$B$59),FA86*Boss参数!$B$40,0))</f>
        <v>1.2949999999999999</v>
      </c>
      <c r="BC86" s="1">
        <f>IF($E86="","",IFERROR(INDEX(角色面板!$K$18:$K$21,MATCH($E86,角色面板!$A$18:$A$21,0)),0)+IF($B86&lt;=$AH86,Boss参数!$B$46,0)+IF($E86="红弩箭",IF($U86=1,0.6,IF($U86=2,1.2,0))+$W86*0.06,0))-DI86*Boss参数!$B$23</f>
        <v>0.3</v>
      </c>
      <c r="BD86" s="1">
        <f>IF($E86="","",IFERROR(INDEX(角色面板!$L$18:$L$21,MATCH($E86,角色面板!$A$18:$A$21,0)),0)+IF($B86&lt;=$AH86,Boss参数!$B$46,0)+IF($E86="J",$AL86*Boss参数!$B$16,0)+IF($E86="红弩箭",$X86*0.025,0)+IF(AND($L86="LILYA_ULT",$X86&gt;=6),1,0))-DI86*Boss参数!$B$23</f>
        <v>0.3</v>
      </c>
      <c r="BE86" s="1">
        <f>IF($E86="","",IF($H86="洞知",IF($E86="红弩箭",$AO86*Boss参数!$B$15,0)+$AX86*Boss参数!$B$14,0))</f>
        <v>0</v>
      </c>
      <c r="BF86" s="1">
        <f t="shared" si="71"/>
        <v>0</v>
      </c>
      <c r="BG86" s="1">
        <f>IF($D86="",0,IF(AND($L86&lt;&gt;"LILYA_DIVE",$L86&lt;&gt;"LILYA_ULT",$L86&lt;&gt;"LILYA_INSIGHT",$L86&lt;&gt;"LILYA_FINISH",$L86&lt;&gt;"37_FOLLOW",$L86&lt;&gt;"RHI_ATTACK",$L86&lt;&gt;"RHI_BERRY",$L86&lt;&gt;"J_COUNTER",$L86&lt;&gt;"J_ULT"),$J86,0)+IF($L86="LILYA_DIVE",$J86+IF($U86=1,IF($G86=1,6,IF($G86=2,12,18)),IF($U86=2,IF($G86=1,12,IF($G86=2,24,36)),0)),0)+IF($L86="LILYA_ULT",$J86+IF($X86&gt;=6,18,0),0)+IF($L86="LILYA_INSIGHT",IF($Y86=1,IF(MOD($AA86+1,3)=0,32,15),0),0)+IF($L86="LILYA_FINISH",IF($Y86=1,50+2.5*$Z86,0),0)+IF($L86="37_FOLLOW",$J86,0)+IF($L86="RHI_ATTACK",$J86*IF($B86&lt;=$AJ86,2,1),0)+IF($L86="RHI_BERRY",15+1.5*$AV86,0)+IF($L86="J_COUNTER",$J86+$AD86*Boss参数!$B$39,0)+IF($L86="J_ULT",$J86+Boss参数!$B$45*MAX(0,$AE86+$AD86-Boss参数!$I$4),0)+$S86)</f>
        <v>0</v>
      </c>
      <c r="BH86" s="1">
        <f t="shared" si="72"/>
        <v>0</v>
      </c>
      <c r="BI86" s="1">
        <f>IF(E86="","",IF(DT86=1,1+Boss参数!$B$8+AV86*Boss参数!$B$19,1))</f>
        <v>1</v>
      </c>
      <c r="BJ86" s="1">
        <f>IF($I86="现实",Boss参数!$C$4,IF($I86="精神",Boss参数!$D$4,0))</f>
        <v>0</v>
      </c>
      <c r="BK86" s="1">
        <f>IF($E86="","",MAX($AY86*Boss参数!$B$9,$AY86-$BJ86*(1-$BF86)))</f>
        <v>0</v>
      </c>
      <c r="BL86" s="1">
        <f>MAX(0,Boss参数!$F$4+IF(DT86=0,Boss参数!$B$27,0)-EJ86)</f>
        <v>1.0999999999999999</v>
      </c>
      <c r="BM86" s="1">
        <f>Boss参数!$G$4+DU86-IF(Y86=1,Boss参数!$B$11,0)</f>
        <v>0.7</v>
      </c>
      <c r="BN86" s="1">
        <f>IF($E86="","",MAX(Boss参数!$B$10,1+IFERROR(INDEX(角色面板!$I$18:$I$21,MATCH($E86,角色面板!$A$18:$A$21,0)),0)+$BB86+Boss参数!$H$4-$BM86))</f>
        <v>1.595</v>
      </c>
      <c r="BO86" s="1">
        <f>IF(E86="","",IF(OR(L86="J_COUNTER",L86="J_HARD"),MAX(0,1+INDEX(角色面板!$K$18:$K$21,MATCH(E86,角色面板!$A$18:$A$21,0))-DI86*Boss参数!$B$23+IF(OR(Boss参数!$B$43=1,L86="J_HARD"),IF(B86&lt;=AH86,Boss参数!$B$46,0),0)),MAX(0,IF(OR(H86="术法",L86="RHI_BERRY",AND(L86="37_FOLLOW",Boss参数!$B$31=1)),1+BC86,IF(H86="仪式",1+BD86,IF(H86="洞知",EK86,1))))))</f>
        <v>1</v>
      </c>
      <c r="BP86" s="1">
        <f t="shared" si="73"/>
        <v>1.1000000000000001</v>
      </c>
      <c r="BQ86" s="1">
        <f t="shared" si="74"/>
        <v>0</v>
      </c>
      <c r="BR86" s="1">
        <f t="shared" si="75"/>
        <v>0</v>
      </c>
      <c r="BS86" s="1">
        <f>IF(BH86=0,0,ROUNDDOWN(AY86*BH86,0)*DV86*IF(Boss参数!$B$29=1,BN86,1)*IF(Boss参数!$B$33=1,BO86,1)*IF(Boss参数!$B$76=1,1-ES86,1))</f>
        <v>0</v>
      </c>
      <c r="BT86" s="1">
        <f t="shared" si="76"/>
        <v>0</v>
      </c>
      <c r="BU86" s="1">
        <f>IF(D86="",0,MIN(IF(Boss参数!$B$77=1,Boss参数!$B$63*Boss参数!$B$62,Boss参数!$B$61*Boss参数!$B$62),DW86+ROUNDDOWN(BS86,0)+ROUNDDOWN(DW86*Q86,0)))</f>
        <v>0</v>
      </c>
      <c r="BV86" s="1">
        <f>IF(D86="",0,MIN(IF(Boss参数!$B$77=1,Boss参数!$B$63*Boss参数!$B$62,Boss参数!$B$61*Boss参数!$B$62),DX86+ROUNDDOWN(BT86,0)+ROUNDDOWN(DX86*Q86,0)))</f>
        <v>0</v>
      </c>
      <c r="BW86" s="1">
        <f t="shared" si="77"/>
        <v>0</v>
      </c>
      <c r="BX86" s="1" t="str">
        <f t="shared" si="78"/>
        <v/>
      </c>
      <c r="BY86" s="1">
        <f t="shared" si="79"/>
        <v>1</v>
      </c>
      <c r="BZ86" s="1">
        <f t="shared" si="80"/>
        <v>0</v>
      </c>
      <c r="CA86" s="1">
        <f>MIN(10,W86+IF(AND(L86="LILYA_COBRA",COUNTIF($L$3:L86,"LILYA_COBRA")=1),5,0)+IF(AND(L86="LILYA_DIVE",U86=1,COUNTIFS($DG$3:DG86,DG86,$L$3:L86,"LILYA_DIVE")=1),2,0)+IF(AND(FE86=1,U86=1),3,0))</f>
        <v>10</v>
      </c>
      <c r="CB86" s="1">
        <f>MIN(20,MAX(0,X86+IF(L86="LILYA_COBRA",IF(COUNTIF($L$3:L86,"LILYA_COBRA")=1,6,IF(U86=1,MAX(1,G86),IF(U86=2,2*MAX(1,G86),0))),0)+IF(AND(Y86=1,E86="红弩箭",L86&lt;&gt;"ENTER_INSIGHT"),1,0)-IF(AND(L86="LILYA_ULT",X86&gt;=6),6,0)))</f>
        <v>8</v>
      </c>
      <c r="CC86" s="1">
        <f t="shared" si="81"/>
        <v>0</v>
      </c>
      <c r="CD86" s="1">
        <f t="shared" si="82"/>
        <v>0</v>
      </c>
      <c r="CE86" s="1">
        <f t="shared" si="83"/>
        <v>0</v>
      </c>
      <c r="CF86" s="1">
        <f t="shared" si="84"/>
        <v>2</v>
      </c>
      <c r="CG86" s="1">
        <f t="shared" si="85"/>
        <v>0</v>
      </c>
      <c r="CH86" s="1">
        <f>MIN(35,AD86+IF(L86="J_HARD",6,0)+IF(L86="J_COUNTER",Boss参数!$B$30,0))</f>
        <v>35</v>
      </c>
      <c r="CI86" s="1">
        <f>MIN(Boss参数!$I$4,AE86+IF(L86="J_HARD",6,0)+IF(L86="J_ULT",AD86,0)+IF(L86="J_COUNTER",Boss参数!$B$30,0))</f>
        <v>15</v>
      </c>
      <c r="CJ86" s="1">
        <f>IF(L86="J_ULT",AD86*Boss参数!$B$41,IF(B86&lt;=AG86,AF86,0))</f>
        <v>0.875</v>
      </c>
      <c r="CK86" s="1">
        <f t="shared" si="86"/>
        <v>6</v>
      </c>
      <c r="CL86" s="1">
        <f t="shared" si="87"/>
        <v>7</v>
      </c>
      <c r="CM86" s="1">
        <f t="shared" si="88"/>
        <v>6</v>
      </c>
      <c r="CN86" s="1">
        <f t="shared" si="89"/>
        <v>7</v>
      </c>
      <c r="CO86" s="1">
        <f t="shared" si="90"/>
        <v>6</v>
      </c>
      <c r="CP86" s="1">
        <f t="shared" si="91"/>
        <v>3</v>
      </c>
      <c r="CQ86" s="1">
        <f t="shared" si="92"/>
        <v>30</v>
      </c>
      <c r="CR86" s="1">
        <f t="shared" si="93"/>
        <v>6</v>
      </c>
      <c r="CS86" s="1">
        <f t="shared" si="94"/>
        <v>0</v>
      </c>
      <c r="CT86" s="1">
        <f t="shared" si="95"/>
        <v>0.12</v>
      </c>
      <c r="CU86" s="1">
        <f t="shared" si="96"/>
        <v>6</v>
      </c>
      <c r="CV86" s="1">
        <f t="shared" si="97"/>
        <v>0.3</v>
      </c>
      <c r="CW86" s="1">
        <f t="shared" si="98"/>
        <v>6</v>
      </c>
      <c r="CX86" s="1">
        <f t="shared" si="99"/>
        <v>0.3</v>
      </c>
      <c r="CY86" s="1">
        <f t="shared" si="100"/>
        <v>7</v>
      </c>
      <c r="CZ86" s="1"/>
      <c r="DA86" s="1"/>
      <c r="DB86" s="1"/>
      <c r="DC86" s="1"/>
      <c r="DD86" s="1"/>
      <c r="DE86" s="1"/>
      <c r="DF86" s="1"/>
      <c r="DG86" s="1">
        <f>IF(D86="","",行动模拟!B92)</f>
        <v>5</v>
      </c>
      <c r="DH86" s="1" t="str">
        <f>IF(L86="END_TURN","回合结束",IF(D86="","",IF(INDEX(回合状态!$C$7:$C$17,MATCH(DG86,回合状态!$A$7:$A$17,0))="洞穿","洞穿",IF(OR(L86="J_COUNTER",L86="BOSS_ACTION",L86="BOSS_CONSERVATIVE"),"敌方",IF(AND(L86="37_FOLLOW",DG86=DG85,DH85="敌方"),"敌方",IF(INDEX(回合状态!$C$7:$C$17,MATCH(DG86,回合状态!$A$7:$A$17,0))="普通","出牌",INDEX(回合状态!$C$7:$C$17,MATCH(DG86,回合状态!$A$7:$A$17,0))))))))</f>
        <v>敌方</v>
      </c>
      <c r="DI86" s="1">
        <f t="shared" si="101"/>
        <v>0</v>
      </c>
      <c r="DJ86" s="1">
        <f>IF(D86="",0,MIN(Boss参数!$B$25,IF(OR(AND(DH86="敌方",OR(DH85&lt;&gt;"敌方",DG86&lt;&gt;DG85)),AND(L86="END_TURN",DH86&lt;&gt;"洞穿"),AND(DG86&lt;&gt;DG85,DH85&lt;&gt;"洞穿",L85&lt;&gt;"END_TURN",COUNTIFS($DG$3:DG85,DG85,$DH$3:DH85,"敌方")=0)),EW86,DN85)))</f>
        <v>3</v>
      </c>
      <c r="DK86" s="1">
        <f>IF(D86="",0,MIN(Boss参数!$B$25,IF(OR(AND(DH86="敌方",OR(DH85&lt;&gt;"敌方",DG86&lt;&gt;DG85)),AND(L86="END_TURN",DH86&lt;&gt;"洞穿"),AND(DG86&lt;&gt;DG85,DH85&lt;&gt;"洞穿",L85&lt;&gt;"END_TURN",COUNTIFS($DG$3:DG85,DG85,$DH$3:DH85,"敌方")=0)),EW86,DO85)))</f>
        <v>3</v>
      </c>
      <c r="DL86" s="1">
        <f>IF(D86="",0,MIN(Boss参数!$B$25,IF(OR(AND(DH86="敌方",OR(DH85&lt;&gt;"敌方",DG86&lt;&gt;DG85)),AND(L86="END_TURN",DH86&lt;&gt;"洞穿"),AND(DG86&lt;&gt;DG85,DH85&lt;&gt;"洞穿",L85&lt;&gt;"END_TURN",COUNTIFS($DG$3:DG85,DG85,$DH$3:DH85,"敌方")=0)),EW86,DP85)))</f>
        <v>3</v>
      </c>
      <c r="DM86" s="1">
        <f>IF(D86="",0,MIN(Boss参数!$B$25,IF(OR(AND(DH86="敌方",OR(DH85&lt;&gt;"敌方",DG86&lt;&gt;DG85)),AND(L86="END_TURN",DH86&lt;&gt;"洞穿"),AND(DG86&lt;&gt;DG85,DH85&lt;&gt;"洞穿",L85&lt;&gt;"END_TURN",COUNTIFS($DG$3:DG85,DG85,$DH$3:DH85,"敌方")=0)),EW86,DQ85)))</f>
        <v>3</v>
      </c>
      <c r="DN86" s="1">
        <f>MAX(0,MIN(Boss参数!$B$25,DJ86+DR86)-IF(E86="红弩箭",2*DR86,0))</f>
        <v>3</v>
      </c>
      <c r="DO86" s="1">
        <f>MAX(0,MIN(Boss参数!$B$25,DK86+DR86)-IF(E86="37",2*DR86,0))</f>
        <v>3</v>
      </c>
      <c r="DP86" s="1">
        <f>MAX(0,MIN(Boss参数!$B$25,DL86+DR86)-IF(E86="小瑞安侬",2*DR86,0))</f>
        <v>3</v>
      </c>
      <c r="DQ86" s="1">
        <f>MAX(0,MIN(Boss参数!$B$25,DM86+DR86)-IF(E86="J",2*DR86,0))</f>
        <v>3</v>
      </c>
      <c r="DR86" s="1">
        <f t="shared" si="102"/>
        <v>0</v>
      </c>
      <c r="DS86" s="1">
        <f t="shared" si="103"/>
        <v>0</v>
      </c>
      <c r="DT86" s="1">
        <f>IF(OR(E86="",E86="系统"),0,IF(OR(AND(DS86=1,Boss参数!$B$32=1),L86="RHI_BERRY",OR(AND(INDEX(角色面板!$B$18:$B$21,MATCH(E86,角色面板!$A$18:$A$21,0))="星",Boss参数!$B$4="岩"),AND(INDEX(角色面板!$B$18:$B$21,MATCH(E86,角色面板!$A$18:$A$21,0))="岩",Boss参数!$B$4="兽"),AND(INDEX(角色面板!$B$18:$B$21,MATCH(E86,角色面板!$A$18:$A$21,0))="兽",Boss参数!$B$4="木"),AND(INDEX(角色面板!$B$18:$B$21,MATCH(E86,角色面板!$A$18:$A$21,0))="木",Boss参数!$B$4="星"),AND(INDEX(角色面板!$B$18:$B$21,MATCH(E86,角色面板!$A$18:$A$21,0))="智",Boss参数!$B$4="灵"),AND(INDEX(角色面板!$B$18:$B$21,MATCH(E86,角色面板!$A$18:$A$21,0))="灵",Boss参数!$B$4="智"))),1,0))</f>
        <v>0</v>
      </c>
      <c r="DU86" s="1">
        <f>IF(D86="",0,INDEX(回合状态!$E$7:$E$17,MATCH(DG86,回合状态!$A$7:$A$17,0))+IF(AND(DH86="敌方",OR(INDEX(回合状态!$C$7:$C$17,MATCH(DG86,回合状态!$A$7:$A$17,0))="普通",INDEX(回合状态!$C$7:$C$17,MATCH(DG86,回合状态!$A$7:$A$17,0))="额外")),0.05,0))</f>
        <v>0.3</v>
      </c>
      <c r="DV86" s="1">
        <f>MAX(Boss参数!$B$28,1+IF(AND(E86="37",AC86&gt;0,BH86&gt;0),Boss参数!$B$42,0)-DI86*Boss参数!$B$24+EA86-ER86)</f>
        <v>9.9999999999999978E-2</v>
      </c>
      <c r="DW86" s="1">
        <f>MIN(IF(Boss参数!$B$77=1,Boss参数!$B$63*Boss参数!$B$62,Boss参数!$B$61*Boss参数!$B$62),ROUNDDOWN(BQ86*(1-ES86),0))</f>
        <v>0</v>
      </c>
      <c r="DX86" s="1">
        <f>MIN(IF(Boss参数!$B$77=1,Boss参数!$B$63*Boss参数!$B$62,Boss参数!$B$61*Boss参数!$B$62),ROUNDDOWN(BR86*(1-ES86),0))</f>
        <v>0</v>
      </c>
      <c r="DY86" s="1">
        <f t="shared" si="135"/>
        <v>250</v>
      </c>
      <c r="DZ86" s="1">
        <f>IF(L86="RHI_ULT",MIN(Boss参数!$B$48,ROUNDDOWN(AY86*Boss参数!$B$47,0)),DY86)</f>
        <v>250</v>
      </c>
      <c r="EA86" s="1">
        <v>0</v>
      </c>
      <c r="EB86" s="1">
        <f t="shared" si="104"/>
        <v>1</v>
      </c>
      <c r="EC86" s="1">
        <f>SUMIFS($EB$3:EB86,$B$3:B86,"&gt;="&amp;MAX(1,B86-2),$B$3:B86,"&lt;="&amp;B86)*Boss参数!$B$51</f>
        <v>18</v>
      </c>
      <c r="ED86" s="1">
        <f>IF(D86="",EG85,IF(AND(DG86&lt;&gt;DG85,DH86&lt;&gt;"洞穿"),MIN(Boss参数!$B$55,EG85+2),EG85))</f>
        <v>1</v>
      </c>
      <c r="EE86" s="1">
        <f t="shared" si="105"/>
        <v>0</v>
      </c>
      <c r="EF86" s="1">
        <f>IF(AND(OR(L86="END_TURN",AND(DH86="敌方",OR(DH85&lt;&gt;"敌方",DG86&lt;&gt;DG85))),SUMIFS($EF$3:EF85,$DG$3:DG85,DG86)=0),MIN(1,MAX(0,ED86-EE86)),0)</f>
        <v>1</v>
      </c>
      <c r="EG86" s="1">
        <f t="shared" si="106"/>
        <v>0</v>
      </c>
      <c r="EH86" s="1">
        <f>Boss参数!$B$53-IF(Y86=1,Boss参数!$B$54,0)</f>
        <v>0</v>
      </c>
      <c r="EI86" s="1">
        <f t="shared" si="107"/>
        <v>0.3</v>
      </c>
      <c r="EJ86" s="1">
        <f t="shared" si="108"/>
        <v>0.3</v>
      </c>
      <c r="EK86" s="1">
        <f t="shared" si="109"/>
        <v>1</v>
      </c>
      <c r="EL86" s="1">
        <f t="shared" si="136"/>
        <v>0</v>
      </c>
      <c r="EM86" s="1">
        <f>IF(AND(DG86&lt;&gt;DG85,DH86="洞穿"),0,IF(L86="ENTER_INSIGHT",Boss参数!$B$57,EO85))</f>
        <v>0</v>
      </c>
      <c r="EN86" s="1">
        <f>IF(AND(Y86=1,H86="洞知",EM86&gt;0),Boss参数!$B$56,0)</f>
        <v>0</v>
      </c>
      <c r="EO86" s="1">
        <f t="shared" si="110"/>
        <v>0</v>
      </c>
      <c r="EP86" s="1">
        <f t="shared" si="137"/>
        <v>14303828</v>
      </c>
      <c r="EQ86" s="1">
        <f>ROUNDDOWN(EP86/Boss参数!$B$62,0)</f>
        <v>143</v>
      </c>
      <c r="ER86" s="1">
        <f>IF(EQ86&gt;=Boss参数!$B$66,Boss参数!$B$69,IF(EQ86&gt;=Boss参数!$B$65,Boss参数!$B$68,IF(EQ86&gt;=Boss参数!$B$64,Boss参数!$B$67,0)))</f>
        <v>0.9</v>
      </c>
      <c r="ES86" s="1">
        <f>MIN(1,IF(EQ86&gt;=Boss参数!$B$66,Boss参数!$B$72+ROUNDDOWN((EQ86-Boss参数!$B$66)/Boss参数!$B$73,0)*Boss参数!$B$74,IF(EQ86&gt;=Boss参数!$B$65,Boss参数!$B$71,IF(EQ86&gt;=Boss参数!$B$64,Boss参数!$B$70,0))))</f>
        <v>0.6</v>
      </c>
      <c r="ET86" s="1">
        <f>MIN(Boss参数!$B$61*Boss参数!$B$62,EP86+IF(AND(Boss参数!$B$60=1,ISNUMBER(验证表!H92)),验证表!H92,EU86))</f>
        <v>14303828</v>
      </c>
      <c r="EU86" s="1">
        <f>IF(D86="",0,IF(验证表!G92="是",BV86,IF(验证表!G92="否",BU86,BW86)))</f>
        <v>0</v>
      </c>
      <c r="EV86" s="1">
        <f>IF(EQ86&gt;=Boss参数!$B$66,2,IF(EQ86&gt;=Boss参数!$B$65,1,0))</f>
        <v>2</v>
      </c>
      <c r="EW86" s="1">
        <f t="shared" si="111"/>
        <v>3</v>
      </c>
      <c r="EX86" s="1">
        <f>IF(D86="",0,INDEX(回合状态!$D$7:$D$17,MATCH(DG86,回合状态!$A$7:$A$17,0)))</f>
        <v>5</v>
      </c>
      <c r="EY86" s="1">
        <f>IF(OR(L86="RHI_ATTACK",L86="RHI_BUFF"),1,IF(L86="RHI_ULT",Boss参数!$B$52,0))</f>
        <v>0</v>
      </c>
      <c r="EZ86" s="1">
        <f>MIN(6,SUMIFS($EY$3:EY86,$EX$3:EX86,"&gt;="&amp;MAX(1,EX86-Boss参数!$B$87+1),$EX$3:EX86,"&lt;="&amp;EX86))</f>
        <v>6</v>
      </c>
      <c r="FA86" s="1">
        <f t="shared" si="138"/>
        <v>35</v>
      </c>
      <c r="FB86" s="17">
        <f>IF(L86="BOSS_CONSERVATIVE",B86+Boss参数!$B$91,FB85)</f>
        <v>7</v>
      </c>
      <c r="FC86" s="17">
        <f t="shared" si="139"/>
        <v>0</v>
      </c>
      <c r="FD86" s="17">
        <f>IF(D86="",FD85,FD85+IF(AND(DG86&lt;&gt;DG85,INDEX(回合状态!$C$7:$C$17,MATCH(DG86,回合状态!$A$7:$A$17,0))&lt;&gt;"洞穿"),1,0))</f>
        <v>6</v>
      </c>
      <c r="FE86" s="17">
        <f>IF(D86="",0,IF(AND(OR(L86="END_TURN",DH86="敌方"),INDEX(回合状态!$C$7:$C$17,MATCH(DG86,回合状态!$A$7:$A$17,0))&lt;&gt;"洞穿",SUMIFS($FE$3:FE85,$DG$3:DG85,DG86)=0),1,0))</f>
        <v>1</v>
      </c>
    </row>
    <row r="87" spans="1:161" ht="84.95" customHeight="1">
      <c r="A87" s="1">
        <f>行动模拟!A93</f>
        <v>85</v>
      </c>
      <c r="B87" s="1">
        <f>IF(D87="",0,INDEX(回合状态!$B$7:$B$17,MATCH(DG87,回合状态!$A$7:$A$17,0)))</f>
        <v>5</v>
      </c>
      <c r="C87" s="1">
        <f>行动模拟!C93</f>
        <v>9</v>
      </c>
      <c r="D87" s="1" t="str">
        <f>IF(行动模拟!D93="","",行动模拟!D93)</f>
        <v>J｜高温回火</v>
      </c>
      <c r="E87" s="1" t="str">
        <f>IF($D87="","",IFERROR(INDEX(技能数据库!$B$4:$B$38,MATCH($D87,技能数据库!$A$4:$A$38,0)),""))</f>
        <v>J</v>
      </c>
      <c r="F87" s="1" t="str">
        <f>IF($D87="","",IFERROR(INDEX(技能数据库!$C$4:$C$38,MATCH($D87,技能数据库!$A$4:$A$38,0)),""))</f>
        <v>高温回火</v>
      </c>
      <c r="G87" s="1">
        <f>IF($D87="","",IFERROR(INDEX(技能数据库!$D$4:$D$38,MATCH($D87,技能数据库!$A$4:$A$38,0)),""))</f>
        <v>0</v>
      </c>
      <c r="H87" s="1" t="str">
        <f>IF($D87="","",IFERROR(INDEX(技能数据库!$E$4:$E$38,MATCH($D87,技能数据库!$A$4:$A$38,0)),""))</f>
        <v>反击</v>
      </c>
      <c r="I87" s="1" t="str">
        <f>IF($D87="","",IFERROR(INDEX(技能数据库!$F$4:$F$38,MATCH($D87,技能数据库!$A$4:$A$38,0)),""))</f>
        <v>现实</v>
      </c>
      <c r="J87" s="1">
        <f>IF($D87="","",IFERROR(INDEX(技能数据库!$G$4:$G$38,MATCH($D87,技能数据库!$A$4:$A$38,0)),""))</f>
        <v>3</v>
      </c>
      <c r="K87" s="1">
        <f>IF($D87="","",IFERROR(INDEX(技能数据库!$H$4:$H$38,MATCH($D87,技能数据库!$A$4:$A$38,0)),""))</f>
        <v>0</v>
      </c>
      <c r="L87" s="1" t="str">
        <f>IF($D87="","",IFERROR(INDEX(技能数据库!$I$4:$I$38,MATCH($D87,技能数据库!$A$4:$A$38,0)),""))</f>
        <v>J_COUNTER</v>
      </c>
      <c r="M87" s="1">
        <v>1</v>
      </c>
      <c r="N87" s="1"/>
      <c r="O87" s="1"/>
      <c r="P87" s="1"/>
      <c r="Q87" s="1">
        <f t="shared" si="70"/>
        <v>0</v>
      </c>
      <c r="R87" s="1">
        <v>0</v>
      </c>
      <c r="S87" s="1">
        <v>0</v>
      </c>
      <c r="T87" s="1">
        <f>行动模拟!I93</f>
        <v>0</v>
      </c>
      <c r="U87" s="1">
        <f>IF(FD87&lt;&gt;FD86,IF(BY86=1,IF(MIN(10,CA86+IF(AND(DG87&lt;&gt;DG86,DH86&lt;&gt;"洞穿",SUMIFS($FE$3:FE86,$DG$3:DG86,DG86)=0,BY86=1),3,0))&gt;=10,2,1),IF(BY86=2,IF(BZ86&lt;=1,0,2),0)),BY86)</f>
        <v>1</v>
      </c>
      <c r="V87" s="1">
        <f>IF(FD87&lt;&gt;FD86,IF(BY86=1,IF(MIN(10,CA86+IF(AND(DG87&lt;&gt;DG86,DH86&lt;&gt;"洞穿",SUMIFS($FE$3:FE86,$DG$3:DG86,DG86)=0,BY86=1),3,0))&gt;=10,2,0),IF(BY86=2,MAX(0,BZ86-1),0)),BZ86)</f>
        <v>0</v>
      </c>
      <c r="W87" s="1">
        <f>IF(AND(FD87&lt;&gt;FD86,BY86=2,BZ86&lt;=1),0,MIN(10,CA86+IF(AND(DG87&lt;&gt;DG86,DH86&lt;&gt;"洞穿",SUMIFS($FE$3:FE86,$DG$3:DG86,DG86)=0,BY86=1),3,0)))</f>
        <v>10</v>
      </c>
      <c r="X87" s="1">
        <f t="shared" si="112"/>
        <v>8</v>
      </c>
      <c r="Y87" s="1">
        <f t="shared" si="113"/>
        <v>0</v>
      </c>
      <c r="Z87" s="1">
        <f t="shared" si="114"/>
        <v>0</v>
      </c>
      <c r="AA87" s="1">
        <f t="shared" si="115"/>
        <v>0</v>
      </c>
      <c r="AB87" s="1">
        <f t="shared" si="116"/>
        <v>2</v>
      </c>
      <c r="AC87" s="1">
        <f t="shared" si="117"/>
        <v>0</v>
      </c>
      <c r="AD87" s="1">
        <f t="shared" si="118"/>
        <v>35</v>
      </c>
      <c r="AE87" s="1">
        <f>IF(D87="",0,IF(DG87&lt;&gt;DG86,IFERROR(INDEX(回合状态!$F$7:$F$17,MATCH(DG87,回合状态!$A$7:$A$17,0)),0),CI86))</f>
        <v>15</v>
      </c>
      <c r="AF87" s="1">
        <f t="shared" si="119"/>
        <v>0.875</v>
      </c>
      <c r="AG87" s="1">
        <f t="shared" si="120"/>
        <v>6</v>
      </c>
      <c r="AH87" s="1">
        <f t="shared" si="121"/>
        <v>7</v>
      </c>
      <c r="AI87" s="1">
        <f t="shared" si="122"/>
        <v>6</v>
      </c>
      <c r="AJ87" s="1">
        <f t="shared" si="123"/>
        <v>7</v>
      </c>
      <c r="AK87" s="1">
        <f t="shared" si="124"/>
        <v>6</v>
      </c>
      <c r="AL87" s="1">
        <f t="shared" si="125"/>
        <v>3</v>
      </c>
      <c r="AM87" s="1">
        <f t="shared" si="126"/>
        <v>30</v>
      </c>
      <c r="AN87" s="1">
        <f t="shared" si="127"/>
        <v>6</v>
      </c>
      <c r="AO87" s="1">
        <f t="shared" si="128"/>
        <v>0</v>
      </c>
      <c r="AP87" s="1">
        <f t="shared" si="129"/>
        <v>0.12</v>
      </c>
      <c r="AQ87" s="1">
        <f t="shared" si="130"/>
        <v>6</v>
      </c>
      <c r="AR87" s="1">
        <f t="shared" si="131"/>
        <v>0.3</v>
      </c>
      <c r="AS87" s="1">
        <f t="shared" si="132"/>
        <v>6</v>
      </c>
      <c r="AT87" s="1">
        <f t="shared" si="133"/>
        <v>0.3</v>
      </c>
      <c r="AU87" s="1">
        <f t="shared" si="134"/>
        <v>7</v>
      </c>
      <c r="AV87" s="1">
        <f>MIN(5,SUMIFS($EL$3:EL87,$B$3:B87,"&gt;="&amp;MAX(1,B87-2),$B$3:B87,"&lt;="&amp;B87)+EC87)</f>
        <v>5</v>
      </c>
      <c r="AW87" s="1">
        <f>MIN(6,SUMIFS($EY$3:EY86,$EX$3:EX86,"&gt;="&amp;MAX(1,EX87-Boss参数!$B$87+1),$EX$3:EX86,"&lt;="&amp;EX87))</f>
        <v>6</v>
      </c>
      <c r="AX87" s="1">
        <f>MIN(4,COUNTIFS($B$3:$B$86,"&gt;="&amp;MAX(1,$B87-2),$B$3:$B$86,"&lt;="&amp;$B87,$L$3:$L$86,"37_FOLLOW"))</f>
        <v>4</v>
      </c>
      <c r="AY87" s="1">
        <f>IF($E87="","",IF($E87="系统",0,ROUNDDOWN(INDEX(角色面板!$C$4:$C$7,MATCH($E87,角色面板!$A$4:$A$7,0))*(1+INDEX(角色面板!$C$11:$C$14,MATCH($E87,角色面板!$A$11:$A$14,0))+IF($E87="小瑞安侬",MAX(IF($B87&lt;=$AQ87,$AP87,0),IF(AND($L87="RHI_ATTACK",$EE87&gt;0),0.11+0.01*$G87,0)),0)+IF($E87="J",$AD87*Boss参数!$B$18,0))+IF(FD87&lt;=$AN87,MIN(Boss参数!$B$21,ROUNDDOWN(角色面板!$C$19*Boss参数!$B$20,0)),0)+IF(AND($B87&lt;=$AK87,$E87&lt;&gt;"小瑞安侬"),$DY87,0),0)))</f>
        <v>3323</v>
      </c>
      <c r="AZ87" s="1">
        <f>IF($E87="","",MAX(0,MIN(1,IFERROR(INDEX(角色面板!$G$18:$G$21,MATCH($E87,角色面板!$A$18:$A$21,0)),0)-FC87*Boss参数!$B$89-Boss参数!$E$4)))</f>
        <v>0.16700000000000004</v>
      </c>
      <c r="BA87" s="1">
        <f>IF(E87="","",(IF($E87="","",IF($E87="红弩箭",Boss参数!$B$80,IF($E87="J",Boss参数!$B$81,IFERROR(INDEX(角色面板!$H$18:$H$21,MATCH($E87,角色面板!$A$18:$A$21,0)),0)))+IF($B87&lt;=$AI87,Boss参数!$B$13,0)+MIN(30,$AM87)*Boss参数!$B$17+IF(AND($L87="LILYA_ULT",$X87&gt;=6),1,0)+IF(AND($Y87=1,$L87="LILYA_INSIGHT"),IF(MOD($AA87+1,3)=0,Boss参数!$B$83,Boss参数!$B$82),IF(AND($Y87=1,$L87="LILYA_FINISH"),Boss参数!$B$84,0))))-FC87*Boss参数!$B$90)</f>
        <v>1.2969999999999999</v>
      </c>
      <c r="BB87" s="1">
        <f>IF($E87="","",IFERROR(INDEX(角色面板!$M$18:$M$21,MATCH($E87,角色面板!$A$18:$A$21,0)),0)+$AW87*Boss参数!$B$12+IF($B87&lt;=$AG87,$AF87,0)+$EI87+IF($L87="LILYA_DIVE",IF($U87=1,IF($G87=1,0.3,IF($G87=2,0.4,0.5)),IF($U87=2,IF($G87=1,0.6,IF($G87=2,0.8,1)),0)),0)+$R87+IF(AND($E87="J",OR($L87="J_COUNTER",$L87="J_HARD")),Boss参数!$B$79,0)+IF(AND(OR(L87="J_COUNTER",L87="J_HARD"),FA87&gt;=Boss参数!$B$59),FA87*Boss参数!$B$40,0))</f>
        <v>1.8250000000000002</v>
      </c>
      <c r="BC87" s="1">
        <f>IF($E87="","",IFERROR(INDEX(角色面板!$K$18:$K$21,MATCH($E87,角色面板!$A$18:$A$21,0)),0)+IF($B87&lt;=$AH87,Boss参数!$B$46,0)+IF($E87="红弩箭",IF($U87=1,0.6,IF($U87=2,1.2,0))+$W87*0.06,0))-DI87*Boss参数!$B$23</f>
        <v>-0.55000000000000004</v>
      </c>
      <c r="BD87" s="1">
        <f>IF($E87="","",IFERROR(INDEX(角色面板!$L$18:$L$21,MATCH($E87,角色面板!$A$18:$A$21,0)),0)+IF($B87&lt;=$AH87,Boss参数!$B$46,0)+IF($E87="J",$AL87*Boss参数!$B$16,0)+IF($E87="红弩箭",$X87*0.025,0)+IF(AND($L87="LILYA_ULT",$X87&gt;=6),1,0))-DI87*Boss参数!$B$23</f>
        <v>-2.9999999999999971E-2</v>
      </c>
      <c r="BE87" s="1">
        <f>IF($E87="","",IF($H87="洞知",IF($E87="红弩箭",$AO87*Boss参数!$B$15,0)+$AX87*Boss参数!$B$14,0))</f>
        <v>0</v>
      </c>
      <c r="BF87" s="1">
        <f t="shared" si="71"/>
        <v>0</v>
      </c>
      <c r="BG87" s="1">
        <f>IF($D87="",0,IF(AND($L87&lt;&gt;"LILYA_DIVE",$L87&lt;&gt;"LILYA_ULT",$L87&lt;&gt;"LILYA_INSIGHT",$L87&lt;&gt;"LILYA_FINISH",$L87&lt;&gt;"37_FOLLOW",$L87&lt;&gt;"RHI_ATTACK",$L87&lt;&gt;"RHI_BERRY",$L87&lt;&gt;"J_COUNTER",$L87&lt;&gt;"J_ULT"),$J87,0)+IF($L87="LILYA_DIVE",$J87+IF($U87=1,IF($G87=1,6,IF($G87=2,12,18)),IF($U87=2,IF($G87=1,12,IF($G87=2,24,36)),0)),0)+IF($L87="LILYA_ULT",$J87+IF($X87&gt;=6,18,0),0)+IF($L87="LILYA_INSIGHT",IF($Y87=1,IF(MOD($AA87+1,3)=0,32,15),0),0)+IF($L87="LILYA_FINISH",IF($Y87=1,50+2.5*$Z87,0),0)+IF($L87="37_FOLLOW",$J87,0)+IF($L87="RHI_ATTACK",$J87*IF($B87&lt;=$AJ87,2,1),0)+IF($L87="RHI_BERRY",15+1.5*$AV87,0)+IF($L87="J_COUNTER",$J87+$AD87*Boss参数!$B$39,0)+IF($L87="J_ULT",$J87+Boss参数!$B$45*MAX(0,$AE87+$AD87-Boss参数!$I$4),0)+$S87)</f>
        <v>4.75</v>
      </c>
      <c r="BH87" s="1">
        <f t="shared" si="72"/>
        <v>0</v>
      </c>
      <c r="BI87" s="1">
        <f>IF(E87="","",IF(DT87=1,1+Boss参数!$B$8+AV87*Boss参数!$B$19,1))</f>
        <v>1</v>
      </c>
      <c r="BJ87" s="1">
        <f>IF($I87="现实",Boss参数!$C$4,IF($I87="精神",Boss参数!$D$4,0))</f>
        <v>1200</v>
      </c>
      <c r="BK87" s="1">
        <f>IF($E87="","",MAX($AY87*Boss参数!$B$9,$AY87-$BJ87*(1-$BF87)))</f>
        <v>2123</v>
      </c>
      <c r="BL87" s="1">
        <f>MAX(0,Boss参数!$F$4+IF(DT87=0,Boss参数!$B$27,0)-EJ87)</f>
        <v>1.0999999999999999</v>
      </c>
      <c r="BM87" s="1">
        <f>Boss参数!$G$4+DU87-IF(Y87=1,Boss参数!$B$11,0)</f>
        <v>0.7</v>
      </c>
      <c r="BN87" s="1">
        <f>IF($E87="","",MAX(Boss参数!$B$10,1+IFERROR(INDEX(角色面板!$I$18:$I$21,MATCH($E87,角色面板!$A$18:$A$21,0)),0)+$BB87+Boss参数!$H$4-$BM87))</f>
        <v>2.1500000000000004</v>
      </c>
      <c r="BO87" s="1">
        <f>IF(E87="","",IF(OR(L87="J_COUNTER",L87="J_HARD"),MAX(0,1+INDEX(角色面板!$K$18:$K$21,MATCH(E87,角色面板!$A$18:$A$21,0))-DI87*Boss参数!$B$23+IF(OR(Boss参数!$B$43=1,L87="J_HARD"),IF(B87&lt;=AH87,Boss参数!$B$46,0),0)),MAX(0,IF(OR(H87="术法",L87="RHI_BERRY",AND(L87="37_FOLLOW",Boss参数!$B$31=1)),1+BC87,IF(H87="仪式",1+BD87,IF(H87="洞知",EK87,1))))))</f>
        <v>0.45</v>
      </c>
      <c r="BP87" s="1">
        <f t="shared" si="73"/>
        <v>1.1000000000000001</v>
      </c>
      <c r="BQ87" s="1">
        <f t="shared" si="74"/>
        <v>9756.511875000002</v>
      </c>
      <c r="BR87" s="1">
        <f t="shared" si="75"/>
        <v>10732.163062500003</v>
      </c>
      <c r="BS87" s="1">
        <f>IF(BH87=0,0,ROUNDDOWN(AY87*BH87,0)*DV87*IF(Boss参数!$B$29=1,BN87,1)*IF(Boss参数!$B$33=1,BO87,1)*IF(Boss参数!$B$76=1,1-ES87,1))</f>
        <v>0</v>
      </c>
      <c r="BT87" s="1">
        <f t="shared" si="76"/>
        <v>0</v>
      </c>
      <c r="BU87" s="1">
        <f>IF(D87="",0,MIN(IF(Boss参数!$B$77=1,Boss参数!$B$63*Boss参数!$B$62,Boss参数!$B$61*Boss参数!$B$62),DW87+ROUNDDOWN(BS87,0)+ROUNDDOWN(DW87*Q87,0)))</f>
        <v>3902</v>
      </c>
      <c r="BV87" s="1">
        <f>IF(D87="",0,MIN(IF(Boss参数!$B$77=1,Boss参数!$B$63*Boss参数!$B$62,Boss参数!$B$61*Boss参数!$B$62),DX87+ROUNDDOWN(BT87,0)+ROUNDDOWN(DX87*Q87,0)))</f>
        <v>4292</v>
      </c>
      <c r="BW87" s="1">
        <f t="shared" si="77"/>
        <v>3967</v>
      </c>
      <c r="BX87" s="1" t="str">
        <f t="shared" si="78"/>
        <v/>
      </c>
      <c r="BY87" s="1">
        <f t="shared" si="79"/>
        <v>1</v>
      </c>
      <c r="BZ87" s="1">
        <f t="shared" si="80"/>
        <v>0</v>
      </c>
      <c r="CA87" s="1">
        <f>MIN(10,W87+IF(AND(L87="LILYA_COBRA",COUNTIF($L$3:L87,"LILYA_COBRA")=1),5,0)+IF(AND(L87="LILYA_DIVE",U87=1,COUNTIFS($DG$3:DG87,DG87,$L$3:L87,"LILYA_DIVE")=1),2,0)+IF(AND(FE87=1,U87=1),3,0))</f>
        <v>10</v>
      </c>
      <c r="CB87" s="1">
        <f>MIN(20,MAX(0,X87+IF(L87="LILYA_COBRA",IF(COUNTIF($L$3:L87,"LILYA_COBRA")=1,6,IF(U87=1,MAX(1,G87),IF(U87=2,2*MAX(1,G87),0))),0)+IF(AND(Y87=1,E87="红弩箭",L87&lt;&gt;"ENTER_INSIGHT"),1,0)-IF(AND(L87="LILYA_ULT",X87&gt;=6),6,0)))</f>
        <v>8</v>
      </c>
      <c r="CC87" s="1">
        <f t="shared" si="81"/>
        <v>0</v>
      </c>
      <c r="CD87" s="1">
        <f t="shared" si="82"/>
        <v>0</v>
      </c>
      <c r="CE87" s="1">
        <f t="shared" si="83"/>
        <v>0</v>
      </c>
      <c r="CF87" s="1">
        <f t="shared" si="84"/>
        <v>3</v>
      </c>
      <c r="CG87" s="1">
        <f t="shared" si="85"/>
        <v>0</v>
      </c>
      <c r="CH87" s="1">
        <f>MIN(35,AD87+IF(L87="J_HARD",6,0)+IF(L87="J_COUNTER",Boss参数!$B$30,0))</f>
        <v>35</v>
      </c>
      <c r="CI87" s="1">
        <f>MIN(Boss参数!$I$4,AE87+IF(L87="J_HARD",6,0)+IF(L87="J_ULT",AD87,0)+IF(L87="J_COUNTER",Boss参数!$B$30,0))</f>
        <v>17</v>
      </c>
      <c r="CJ87" s="1">
        <f>IF(L87="J_ULT",AD87*Boss参数!$B$41,IF(B87&lt;=AG87,AF87,0))</f>
        <v>0.875</v>
      </c>
      <c r="CK87" s="1">
        <f t="shared" si="86"/>
        <v>6</v>
      </c>
      <c r="CL87" s="1">
        <f t="shared" si="87"/>
        <v>7</v>
      </c>
      <c r="CM87" s="1">
        <f t="shared" si="88"/>
        <v>6</v>
      </c>
      <c r="CN87" s="1">
        <f t="shared" si="89"/>
        <v>7</v>
      </c>
      <c r="CO87" s="1">
        <f t="shared" si="90"/>
        <v>6</v>
      </c>
      <c r="CP87" s="1">
        <f t="shared" si="91"/>
        <v>3</v>
      </c>
      <c r="CQ87" s="1">
        <f t="shared" si="92"/>
        <v>30</v>
      </c>
      <c r="CR87" s="1">
        <f t="shared" si="93"/>
        <v>6</v>
      </c>
      <c r="CS87" s="1">
        <f t="shared" si="94"/>
        <v>0</v>
      </c>
      <c r="CT87" s="1">
        <f t="shared" si="95"/>
        <v>0.12</v>
      </c>
      <c r="CU87" s="1">
        <f t="shared" si="96"/>
        <v>6</v>
      </c>
      <c r="CV87" s="1">
        <f t="shared" si="97"/>
        <v>0.3</v>
      </c>
      <c r="CW87" s="1">
        <f t="shared" si="98"/>
        <v>6</v>
      </c>
      <c r="CX87" s="1">
        <f t="shared" si="99"/>
        <v>0.3</v>
      </c>
      <c r="CY87" s="1">
        <f t="shared" si="100"/>
        <v>7</v>
      </c>
      <c r="CZ87" s="1"/>
      <c r="DA87" s="1"/>
      <c r="DB87" s="1"/>
      <c r="DC87" s="1"/>
      <c r="DD87" s="1"/>
      <c r="DE87" s="1"/>
      <c r="DF87" s="1"/>
      <c r="DG87" s="1">
        <f>IF(D87="","",行动模拟!B93)</f>
        <v>5</v>
      </c>
      <c r="DH87" s="1" t="str">
        <f>IF(L87="END_TURN","回合结束",IF(D87="","",IF(INDEX(回合状态!$C$7:$C$17,MATCH(DG87,回合状态!$A$7:$A$17,0))="洞穿","洞穿",IF(OR(L87="J_COUNTER",L87="BOSS_ACTION",L87="BOSS_CONSERVATIVE"),"敌方",IF(AND(L87="37_FOLLOW",DG87=DG86,DH86="敌方"),"敌方",IF(INDEX(回合状态!$C$7:$C$17,MATCH(DG87,回合状态!$A$7:$A$17,0))="普通","出牌",INDEX(回合状态!$C$7:$C$17,MATCH(DG87,回合状态!$A$7:$A$17,0))))))))</f>
        <v>敌方</v>
      </c>
      <c r="DI87" s="1">
        <f t="shared" si="101"/>
        <v>3</v>
      </c>
      <c r="DJ87" s="1">
        <f>IF(D87="",0,MIN(Boss参数!$B$25,IF(OR(AND(DH87="敌方",OR(DH86&lt;&gt;"敌方",DG87&lt;&gt;DG86)),AND(L87="END_TURN",DH87&lt;&gt;"洞穿"),AND(DG87&lt;&gt;DG86,DH86&lt;&gt;"洞穿",L86&lt;&gt;"END_TURN",COUNTIFS($DG$3:DG86,DG86,$DH$3:DH86,"敌方")=0)),EW87,DN86)))</f>
        <v>3</v>
      </c>
      <c r="DK87" s="1">
        <f>IF(D87="",0,MIN(Boss参数!$B$25,IF(OR(AND(DH87="敌方",OR(DH86&lt;&gt;"敌方",DG87&lt;&gt;DG86)),AND(L87="END_TURN",DH87&lt;&gt;"洞穿"),AND(DG87&lt;&gt;DG86,DH86&lt;&gt;"洞穿",L86&lt;&gt;"END_TURN",COUNTIFS($DG$3:DG86,DG86,$DH$3:DH86,"敌方")=0)),EW87,DO86)))</f>
        <v>3</v>
      </c>
      <c r="DL87" s="1">
        <f>IF(D87="",0,MIN(Boss参数!$B$25,IF(OR(AND(DH87="敌方",OR(DH86&lt;&gt;"敌方",DG87&lt;&gt;DG86)),AND(L87="END_TURN",DH87&lt;&gt;"洞穿"),AND(DG87&lt;&gt;DG86,DH86&lt;&gt;"洞穿",L86&lt;&gt;"END_TURN",COUNTIFS($DG$3:DG86,DG86,$DH$3:DH86,"敌方")=0)),EW87,DP86)))</f>
        <v>3</v>
      </c>
      <c r="DM87" s="1">
        <f>IF(D87="",0,MIN(Boss参数!$B$25,IF(OR(AND(DH87="敌方",OR(DH86&lt;&gt;"敌方",DG87&lt;&gt;DG86)),AND(L87="END_TURN",DH87&lt;&gt;"洞穿"),AND(DG87&lt;&gt;DG86,DH86&lt;&gt;"洞穿",L86&lt;&gt;"END_TURN",COUNTIFS($DG$3:DG86,DG86,$DH$3:DH86,"敌方")=0)),EW87,DQ86)))</f>
        <v>3</v>
      </c>
      <c r="DN87" s="1">
        <f>MAX(0,MIN(Boss参数!$B$25,DJ87+DR87)-IF(E87="红弩箭",2*DR87,0))</f>
        <v>4</v>
      </c>
      <c r="DO87" s="1">
        <f>MAX(0,MIN(Boss参数!$B$25,DK87+DR87)-IF(E87="37",2*DR87,0))</f>
        <v>4</v>
      </c>
      <c r="DP87" s="1">
        <f>MAX(0,MIN(Boss参数!$B$25,DL87+DR87)-IF(E87="小瑞安侬",2*DR87,0))</f>
        <v>4</v>
      </c>
      <c r="DQ87" s="1">
        <f>MAX(0,MIN(Boss参数!$B$25,DM87+DR87)-IF(E87="J",2*DR87,0))</f>
        <v>2</v>
      </c>
      <c r="DR87" s="1">
        <f t="shared" si="102"/>
        <v>1</v>
      </c>
      <c r="DS87" s="1">
        <f t="shared" si="103"/>
        <v>0</v>
      </c>
      <c r="DT87" s="1">
        <f>IF(OR(E87="",E87="系统"),0,IF(OR(AND(DS87=1,Boss参数!$B$32=1),L87="RHI_BERRY",OR(AND(INDEX(角色面板!$B$18:$B$21,MATCH(E87,角色面板!$A$18:$A$21,0))="星",Boss参数!$B$4="岩"),AND(INDEX(角色面板!$B$18:$B$21,MATCH(E87,角色面板!$A$18:$A$21,0))="岩",Boss参数!$B$4="兽"),AND(INDEX(角色面板!$B$18:$B$21,MATCH(E87,角色面板!$A$18:$A$21,0))="兽",Boss参数!$B$4="木"),AND(INDEX(角色面板!$B$18:$B$21,MATCH(E87,角色面板!$A$18:$A$21,0))="木",Boss参数!$B$4="星"),AND(INDEX(角色面板!$B$18:$B$21,MATCH(E87,角色面板!$A$18:$A$21,0))="智",Boss参数!$B$4="灵"),AND(INDEX(角色面板!$B$18:$B$21,MATCH(E87,角色面板!$A$18:$A$21,0))="灵",Boss参数!$B$4="智"))),1,0))</f>
        <v>0</v>
      </c>
      <c r="DU87" s="1">
        <f>IF(D87="",0,INDEX(回合状态!$E$7:$E$17,MATCH(DG87,回合状态!$A$7:$A$17,0))+IF(AND(DH87="敌方",OR(INDEX(回合状态!$C$7:$C$17,MATCH(DG87,回合状态!$A$7:$A$17,0))="普通",INDEX(回合状态!$C$7:$C$17,MATCH(DG87,回合状态!$A$7:$A$17,0))="额外")),0.05,0))</f>
        <v>0.3</v>
      </c>
      <c r="DV87" s="1">
        <f>MAX(Boss参数!$B$28,1+IF(AND(E87="37",AC87&gt;0,BH87&gt;0),Boss参数!$B$42,0)-DI87*Boss参数!$B$24+EA87-ER87)</f>
        <v>0</v>
      </c>
      <c r="DW87" s="1">
        <f>MIN(IF(Boss参数!$B$77=1,Boss参数!$B$63*Boss参数!$B$62,Boss参数!$B$61*Boss参数!$B$62),ROUNDDOWN(BQ87*(1-ES87),0))</f>
        <v>3902</v>
      </c>
      <c r="DX87" s="1">
        <f>MIN(IF(Boss参数!$B$77=1,Boss参数!$B$63*Boss参数!$B$62,Boss参数!$B$61*Boss参数!$B$62),ROUNDDOWN(BR87*(1-ES87),0))</f>
        <v>4292</v>
      </c>
      <c r="DY87" s="1">
        <f t="shared" si="135"/>
        <v>250</v>
      </c>
      <c r="DZ87" s="1">
        <f>IF(L87="RHI_ULT",MIN(Boss参数!$B$48,ROUNDDOWN(AY87*Boss参数!$B$47,0)),DY87)</f>
        <v>250</v>
      </c>
      <c r="EA87" s="1">
        <v>0</v>
      </c>
      <c r="EB87" s="1">
        <f t="shared" si="104"/>
        <v>0</v>
      </c>
      <c r="EC87" s="1">
        <f>SUMIFS($EB$3:EB87,$B$3:B87,"&gt;="&amp;MAX(1,B87-2),$B$3:B87,"&lt;="&amp;B87)*Boss参数!$B$51</f>
        <v>18</v>
      </c>
      <c r="ED87" s="1">
        <f>IF(D87="",EG86,IF(AND(DG87&lt;&gt;DG86,DH87&lt;&gt;"洞穿"),MIN(Boss参数!$B$55,EG86+2),EG86))</f>
        <v>0</v>
      </c>
      <c r="EE87" s="1">
        <f t="shared" si="105"/>
        <v>0</v>
      </c>
      <c r="EF87" s="1">
        <f>IF(AND(OR(L87="END_TURN",AND(DH87="敌方",OR(DH86&lt;&gt;"敌方",DG87&lt;&gt;DG86))),SUMIFS($EF$3:EF86,$DG$3:DG86,DG87)=0),MIN(1,MAX(0,ED87-EE87)),0)</f>
        <v>0</v>
      </c>
      <c r="EG87" s="1">
        <f t="shared" si="106"/>
        <v>0</v>
      </c>
      <c r="EH87" s="1">
        <f>Boss参数!$B$53-IF(Y87=1,Boss参数!$B$54,0)</f>
        <v>0</v>
      </c>
      <c r="EI87" s="1">
        <f t="shared" si="107"/>
        <v>0.3</v>
      </c>
      <c r="EJ87" s="1">
        <f t="shared" si="108"/>
        <v>0.3</v>
      </c>
      <c r="EK87" s="1">
        <f t="shared" si="109"/>
        <v>1</v>
      </c>
      <c r="EL87" s="1">
        <f t="shared" si="136"/>
        <v>0</v>
      </c>
      <c r="EM87" s="1">
        <f>IF(AND(DG87&lt;&gt;DG86,DH87="洞穿"),0,IF(L87="ENTER_INSIGHT",Boss参数!$B$57,EO86))</f>
        <v>0</v>
      </c>
      <c r="EN87" s="1">
        <f>IF(AND(Y87=1,H87="洞知",EM87&gt;0),Boss参数!$B$56,0)</f>
        <v>0</v>
      </c>
      <c r="EO87" s="1">
        <f t="shared" si="110"/>
        <v>0</v>
      </c>
      <c r="EP87" s="1">
        <f t="shared" si="137"/>
        <v>14303828</v>
      </c>
      <c r="EQ87" s="1">
        <f>ROUNDDOWN(EP87/Boss参数!$B$62,0)</f>
        <v>143</v>
      </c>
      <c r="ER87" s="1">
        <f>IF(EQ87&gt;=Boss参数!$B$66,Boss参数!$B$69,IF(EQ87&gt;=Boss参数!$B$65,Boss参数!$B$68,IF(EQ87&gt;=Boss参数!$B$64,Boss参数!$B$67,0)))</f>
        <v>0.9</v>
      </c>
      <c r="ES87" s="1">
        <f>MIN(1,IF(EQ87&gt;=Boss参数!$B$66,Boss参数!$B$72+ROUNDDOWN((EQ87-Boss参数!$B$66)/Boss参数!$B$73,0)*Boss参数!$B$74,IF(EQ87&gt;=Boss参数!$B$65,Boss参数!$B$71,IF(EQ87&gt;=Boss参数!$B$64,Boss参数!$B$70,0))))</f>
        <v>0.6</v>
      </c>
      <c r="ET87" s="1">
        <f>MIN(Boss参数!$B$61*Boss参数!$B$62,EP87+IF(AND(Boss参数!$B$60=1,ISNUMBER(验证表!H93)),验证表!H93,EU87))</f>
        <v>14307730</v>
      </c>
      <c r="EU87" s="1">
        <f>IF(D87="",0,IF(验证表!G93="是",BV87,IF(验证表!G93="否",BU87,BW87)))</f>
        <v>3902</v>
      </c>
      <c r="EV87" s="1">
        <f>IF(EQ87&gt;=Boss参数!$B$66,2,IF(EQ87&gt;=Boss参数!$B$65,1,0))</f>
        <v>2</v>
      </c>
      <c r="EW87" s="1">
        <f t="shared" si="111"/>
        <v>3</v>
      </c>
      <c r="EX87" s="1">
        <f>IF(D87="",0,INDEX(回合状态!$D$7:$D$17,MATCH(DG87,回合状态!$A$7:$A$17,0)))</f>
        <v>5</v>
      </c>
      <c r="EY87" s="1">
        <f>IF(OR(L87="RHI_ATTACK",L87="RHI_BUFF"),1,IF(L87="RHI_ULT",Boss参数!$B$52,0))</f>
        <v>0</v>
      </c>
      <c r="EZ87" s="1">
        <f>MIN(6,SUMIFS($EY$3:EY87,$EX$3:EX87,"&gt;="&amp;MAX(1,EX87-Boss参数!$B$87+1),$EX$3:EX87,"&lt;="&amp;EX87))</f>
        <v>6</v>
      </c>
      <c r="FA87" s="1">
        <f t="shared" si="138"/>
        <v>35</v>
      </c>
      <c r="FB87" s="17">
        <f>IF(L87="BOSS_CONSERVATIVE",B87+Boss参数!$B$91,FB86)</f>
        <v>7</v>
      </c>
      <c r="FC87" s="17">
        <f t="shared" si="139"/>
        <v>1</v>
      </c>
      <c r="FD87" s="17">
        <f>IF(D87="",FD86,FD86+IF(AND(DG87&lt;&gt;DG86,INDEX(回合状态!$C$7:$C$17,MATCH(DG87,回合状态!$A$7:$A$17,0))&lt;&gt;"洞穿"),1,0))</f>
        <v>6</v>
      </c>
      <c r="FE87" s="17">
        <f>IF(D87="",0,IF(AND(OR(L87="END_TURN",DH87="敌方"),INDEX(回合状态!$C$7:$C$17,MATCH(DG87,回合状态!$A$7:$A$17,0))&lt;&gt;"洞穿",SUMIFS($FE$3:FE86,$DG$3:DG86,DG87)=0),1,0))</f>
        <v>0</v>
      </c>
    </row>
    <row r="88" spans="1:161" ht="84.95" customHeight="1">
      <c r="A88" s="1">
        <f>行动模拟!A94</f>
        <v>86</v>
      </c>
      <c r="B88" s="1">
        <f>IF(D88="",0,INDEX(回合状态!$B$7:$B$17,MATCH(DG88,回合状态!$A$7:$A$17,0)))</f>
        <v>5</v>
      </c>
      <c r="C88" s="1">
        <f>行动模拟!C94</f>
        <v>10</v>
      </c>
      <c r="D88" s="1" t="str">
        <f>IF(行动模拟!D94="","",行动模拟!D94)</f>
        <v>J｜高温回火</v>
      </c>
      <c r="E88" s="1" t="str">
        <f>IF($D88="","",IFERROR(INDEX(技能数据库!$B$4:$B$38,MATCH($D88,技能数据库!$A$4:$A$38,0)),""))</f>
        <v>J</v>
      </c>
      <c r="F88" s="1" t="str">
        <f>IF($D88="","",IFERROR(INDEX(技能数据库!$C$4:$C$38,MATCH($D88,技能数据库!$A$4:$A$38,0)),""))</f>
        <v>高温回火</v>
      </c>
      <c r="G88" s="1">
        <f>IF($D88="","",IFERROR(INDEX(技能数据库!$D$4:$D$38,MATCH($D88,技能数据库!$A$4:$A$38,0)),""))</f>
        <v>0</v>
      </c>
      <c r="H88" s="1" t="str">
        <f>IF($D88="","",IFERROR(INDEX(技能数据库!$E$4:$E$38,MATCH($D88,技能数据库!$A$4:$A$38,0)),""))</f>
        <v>反击</v>
      </c>
      <c r="I88" s="1" t="str">
        <f>IF($D88="","",IFERROR(INDEX(技能数据库!$F$4:$F$38,MATCH($D88,技能数据库!$A$4:$A$38,0)),""))</f>
        <v>现实</v>
      </c>
      <c r="J88" s="1">
        <f>IF($D88="","",IFERROR(INDEX(技能数据库!$G$4:$G$38,MATCH($D88,技能数据库!$A$4:$A$38,0)),""))</f>
        <v>3</v>
      </c>
      <c r="K88" s="1">
        <f>IF($D88="","",IFERROR(INDEX(技能数据库!$H$4:$H$38,MATCH($D88,技能数据库!$A$4:$A$38,0)),""))</f>
        <v>0</v>
      </c>
      <c r="L88" s="1" t="str">
        <f>IF($D88="","",IFERROR(INDEX(技能数据库!$I$4:$I$38,MATCH($D88,技能数据库!$A$4:$A$38,0)),""))</f>
        <v>J_COUNTER</v>
      </c>
      <c r="M88" s="1">
        <v>1</v>
      </c>
      <c r="N88" s="1"/>
      <c r="O88" s="1"/>
      <c r="P88" s="1"/>
      <c r="Q88" s="1">
        <f t="shared" si="70"/>
        <v>0</v>
      </c>
      <c r="R88" s="1">
        <v>0</v>
      </c>
      <c r="S88" s="1">
        <v>0</v>
      </c>
      <c r="T88" s="1">
        <f>行动模拟!I94</f>
        <v>0</v>
      </c>
      <c r="U88" s="1">
        <f>IF(FD88&lt;&gt;FD87,IF(BY87=1,IF(MIN(10,CA87+IF(AND(DG88&lt;&gt;DG87,DH87&lt;&gt;"洞穿",SUMIFS($FE$3:FE87,$DG$3:DG87,DG87)=0,BY87=1),3,0))&gt;=10,2,1),IF(BY87=2,IF(BZ87&lt;=1,0,2),0)),BY87)</f>
        <v>1</v>
      </c>
      <c r="V88" s="1">
        <f>IF(FD88&lt;&gt;FD87,IF(BY87=1,IF(MIN(10,CA87+IF(AND(DG88&lt;&gt;DG87,DH87&lt;&gt;"洞穿",SUMIFS($FE$3:FE87,$DG$3:DG87,DG87)=0,BY87=1),3,0))&gt;=10,2,0),IF(BY87=2,MAX(0,BZ87-1),0)),BZ87)</f>
        <v>0</v>
      </c>
      <c r="W88" s="1">
        <f>IF(AND(FD88&lt;&gt;FD87,BY87=2,BZ87&lt;=1),0,MIN(10,CA87+IF(AND(DG88&lt;&gt;DG87,DH87&lt;&gt;"洞穿",SUMIFS($FE$3:FE87,$DG$3:DG87,DG87)=0,BY87=1),3,0)))</f>
        <v>10</v>
      </c>
      <c r="X88" s="1">
        <f t="shared" si="112"/>
        <v>8</v>
      </c>
      <c r="Y88" s="1">
        <f t="shared" si="113"/>
        <v>0</v>
      </c>
      <c r="Z88" s="1">
        <f t="shared" si="114"/>
        <v>0</v>
      </c>
      <c r="AA88" s="1">
        <f t="shared" si="115"/>
        <v>0</v>
      </c>
      <c r="AB88" s="1">
        <f t="shared" si="116"/>
        <v>3</v>
      </c>
      <c r="AC88" s="1">
        <f t="shared" si="117"/>
        <v>0</v>
      </c>
      <c r="AD88" s="1">
        <f t="shared" si="118"/>
        <v>35</v>
      </c>
      <c r="AE88" s="1">
        <f>IF(D88="",0,IF(DG88&lt;&gt;DG87,IFERROR(INDEX(回合状态!$F$7:$F$17,MATCH(DG88,回合状态!$A$7:$A$17,0)),0),CI87))</f>
        <v>17</v>
      </c>
      <c r="AF88" s="1">
        <f t="shared" si="119"/>
        <v>0.875</v>
      </c>
      <c r="AG88" s="1">
        <f t="shared" si="120"/>
        <v>6</v>
      </c>
      <c r="AH88" s="1">
        <f t="shared" si="121"/>
        <v>7</v>
      </c>
      <c r="AI88" s="1">
        <f t="shared" si="122"/>
        <v>6</v>
      </c>
      <c r="AJ88" s="1">
        <f t="shared" si="123"/>
        <v>7</v>
      </c>
      <c r="AK88" s="1">
        <f t="shared" si="124"/>
        <v>6</v>
      </c>
      <c r="AL88" s="1">
        <f t="shared" si="125"/>
        <v>3</v>
      </c>
      <c r="AM88" s="1">
        <f t="shared" si="126"/>
        <v>30</v>
      </c>
      <c r="AN88" s="1">
        <f t="shared" si="127"/>
        <v>6</v>
      </c>
      <c r="AO88" s="1">
        <f t="shared" si="128"/>
        <v>0</v>
      </c>
      <c r="AP88" s="1">
        <f t="shared" si="129"/>
        <v>0.12</v>
      </c>
      <c r="AQ88" s="1">
        <f t="shared" si="130"/>
        <v>6</v>
      </c>
      <c r="AR88" s="1">
        <f t="shared" si="131"/>
        <v>0.3</v>
      </c>
      <c r="AS88" s="1">
        <f t="shared" si="132"/>
        <v>6</v>
      </c>
      <c r="AT88" s="1">
        <f t="shared" si="133"/>
        <v>0.3</v>
      </c>
      <c r="AU88" s="1">
        <f t="shared" si="134"/>
        <v>7</v>
      </c>
      <c r="AV88" s="1">
        <f>MIN(5,SUMIFS($EL$3:EL88,$B$3:B88,"&gt;="&amp;MAX(1,B88-2),$B$3:B88,"&lt;="&amp;B88)+EC88)</f>
        <v>5</v>
      </c>
      <c r="AW88" s="1">
        <f>MIN(6,SUMIFS($EY$3:EY87,$EX$3:EX87,"&gt;="&amp;MAX(1,EX88-Boss参数!$B$87+1),$EX$3:EX87,"&lt;="&amp;EX88))</f>
        <v>6</v>
      </c>
      <c r="AX88" s="1">
        <f>MIN(4,COUNTIFS($B$3:$B$87,"&gt;="&amp;MAX(1,$B88-2),$B$3:$B$87,"&lt;="&amp;$B88,$L$3:$L$87,"37_FOLLOW"))</f>
        <v>4</v>
      </c>
      <c r="AY88" s="1">
        <f>IF($E88="","",IF($E88="系统",0,ROUNDDOWN(INDEX(角色面板!$C$4:$C$7,MATCH($E88,角色面板!$A$4:$A$7,0))*(1+INDEX(角色面板!$C$11:$C$14,MATCH($E88,角色面板!$A$11:$A$14,0))+IF($E88="小瑞安侬",MAX(IF($B88&lt;=$AQ88,$AP88,0),IF(AND($L88="RHI_ATTACK",$EE88&gt;0),0.11+0.01*$G88,0)),0)+IF($E88="J",$AD88*Boss参数!$B$18,0))+IF(FD88&lt;=$AN88,MIN(Boss参数!$B$21,ROUNDDOWN(角色面板!$C$19*Boss参数!$B$20,0)),0)+IF(AND($B88&lt;=$AK88,$E88&lt;&gt;"小瑞安侬"),$DY88,0),0)))</f>
        <v>3323</v>
      </c>
      <c r="AZ88" s="1">
        <f>IF($E88="","",MAX(0,MIN(1,IFERROR(INDEX(角色面板!$G$18:$G$21,MATCH($E88,角色面板!$A$18:$A$21,0)),0)-FC88*Boss参数!$B$89-Boss参数!$E$4)))</f>
        <v>0.16700000000000004</v>
      </c>
      <c r="BA88" s="1">
        <f>IF(E88="","",(IF($E88="","",IF($E88="红弩箭",Boss参数!$B$80,IF($E88="J",Boss参数!$B$81,IFERROR(INDEX(角色面板!$H$18:$H$21,MATCH($E88,角色面板!$A$18:$A$21,0)),0)))+IF($B88&lt;=$AI88,Boss参数!$B$13,0)+MIN(30,$AM88)*Boss参数!$B$17+IF(AND($L88="LILYA_ULT",$X88&gt;=6),1,0)+IF(AND($Y88=1,$L88="LILYA_INSIGHT"),IF(MOD($AA88+1,3)=0,Boss参数!$B$83,Boss参数!$B$82),IF(AND($Y88=1,$L88="LILYA_FINISH"),Boss参数!$B$84,0))))-FC88*Boss参数!$B$90)</f>
        <v>1.2969999999999999</v>
      </c>
      <c r="BB88" s="1">
        <f>IF($E88="","",IFERROR(INDEX(角色面板!$M$18:$M$21,MATCH($E88,角色面板!$A$18:$A$21,0)),0)+$AW88*Boss参数!$B$12+IF($B88&lt;=$AG88,$AF88,0)+$EI88+IF($L88="LILYA_DIVE",IF($U88=1,IF($G88=1,0.3,IF($G88=2,0.4,0.5)),IF($U88=2,IF($G88=1,0.6,IF($G88=2,0.8,1)),0)),0)+$R88+IF(AND($E88="J",OR($L88="J_COUNTER",$L88="J_HARD")),Boss参数!$B$79,0)+IF(AND(OR(L88="J_COUNTER",L88="J_HARD"),FA88&gt;=Boss参数!$B$59),FA88*Boss参数!$B$40,0))</f>
        <v>1.8250000000000002</v>
      </c>
      <c r="BC88" s="1">
        <f>IF($E88="","",IFERROR(INDEX(角色面板!$K$18:$K$21,MATCH($E88,角色面板!$A$18:$A$21,0)),0)+IF($B88&lt;=$AH88,Boss参数!$B$46,0)+IF($E88="红弩箭",IF($U88=1,0.6,IF($U88=2,1.2,0))+$W88*0.06,0))-DI88*Boss参数!$B$23</f>
        <v>-0.4</v>
      </c>
      <c r="BD88" s="1">
        <f>IF($E88="","",IFERROR(INDEX(角色面板!$L$18:$L$21,MATCH($E88,角色面板!$A$18:$A$21,0)),0)+IF($B88&lt;=$AH88,Boss参数!$B$46,0)+IF($E88="J",$AL88*Boss参数!$B$16,0)+IF($E88="红弩箭",$X88*0.025,0)+IF(AND($L88="LILYA_ULT",$X88&gt;=6),1,0))-DI88*Boss参数!$B$23</f>
        <v>0.12</v>
      </c>
      <c r="BE88" s="1">
        <f>IF($E88="","",IF($H88="洞知",IF($E88="红弩箭",$AO88*Boss参数!$B$15,0)+$AX88*Boss参数!$B$14,0))</f>
        <v>0</v>
      </c>
      <c r="BF88" s="1">
        <f t="shared" si="71"/>
        <v>0</v>
      </c>
      <c r="BG88" s="1">
        <f>IF($D88="",0,IF(AND($L88&lt;&gt;"LILYA_DIVE",$L88&lt;&gt;"LILYA_ULT",$L88&lt;&gt;"LILYA_INSIGHT",$L88&lt;&gt;"LILYA_FINISH",$L88&lt;&gt;"37_FOLLOW",$L88&lt;&gt;"RHI_ATTACK",$L88&lt;&gt;"RHI_BERRY",$L88&lt;&gt;"J_COUNTER",$L88&lt;&gt;"J_ULT"),$J88,0)+IF($L88="LILYA_DIVE",$J88+IF($U88=1,IF($G88=1,6,IF($G88=2,12,18)),IF($U88=2,IF($G88=1,12,IF($G88=2,24,36)),0)),0)+IF($L88="LILYA_ULT",$J88+IF($X88&gt;=6,18,0),0)+IF($L88="LILYA_INSIGHT",IF($Y88=1,IF(MOD($AA88+1,3)=0,32,15),0),0)+IF($L88="LILYA_FINISH",IF($Y88=1,50+2.5*$Z88,0),0)+IF($L88="37_FOLLOW",$J88,0)+IF($L88="RHI_ATTACK",$J88*IF($B88&lt;=$AJ88,2,1),0)+IF($L88="RHI_BERRY",15+1.5*$AV88,0)+IF($L88="J_COUNTER",$J88+$AD88*Boss参数!$B$39,0)+IF($L88="J_ULT",$J88+Boss参数!$B$45*MAX(0,$AE88+$AD88-Boss参数!$I$4),0)+$S88)</f>
        <v>4.75</v>
      </c>
      <c r="BH88" s="1">
        <f t="shared" si="72"/>
        <v>0</v>
      </c>
      <c r="BI88" s="1">
        <f>IF(E88="","",IF(DT88=1,1+Boss参数!$B$8+AV88*Boss参数!$B$19,1))</f>
        <v>1</v>
      </c>
      <c r="BJ88" s="1">
        <f>IF($I88="现实",Boss参数!$C$4,IF($I88="精神",Boss参数!$D$4,0))</f>
        <v>1200</v>
      </c>
      <c r="BK88" s="1">
        <f>IF($E88="","",MAX($AY88*Boss参数!$B$9,$AY88-$BJ88*(1-$BF88)))</f>
        <v>2123</v>
      </c>
      <c r="BL88" s="1">
        <f>MAX(0,Boss参数!$F$4+IF(DT88=0,Boss参数!$B$27,0)-EJ88)</f>
        <v>1.0999999999999999</v>
      </c>
      <c r="BM88" s="1">
        <f>Boss参数!$G$4+DU88-IF(Y88=1,Boss参数!$B$11,0)</f>
        <v>0.7</v>
      </c>
      <c r="BN88" s="1">
        <f>IF($E88="","",MAX(Boss参数!$B$10,1+IFERROR(INDEX(角色面板!$I$18:$I$21,MATCH($E88,角色面板!$A$18:$A$21,0)),0)+$BB88+Boss参数!$H$4-$BM88))</f>
        <v>2.1500000000000004</v>
      </c>
      <c r="BO88" s="1">
        <f>IF(E88="","",IF(OR(L88="J_COUNTER",L88="J_HARD"),MAX(0,1+INDEX(角色面板!$K$18:$K$21,MATCH(E88,角色面板!$A$18:$A$21,0))-DI88*Boss参数!$B$23+IF(OR(Boss参数!$B$43=1,L88="J_HARD"),IF(B88&lt;=AH88,Boss参数!$B$46,0),0)),MAX(0,IF(OR(H88="术法",L88="RHI_BERRY",AND(L88="37_FOLLOW",Boss参数!$B$31=1)),1+BC88,IF(H88="仪式",1+BD88,IF(H88="洞知",EK88,1))))))</f>
        <v>0.6</v>
      </c>
      <c r="BP88" s="1">
        <f t="shared" si="73"/>
        <v>1.1000000000000001</v>
      </c>
      <c r="BQ88" s="1">
        <f t="shared" si="74"/>
        <v>13008.682500000003</v>
      </c>
      <c r="BR88" s="1">
        <f t="shared" si="75"/>
        <v>14309.550750000004</v>
      </c>
      <c r="BS88" s="1">
        <f>IF(BH88=0,0,ROUNDDOWN(AY88*BH88,0)*DV88*IF(Boss参数!$B$29=1,BN88,1)*IF(Boss参数!$B$33=1,BO88,1)*IF(Boss参数!$B$76=1,1-ES88,1))</f>
        <v>0</v>
      </c>
      <c r="BT88" s="1">
        <f t="shared" si="76"/>
        <v>0</v>
      </c>
      <c r="BU88" s="1">
        <f>IF(D88="",0,MIN(IF(Boss参数!$B$77=1,Boss参数!$B$63*Boss参数!$B$62,Boss参数!$B$61*Boss参数!$B$62),DW88+ROUNDDOWN(BS88,0)+ROUNDDOWN(DW88*Q88,0)))</f>
        <v>5203</v>
      </c>
      <c r="BV88" s="1">
        <f>IF(D88="",0,MIN(IF(Boss参数!$B$77=1,Boss参数!$B$63*Boss参数!$B$62,Boss参数!$B$61*Boss参数!$B$62),DX88+ROUNDDOWN(BT88,0)+ROUNDDOWN(DX88*Q88,0)))</f>
        <v>5723</v>
      </c>
      <c r="BW88" s="1">
        <f t="shared" si="77"/>
        <v>5289</v>
      </c>
      <c r="BX88" s="1" t="str">
        <f t="shared" si="78"/>
        <v/>
      </c>
      <c r="BY88" s="1">
        <f t="shared" si="79"/>
        <v>1</v>
      </c>
      <c r="BZ88" s="1">
        <f t="shared" si="80"/>
        <v>0</v>
      </c>
      <c r="CA88" s="1">
        <f>MIN(10,W88+IF(AND(L88="LILYA_COBRA",COUNTIF($L$3:L88,"LILYA_COBRA")=1),5,0)+IF(AND(L88="LILYA_DIVE",U88=1,COUNTIFS($DG$3:DG88,DG88,$L$3:L88,"LILYA_DIVE")=1),2,0)+IF(AND(FE88=1,U88=1),3,0))</f>
        <v>10</v>
      </c>
      <c r="CB88" s="1">
        <f>MIN(20,MAX(0,X88+IF(L88="LILYA_COBRA",IF(COUNTIF($L$3:L88,"LILYA_COBRA")=1,6,IF(U88=1,MAX(1,G88),IF(U88=2,2*MAX(1,G88),0))),0)+IF(AND(Y88=1,E88="红弩箭",L88&lt;&gt;"ENTER_INSIGHT"),1,0)-IF(AND(L88="LILYA_ULT",X88&gt;=6),6,0)))</f>
        <v>8</v>
      </c>
      <c r="CC88" s="1">
        <f t="shared" si="81"/>
        <v>0</v>
      </c>
      <c r="CD88" s="1">
        <f t="shared" si="82"/>
        <v>0</v>
      </c>
      <c r="CE88" s="1">
        <f t="shared" si="83"/>
        <v>0</v>
      </c>
      <c r="CF88" s="1">
        <f t="shared" si="84"/>
        <v>4</v>
      </c>
      <c r="CG88" s="1">
        <f t="shared" si="85"/>
        <v>0</v>
      </c>
      <c r="CH88" s="1">
        <f>MIN(35,AD88+IF(L88="J_HARD",6,0)+IF(L88="J_COUNTER",Boss参数!$B$30,0))</f>
        <v>35</v>
      </c>
      <c r="CI88" s="1">
        <f>MIN(Boss参数!$I$4,AE88+IF(L88="J_HARD",6,0)+IF(L88="J_ULT",AD88,0)+IF(L88="J_COUNTER",Boss参数!$B$30,0))</f>
        <v>19</v>
      </c>
      <c r="CJ88" s="1">
        <f>IF(L88="J_ULT",AD88*Boss参数!$B$41,IF(B88&lt;=AG88,AF88,0))</f>
        <v>0.875</v>
      </c>
      <c r="CK88" s="1">
        <f t="shared" si="86"/>
        <v>6</v>
      </c>
      <c r="CL88" s="1">
        <f t="shared" si="87"/>
        <v>7</v>
      </c>
      <c r="CM88" s="1">
        <f t="shared" si="88"/>
        <v>6</v>
      </c>
      <c r="CN88" s="1">
        <f t="shared" si="89"/>
        <v>7</v>
      </c>
      <c r="CO88" s="1">
        <f t="shared" si="90"/>
        <v>6</v>
      </c>
      <c r="CP88" s="1">
        <f t="shared" si="91"/>
        <v>3</v>
      </c>
      <c r="CQ88" s="1">
        <f t="shared" si="92"/>
        <v>30</v>
      </c>
      <c r="CR88" s="1">
        <f t="shared" si="93"/>
        <v>6</v>
      </c>
      <c r="CS88" s="1">
        <f t="shared" si="94"/>
        <v>0</v>
      </c>
      <c r="CT88" s="1">
        <f t="shared" si="95"/>
        <v>0.12</v>
      </c>
      <c r="CU88" s="1">
        <f t="shared" si="96"/>
        <v>6</v>
      </c>
      <c r="CV88" s="1">
        <f t="shared" si="97"/>
        <v>0.3</v>
      </c>
      <c r="CW88" s="1">
        <f t="shared" si="98"/>
        <v>6</v>
      </c>
      <c r="CX88" s="1">
        <f t="shared" si="99"/>
        <v>0.3</v>
      </c>
      <c r="CY88" s="1">
        <f t="shared" si="100"/>
        <v>7</v>
      </c>
      <c r="CZ88" s="1"/>
      <c r="DA88" s="1"/>
      <c r="DB88" s="1"/>
      <c r="DC88" s="1"/>
      <c r="DD88" s="1"/>
      <c r="DE88" s="1"/>
      <c r="DF88" s="1"/>
      <c r="DG88" s="1">
        <f>IF(D88="","",行动模拟!B94)</f>
        <v>5</v>
      </c>
      <c r="DH88" s="1" t="str">
        <f>IF(L88="END_TURN","回合结束",IF(D88="","",IF(INDEX(回合状态!$C$7:$C$17,MATCH(DG88,回合状态!$A$7:$A$17,0))="洞穿","洞穿",IF(OR(L88="J_COUNTER",L88="BOSS_ACTION",L88="BOSS_CONSERVATIVE"),"敌方",IF(AND(L88="37_FOLLOW",DG88=DG87,DH87="敌方"),"敌方",IF(INDEX(回合状态!$C$7:$C$17,MATCH(DG88,回合状态!$A$7:$A$17,0))="普通","出牌",INDEX(回合状态!$C$7:$C$17,MATCH(DG88,回合状态!$A$7:$A$17,0))))))))</f>
        <v>敌方</v>
      </c>
      <c r="DI88" s="1">
        <f t="shared" si="101"/>
        <v>2</v>
      </c>
      <c r="DJ88" s="1">
        <f>IF(D88="",0,MIN(Boss参数!$B$25,IF(OR(AND(DH88="敌方",OR(DH87&lt;&gt;"敌方",DG88&lt;&gt;DG87)),AND(L88="END_TURN",DH88&lt;&gt;"洞穿"),AND(DG88&lt;&gt;DG87,DH87&lt;&gt;"洞穿",L87&lt;&gt;"END_TURN",COUNTIFS($DG$3:DG87,DG87,$DH$3:DH87,"敌方")=0)),EW88,DN87)))</f>
        <v>4</v>
      </c>
      <c r="DK88" s="1">
        <f>IF(D88="",0,MIN(Boss参数!$B$25,IF(OR(AND(DH88="敌方",OR(DH87&lt;&gt;"敌方",DG88&lt;&gt;DG87)),AND(L88="END_TURN",DH88&lt;&gt;"洞穿"),AND(DG88&lt;&gt;DG87,DH87&lt;&gt;"洞穿",L87&lt;&gt;"END_TURN",COUNTIFS($DG$3:DG87,DG87,$DH$3:DH87,"敌方")=0)),EW88,DO87)))</f>
        <v>4</v>
      </c>
      <c r="DL88" s="1">
        <f>IF(D88="",0,MIN(Boss参数!$B$25,IF(OR(AND(DH88="敌方",OR(DH87&lt;&gt;"敌方",DG88&lt;&gt;DG87)),AND(L88="END_TURN",DH88&lt;&gt;"洞穿"),AND(DG88&lt;&gt;DG87,DH87&lt;&gt;"洞穿",L87&lt;&gt;"END_TURN",COUNTIFS($DG$3:DG87,DG87,$DH$3:DH87,"敌方")=0)),EW88,DP87)))</f>
        <v>4</v>
      </c>
      <c r="DM88" s="1">
        <f>IF(D88="",0,MIN(Boss参数!$B$25,IF(OR(AND(DH88="敌方",OR(DH87&lt;&gt;"敌方",DG88&lt;&gt;DG87)),AND(L88="END_TURN",DH88&lt;&gt;"洞穿"),AND(DG88&lt;&gt;DG87,DH87&lt;&gt;"洞穿",L87&lt;&gt;"END_TURN",COUNTIFS($DG$3:DG87,DG87,$DH$3:DH87,"敌方")=0)),EW88,DQ87)))</f>
        <v>2</v>
      </c>
      <c r="DN88" s="1">
        <f>MAX(0,MIN(Boss参数!$B$25,DJ88+DR88)-IF(E88="红弩箭",2*DR88,0))</f>
        <v>5</v>
      </c>
      <c r="DO88" s="1">
        <f>MAX(0,MIN(Boss参数!$B$25,DK88+DR88)-IF(E88="37",2*DR88,0))</f>
        <v>5</v>
      </c>
      <c r="DP88" s="1">
        <f>MAX(0,MIN(Boss参数!$B$25,DL88+DR88)-IF(E88="小瑞安侬",2*DR88,0))</f>
        <v>5</v>
      </c>
      <c r="DQ88" s="1">
        <f>MAX(0,MIN(Boss参数!$B$25,DM88+DR88)-IF(E88="J",2*DR88,0))</f>
        <v>1</v>
      </c>
      <c r="DR88" s="1">
        <f t="shared" si="102"/>
        <v>1</v>
      </c>
      <c r="DS88" s="1">
        <f t="shared" si="103"/>
        <v>0</v>
      </c>
      <c r="DT88" s="1">
        <f>IF(OR(E88="",E88="系统"),0,IF(OR(AND(DS88=1,Boss参数!$B$32=1),L88="RHI_BERRY",OR(AND(INDEX(角色面板!$B$18:$B$21,MATCH(E88,角色面板!$A$18:$A$21,0))="星",Boss参数!$B$4="岩"),AND(INDEX(角色面板!$B$18:$B$21,MATCH(E88,角色面板!$A$18:$A$21,0))="岩",Boss参数!$B$4="兽"),AND(INDEX(角色面板!$B$18:$B$21,MATCH(E88,角色面板!$A$18:$A$21,0))="兽",Boss参数!$B$4="木"),AND(INDEX(角色面板!$B$18:$B$21,MATCH(E88,角色面板!$A$18:$A$21,0))="木",Boss参数!$B$4="星"),AND(INDEX(角色面板!$B$18:$B$21,MATCH(E88,角色面板!$A$18:$A$21,0))="智",Boss参数!$B$4="灵"),AND(INDEX(角色面板!$B$18:$B$21,MATCH(E88,角色面板!$A$18:$A$21,0))="灵",Boss参数!$B$4="智"))),1,0))</f>
        <v>0</v>
      </c>
      <c r="DU88" s="1">
        <f>IF(D88="",0,INDEX(回合状态!$E$7:$E$17,MATCH(DG88,回合状态!$A$7:$A$17,0))+IF(AND(DH88="敌方",OR(INDEX(回合状态!$C$7:$C$17,MATCH(DG88,回合状态!$A$7:$A$17,0))="普通",INDEX(回合状态!$C$7:$C$17,MATCH(DG88,回合状态!$A$7:$A$17,0))="额外")),0.05,0))</f>
        <v>0.3</v>
      </c>
      <c r="DV88" s="1">
        <f>MAX(Boss参数!$B$28,1+IF(AND(E88="37",AC88&gt;0,BH88&gt;0),Boss参数!$B$42,0)-DI88*Boss参数!$B$24+EA88-ER88)</f>
        <v>0</v>
      </c>
      <c r="DW88" s="1">
        <f>MIN(IF(Boss参数!$B$77=1,Boss参数!$B$63*Boss参数!$B$62,Boss参数!$B$61*Boss参数!$B$62),ROUNDDOWN(BQ88*(1-ES88),0))</f>
        <v>5203</v>
      </c>
      <c r="DX88" s="1">
        <f>MIN(IF(Boss参数!$B$77=1,Boss参数!$B$63*Boss参数!$B$62,Boss参数!$B$61*Boss参数!$B$62),ROUNDDOWN(BR88*(1-ES88),0))</f>
        <v>5723</v>
      </c>
      <c r="DY88" s="1">
        <f t="shared" si="135"/>
        <v>250</v>
      </c>
      <c r="DZ88" s="1">
        <f>IF(L88="RHI_ULT",MIN(Boss参数!$B$48,ROUNDDOWN(AY88*Boss参数!$B$47,0)),DY88)</f>
        <v>250</v>
      </c>
      <c r="EA88" s="1">
        <v>0</v>
      </c>
      <c r="EB88" s="1">
        <f t="shared" si="104"/>
        <v>0</v>
      </c>
      <c r="EC88" s="1">
        <f>SUMIFS($EB$3:EB88,$B$3:B88,"&gt;="&amp;MAX(1,B88-2),$B$3:B88,"&lt;="&amp;B88)*Boss参数!$B$51</f>
        <v>18</v>
      </c>
      <c r="ED88" s="1">
        <f>IF(D88="",EG87,IF(AND(DG88&lt;&gt;DG87,DH88&lt;&gt;"洞穿"),MIN(Boss参数!$B$55,EG87+2),EG87))</f>
        <v>0</v>
      </c>
      <c r="EE88" s="1">
        <f t="shared" si="105"/>
        <v>0</v>
      </c>
      <c r="EF88" s="1">
        <f>IF(AND(OR(L88="END_TURN",AND(DH88="敌方",OR(DH87&lt;&gt;"敌方",DG88&lt;&gt;DG87))),SUMIFS($EF$3:EF87,$DG$3:DG87,DG88)=0),MIN(1,MAX(0,ED88-EE88)),0)</f>
        <v>0</v>
      </c>
      <c r="EG88" s="1">
        <f t="shared" si="106"/>
        <v>0</v>
      </c>
      <c r="EH88" s="1">
        <f>Boss参数!$B$53-IF(Y88=1,Boss参数!$B$54,0)</f>
        <v>0</v>
      </c>
      <c r="EI88" s="1">
        <f t="shared" si="107"/>
        <v>0.3</v>
      </c>
      <c r="EJ88" s="1">
        <f t="shared" si="108"/>
        <v>0.3</v>
      </c>
      <c r="EK88" s="1">
        <f t="shared" si="109"/>
        <v>1</v>
      </c>
      <c r="EL88" s="1">
        <f t="shared" si="136"/>
        <v>0</v>
      </c>
      <c r="EM88" s="1">
        <f>IF(AND(DG88&lt;&gt;DG87,DH88="洞穿"),0,IF(L88="ENTER_INSIGHT",Boss参数!$B$57,EO87))</f>
        <v>0</v>
      </c>
      <c r="EN88" s="1">
        <f>IF(AND(Y88=1,H88="洞知",EM88&gt;0),Boss参数!$B$56,0)</f>
        <v>0</v>
      </c>
      <c r="EO88" s="1">
        <f t="shared" si="110"/>
        <v>0</v>
      </c>
      <c r="EP88" s="1">
        <f t="shared" si="137"/>
        <v>14307730</v>
      </c>
      <c r="EQ88" s="1">
        <f>ROUNDDOWN(EP88/Boss参数!$B$62,0)</f>
        <v>143</v>
      </c>
      <c r="ER88" s="1">
        <f>IF(EQ88&gt;=Boss参数!$B$66,Boss参数!$B$69,IF(EQ88&gt;=Boss参数!$B$65,Boss参数!$B$68,IF(EQ88&gt;=Boss参数!$B$64,Boss参数!$B$67,0)))</f>
        <v>0.9</v>
      </c>
      <c r="ES88" s="1">
        <f>MIN(1,IF(EQ88&gt;=Boss参数!$B$66,Boss参数!$B$72+ROUNDDOWN((EQ88-Boss参数!$B$66)/Boss参数!$B$73,0)*Boss参数!$B$74,IF(EQ88&gt;=Boss参数!$B$65,Boss参数!$B$71,IF(EQ88&gt;=Boss参数!$B$64,Boss参数!$B$70,0))))</f>
        <v>0.6</v>
      </c>
      <c r="ET88" s="1">
        <f>MIN(Boss参数!$B$61*Boss参数!$B$62,EP88+IF(AND(Boss参数!$B$60=1,ISNUMBER(验证表!H94)),验证表!H94,EU88))</f>
        <v>14312933</v>
      </c>
      <c r="EU88" s="1">
        <f>IF(D88="",0,IF(验证表!G94="是",BV88,IF(验证表!G94="否",BU88,BW88)))</f>
        <v>5203</v>
      </c>
      <c r="EV88" s="1">
        <f>IF(EQ88&gt;=Boss参数!$B$66,2,IF(EQ88&gt;=Boss参数!$B$65,1,0))</f>
        <v>2</v>
      </c>
      <c r="EW88" s="1">
        <f t="shared" si="111"/>
        <v>3</v>
      </c>
      <c r="EX88" s="1">
        <f>IF(D88="",0,INDEX(回合状态!$D$7:$D$17,MATCH(DG88,回合状态!$A$7:$A$17,0)))</f>
        <v>5</v>
      </c>
      <c r="EY88" s="1">
        <f>IF(OR(L88="RHI_ATTACK",L88="RHI_BUFF"),1,IF(L88="RHI_ULT",Boss参数!$B$52,0))</f>
        <v>0</v>
      </c>
      <c r="EZ88" s="1">
        <f>MIN(6,SUMIFS($EY$3:EY88,$EX$3:EX88,"&gt;="&amp;MAX(1,EX88-Boss参数!$B$87+1),$EX$3:EX88,"&lt;="&amp;EX88))</f>
        <v>6</v>
      </c>
      <c r="FA88" s="1">
        <f t="shared" si="138"/>
        <v>35</v>
      </c>
      <c r="FB88" s="17">
        <f>IF(L88="BOSS_CONSERVATIVE",B88+Boss参数!$B$91,FB87)</f>
        <v>7</v>
      </c>
      <c r="FC88" s="17">
        <f t="shared" si="139"/>
        <v>1</v>
      </c>
      <c r="FD88" s="17">
        <f>IF(D88="",FD87,FD87+IF(AND(DG88&lt;&gt;DG87,INDEX(回合状态!$C$7:$C$17,MATCH(DG88,回合状态!$A$7:$A$17,0))&lt;&gt;"洞穿"),1,0))</f>
        <v>6</v>
      </c>
      <c r="FE88" s="17">
        <f>IF(D88="",0,IF(AND(OR(L88="END_TURN",DH88="敌方"),INDEX(回合状态!$C$7:$C$17,MATCH(DG88,回合状态!$A$7:$A$17,0))&lt;&gt;"洞穿",SUMIFS($FE$3:FE87,$DG$3:DG87,DG88)=0),1,0))</f>
        <v>0</v>
      </c>
    </row>
    <row r="89" spans="1:161" ht="84.95" customHeight="1">
      <c r="A89" s="1">
        <f>行动模拟!A95</f>
        <v>87</v>
      </c>
      <c r="B89" s="1">
        <f>IF(D89="",0,INDEX(回合状态!$B$7:$B$17,MATCH(DG89,回合状态!$A$7:$A$17,0)))</f>
        <v>5</v>
      </c>
      <c r="C89" s="1">
        <f>行动模拟!C95</f>
        <v>11</v>
      </c>
      <c r="D89" s="1" t="str">
        <f>IF(行动模拟!D95="","",行动模拟!D95)</f>
        <v>J｜高温回火</v>
      </c>
      <c r="E89" s="1" t="str">
        <f>IF($D89="","",IFERROR(INDEX(技能数据库!$B$4:$B$38,MATCH($D89,技能数据库!$A$4:$A$38,0)),""))</f>
        <v>J</v>
      </c>
      <c r="F89" s="1" t="str">
        <f>IF($D89="","",IFERROR(INDEX(技能数据库!$C$4:$C$38,MATCH($D89,技能数据库!$A$4:$A$38,0)),""))</f>
        <v>高温回火</v>
      </c>
      <c r="G89" s="1">
        <f>IF($D89="","",IFERROR(INDEX(技能数据库!$D$4:$D$38,MATCH($D89,技能数据库!$A$4:$A$38,0)),""))</f>
        <v>0</v>
      </c>
      <c r="H89" s="1" t="str">
        <f>IF($D89="","",IFERROR(INDEX(技能数据库!$E$4:$E$38,MATCH($D89,技能数据库!$A$4:$A$38,0)),""))</f>
        <v>反击</v>
      </c>
      <c r="I89" s="1" t="str">
        <f>IF($D89="","",IFERROR(INDEX(技能数据库!$F$4:$F$38,MATCH($D89,技能数据库!$A$4:$A$38,0)),""))</f>
        <v>现实</v>
      </c>
      <c r="J89" s="1">
        <f>IF($D89="","",IFERROR(INDEX(技能数据库!$G$4:$G$38,MATCH($D89,技能数据库!$A$4:$A$38,0)),""))</f>
        <v>3</v>
      </c>
      <c r="K89" s="1">
        <f>IF($D89="","",IFERROR(INDEX(技能数据库!$H$4:$H$38,MATCH($D89,技能数据库!$A$4:$A$38,0)),""))</f>
        <v>0</v>
      </c>
      <c r="L89" s="1" t="str">
        <f>IF($D89="","",IFERROR(INDEX(技能数据库!$I$4:$I$38,MATCH($D89,技能数据库!$A$4:$A$38,0)),""))</f>
        <v>J_COUNTER</v>
      </c>
      <c r="M89" s="1">
        <v>1</v>
      </c>
      <c r="N89" s="1"/>
      <c r="O89" s="1"/>
      <c r="P89" s="1"/>
      <c r="Q89" s="1">
        <f t="shared" si="70"/>
        <v>0</v>
      </c>
      <c r="R89" s="1">
        <v>0</v>
      </c>
      <c r="S89" s="1">
        <v>0</v>
      </c>
      <c r="T89" s="1">
        <f>行动模拟!I95</f>
        <v>0</v>
      </c>
      <c r="U89" s="1">
        <f>IF(FD89&lt;&gt;FD88,IF(BY88=1,IF(MIN(10,CA88+IF(AND(DG89&lt;&gt;DG88,DH88&lt;&gt;"洞穿",SUMIFS($FE$3:FE88,$DG$3:DG88,DG88)=0,BY88=1),3,0))&gt;=10,2,1),IF(BY88=2,IF(BZ88&lt;=1,0,2),0)),BY88)</f>
        <v>1</v>
      </c>
      <c r="V89" s="1">
        <f>IF(FD89&lt;&gt;FD88,IF(BY88=1,IF(MIN(10,CA88+IF(AND(DG89&lt;&gt;DG88,DH88&lt;&gt;"洞穿",SUMIFS($FE$3:FE88,$DG$3:DG88,DG88)=0,BY88=1),3,0))&gt;=10,2,0),IF(BY88=2,MAX(0,BZ88-1),0)),BZ88)</f>
        <v>0</v>
      </c>
      <c r="W89" s="1">
        <f>IF(AND(FD89&lt;&gt;FD88,BY88=2,BZ88&lt;=1),0,MIN(10,CA88+IF(AND(DG89&lt;&gt;DG88,DH88&lt;&gt;"洞穿",SUMIFS($FE$3:FE88,$DG$3:DG88,DG88)=0,BY88=1),3,0)))</f>
        <v>10</v>
      </c>
      <c r="X89" s="1">
        <f t="shared" si="112"/>
        <v>8</v>
      </c>
      <c r="Y89" s="1">
        <f t="shared" si="113"/>
        <v>0</v>
      </c>
      <c r="Z89" s="1">
        <f t="shared" si="114"/>
        <v>0</v>
      </c>
      <c r="AA89" s="1">
        <f t="shared" si="115"/>
        <v>0</v>
      </c>
      <c r="AB89" s="1">
        <f t="shared" si="116"/>
        <v>4</v>
      </c>
      <c r="AC89" s="1">
        <f t="shared" si="117"/>
        <v>0</v>
      </c>
      <c r="AD89" s="1">
        <f t="shared" si="118"/>
        <v>35</v>
      </c>
      <c r="AE89" s="1">
        <f>IF(D89="",0,IF(DG89&lt;&gt;DG88,IFERROR(INDEX(回合状态!$F$7:$F$17,MATCH(DG89,回合状态!$A$7:$A$17,0)),0),CI88))</f>
        <v>19</v>
      </c>
      <c r="AF89" s="1">
        <f t="shared" si="119"/>
        <v>0.875</v>
      </c>
      <c r="AG89" s="1">
        <f t="shared" si="120"/>
        <v>6</v>
      </c>
      <c r="AH89" s="1">
        <f t="shared" si="121"/>
        <v>7</v>
      </c>
      <c r="AI89" s="1">
        <f t="shared" si="122"/>
        <v>6</v>
      </c>
      <c r="AJ89" s="1">
        <f t="shared" si="123"/>
        <v>7</v>
      </c>
      <c r="AK89" s="1">
        <f t="shared" si="124"/>
        <v>6</v>
      </c>
      <c r="AL89" s="1">
        <f t="shared" si="125"/>
        <v>3</v>
      </c>
      <c r="AM89" s="1">
        <f t="shared" si="126"/>
        <v>30</v>
      </c>
      <c r="AN89" s="1">
        <f t="shared" si="127"/>
        <v>6</v>
      </c>
      <c r="AO89" s="1">
        <f t="shared" si="128"/>
        <v>0</v>
      </c>
      <c r="AP89" s="1">
        <f t="shared" si="129"/>
        <v>0.12</v>
      </c>
      <c r="AQ89" s="1">
        <f t="shared" si="130"/>
        <v>6</v>
      </c>
      <c r="AR89" s="1">
        <f t="shared" si="131"/>
        <v>0.3</v>
      </c>
      <c r="AS89" s="1">
        <f t="shared" si="132"/>
        <v>6</v>
      </c>
      <c r="AT89" s="1">
        <f t="shared" si="133"/>
        <v>0.3</v>
      </c>
      <c r="AU89" s="1">
        <f t="shared" si="134"/>
        <v>7</v>
      </c>
      <c r="AV89" s="1">
        <f>MIN(5,SUMIFS($EL$3:EL89,$B$3:B89,"&gt;="&amp;MAX(1,B89-2),$B$3:B89,"&lt;="&amp;B89)+EC89)</f>
        <v>5</v>
      </c>
      <c r="AW89" s="1">
        <f>MIN(6,SUMIFS($EY$3:EY88,$EX$3:EX88,"&gt;="&amp;MAX(1,EX89-Boss参数!$B$87+1),$EX$3:EX88,"&lt;="&amp;EX89))</f>
        <v>6</v>
      </c>
      <c r="AX89" s="1">
        <f>MIN(4,COUNTIFS($B$3:$B$88,"&gt;="&amp;MAX(1,$B89-2),$B$3:$B$88,"&lt;="&amp;$B89,$L$3:$L$88,"37_FOLLOW"))</f>
        <v>4</v>
      </c>
      <c r="AY89" s="1">
        <f>IF($E89="","",IF($E89="系统",0,ROUNDDOWN(INDEX(角色面板!$C$4:$C$7,MATCH($E89,角色面板!$A$4:$A$7,0))*(1+INDEX(角色面板!$C$11:$C$14,MATCH($E89,角色面板!$A$11:$A$14,0))+IF($E89="小瑞安侬",MAX(IF($B89&lt;=$AQ89,$AP89,0),IF(AND($L89="RHI_ATTACK",$EE89&gt;0),0.11+0.01*$G89,0)),0)+IF($E89="J",$AD89*Boss参数!$B$18,0))+IF(FD89&lt;=$AN89,MIN(Boss参数!$B$21,ROUNDDOWN(角色面板!$C$19*Boss参数!$B$20,0)),0)+IF(AND($B89&lt;=$AK89,$E89&lt;&gt;"小瑞安侬"),$DY89,0),0)))</f>
        <v>3323</v>
      </c>
      <c r="AZ89" s="1">
        <f>IF($E89="","",MAX(0,MIN(1,IFERROR(INDEX(角色面板!$G$18:$G$21,MATCH($E89,角色面板!$A$18:$A$21,0)),0)-FC89*Boss参数!$B$89-Boss参数!$E$4)))</f>
        <v>0.16700000000000004</v>
      </c>
      <c r="BA89" s="1">
        <f>IF(E89="","",(IF($E89="","",IF($E89="红弩箭",Boss参数!$B$80,IF($E89="J",Boss参数!$B$81,IFERROR(INDEX(角色面板!$H$18:$H$21,MATCH($E89,角色面板!$A$18:$A$21,0)),0)))+IF($B89&lt;=$AI89,Boss参数!$B$13,0)+MIN(30,$AM89)*Boss参数!$B$17+IF(AND($L89="LILYA_ULT",$X89&gt;=6),1,0)+IF(AND($Y89=1,$L89="LILYA_INSIGHT"),IF(MOD($AA89+1,3)=0,Boss参数!$B$83,Boss参数!$B$82),IF(AND($Y89=1,$L89="LILYA_FINISH"),Boss参数!$B$84,0))))-FC89*Boss参数!$B$90)</f>
        <v>1.2969999999999999</v>
      </c>
      <c r="BB89" s="1">
        <f>IF($E89="","",IFERROR(INDEX(角色面板!$M$18:$M$21,MATCH($E89,角色面板!$A$18:$A$21,0)),0)+$AW89*Boss参数!$B$12+IF($B89&lt;=$AG89,$AF89,0)+$EI89+IF($L89="LILYA_DIVE",IF($U89=1,IF($G89=1,0.3,IF($G89=2,0.4,0.5)),IF($U89=2,IF($G89=1,0.6,IF($G89=2,0.8,1)),0)),0)+$R89+IF(AND($E89="J",OR($L89="J_COUNTER",$L89="J_HARD")),Boss参数!$B$79,0)+IF(AND(OR(L89="J_COUNTER",L89="J_HARD"),FA89&gt;=Boss参数!$B$59),FA89*Boss参数!$B$40,0))</f>
        <v>1.8250000000000002</v>
      </c>
      <c r="BC89" s="1">
        <f>IF($E89="","",IFERROR(INDEX(角色面板!$K$18:$K$21,MATCH($E89,角色面板!$A$18:$A$21,0)),0)+IF($B89&lt;=$AH89,Boss参数!$B$46,0)+IF($E89="红弩箭",IF($U89=1,0.6,IF($U89=2,1.2,0))+$W89*0.06,0))-DI89*Boss参数!$B$23</f>
        <v>-0.25</v>
      </c>
      <c r="BD89" s="1">
        <f>IF($E89="","",IFERROR(INDEX(角色面板!$L$18:$L$21,MATCH($E89,角色面板!$A$18:$A$21,0)),0)+IF($B89&lt;=$AH89,Boss参数!$B$46,0)+IF($E89="J",$AL89*Boss参数!$B$16,0)+IF($E89="红弩箭",$X89*0.025,0)+IF(AND($L89="LILYA_ULT",$X89&gt;=6),1,0))-DI89*Boss参数!$B$23</f>
        <v>0.27</v>
      </c>
      <c r="BE89" s="1">
        <f>IF($E89="","",IF($H89="洞知",IF($E89="红弩箭",$AO89*Boss参数!$B$15,0)+$AX89*Boss参数!$B$14,0))</f>
        <v>0</v>
      </c>
      <c r="BF89" s="1">
        <f t="shared" si="71"/>
        <v>0</v>
      </c>
      <c r="BG89" s="1">
        <f>IF($D89="",0,IF(AND($L89&lt;&gt;"LILYA_DIVE",$L89&lt;&gt;"LILYA_ULT",$L89&lt;&gt;"LILYA_INSIGHT",$L89&lt;&gt;"LILYA_FINISH",$L89&lt;&gt;"37_FOLLOW",$L89&lt;&gt;"RHI_ATTACK",$L89&lt;&gt;"RHI_BERRY",$L89&lt;&gt;"J_COUNTER",$L89&lt;&gt;"J_ULT"),$J89,0)+IF($L89="LILYA_DIVE",$J89+IF($U89=1,IF($G89=1,6,IF($G89=2,12,18)),IF($U89=2,IF($G89=1,12,IF($G89=2,24,36)),0)),0)+IF($L89="LILYA_ULT",$J89+IF($X89&gt;=6,18,0),0)+IF($L89="LILYA_INSIGHT",IF($Y89=1,IF(MOD($AA89+1,3)=0,32,15),0),0)+IF($L89="LILYA_FINISH",IF($Y89=1,50+2.5*$Z89,0),0)+IF($L89="37_FOLLOW",$J89,0)+IF($L89="RHI_ATTACK",$J89*IF($B89&lt;=$AJ89,2,1),0)+IF($L89="RHI_BERRY",15+1.5*$AV89,0)+IF($L89="J_COUNTER",$J89+$AD89*Boss参数!$B$39,0)+IF($L89="J_ULT",$J89+Boss参数!$B$45*MAX(0,$AE89+$AD89-Boss参数!$I$4),0)+$S89)</f>
        <v>4.75</v>
      </c>
      <c r="BH89" s="1">
        <f t="shared" si="72"/>
        <v>0</v>
      </c>
      <c r="BI89" s="1">
        <f>IF(E89="","",IF(DT89=1,1+Boss参数!$B$8+AV89*Boss参数!$B$19,1))</f>
        <v>1</v>
      </c>
      <c r="BJ89" s="1">
        <f>IF($I89="现实",Boss参数!$C$4,IF($I89="精神",Boss参数!$D$4,0))</f>
        <v>1200</v>
      </c>
      <c r="BK89" s="1">
        <f>IF($E89="","",MAX($AY89*Boss参数!$B$9,$AY89-$BJ89*(1-$BF89)))</f>
        <v>2123</v>
      </c>
      <c r="BL89" s="1">
        <f>MAX(0,Boss参数!$F$4+IF(DT89=0,Boss参数!$B$27,0)-EJ89)</f>
        <v>1.0999999999999999</v>
      </c>
      <c r="BM89" s="1">
        <f>Boss参数!$G$4+DU89-IF(Y89=1,Boss参数!$B$11,0)</f>
        <v>0.7</v>
      </c>
      <c r="BN89" s="1">
        <f>IF($E89="","",MAX(Boss参数!$B$10,1+IFERROR(INDEX(角色面板!$I$18:$I$21,MATCH($E89,角色面板!$A$18:$A$21,0)),0)+$BB89+Boss参数!$H$4-$BM89))</f>
        <v>2.1500000000000004</v>
      </c>
      <c r="BO89" s="1">
        <f>IF(E89="","",IF(OR(L89="J_COUNTER",L89="J_HARD"),MAX(0,1+INDEX(角色面板!$K$18:$K$21,MATCH(E89,角色面板!$A$18:$A$21,0))-DI89*Boss参数!$B$23+IF(OR(Boss参数!$B$43=1,L89="J_HARD"),IF(B89&lt;=AH89,Boss参数!$B$46,0),0)),MAX(0,IF(OR(H89="术法",L89="RHI_BERRY",AND(L89="37_FOLLOW",Boss参数!$B$31=1)),1+BC89,IF(H89="仪式",1+BD89,IF(H89="洞知",EK89,1))))))</f>
        <v>0.75</v>
      </c>
      <c r="BP89" s="1">
        <f t="shared" si="73"/>
        <v>1.1000000000000001</v>
      </c>
      <c r="BQ89" s="1">
        <f t="shared" si="74"/>
        <v>16260.853125000003</v>
      </c>
      <c r="BR89" s="1">
        <f t="shared" si="75"/>
        <v>17886.938437500005</v>
      </c>
      <c r="BS89" s="1">
        <f>IF(BH89=0,0,ROUNDDOWN(AY89*BH89,0)*DV89*IF(Boss参数!$B$29=1,BN89,1)*IF(Boss参数!$B$33=1,BO89,1)*IF(Boss参数!$B$76=1,1-ES89,1))</f>
        <v>0</v>
      </c>
      <c r="BT89" s="1">
        <f t="shared" si="76"/>
        <v>0</v>
      </c>
      <c r="BU89" s="1">
        <f>IF(D89="",0,MIN(IF(Boss参数!$B$77=1,Boss参数!$B$63*Boss参数!$B$62,Boss参数!$B$61*Boss参数!$B$62),DW89+ROUNDDOWN(BS89,0)+ROUNDDOWN(DW89*Q89,0)))</f>
        <v>6504</v>
      </c>
      <c r="BV89" s="1">
        <f>IF(D89="",0,MIN(IF(Boss参数!$B$77=1,Boss参数!$B$63*Boss参数!$B$62,Boss参数!$B$61*Boss参数!$B$62),DX89+ROUNDDOWN(BT89,0)+ROUNDDOWN(DX89*Q89,0)))</f>
        <v>7154</v>
      </c>
      <c r="BW89" s="1">
        <f t="shared" si="77"/>
        <v>6612</v>
      </c>
      <c r="BX89" s="1" t="str">
        <f t="shared" si="78"/>
        <v/>
      </c>
      <c r="BY89" s="1">
        <f t="shared" si="79"/>
        <v>1</v>
      </c>
      <c r="BZ89" s="1">
        <f t="shared" si="80"/>
        <v>0</v>
      </c>
      <c r="CA89" s="1">
        <f>MIN(10,W89+IF(AND(L89="LILYA_COBRA",COUNTIF($L$3:L89,"LILYA_COBRA")=1),5,0)+IF(AND(L89="LILYA_DIVE",U89=1,COUNTIFS($DG$3:DG89,DG89,$L$3:L89,"LILYA_DIVE")=1),2,0)+IF(AND(FE89=1,U89=1),3,0))</f>
        <v>10</v>
      </c>
      <c r="CB89" s="1">
        <f>MIN(20,MAX(0,X89+IF(L89="LILYA_COBRA",IF(COUNTIF($L$3:L89,"LILYA_COBRA")=1,6,IF(U89=1,MAX(1,G89),IF(U89=2,2*MAX(1,G89),0))),0)+IF(AND(Y89=1,E89="红弩箭",L89&lt;&gt;"ENTER_INSIGHT"),1,0)-IF(AND(L89="LILYA_ULT",X89&gt;=6),6,0)))</f>
        <v>8</v>
      </c>
      <c r="CC89" s="1">
        <f t="shared" si="81"/>
        <v>0</v>
      </c>
      <c r="CD89" s="1">
        <f t="shared" si="82"/>
        <v>0</v>
      </c>
      <c r="CE89" s="1">
        <f t="shared" si="83"/>
        <v>0</v>
      </c>
      <c r="CF89" s="1">
        <f t="shared" si="84"/>
        <v>5</v>
      </c>
      <c r="CG89" s="1">
        <f t="shared" si="85"/>
        <v>0</v>
      </c>
      <c r="CH89" s="1">
        <f>MIN(35,AD89+IF(L89="J_HARD",6,0)+IF(L89="J_COUNTER",Boss参数!$B$30,0))</f>
        <v>35</v>
      </c>
      <c r="CI89" s="1">
        <f>MIN(Boss参数!$I$4,AE89+IF(L89="J_HARD",6,0)+IF(L89="J_ULT",AD89,0)+IF(L89="J_COUNTER",Boss参数!$B$30,0))</f>
        <v>21</v>
      </c>
      <c r="CJ89" s="1">
        <f>IF(L89="J_ULT",AD89*Boss参数!$B$41,IF(B89&lt;=AG89,AF89,0))</f>
        <v>0.875</v>
      </c>
      <c r="CK89" s="1">
        <f t="shared" si="86"/>
        <v>6</v>
      </c>
      <c r="CL89" s="1">
        <f t="shared" si="87"/>
        <v>7</v>
      </c>
      <c r="CM89" s="1">
        <f t="shared" si="88"/>
        <v>6</v>
      </c>
      <c r="CN89" s="1">
        <f t="shared" si="89"/>
        <v>7</v>
      </c>
      <c r="CO89" s="1">
        <f t="shared" si="90"/>
        <v>6</v>
      </c>
      <c r="CP89" s="1">
        <f t="shared" si="91"/>
        <v>3</v>
      </c>
      <c r="CQ89" s="1">
        <f t="shared" si="92"/>
        <v>30</v>
      </c>
      <c r="CR89" s="1">
        <f t="shared" si="93"/>
        <v>6</v>
      </c>
      <c r="CS89" s="1">
        <f t="shared" si="94"/>
        <v>0</v>
      </c>
      <c r="CT89" s="1">
        <f t="shared" si="95"/>
        <v>0.12</v>
      </c>
      <c r="CU89" s="1">
        <f t="shared" si="96"/>
        <v>6</v>
      </c>
      <c r="CV89" s="1">
        <f t="shared" si="97"/>
        <v>0.3</v>
      </c>
      <c r="CW89" s="1">
        <f t="shared" si="98"/>
        <v>6</v>
      </c>
      <c r="CX89" s="1">
        <f t="shared" si="99"/>
        <v>0.3</v>
      </c>
      <c r="CY89" s="1">
        <f t="shared" si="100"/>
        <v>7</v>
      </c>
      <c r="CZ89" s="1"/>
      <c r="DA89" s="1"/>
      <c r="DB89" s="1"/>
      <c r="DC89" s="1"/>
      <c r="DD89" s="1"/>
      <c r="DE89" s="1"/>
      <c r="DF89" s="1"/>
      <c r="DG89" s="1">
        <f>IF(D89="","",行动模拟!B95)</f>
        <v>5</v>
      </c>
      <c r="DH89" s="1" t="str">
        <f>IF(L89="END_TURN","回合结束",IF(D89="","",IF(INDEX(回合状态!$C$7:$C$17,MATCH(DG89,回合状态!$A$7:$A$17,0))="洞穿","洞穿",IF(OR(L89="J_COUNTER",L89="BOSS_ACTION",L89="BOSS_CONSERVATIVE"),"敌方",IF(AND(L89="37_FOLLOW",DG89=DG88,DH88="敌方"),"敌方",IF(INDEX(回合状态!$C$7:$C$17,MATCH(DG89,回合状态!$A$7:$A$17,0))="普通","出牌",INDEX(回合状态!$C$7:$C$17,MATCH(DG89,回合状态!$A$7:$A$17,0))))))))</f>
        <v>敌方</v>
      </c>
      <c r="DI89" s="1">
        <f t="shared" si="101"/>
        <v>1</v>
      </c>
      <c r="DJ89" s="1">
        <f>IF(D89="",0,MIN(Boss参数!$B$25,IF(OR(AND(DH89="敌方",OR(DH88&lt;&gt;"敌方",DG89&lt;&gt;DG88)),AND(L89="END_TURN",DH89&lt;&gt;"洞穿"),AND(DG89&lt;&gt;DG88,DH88&lt;&gt;"洞穿",L88&lt;&gt;"END_TURN",COUNTIFS($DG$3:DG88,DG88,$DH$3:DH88,"敌方")=0)),EW89,DN88)))</f>
        <v>5</v>
      </c>
      <c r="DK89" s="1">
        <f>IF(D89="",0,MIN(Boss参数!$B$25,IF(OR(AND(DH89="敌方",OR(DH88&lt;&gt;"敌方",DG89&lt;&gt;DG88)),AND(L89="END_TURN",DH89&lt;&gt;"洞穿"),AND(DG89&lt;&gt;DG88,DH88&lt;&gt;"洞穿",L88&lt;&gt;"END_TURN",COUNTIFS($DG$3:DG88,DG88,$DH$3:DH88,"敌方")=0)),EW89,DO88)))</f>
        <v>5</v>
      </c>
      <c r="DL89" s="1">
        <f>IF(D89="",0,MIN(Boss参数!$B$25,IF(OR(AND(DH89="敌方",OR(DH88&lt;&gt;"敌方",DG89&lt;&gt;DG88)),AND(L89="END_TURN",DH89&lt;&gt;"洞穿"),AND(DG89&lt;&gt;DG88,DH88&lt;&gt;"洞穿",L88&lt;&gt;"END_TURN",COUNTIFS($DG$3:DG88,DG88,$DH$3:DH88,"敌方")=0)),EW89,DP88)))</f>
        <v>5</v>
      </c>
      <c r="DM89" s="1">
        <f>IF(D89="",0,MIN(Boss参数!$B$25,IF(OR(AND(DH89="敌方",OR(DH88&lt;&gt;"敌方",DG89&lt;&gt;DG88)),AND(L89="END_TURN",DH89&lt;&gt;"洞穿"),AND(DG89&lt;&gt;DG88,DH88&lt;&gt;"洞穿",L88&lt;&gt;"END_TURN",COUNTIFS($DG$3:DG88,DG88,$DH$3:DH88,"敌方")=0)),EW89,DQ88)))</f>
        <v>1</v>
      </c>
      <c r="DN89" s="1">
        <f>MAX(0,MIN(Boss参数!$B$25,DJ89+DR89)-IF(E89="红弩箭",2*DR89,0))</f>
        <v>5</v>
      </c>
      <c r="DO89" s="1">
        <f>MAX(0,MIN(Boss参数!$B$25,DK89+DR89)-IF(E89="37",2*DR89,0))</f>
        <v>5</v>
      </c>
      <c r="DP89" s="1">
        <f>MAX(0,MIN(Boss参数!$B$25,DL89+DR89)-IF(E89="小瑞安侬",2*DR89,0))</f>
        <v>5</v>
      </c>
      <c r="DQ89" s="1">
        <f>MAX(0,MIN(Boss参数!$B$25,DM89+DR89)-IF(E89="J",2*DR89,0))</f>
        <v>0</v>
      </c>
      <c r="DR89" s="1">
        <f t="shared" si="102"/>
        <v>1</v>
      </c>
      <c r="DS89" s="1">
        <f t="shared" si="103"/>
        <v>0</v>
      </c>
      <c r="DT89" s="1">
        <f>IF(OR(E89="",E89="系统"),0,IF(OR(AND(DS89=1,Boss参数!$B$32=1),L89="RHI_BERRY",OR(AND(INDEX(角色面板!$B$18:$B$21,MATCH(E89,角色面板!$A$18:$A$21,0))="星",Boss参数!$B$4="岩"),AND(INDEX(角色面板!$B$18:$B$21,MATCH(E89,角色面板!$A$18:$A$21,0))="岩",Boss参数!$B$4="兽"),AND(INDEX(角色面板!$B$18:$B$21,MATCH(E89,角色面板!$A$18:$A$21,0))="兽",Boss参数!$B$4="木"),AND(INDEX(角色面板!$B$18:$B$21,MATCH(E89,角色面板!$A$18:$A$21,0))="木",Boss参数!$B$4="星"),AND(INDEX(角色面板!$B$18:$B$21,MATCH(E89,角色面板!$A$18:$A$21,0))="智",Boss参数!$B$4="灵"),AND(INDEX(角色面板!$B$18:$B$21,MATCH(E89,角色面板!$A$18:$A$21,0))="灵",Boss参数!$B$4="智"))),1,0))</f>
        <v>0</v>
      </c>
      <c r="DU89" s="1">
        <f>IF(D89="",0,INDEX(回合状态!$E$7:$E$17,MATCH(DG89,回合状态!$A$7:$A$17,0))+IF(AND(DH89="敌方",OR(INDEX(回合状态!$C$7:$C$17,MATCH(DG89,回合状态!$A$7:$A$17,0))="普通",INDEX(回合状态!$C$7:$C$17,MATCH(DG89,回合状态!$A$7:$A$17,0))="额外")),0.05,0))</f>
        <v>0.3</v>
      </c>
      <c r="DV89" s="1">
        <f>MAX(Boss参数!$B$28,1+IF(AND(E89="37",AC89&gt;0,BH89&gt;0),Boss参数!$B$42,0)-DI89*Boss参数!$B$24+EA89-ER89)</f>
        <v>0</v>
      </c>
      <c r="DW89" s="1">
        <f>MIN(IF(Boss参数!$B$77=1,Boss参数!$B$63*Boss参数!$B$62,Boss参数!$B$61*Boss参数!$B$62),ROUNDDOWN(BQ89*(1-ES89),0))</f>
        <v>6504</v>
      </c>
      <c r="DX89" s="1">
        <f>MIN(IF(Boss参数!$B$77=1,Boss参数!$B$63*Boss参数!$B$62,Boss参数!$B$61*Boss参数!$B$62),ROUNDDOWN(BR89*(1-ES89),0))</f>
        <v>7154</v>
      </c>
      <c r="DY89" s="1">
        <f t="shared" si="135"/>
        <v>250</v>
      </c>
      <c r="DZ89" s="1">
        <f>IF(L89="RHI_ULT",MIN(Boss参数!$B$48,ROUNDDOWN(AY89*Boss参数!$B$47,0)),DY89)</f>
        <v>250</v>
      </c>
      <c r="EA89" s="1">
        <v>0</v>
      </c>
      <c r="EB89" s="1">
        <f t="shared" si="104"/>
        <v>0</v>
      </c>
      <c r="EC89" s="1">
        <f>SUMIFS($EB$3:EB89,$B$3:B89,"&gt;="&amp;MAX(1,B89-2),$B$3:B89,"&lt;="&amp;B89)*Boss参数!$B$51</f>
        <v>18</v>
      </c>
      <c r="ED89" s="1">
        <f>IF(D89="",EG88,IF(AND(DG89&lt;&gt;DG88,DH89&lt;&gt;"洞穿"),MIN(Boss参数!$B$55,EG88+2),EG88))</f>
        <v>0</v>
      </c>
      <c r="EE89" s="1">
        <f t="shared" si="105"/>
        <v>0</v>
      </c>
      <c r="EF89" s="1">
        <f>IF(AND(OR(L89="END_TURN",AND(DH89="敌方",OR(DH88&lt;&gt;"敌方",DG89&lt;&gt;DG88))),SUMIFS($EF$3:EF88,$DG$3:DG88,DG89)=0),MIN(1,MAX(0,ED89-EE89)),0)</f>
        <v>0</v>
      </c>
      <c r="EG89" s="1">
        <f t="shared" si="106"/>
        <v>0</v>
      </c>
      <c r="EH89" s="1">
        <f>Boss参数!$B$53-IF(Y89=1,Boss参数!$B$54,0)</f>
        <v>0</v>
      </c>
      <c r="EI89" s="1">
        <f t="shared" si="107"/>
        <v>0.3</v>
      </c>
      <c r="EJ89" s="1">
        <f t="shared" si="108"/>
        <v>0.3</v>
      </c>
      <c r="EK89" s="1">
        <f t="shared" si="109"/>
        <v>1</v>
      </c>
      <c r="EL89" s="1">
        <f t="shared" si="136"/>
        <v>0</v>
      </c>
      <c r="EM89" s="1">
        <f>IF(AND(DG89&lt;&gt;DG88,DH89="洞穿"),0,IF(L89="ENTER_INSIGHT",Boss参数!$B$57,EO88))</f>
        <v>0</v>
      </c>
      <c r="EN89" s="1">
        <f>IF(AND(Y89=1,H89="洞知",EM89&gt;0),Boss参数!$B$56,0)</f>
        <v>0</v>
      </c>
      <c r="EO89" s="1">
        <f t="shared" si="110"/>
        <v>0</v>
      </c>
      <c r="EP89" s="1">
        <f t="shared" si="137"/>
        <v>14312933</v>
      </c>
      <c r="EQ89" s="1">
        <f>ROUNDDOWN(EP89/Boss参数!$B$62,0)</f>
        <v>143</v>
      </c>
      <c r="ER89" s="1">
        <f>IF(EQ89&gt;=Boss参数!$B$66,Boss参数!$B$69,IF(EQ89&gt;=Boss参数!$B$65,Boss参数!$B$68,IF(EQ89&gt;=Boss参数!$B$64,Boss参数!$B$67,0)))</f>
        <v>0.9</v>
      </c>
      <c r="ES89" s="1">
        <f>MIN(1,IF(EQ89&gt;=Boss参数!$B$66,Boss参数!$B$72+ROUNDDOWN((EQ89-Boss参数!$B$66)/Boss参数!$B$73,0)*Boss参数!$B$74,IF(EQ89&gt;=Boss参数!$B$65,Boss参数!$B$71,IF(EQ89&gt;=Boss参数!$B$64,Boss参数!$B$70,0))))</f>
        <v>0.6</v>
      </c>
      <c r="ET89" s="1">
        <f>MIN(Boss参数!$B$61*Boss参数!$B$62,EP89+IF(AND(Boss参数!$B$60=1,ISNUMBER(验证表!H95)),验证表!H95,EU89))</f>
        <v>14319437</v>
      </c>
      <c r="EU89" s="1">
        <f>IF(D89="",0,IF(验证表!G95="是",BV89,IF(验证表!G95="否",BU89,BW89)))</f>
        <v>6504</v>
      </c>
      <c r="EV89" s="1">
        <f>IF(EQ89&gt;=Boss参数!$B$66,2,IF(EQ89&gt;=Boss参数!$B$65,1,0))</f>
        <v>2</v>
      </c>
      <c r="EW89" s="1">
        <f t="shared" si="111"/>
        <v>3</v>
      </c>
      <c r="EX89" s="1">
        <f>IF(D89="",0,INDEX(回合状态!$D$7:$D$17,MATCH(DG89,回合状态!$A$7:$A$17,0)))</f>
        <v>5</v>
      </c>
      <c r="EY89" s="1">
        <f>IF(OR(L89="RHI_ATTACK",L89="RHI_BUFF"),1,IF(L89="RHI_ULT",Boss参数!$B$52,0))</f>
        <v>0</v>
      </c>
      <c r="EZ89" s="1">
        <f>MIN(6,SUMIFS($EY$3:EY89,$EX$3:EX89,"&gt;="&amp;MAX(1,EX89-Boss参数!$B$87+1),$EX$3:EX89,"&lt;="&amp;EX89))</f>
        <v>6</v>
      </c>
      <c r="FA89" s="1">
        <f t="shared" si="138"/>
        <v>35</v>
      </c>
      <c r="FB89" s="17">
        <f>IF(L89="BOSS_CONSERVATIVE",B89+Boss参数!$B$91,FB88)</f>
        <v>7</v>
      </c>
      <c r="FC89" s="17">
        <f t="shared" si="139"/>
        <v>1</v>
      </c>
      <c r="FD89" s="17">
        <f>IF(D89="",FD88,FD88+IF(AND(DG89&lt;&gt;DG88,INDEX(回合状态!$C$7:$C$17,MATCH(DG89,回合状态!$A$7:$A$17,0))&lt;&gt;"洞穿"),1,0))</f>
        <v>6</v>
      </c>
      <c r="FE89" s="17">
        <f>IF(D89="",0,IF(AND(OR(L89="END_TURN",DH89="敌方"),INDEX(回合状态!$C$7:$C$17,MATCH(DG89,回合状态!$A$7:$A$17,0))&lt;&gt;"洞穿",SUMIFS($FE$3:FE88,$DG$3:DG88,DG89)=0),1,0))</f>
        <v>0</v>
      </c>
    </row>
    <row r="90" spans="1:161" ht="84.95" customHeight="1">
      <c r="A90" s="1">
        <f>行动模拟!A96</f>
        <v>88</v>
      </c>
      <c r="B90" s="1">
        <f>IF(D90="",0,INDEX(回合状态!$B$7:$B$17,MATCH(DG90,回合状态!$A$7:$A$17,0)))</f>
        <v>5</v>
      </c>
      <c r="C90" s="1">
        <f>行动模拟!C96</f>
        <v>12</v>
      </c>
      <c r="D90" s="1" t="str">
        <f>IF(行动模拟!D96="","",行动模拟!D96)</f>
        <v>37｜补充算式</v>
      </c>
      <c r="E90" s="1" t="str">
        <f>IF($D90="","",IFERROR(INDEX(技能数据库!$B$4:$B$38,MATCH($D90,技能数据库!$A$4:$A$38,0)),""))</f>
        <v>37</v>
      </c>
      <c r="F90" s="1" t="str">
        <f>IF($D90="","",IFERROR(INDEX(技能数据库!$C$4:$C$38,MATCH($D90,技能数据库!$A$4:$A$38,0)),""))</f>
        <v>补充算式</v>
      </c>
      <c r="G90" s="1">
        <f>IF($D90="","",IFERROR(INDEX(技能数据库!$D$4:$D$38,MATCH($D90,技能数据库!$A$4:$A$38,0)),""))</f>
        <v>0</v>
      </c>
      <c r="H90" s="1" t="str">
        <f>IF($D90="","",IFERROR(INDEX(技能数据库!$E$4:$E$38,MATCH($D90,技能数据库!$A$4:$A$38,0)),""))</f>
        <v>额外行动</v>
      </c>
      <c r="I90" s="1" t="str">
        <f>IF($D90="","",IFERROR(INDEX(技能数据库!$F$4:$F$38,MATCH($D90,技能数据库!$A$4:$A$38,0)),""))</f>
        <v>精神</v>
      </c>
      <c r="J90" s="1">
        <f>IF($D90="","",IFERROR(INDEX(技能数据库!$G$4:$G$38,MATCH($D90,技能数据库!$A$4:$A$38,0)),""))</f>
        <v>3</v>
      </c>
      <c r="K90" s="1">
        <f>IF($D90="","",IFERROR(INDEX(技能数据库!$H$4:$H$38,MATCH($D90,技能数据库!$A$4:$A$38,0)),""))</f>
        <v>1</v>
      </c>
      <c r="L90" s="1" t="str">
        <f>IF($D90="","",IFERROR(INDEX(技能数据库!$I$4:$I$38,MATCH($D90,技能数据库!$A$4:$A$38,0)),""))</f>
        <v>37_FOLLOW</v>
      </c>
      <c r="M90" s="1">
        <v>1</v>
      </c>
      <c r="N90" s="1"/>
      <c r="O90" s="1"/>
      <c r="P90" s="1"/>
      <c r="Q90" s="1">
        <f t="shared" si="70"/>
        <v>0</v>
      </c>
      <c r="R90" s="1">
        <v>0</v>
      </c>
      <c r="S90" s="1">
        <v>0</v>
      </c>
      <c r="T90" s="1">
        <f>行动模拟!I96</f>
        <v>0</v>
      </c>
      <c r="U90" s="1">
        <f>IF(FD90&lt;&gt;FD89,IF(BY89=1,IF(MIN(10,CA89+IF(AND(DG90&lt;&gt;DG89,DH89&lt;&gt;"洞穿",SUMIFS($FE$3:FE89,$DG$3:DG89,DG89)=0,BY89=1),3,0))&gt;=10,2,1),IF(BY89=2,IF(BZ89&lt;=1,0,2),0)),BY89)</f>
        <v>1</v>
      </c>
      <c r="V90" s="1">
        <f>IF(FD90&lt;&gt;FD89,IF(BY89=1,IF(MIN(10,CA89+IF(AND(DG90&lt;&gt;DG89,DH89&lt;&gt;"洞穿",SUMIFS($FE$3:FE89,$DG$3:DG89,DG89)=0,BY89=1),3,0))&gt;=10,2,0),IF(BY89=2,MAX(0,BZ89-1),0)),BZ89)</f>
        <v>0</v>
      </c>
      <c r="W90" s="1">
        <f>IF(AND(FD90&lt;&gt;FD89,BY89=2,BZ89&lt;=1),0,MIN(10,CA89+IF(AND(DG90&lt;&gt;DG89,DH89&lt;&gt;"洞穿",SUMIFS($FE$3:FE89,$DG$3:DG89,DG89)=0,BY89=1),3,0)))</f>
        <v>10</v>
      </c>
      <c r="X90" s="1">
        <f t="shared" si="112"/>
        <v>8</v>
      </c>
      <c r="Y90" s="1">
        <f t="shared" si="113"/>
        <v>0</v>
      </c>
      <c r="Z90" s="1">
        <f t="shared" si="114"/>
        <v>0</v>
      </c>
      <c r="AA90" s="1">
        <f t="shared" si="115"/>
        <v>0</v>
      </c>
      <c r="AB90" s="1">
        <f t="shared" si="116"/>
        <v>5</v>
      </c>
      <c r="AC90" s="1">
        <f t="shared" si="117"/>
        <v>0</v>
      </c>
      <c r="AD90" s="1">
        <f t="shared" si="118"/>
        <v>35</v>
      </c>
      <c r="AE90" s="1">
        <f>IF(D90="",0,IF(DG90&lt;&gt;DG89,IFERROR(INDEX(回合状态!$F$7:$F$17,MATCH(DG90,回合状态!$A$7:$A$17,0)),0),CI89))</f>
        <v>21</v>
      </c>
      <c r="AF90" s="1">
        <f t="shared" si="119"/>
        <v>0.875</v>
      </c>
      <c r="AG90" s="1">
        <f t="shared" si="120"/>
        <v>6</v>
      </c>
      <c r="AH90" s="1">
        <f t="shared" si="121"/>
        <v>7</v>
      </c>
      <c r="AI90" s="1">
        <f t="shared" si="122"/>
        <v>6</v>
      </c>
      <c r="AJ90" s="1">
        <f t="shared" si="123"/>
        <v>7</v>
      </c>
      <c r="AK90" s="1">
        <f t="shared" si="124"/>
        <v>6</v>
      </c>
      <c r="AL90" s="1">
        <f t="shared" si="125"/>
        <v>3</v>
      </c>
      <c r="AM90" s="1">
        <f t="shared" si="126"/>
        <v>30</v>
      </c>
      <c r="AN90" s="1">
        <f t="shared" si="127"/>
        <v>6</v>
      </c>
      <c r="AO90" s="1">
        <f t="shared" si="128"/>
        <v>0</v>
      </c>
      <c r="AP90" s="1">
        <f t="shared" si="129"/>
        <v>0.12</v>
      </c>
      <c r="AQ90" s="1">
        <f t="shared" si="130"/>
        <v>6</v>
      </c>
      <c r="AR90" s="1">
        <f t="shared" si="131"/>
        <v>0.3</v>
      </c>
      <c r="AS90" s="1">
        <f t="shared" si="132"/>
        <v>6</v>
      </c>
      <c r="AT90" s="1">
        <f t="shared" si="133"/>
        <v>0.3</v>
      </c>
      <c r="AU90" s="1">
        <f t="shared" si="134"/>
        <v>7</v>
      </c>
      <c r="AV90" s="1">
        <f>MIN(5,SUMIFS($EL$3:EL90,$B$3:B90,"&gt;="&amp;MAX(1,B90-2),$B$3:B90,"&lt;="&amp;B90)+EC90)</f>
        <v>5</v>
      </c>
      <c r="AW90" s="1">
        <f>MIN(6,SUMIFS($EY$3:EY89,$EX$3:EX89,"&gt;="&amp;MAX(1,EX90-Boss参数!$B$87+1),$EX$3:EX89,"&lt;="&amp;EX90))</f>
        <v>6</v>
      </c>
      <c r="AX90" s="1">
        <f>MIN(4,COUNTIFS($B$3:$B$89,"&gt;="&amp;MAX(1,$B90-2),$B$3:$B$89,"&lt;="&amp;$B90,$L$3:$L$89,"37_FOLLOW"))</f>
        <v>4</v>
      </c>
      <c r="AY90" s="1">
        <f>IF($E90="","",IF($E90="系统",0,ROUNDDOWN(INDEX(角色面板!$C$4:$C$7,MATCH($E90,角色面板!$A$4:$A$7,0))*(1+INDEX(角色面板!$C$11:$C$14,MATCH($E90,角色面板!$A$11:$A$14,0))+IF($E90="小瑞安侬",MAX(IF($B90&lt;=$AQ90,$AP90,0),IF(AND($L90="RHI_ATTACK",$EE90&gt;0),0.11+0.01*$G90,0)),0)+IF($E90="J",$AD90*Boss参数!$B$18,0))+IF(FD90&lt;=$AN90,MIN(Boss参数!$B$21,ROUNDDOWN(角色面板!$C$19*Boss参数!$B$20,0)),0)+IF(AND($B90&lt;=$AK90,$E90&lt;&gt;"小瑞安侬"),$DY90,0),0)))</f>
        <v>3517</v>
      </c>
      <c r="AZ90" s="1">
        <f>IF($E90="","",MAX(0,MIN(1,IFERROR(INDEX(角色面板!$G$18:$G$21,MATCH($E90,角色面板!$A$18:$A$21,0)),0)-FC90*Boss参数!$B$89-Boss参数!$E$4)))</f>
        <v>0.26</v>
      </c>
      <c r="BA90" s="1">
        <f>IF(E90="","",(IF($E90="","",IF($E90="红弩箭",Boss参数!$B$80,IF($E90="J",Boss参数!$B$81,IFERROR(INDEX(角色面板!$H$18:$H$21,MATCH($E90,角色面板!$A$18:$A$21,0)),0)))+IF($B90&lt;=$AI90,Boss参数!$B$13,0)+MIN(30,$AM90)*Boss参数!$B$17+IF(AND($L90="LILYA_ULT",$X90&gt;=6),1,0)+IF(AND($Y90=1,$L90="LILYA_INSIGHT"),IF(MOD($AA90+1,3)=0,Boss参数!$B$83,Boss参数!$B$82),IF(AND($Y90=1,$L90="LILYA_FINISH"),Boss参数!$B$84,0))))-FC90*Boss参数!$B$90)</f>
        <v>1.7780000000000002</v>
      </c>
      <c r="BB90" s="1">
        <f>IF($E90="","",IFERROR(INDEX(角色面板!$M$18:$M$21,MATCH($E90,角色面板!$A$18:$A$21,0)),0)+$AW90*Boss参数!$B$12+IF($B90&lt;=$AG90,$AF90,0)+$EI90+IF($L90="LILYA_DIVE",IF($U90=1,IF($G90=1,0.3,IF($G90=2,0.4,0.5)),IF($U90=2,IF($G90=1,0.6,IF($G90=2,0.8,1)),0)),0)+$R90+IF(AND($E90="J",OR($L90="J_COUNTER",$L90="J_HARD")),Boss参数!$B$79,0)+IF(AND(OR(L90="J_COUNTER",L90="J_HARD"),FA90&gt;=Boss参数!$B$59),FA90*Boss参数!$B$40,0))</f>
        <v>1.2949999999999999</v>
      </c>
      <c r="BC90" s="1">
        <f>IF($E90="","",IFERROR(INDEX(角色面板!$K$18:$K$21,MATCH($E90,角色面板!$A$18:$A$21,0)),0)+IF($B90&lt;=$AH90,Boss参数!$B$46,0)+IF($E90="红弩箭",IF($U90=1,0.6,IF($U90=2,1.2,0))+$W90*0.06,0))-DI90*Boss参数!$B$23</f>
        <v>-0.85000000000000009</v>
      </c>
      <c r="BD90" s="1">
        <f>IF($E90="","",IFERROR(INDEX(角色面板!$L$18:$L$21,MATCH($E90,角色面板!$A$18:$A$21,0)),0)+IF($B90&lt;=$AH90,Boss参数!$B$46,0)+IF($E90="J",$AL90*Boss参数!$B$16,0)+IF($E90="红弩箭",$X90*0.025,0)+IF(AND($L90="LILYA_ULT",$X90&gt;=6),1,0))-DI90*Boss参数!$B$23</f>
        <v>-0.45</v>
      </c>
      <c r="BE90" s="1">
        <f>IF($E90="","",IF($H90="洞知",IF($E90="红弩箭",$AO90*Boss参数!$B$15,0)+$AX90*Boss参数!$B$14,0))</f>
        <v>0</v>
      </c>
      <c r="BF90" s="1">
        <f t="shared" si="71"/>
        <v>0</v>
      </c>
      <c r="BG90" s="1">
        <f>IF($D90="",0,IF(AND($L90&lt;&gt;"LILYA_DIVE",$L90&lt;&gt;"LILYA_ULT",$L90&lt;&gt;"LILYA_INSIGHT",$L90&lt;&gt;"LILYA_FINISH",$L90&lt;&gt;"37_FOLLOW",$L90&lt;&gt;"RHI_ATTACK",$L90&lt;&gt;"RHI_BERRY",$L90&lt;&gt;"J_COUNTER",$L90&lt;&gt;"J_ULT"),$J90,0)+IF($L90="LILYA_DIVE",$J90+IF($U90=1,IF($G90=1,6,IF($G90=2,12,18)),IF($U90=2,IF($G90=1,12,IF($G90=2,24,36)),0)),0)+IF($L90="LILYA_ULT",$J90+IF($X90&gt;=6,18,0),0)+IF($L90="LILYA_INSIGHT",IF($Y90=1,IF(MOD($AA90+1,3)=0,32,15),0),0)+IF($L90="LILYA_FINISH",IF($Y90=1,50+2.5*$Z90,0),0)+IF($L90="37_FOLLOW",$J90,0)+IF($L90="RHI_ATTACK",$J90*IF($B90&lt;=$AJ90,2,1),0)+IF($L90="RHI_BERRY",15+1.5*$AV90,0)+IF($L90="J_COUNTER",$J90+$AD90*Boss参数!$B$39,0)+IF($L90="J_ULT",$J90+Boss参数!$B$45*MAX(0,$AE90+$AD90-Boss参数!$I$4),0)+$S90)</f>
        <v>3</v>
      </c>
      <c r="BH90" s="1">
        <f t="shared" si="72"/>
        <v>1</v>
      </c>
      <c r="BI90" s="1">
        <f>IF(E90="","",IF(DT90=1,1+Boss参数!$B$8+AV90*Boss参数!$B$19,1))</f>
        <v>1.5</v>
      </c>
      <c r="BJ90" s="1">
        <f>IF($I90="现实",Boss参数!$C$4,IF($I90="精神",Boss参数!$D$4,0))</f>
        <v>1000</v>
      </c>
      <c r="BK90" s="1">
        <f>IF($E90="","",MAX($AY90*Boss参数!$B$9,$AY90-$BJ90*(1-$BF90)))</f>
        <v>2517</v>
      </c>
      <c r="BL90" s="1">
        <f>MAX(0,Boss参数!$F$4+IF(DT90=0,Boss参数!$B$27,0)-EJ90)</f>
        <v>0.10000000000000003</v>
      </c>
      <c r="BM90" s="1">
        <f>Boss参数!$G$4+DU90-IF(Y90=1,Boss参数!$B$11,0)</f>
        <v>0.7</v>
      </c>
      <c r="BN90" s="1">
        <f>IF($E90="","",MAX(Boss参数!$B$10,1+IFERROR(INDEX(角色面板!$I$18:$I$21,MATCH($E90,角色面板!$A$18:$A$21,0)),0)+$BB90+Boss参数!$H$4-$BM90))</f>
        <v>1.5999999999999999</v>
      </c>
      <c r="BO90" s="1">
        <f>IF(E90="","",IF(OR(L90="J_COUNTER",L90="J_HARD"),MAX(0,1+INDEX(角色面板!$K$18:$K$21,MATCH(E90,角色面板!$A$18:$A$21,0))-DI90*Boss参数!$B$23+IF(OR(Boss参数!$B$43=1,L90="J_HARD"),IF(B90&lt;=AH90,Boss参数!$B$46,0),0)),MAX(0,IF(OR(H90="术法",L90="RHI_BERRY",AND(L90="37_FOLLOW",Boss参数!$B$31=1)),1+BC90,IF(H90="仪式",1+BD90,IF(H90="洞知",EK90,1))))))</f>
        <v>0.14999999999999991</v>
      </c>
      <c r="BP90" s="1">
        <f t="shared" si="73"/>
        <v>1.6780000000000002</v>
      </c>
      <c r="BQ90" s="1">
        <f t="shared" si="74"/>
        <v>2718.3599999999979</v>
      </c>
      <c r="BR90" s="1">
        <f t="shared" si="75"/>
        <v>4561.4080799999965</v>
      </c>
      <c r="BS90" s="1">
        <f>IF(BH90=0,0,ROUNDDOWN(AY90*BH90,0)*DV90*IF(Boss参数!$B$29=1,BN90,1)*IF(Boss参数!$B$33=1,BO90,1)*IF(Boss参数!$B$76=1,1-ES90,1))</f>
        <v>0</v>
      </c>
      <c r="BT90" s="1">
        <f t="shared" si="76"/>
        <v>0</v>
      </c>
      <c r="BU90" s="1">
        <f>IF(D90="",0,MIN(IF(Boss参数!$B$77=1,Boss参数!$B$63*Boss参数!$B$62,Boss参数!$B$61*Boss参数!$B$62),DW90+ROUNDDOWN(BS90,0)+ROUNDDOWN(DW90*Q90,0)))</f>
        <v>1087</v>
      </c>
      <c r="BV90" s="1">
        <f>IF(D90="",0,MIN(IF(Boss参数!$B$77=1,Boss参数!$B$63*Boss参数!$B$62,Boss参数!$B$61*Boss参数!$B$62),DX90+ROUNDDOWN(BT90,0)+ROUNDDOWN(DX90*Q90,0)))</f>
        <v>1824</v>
      </c>
      <c r="BW90" s="1">
        <f t="shared" si="77"/>
        <v>1278</v>
      </c>
      <c r="BX90" s="1" t="str">
        <f t="shared" si="78"/>
        <v/>
      </c>
      <c r="BY90" s="1">
        <f t="shared" si="79"/>
        <v>1</v>
      </c>
      <c r="BZ90" s="1">
        <f t="shared" si="80"/>
        <v>0</v>
      </c>
      <c r="CA90" s="1">
        <f>MIN(10,W90+IF(AND(L90="LILYA_COBRA",COUNTIF($L$3:L90,"LILYA_COBRA")=1),5,0)+IF(AND(L90="LILYA_DIVE",U90=1,COUNTIFS($DG$3:DG90,DG90,$L$3:L90,"LILYA_DIVE")=1),2,0)+IF(AND(FE90=1,U90=1),3,0))</f>
        <v>10</v>
      </c>
      <c r="CB90" s="1">
        <f>MIN(20,MAX(0,X90+IF(L90="LILYA_COBRA",IF(COUNTIF($L$3:L90,"LILYA_COBRA")=1,6,IF(U90=1,MAX(1,G90),IF(U90=2,2*MAX(1,G90),0))),0)+IF(AND(Y90=1,E90="红弩箭",L90&lt;&gt;"ENTER_INSIGHT"),1,0)-IF(AND(L90="LILYA_ULT",X90&gt;=6),6,0)))</f>
        <v>8</v>
      </c>
      <c r="CC90" s="1">
        <f t="shared" si="81"/>
        <v>0</v>
      </c>
      <c r="CD90" s="1">
        <f t="shared" si="82"/>
        <v>0</v>
      </c>
      <c r="CE90" s="1">
        <f t="shared" si="83"/>
        <v>0</v>
      </c>
      <c r="CF90" s="1">
        <f t="shared" si="84"/>
        <v>0</v>
      </c>
      <c r="CG90" s="1">
        <f t="shared" si="85"/>
        <v>0</v>
      </c>
      <c r="CH90" s="1">
        <f>MIN(35,AD90+IF(L90="J_HARD",6,0)+IF(L90="J_COUNTER",Boss参数!$B$30,0))</f>
        <v>35</v>
      </c>
      <c r="CI90" s="1">
        <f>MIN(Boss参数!$I$4,AE90+IF(L90="J_HARD",6,0)+IF(L90="J_ULT",AD90,0)+IF(L90="J_COUNTER",Boss参数!$B$30,0))</f>
        <v>21</v>
      </c>
      <c r="CJ90" s="1">
        <f>IF(L90="J_ULT",AD90*Boss参数!$B$41,IF(B90&lt;=AG90,AF90,0))</f>
        <v>0.875</v>
      </c>
      <c r="CK90" s="1">
        <f t="shared" si="86"/>
        <v>6</v>
      </c>
      <c r="CL90" s="1">
        <f t="shared" si="87"/>
        <v>7</v>
      </c>
      <c r="CM90" s="1">
        <f t="shared" si="88"/>
        <v>6</v>
      </c>
      <c r="CN90" s="1">
        <f t="shared" si="89"/>
        <v>7</v>
      </c>
      <c r="CO90" s="1">
        <f t="shared" si="90"/>
        <v>6</v>
      </c>
      <c r="CP90" s="1">
        <f t="shared" si="91"/>
        <v>3</v>
      </c>
      <c r="CQ90" s="1">
        <f t="shared" si="92"/>
        <v>30</v>
      </c>
      <c r="CR90" s="1">
        <f t="shared" si="93"/>
        <v>6</v>
      </c>
      <c r="CS90" s="1">
        <f t="shared" si="94"/>
        <v>0</v>
      </c>
      <c r="CT90" s="1">
        <f t="shared" si="95"/>
        <v>0.12</v>
      </c>
      <c r="CU90" s="1">
        <f t="shared" si="96"/>
        <v>6</v>
      </c>
      <c r="CV90" s="1">
        <f t="shared" si="97"/>
        <v>0.3</v>
      </c>
      <c r="CW90" s="1">
        <f t="shared" si="98"/>
        <v>6</v>
      </c>
      <c r="CX90" s="1">
        <f t="shared" si="99"/>
        <v>0.3</v>
      </c>
      <c r="CY90" s="1">
        <f t="shared" si="100"/>
        <v>7</v>
      </c>
      <c r="CZ90" s="1"/>
      <c r="DA90" s="1"/>
      <c r="DB90" s="1"/>
      <c r="DC90" s="1"/>
      <c r="DD90" s="1"/>
      <c r="DE90" s="1"/>
      <c r="DF90" s="1"/>
      <c r="DG90" s="1">
        <f>IF(D90="","",行动模拟!B96)</f>
        <v>5</v>
      </c>
      <c r="DH90" s="1" t="str">
        <f>IF(L90="END_TURN","回合结束",IF(D90="","",IF(INDEX(回合状态!$C$7:$C$17,MATCH(DG90,回合状态!$A$7:$A$17,0))="洞穿","洞穿",IF(OR(L90="J_COUNTER",L90="BOSS_ACTION",L90="BOSS_CONSERVATIVE"),"敌方",IF(AND(L90="37_FOLLOW",DG90=DG89,DH89="敌方"),"敌方",IF(INDEX(回合状态!$C$7:$C$17,MATCH(DG90,回合状态!$A$7:$A$17,0))="普通","出牌",INDEX(回合状态!$C$7:$C$17,MATCH(DG90,回合状态!$A$7:$A$17,0))))))))</f>
        <v>敌方</v>
      </c>
      <c r="DI90" s="1">
        <f t="shared" si="101"/>
        <v>5</v>
      </c>
      <c r="DJ90" s="1">
        <f>IF(D90="",0,MIN(Boss参数!$B$25,IF(OR(AND(DH90="敌方",OR(DH89&lt;&gt;"敌方",DG90&lt;&gt;DG89)),AND(L90="END_TURN",DH90&lt;&gt;"洞穿"),AND(DG90&lt;&gt;DG89,DH89&lt;&gt;"洞穿",L89&lt;&gt;"END_TURN",COUNTIFS($DG$3:DG89,DG89,$DH$3:DH89,"敌方")=0)),EW90,DN89)))</f>
        <v>5</v>
      </c>
      <c r="DK90" s="1">
        <f>IF(D90="",0,MIN(Boss参数!$B$25,IF(OR(AND(DH90="敌方",OR(DH89&lt;&gt;"敌方",DG90&lt;&gt;DG89)),AND(L90="END_TURN",DH90&lt;&gt;"洞穿"),AND(DG90&lt;&gt;DG89,DH89&lt;&gt;"洞穿",L89&lt;&gt;"END_TURN",COUNTIFS($DG$3:DG89,DG89,$DH$3:DH89,"敌方")=0)),EW90,DO89)))</f>
        <v>5</v>
      </c>
      <c r="DL90" s="1">
        <f>IF(D90="",0,MIN(Boss参数!$B$25,IF(OR(AND(DH90="敌方",OR(DH89&lt;&gt;"敌方",DG90&lt;&gt;DG89)),AND(L90="END_TURN",DH90&lt;&gt;"洞穿"),AND(DG90&lt;&gt;DG89,DH89&lt;&gt;"洞穿",L89&lt;&gt;"END_TURN",COUNTIFS($DG$3:DG89,DG89,$DH$3:DH89,"敌方")=0)),EW90,DP89)))</f>
        <v>5</v>
      </c>
      <c r="DM90" s="1">
        <f>IF(D90="",0,MIN(Boss参数!$B$25,IF(OR(AND(DH90="敌方",OR(DH89&lt;&gt;"敌方",DG90&lt;&gt;DG89)),AND(L90="END_TURN",DH90&lt;&gt;"洞穿"),AND(DG90&lt;&gt;DG89,DH89&lt;&gt;"洞穿",L89&lt;&gt;"END_TURN",COUNTIFS($DG$3:DG89,DG89,$DH$3:DH89,"敌方")=0)),EW90,DQ89)))</f>
        <v>0</v>
      </c>
      <c r="DN90" s="1">
        <f>MAX(0,MIN(Boss参数!$B$25,DJ90+DR90)-IF(E90="红弩箭",2*DR90,0))</f>
        <v>5</v>
      </c>
      <c r="DO90" s="1">
        <f>MAX(0,MIN(Boss参数!$B$25,DK90+DR90)-IF(E90="37",2*DR90,0))</f>
        <v>3</v>
      </c>
      <c r="DP90" s="1">
        <f>MAX(0,MIN(Boss参数!$B$25,DL90+DR90)-IF(E90="小瑞安侬",2*DR90,0))</f>
        <v>5</v>
      </c>
      <c r="DQ90" s="1">
        <f>MAX(0,MIN(Boss参数!$B$25,DM90+DR90)-IF(E90="J",2*DR90,0))</f>
        <v>1</v>
      </c>
      <c r="DR90" s="1">
        <f t="shared" si="102"/>
        <v>1</v>
      </c>
      <c r="DS90" s="1">
        <f t="shared" si="103"/>
        <v>0</v>
      </c>
      <c r="DT90" s="1">
        <f>IF(OR(E90="",E90="系统"),0,IF(OR(AND(DS90=1,Boss参数!$B$32=1),L90="RHI_BERRY",OR(AND(INDEX(角色面板!$B$18:$B$21,MATCH(E90,角色面板!$A$18:$A$21,0))="星",Boss参数!$B$4="岩"),AND(INDEX(角色面板!$B$18:$B$21,MATCH(E90,角色面板!$A$18:$A$21,0))="岩",Boss参数!$B$4="兽"),AND(INDEX(角色面板!$B$18:$B$21,MATCH(E90,角色面板!$A$18:$A$21,0))="兽",Boss参数!$B$4="木"),AND(INDEX(角色面板!$B$18:$B$21,MATCH(E90,角色面板!$A$18:$A$21,0))="木",Boss参数!$B$4="星"),AND(INDEX(角色面板!$B$18:$B$21,MATCH(E90,角色面板!$A$18:$A$21,0))="智",Boss参数!$B$4="灵"),AND(INDEX(角色面板!$B$18:$B$21,MATCH(E90,角色面板!$A$18:$A$21,0))="灵",Boss参数!$B$4="智"))),1,0))</f>
        <v>1</v>
      </c>
      <c r="DU90" s="1">
        <f>IF(D90="",0,INDEX(回合状态!$E$7:$E$17,MATCH(DG90,回合状态!$A$7:$A$17,0))+IF(AND(DH90="敌方",OR(INDEX(回合状态!$C$7:$C$17,MATCH(DG90,回合状态!$A$7:$A$17,0))="普通",INDEX(回合状态!$C$7:$C$17,MATCH(DG90,回合状态!$A$7:$A$17,0))="额外")),0.05,0))</f>
        <v>0.3</v>
      </c>
      <c r="DV90" s="1">
        <f>MAX(Boss参数!$B$28,1+IF(AND(E90="37",AC90&gt;0,BH90&gt;0),Boss参数!$B$42,0)-DI90*Boss参数!$B$24+EA90-ER90)</f>
        <v>0</v>
      </c>
      <c r="DW90" s="1">
        <f>MIN(IF(Boss参数!$B$77=1,Boss参数!$B$63*Boss参数!$B$62,Boss参数!$B$61*Boss参数!$B$62),ROUNDDOWN(BQ90*(1-ES90),0))</f>
        <v>1087</v>
      </c>
      <c r="DX90" s="1">
        <f>MIN(IF(Boss参数!$B$77=1,Boss参数!$B$63*Boss参数!$B$62,Boss参数!$B$61*Boss参数!$B$62),ROUNDDOWN(BR90*(1-ES90),0))</f>
        <v>1824</v>
      </c>
      <c r="DY90" s="1">
        <f t="shared" si="135"/>
        <v>250</v>
      </c>
      <c r="DZ90" s="1">
        <f>IF(L90="RHI_ULT",MIN(Boss参数!$B$48,ROUNDDOWN(AY90*Boss参数!$B$47,0)),DY90)</f>
        <v>250</v>
      </c>
      <c r="EA90" s="1">
        <v>0</v>
      </c>
      <c r="EB90" s="1">
        <f t="shared" si="104"/>
        <v>0</v>
      </c>
      <c r="EC90" s="1">
        <f>SUMIFS($EB$3:EB90,$B$3:B90,"&gt;="&amp;MAX(1,B90-2),$B$3:B90,"&lt;="&amp;B90)*Boss参数!$B$51</f>
        <v>18</v>
      </c>
      <c r="ED90" s="1">
        <f>IF(D90="",EG89,IF(AND(DG90&lt;&gt;DG89,DH90&lt;&gt;"洞穿"),MIN(Boss参数!$B$55,EG89+2),EG89))</f>
        <v>0</v>
      </c>
      <c r="EE90" s="1">
        <f t="shared" si="105"/>
        <v>0</v>
      </c>
      <c r="EF90" s="1">
        <f>IF(AND(OR(L90="END_TURN",AND(DH90="敌方",OR(DH89&lt;&gt;"敌方",DG90&lt;&gt;DG89))),SUMIFS($EF$3:EF89,$DG$3:DG89,DG90)=0),MIN(1,MAX(0,ED90-EE90)),0)</f>
        <v>0</v>
      </c>
      <c r="EG90" s="1">
        <f t="shared" si="106"/>
        <v>0</v>
      </c>
      <c r="EH90" s="1">
        <f>Boss参数!$B$53-IF(Y90=1,Boss参数!$B$54,0)</f>
        <v>0</v>
      </c>
      <c r="EI90" s="1">
        <f t="shared" si="107"/>
        <v>0.3</v>
      </c>
      <c r="EJ90" s="1">
        <f t="shared" si="108"/>
        <v>0.3</v>
      </c>
      <c r="EK90" s="1">
        <f t="shared" si="109"/>
        <v>1</v>
      </c>
      <c r="EL90" s="1">
        <f t="shared" si="136"/>
        <v>0</v>
      </c>
      <c r="EM90" s="1">
        <f>IF(AND(DG90&lt;&gt;DG89,DH90="洞穿"),0,IF(L90="ENTER_INSIGHT",Boss参数!$B$57,EO89))</f>
        <v>0</v>
      </c>
      <c r="EN90" s="1">
        <f>IF(AND(Y90=1,H90="洞知",EM90&gt;0),Boss参数!$B$56,0)</f>
        <v>0</v>
      </c>
      <c r="EO90" s="1">
        <f t="shared" si="110"/>
        <v>0</v>
      </c>
      <c r="EP90" s="1">
        <f t="shared" si="137"/>
        <v>14319437</v>
      </c>
      <c r="EQ90" s="1">
        <f>ROUNDDOWN(EP90/Boss参数!$B$62,0)</f>
        <v>143</v>
      </c>
      <c r="ER90" s="1">
        <f>IF(EQ90&gt;=Boss参数!$B$66,Boss参数!$B$69,IF(EQ90&gt;=Boss参数!$B$65,Boss参数!$B$68,IF(EQ90&gt;=Boss参数!$B$64,Boss参数!$B$67,0)))</f>
        <v>0.9</v>
      </c>
      <c r="ES90" s="1">
        <f>MIN(1,IF(EQ90&gt;=Boss参数!$B$66,Boss参数!$B$72+ROUNDDOWN((EQ90-Boss参数!$B$66)/Boss参数!$B$73,0)*Boss参数!$B$74,IF(EQ90&gt;=Boss参数!$B$65,Boss参数!$B$71,IF(EQ90&gt;=Boss参数!$B$64,Boss参数!$B$70,0))))</f>
        <v>0.6</v>
      </c>
      <c r="ET90" s="1">
        <f>MIN(Boss参数!$B$61*Boss参数!$B$62,EP90+IF(AND(Boss参数!$B$60=1,ISNUMBER(验证表!H96)),验证表!H96,EU90))</f>
        <v>14320524</v>
      </c>
      <c r="EU90" s="1">
        <f>IF(D90="",0,IF(验证表!G96="是",BV90,IF(验证表!G96="否",BU90,BW90)))</f>
        <v>1087</v>
      </c>
      <c r="EV90" s="1">
        <f>IF(EQ90&gt;=Boss参数!$B$66,2,IF(EQ90&gt;=Boss参数!$B$65,1,0))</f>
        <v>2</v>
      </c>
      <c r="EW90" s="1">
        <f t="shared" si="111"/>
        <v>3</v>
      </c>
      <c r="EX90" s="1">
        <f>IF(D90="",0,INDEX(回合状态!$D$7:$D$17,MATCH(DG90,回合状态!$A$7:$A$17,0)))</f>
        <v>5</v>
      </c>
      <c r="EY90" s="1">
        <f>IF(OR(L90="RHI_ATTACK",L90="RHI_BUFF"),1,IF(L90="RHI_ULT",Boss参数!$B$52,0))</f>
        <v>0</v>
      </c>
      <c r="EZ90" s="1">
        <f>MIN(6,SUMIFS($EY$3:EY90,$EX$3:EX90,"&gt;="&amp;MAX(1,EX90-Boss参数!$B$87+1),$EX$3:EX90,"&lt;="&amp;EX90))</f>
        <v>6</v>
      </c>
      <c r="FA90" s="1">
        <f t="shared" si="138"/>
        <v>35</v>
      </c>
      <c r="FB90" s="17">
        <f>IF(L90="BOSS_CONSERVATIVE",B90+Boss参数!$B$91,FB89)</f>
        <v>7</v>
      </c>
      <c r="FC90" s="17">
        <f t="shared" si="139"/>
        <v>1</v>
      </c>
      <c r="FD90" s="17">
        <f>IF(D90="",FD89,FD89+IF(AND(DG90&lt;&gt;DG89,INDEX(回合状态!$C$7:$C$17,MATCH(DG90,回合状态!$A$7:$A$17,0))&lt;&gt;"洞穿"),1,0))</f>
        <v>6</v>
      </c>
      <c r="FE90" s="17">
        <f>IF(D90="",0,IF(AND(OR(L90="END_TURN",DH90="敌方"),INDEX(回合状态!$C$7:$C$17,MATCH(DG90,回合状态!$A$7:$A$17,0))&lt;&gt;"洞穿",SUMIFS($FE$3:FE89,$DG$3:DG89,DG90)=0),1,0))</f>
        <v>0</v>
      </c>
    </row>
    <row r="91" spans="1:161" ht="84.95" customHeight="1">
      <c r="A91" s="1">
        <f>行动模拟!A97</f>
        <v>89</v>
      </c>
      <c r="B91" s="1">
        <f>IF(D91="",0,INDEX(回合状态!$B$7:$B$17,MATCH(DG91,回合状态!$A$7:$A$17,0)))</f>
        <v>5</v>
      </c>
      <c r="C91" s="1">
        <f>行动模拟!C97</f>
        <v>13</v>
      </c>
      <c r="D91" s="1" t="str">
        <f>IF(行动模拟!D97="","",行动模拟!D97)</f>
        <v>J｜高温回火</v>
      </c>
      <c r="E91" s="1" t="str">
        <f>IF($D91="","",IFERROR(INDEX(技能数据库!$B$4:$B$38,MATCH($D91,技能数据库!$A$4:$A$38,0)),""))</f>
        <v>J</v>
      </c>
      <c r="F91" s="1" t="str">
        <f>IF($D91="","",IFERROR(INDEX(技能数据库!$C$4:$C$38,MATCH($D91,技能数据库!$A$4:$A$38,0)),""))</f>
        <v>高温回火</v>
      </c>
      <c r="G91" s="1">
        <f>IF($D91="","",IFERROR(INDEX(技能数据库!$D$4:$D$38,MATCH($D91,技能数据库!$A$4:$A$38,0)),""))</f>
        <v>0</v>
      </c>
      <c r="H91" s="1" t="str">
        <f>IF($D91="","",IFERROR(INDEX(技能数据库!$E$4:$E$38,MATCH($D91,技能数据库!$A$4:$A$38,0)),""))</f>
        <v>反击</v>
      </c>
      <c r="I91" s="1" t="str">
        <f>IF($D91="","",IFERROR(INDEX(技能数据库!$F$4:$F$38,MATCH($D91,技能数据库!$A$4:$A$38,0)),""))</f>
        <v>现实</v>
      </c>
      <c r="J91" s="1">
        <f>IF($D91="","",IFERROR(INDEX(技能数据库!$G$4:$G$38,MATCH($D91,技能数据库!$A$4:$A$38,0)),""))</f>
        <v>3</v>
      </c>
      <c r="K91" s="1">
        <f>IF($D91="","",IFERROR(INDEX(技能数据库!$H$4:$H$38,MATCH($D91,技能数据库!$A$4:$A$38,0)),""))</f>
        <v>0</v>
      </c>
      <c r="L91" s="1" t="str">
        <f>IF($D91="","",IFERROR(INDEX(技能数据库!$I$4:$I$38,MATCH($D91,技能数据库!$A$4:$A$38,0)),""))</f>
        <v>J_COUNTER</v>
      </c>
      <c r="M91" s="1">
        <v>1</v>
      </c>
      <c r="N91" s="1"/>
      <c r="O91" s="1"/>
      <c r="P91" s="1"/>
      <c r="Q91" s="1">
        <f t="shared" si="70"/>
        <v>0</v>
      </c>
      <c r="R91" s="1">
        <v>0</v>
      </c>
      <c r="S91" s="1">
        <v>0</v>
      </c>
      <c r="T91" s="1">
        <f>行动模拟!I97</f>
        <v>0</v>
      </c>
      <c r="U91" s="1">
        <f>IF(FD91&lt;&gt;FD90,IF(BY90=1,IF(MIN(10,CA90+IF(AND(DG91&lt;&gt;DG90,DH90&lt;&gt;"洞穿",SUMIFS($FE$3:FE90,$DG$3:DG90,DG90)=0,BY90=1),3,0))&gt;=10,2,1),IF(BY90=2,IF(BZ90&lt;=1,0,2),0)),BY90)</f>
        <v>1</v>
      </c>
      <c r="V91" s="1">
        <f>IF(FD91&lt;&gt;FD90,IF(BY90=1,IF(MIN(10,CA90+IF(AND(DG91&lt;&gt;DG90,DH90&lt;&gt;"洞穿",SUMIFS($FE$3:FE90,$DG$3:DG90,DG90)=0,BY90=1),3,0))&gt;=10,2,0),IF(BY90=2,MAX(0,BZ90-1),0)),BZ90)</f>
        <v>0</v>
      </c>
      <c r="W91" s="1">
        <f>IF(AND(FD91&lt;&gt;FD90,BY90=2,BZ90&lt;=1),0,MIN(10,CA90+IF(AND(DG91&lt;&gt;DG90,DH90&lt;&gt;"洞穿",SUMIFS($FE$3:FE90,$DG$3:DG90,DG90)=0,BY90=1),3,0)))</f>
        <v>10</v>
      </c>
      <c r="X91" s="1">
        <f t="shared" si="112"/>
        <v>8</v>
      </c>
      <c r="Y91" s="1">
        <f t="shared" si="113"/>
        <v>0</v>
      </c>
      <c r="Z91" s="1">
        <f t="shared" si="114"/>
        <v>0</v>
      </c>
      <c r="AA91" s="1">
        <f t="shared" si="115"/>
        <v>0</v>
      </c>
      <c r="AB91" s="1">
        <f t="shared" si="116"/>
        <v>0</v>
      </c>
      <c r="AC91" s="1">
        <f t="shared" si="117"/>
        <v>0</v>
      </c>
      <c r="AD91" s="1">
        <f t="shared" si="118"/>
        <v>35</v>
      </c>
      <c r="AE91" s="1">
        <f>IF(D91="",0,IF(DG91&lt;&gt;DG90,IFERROR(INDEX(回合状态!$F$7:$F$17,MATCH(DG91,回合状态!$A$7:$A$17,0)),0),CI90))</f>
        <v>21</v>
      </c>
      <c r="AF91" s="1">
        <f t="shared" si="119"/>
        <v>0.875</v>
      </c>
      <c r="AG91" s="1">
        <f t="shared" si="120"/>
        <v>6</v>
      </c>
      <c r="AH91" s="1">
        <f t="shared" si="121"/>
        <v>7</v>
      </c>
      <c r="AI91" s="1">
        <f t="shared" si="122"/>
        <v>6</v>
      </c>
      <c r="AJ91" s="1">
        <f t="shared" si="123"/>
        <v>7</v>
      </c>
      <c r="AK91" s="1">
        <f t="shared" si="124"/>
        <v>6</v>
      </c>
      <c r="AL91" s="1">
        <f t="shared" si="125"/>
        <v>3</v>
      </c>
      <c r="AM91" s="1">
        <f t="shared" si="126"/>
        <v>30</v>
      </c>
      <c r="AN91" s="1">
        <f t="shared" si="127"/>
        <v>6</v>
      </c>
      <c r="AO91" s="1">
        <f t="shared" si="128"/>
        <v>0</v>
      </c>
      <c r="AP91" s="1">
        <f t="shared" si="129"/>
        <v>0.12</v>
      </c>
      <c r="AQ91" s="1">
        <f t="shared" si="130"/>
        <v>6</v>
      </c>
      <c r="AR91" s="1">
        <f t="shared" si="131"/>
        <v>0.3</v>
      </c>
      <c r="AS91" s="1">
        <f t="shared" si="132"/>
        <v>6</v>
      </c>
      <c r="AT91" s="1">
        <f t="shared" si="133"/>
        <v>0.3</v>
      </c>
      <c r="AU91" s="1">
        <f t="shared" si="134"/>
        <v>7</v>
      </c>
      <c r="AV91" s="1">
        <f>MIN(5,SUMIFS($EL$3:EL91,$B$3:B91,"&gt;="&amp;MAX(1,B91-2),$B$3:B91,"&lt;="&amp;B91)+EC91)</f>
        <v>5</v>
      </c>
      <c r="AW91" s="1">
        <f>MIN(6,SUMIFS($EY$3:EY90,$EX$3:EX90,"&gt;="&amp;MAX(1,EX91-Boss参数!$B$87+1),$EX$3:EX90,"&lt;="&amp;EX91))</f>
        <v>6</v>
      </c>
      <c r="AX91" s="1">
        <f>MIN(4,COUNTIFS($B$3:$B$90,"&gt;="&amp;MAX(1,$B91-2),$B$3:$B$90,"&lt;="&amp;$B91,$L$3:$L$90,"37_FOLLOW"))</f>
        <v>4</v>
      </c>
      <c r="AY91" s="1">
        <f>IF($E91="","",IF($E91="系统",0,ROUNDDOWN(INDEX(角色面板!$C$4:$C$7,MATCH($E91,角色面板!$A$4:$A$7,0))*(1+INDEX(角色面板!$C$11:$C$14,MATCH($E91,角色面板!$A$11:$A$14,0))+IF($E91="小瑞安侬",MAX(IF($B91&lt;=$AQ91,$AP91,0),IF(AND($L91="RHI_ATTACK",$EE91&gt;0),0.11+0.01*$G91,0)),0)+IF($E91="J",$AD91*Boss参数!$B$18,0))+IF(FD91&lt;=$AN91,MIN(Boss参数!$B$21,ROUNDDOWN(角色面板!$C$19*Boss参数!$B$20,0)),0)+IF(AND($B91&lt;=$AK91,$E91&lt;&gt;"小瑞安侬"),$DY91,0),0)))</f>
        <v>3323</v>
      </c>
      <c r="AZ91" s="1">
        <f>IF($E91="","",MAX(0,MIN(1,IFERROR(INDEX(角色面板!$G$18:$G$21,MATCH($E91,角色面板!$A$18:$A$21,0)),0)-FC91*Boss参数!$B$89-Boss参数!$E$4)))</f>
        <v>0.16700000000000004</v>
      </c>
      <c r="BA91" s="1">
        <f>IF(E91="","",(IF($E91="","",IF($E91="红弩箭",Boss参数!$B$80,IF($E91="J",Boss参数!$B$81,IFERROR(INDEX(角色面板!$H$18:$H$21,MATCH($E91,角色面板!$A$18:$A$21,0)),0)))+IF($B91&lt;=$AI91,Boss参数!$B$13,0)+MIN(30,$AM91)*Boss参数!$B$17+IF(AND($L91="LILYA_ULT",$X91&gt;=6),1,0)+IF(AND($Y91=1,$L91="LILYA_INSIGHT"),IF(MOD($AA91+1,3)=0,Boss参数!$B$83,Boss参数!$B$82),IF(AND($Y91=1,$L91="LILYA_FINISH"),Boss参数!$B$84,0))))-FC91*Boss参数!$B$90)</f>
        <v>1.2969999999999999</v>
      </c>
      <c r="BB91" s="1">
        <f>IF($E91="","",IFERROR(INDEX(角色面板!$M$18:$M$21,MATCH($E91,角色面板!$A$18:$A$21,0)),0)+$AW91*Boss参数!$B$12+IF($B91&lt;=$AG91,$AF91,0)+$EI91+IF($L91="LILYA_DIVE",IF($U91=1,IF($G91=1,0.3,IF($G91=2,0.4,0.5)),IF($U91=2,IF($G91=1,0.6,IF($G91=2,0.8,1)),0)),0)+$R91+IF(AND($E91="J",OR($L91="J_COUNTER",$L91="J_HARD")),Boss参数!$B$79,0)+IF(AND(OR(L91="J_COUNTER",L91="J_HARD"),FA91&gt;=Boss参数!$B$59),FA91*Boss参数!$B$40,0))</f>
        <v>1.8250000000000002</v>
      </c>
      <c r="BC91" s="1">
        <f>IF($E91="","",IFERROR(INDEX(角色面板!$K$18:$K$21,MATCH($E91,角色面板!$A$18:$A$21,0)),0)+IF($B91&lt;=$AH91,Boss参数!$B$46,0)+IF($E91="红弩箭",IF($U91=1,0.6,IF($U91=2,1.2,0))+$W91*0.06,0))-DI91*Boss参数!$B$23</f>
        <v>-0.25</v>
      </c>
      <c r="BD91" s="1">
        <f>IF($E91="","",IFERROR(INDEX(角色面板!$L$18:$L$21,MATCH($E91,角色面板!$A$18:$A$21,0)),0)+IF($B91&lt;=$AH91,Boss参数!$B$46,0)+IF($E91="J",$AL91*Boss参数!$B$16,0)+IF($E91="红弩箭",$X91*0.025,0)+IF(AND($L91="LILYA_ULT",$X91&gt;=6),1,0))-DI91*Boss参数!$B$23</f>
        <v>0.27</v>
      </c>
      <c r="BE91" s="1">
        <f>IF($E91="","",IF($H91="洞知",IF($E91="红弩箭",$AO91*Boss参数!$B$15,0)+$AX91*Boss参数!$B$14,0))</f>
        <v>0</v>
      </c>
      <c r="BF91" s="1">
        <f t="shared" si="71"/>
        <v>0</v>
      </c>
      <c r="BG91" s="1">
        <f>IF($D91="",0,IF(AND($L91&lt;&gt;"LILYA_DIVE",$L91&lt;&gt;"LILYA_ULT",$L91&lt;&gt;"LILYA_INSIGHT",$L91&lt;&gt;"LILYA_FINISH",$L91&lt;&gt;"37_FOLLOW",$L91&lt;&gt;"RHI_ATTACK",$L91&lt;&gt;"RHI_BERRY",$L91&lt;&gt;"J_COUNTER",$L91&lt;&gt;"J_ULT"),$J91,0)+IF($L91="LILYA_DIVE",$J91+IF($U91=1,IF($G91=1,6,IF($G91=2,12,18)),IF($U91=2,IF($G91=1,12,IF($G91=2,24,36)),0)),0)+IF($L91="LILYA_ULT",$J91+IF($X91&gt;=6,18,0),0)+IF($L91="LILYA_INSIGHT",IF($Y91=1,IF(MOD($AA91+1,3)=0,32,15),0),0)+IF($L91="LILYA_FINISH",IF($Y91=1,50+2.5*$Z91,0),0)+IF($L91="37_FOLLOW",$J91,0)+IF($L91="RHI_ATTACK",$J91*IF($B91&lt;=$AJ91,2,1),0)+IF($L91="RHI_BERRY",15+1.5*$AV91,0)+IF($L91="J_COUNTER",$J91+$AD91*Boss参数!$B$39,0)+IF($L91="J_ULT",$J91+Boss参数!$B$45*MAX(0,$AE91+$AD91-Boss参数!$I$4),0)+$S91)</f>
        <v>4.75</v>
      </c>
      <c r="BH91" s="1">
        <f t="shared" si="72"/>
        <v>0</v>
      </c>
      <c r="BI91" s="1">
        <f>IF(E91="","",IF(DT91=1,1+Boss参数!$B$8+AV91*Boss参数!$B$19,1))</f>
        <v>1</v>
      </c>
      <c r="BJ91" s="1">
        <f>IF($I91="现实",Boss参数!$C$4,IF($I91="精神",Boss参数!$D$4,0))</f>
        <v>1200</v>
      </c>
      <c r="BK91" s="1">
        <f>IF($E91="","",MAX($AY91*Boss参数!$B$9,$AY91-$BJ91*(1-$BF91)))</f>
        <v>2123</v>
      </c>
      <c r="BL91" s="1">
        <f>MAX(0,Boss参数!$F$4+IF(DT91=0,Boss参数!$B$27,0)-EJ91)</f>
        <v>1.0999999999999999</v>
      </c>
      <c r="BM91" s="1">
        <f>Boss参数!$G$4+DU91-IF(Y91=1,Boss参数!$B$11,0)</f>
        <v>0.7</v>
      </c>
      <c r="BN91" s="1">
        <f>IF($E91="","",MAX(Boss参数!$B$10,1+IFERROR(INDEX(角色面板!$I$18:$I$21,MATCH($E91,角色面板!$A$18:$A$21,0)),0)+$BB91+Boss参数!$H$4-$BM91))</f>
        <v>2.1500000000000004</v>
      </c>
      <c r="BO91" s="1">
        <f>IF(E91="","",IF(OR(L91="J_COUNTER",L91="J_HARD"),MAX(0,1+INDEX(角色面板!$K$18:$K$21,MATCH(E91,角色面板!$A$18:$A$21,0))-DI91*Boss参数!$B$23+IF(OR(Boss参数!$B$43=1,L91="J_HARD"),IF(B91&lt;=AH91,Boss参数!$B$46,0),0)),MAX(0,IF(OR(H91="术法",L91="RHI_BERRY",AND(L91="37_FOLLOW",Boss参数!$B$31=1)),1+BC91,IF(H91="仪式",1+BD91,IF(H91="洞知",EK91,1))))))</f>
        <v>0.75</v>
      </c>
      <c r="BP91" s="1">
        <f t="shared" si="73"/>
        <v>1.1000000000000001</v>
      </c>
      <c r="BQ91" s="1">
        <f t="shared" si="74"/>
        <v>16260.853125000003</v>
      </c>
      <c r="BR91" s="1">
        <f t="shared" si="75"/>
        <v>17886.938437500005</v>
      </c>
      <c r="BS91" s="1">
        <f>IF(BH91=0,0,ROUNDDOWN(AY91*BH91,0)*DV91*IF(Boss参数!$B$29=1,BN91,1)*IF(Boss参数!$B$33=1,BO91,1)*IF(Boss参数!$B$76=1,1-ES91,1))</f>
        <v>0</v>
      </c>
      <c r="BT91" s="1">
        <f t="shared" si="76"/>
        <v>0</v>
      </c>
      <c r="BU91" s="1">
        <f>IF(D91="",0,MIN(IF(Boss参数!$B$77=1,Boss参数!$B$63*Boss参数!$B$62,Boss参数!$B$61*Boss参数!$B$62),DW91+ROUNDDOWN(BS91,0)+ROUNDDOWN(DW91*Q91,0)))</f>
        <v>6504</v>
      </c>
      <c r="BV91" s="1">
        <f>IF(D91="",0,MIN(IF(Boss参数!$B$77=1,Boss参数!$B$63*Boss参数!$B$62,Boss参数!$B$61*Boss参数!$B$62),DX91+ROUNDDOWN(BT91,0)+ROUNDDOWN(DX91*Q91,0)))</f>
        <v>7154</v>
      </c>
      <c r="BW91" s="1">
        <f t="shared" si="77"/>
        <v>6612</v>
      </c>
      <c r="BX91" s="1" t="str">
        <f t="shared" si="78"/>
        <v/>
      </c>
      <c r="BY91" s="1">
        <f t="shared" si="79"/>
        <v>1</v>
      </c>
      <c r="BZ91" s="1">
        <f t="shared" si="80"/>
        <v>0</v>
      </c>
      <c r="CA91" s="1">
        <f>MIN(10,W91+IF(AND(L91="LILYA_COBRA",COUNTIF($L$3:L91,"LILYA_COBRA")=1),5,0)+IF(AND(L91="LILYA_DIVE",U91=1,COUNTIFS($DG$3:DG91,DG91,$L$3:L91,"LILYA_DIVE")=1),2,0)+IF(AND(FE91=1,U91=1),3,0))</f>
        <v>10</v>
      </c>
      <c r="CB91" s="1">
        <f>MIN(20,MAX(0,X91+IF(L91="LILYA_COBRA",IF(COUNTIF($L$3:L91,"LILYA_COBRA")=1,6,IF(U91=1,MAX(1,G91),IF(U91=2,2*MAX(1,G91),0))),0)+IF(AND(Y91=1,E91="红弩箭",L91&lt;&gt;"ENTER_INSIGHT"),1,0)-IF(AND(L91="LILYA_ULT",X91&gt;=6),6,0)))</f>
        <v>8</v>
      </c>
      <c r="CC91" s="1">
        <f t="shared" si="81"/>
        <v>0</v>
      </c>
      <c r="CD91" s="1">
        <f t="shared" si="82"/>
        <v>0</v>
      </c>
      <c r="CE91" s="1">
        <f t="shared" si="83"/>
        <v>0</v>
      </c>
      <c r="CF91" s="1">
        <f t="shared" si="84"/>
        <v>1</v>
      </c>
      <c r="CG91" s="1">
        <f t="shared" si="85"/>
        <v>0</v>
      </c>
      <c r="CH91" s="1">
        <f>MIN(35,AD91+IF(L91="J_HARD",6,0)+IF(L91="J_COUNTER",Boss参数!$B$30,0))</f>
        <v>35</v>
      </c>
      <c r="CI91" s="1">
        <f>MIN(Boss参数!$I$4,AE91+IF(L91="J_HARD",6,0)+IF(L91="J_ULT",AD91,0)+IF(L91="J_COUNTER",Boss参数!$B$30,0))</f>
        <v>23</v>
      </c>
      <c r="CJ91" s="1">
        <f>IF(L91="J_ULT",AD91*Boss参数!$B$41,IF(B91&lt;=AG91,AF91,0))</f>
        <v>0.875</v>
      </c>
      <c r="CK91" s="1">
        <f t="shared" si="86"/>
        <v>6</v>
      </c>
      <c r="CL91" s="1">
        <f t="shared" si="87"/>
        <v>7</v>
      </c>
      <c r="CM91" s="1">
        <f t="shared" si="88"/>
        <v>6</v>
      </c>
      <c r="CN91" s="1">
        <f t="shared" si="89"/>
        <v>7</v>
      </c>
      <c r="CO91" s="1">
        <f t="shared" si="90"/>
        <v>6</v>
      </c>
      <c r="CP91" s="1">
        <f t="shared" si="91"/>
        <v>3</v>
      </c>
      <c r="CQ91" s="1">
        <f t="shared" si="92"/>
        <v>30</v>
      </c>
      <c r="CR91" s="1">
        <f t="shared" si="93"/>
        <v>6</v>
      </c>
      <c r="CS91" s="1">
        <f t="shared" si="94"/>
        <v>0</v>
      </c>
      <c r="CT91" s="1">
        <f t="shared" si="95"/>
        <v>0.12</v>
      </c>
      <c r="CU91" s="1">
        <f t="shared" si="96"/>
        <v>6</v>
      </c>
      <c r="CV91" s="1">
        <f t="shared" si="97"/>
        <v>0.3</v>
      </c>
      <c r="CW91" s="1">
        <f t="shared" si="98"/>
        <v>6</v>
      </c>
      <c r="CX91" s="1">
        <f t="shared" si="99"/>
        <v>0.3</v>
      </c>
      <c r="CY91" s="1">
        <f t="shared" si="100"/>
        <v>7</v>
      </c>
      <c r="CZ91" s="1"/>
      <c r="DA91" s="1"/>
      <c r="DB91" s="1"/>
      <c r="DC91" s="1"/>
      <c r="DD91" s="1"/>
      <c r="DE91" s="1"/>
      <c r="DF91" s="1"/>
      <c r="DG91" s="1">
        <f>IF(D91="","",行动模拟!B97)</f>
        <v>5</v>
      </c>
      <c r="DH91" s="1" t="str">
        <f>IF(L91="END_TURN","回合结束",IF(D91="","",IF(INDEX(回合状态!$C$7:$C$17,MATCH(DG91,回合状态!$A$7:$A$17,0))="洞穿","洞穿",IF(OR(L91="J_COUNTER",L91="BOSS_ACTION",L91="BOSS_CONSERVATIVE"),"敌方",IF(AND(L91="37_FOLLOW",DG91=DG90,DH90="敌方"),"敌方",IF(INDEX(回合状态!$C$7:$C$17,MATCH(DG91,回合状态!$A$7:$A$17,0))="普通","出牌",INDEX(回合状态!$C$7:$C$17,MATCH(DG91,回合状态!$A$7:$A$17,0))))))))</f>
        <v>敌方</v>
      </c>
      <c r="DI91" s="1">
        <f t="shared" si="101"/>
        <v>1</v>
      </c>
      <c r="DJ91" s="1">
        <f>IF(D91="",0,MIN(Boss参数!$B$25,IF(OR(AND(DH91="敌方",OR(DH90&lt;&gt;"敌方",DG91&lt;&gt;DG90)),AND(L91="END_TURN",DH91&lt;&gt;"洞穿"),AND(DG91&lt;&gt;DG90,DH90&lt;&gt;"洞穿",L90&lt;&gt;"END_TURN",COUNTIFS($DG$3:DG90,DG90,$DH$3:DH90,"敌方")=0)),EW91,DN90)))</f>
        <v>5</v>
      </c>
      <c r="DK91" s="1">
        <f>IF(D91="",0,MIN(Boss参数!$B$25,IF(OR(AND(DH91="敌方",OR(DH90&lt;&gt;"敌方",DG91&lt;&gt;DG90)),AND(L91="END_TURN",DH91&lt;&gt;"洞穿"),AND(DG91&lt;&gt;DG90,DH90&lt;&gt;"洞穿",L90&lt;&gt;"END_TURN",COUNTIFS($DG$3:DG90,DG90,$DH$3:DH90,"敌方")=0)),EW91,DO90)))</f>
        <v>3</v>
      </c>
      <c r="DL91" s="1">
        <f>IF(D91="",0,MIN(Boss参数!$B$25,IF(OR(AND(DH91="敌方",OR(DH90&lt;&gt;"敌方",DG91&lt;&gt;DG90)),AND(L91="END_TURN",DH91&lt;&gt;"洞穿"),AND(DG91&lt;&gt;DG90,DH90&lt;&gt;"洞穿",L90&lt;&gt;"END_TURN",COUNTIFS($DG$3:DG90,DG90,$DH$3:DH90,"敌方")=0)),EW91,DP90)))</f>
        <v>5</v>
      </c>
      <c r="DM91" s="1">
        <f>IF(D91="",0,MIN(Boss参数!$B$25,IF(OR(AND(DH91="敌方",OR(DH90&lt;&gt;"敌方",DG91&lt;&gt;DG90)),AND(L91="END_TURN",DH91&lt;&gt;"洞穿"),AND(DG91&lt;&gt;DG90,DH90&lt;&gt;"洞穿",L90&lt;&gt;"END_TURN",COUNTIFS($DG$3:DG90,DG90,$DH$3:DH90,"敌方")=0)),EW91,DQ90)))</f>
        <v>1</v>
      </c>
      <c r="DN91" s="1">
        <f>MAX(0,MIN(Boss参数!$B$25,DJ91+DR91)-IF(E91="红弩箭",2*DR91,0))</f>
        <v>5</v>
      </c>
      <c r="DO91" s="1">
        <f>MAX(0,MIN(Boss参数!$B$25,DK91+DR91)-IF(E91="37",2*DR91,0))</f>
        <v>4</v>
      </c>
      <c r="DP91" s="1">
        <f>MAX(0,MIN(Boss参数!$B$25,DL91+DR91)-IF(E91="小瑞安侬",2*DR91,0))</f>
        <v>5</v>
      </c>
      <c r="DQ91" s="1">
        <f>MAX(0,MIN(Boss参数!$B$25,DM91+DR91)-IF(E91="J",2*DR91,0))</f>
        <v>0</v>
      </c>
      <c r="DR91" s="1">
        <f t="shared" si="102"/>
        <v>1</v>
      </c>
      <c r="DS91" s="1">
        <f t="shared" si="103"/>
        <v>0</v>
      </c>
      <c r="DT91" s="1">
        <f>IF(OR(E91="",E91="系统"),0,IF(OR(AND(DS91=1,Boss参数!$B$32=1),L91="RHI_BERRY",OR(AND(INDEX(角色面板!$B$18:$B$21,MATCH(E91,角色面板!$A$18:$A$21,0))="星",Boss参数!$B$4="岩"),AND(INDEX(角色面板!$B$18:$B$21,MATCH(E91,角色面板!$A$18:$A$21,0))="岩",Boss参数!$B$4="兽"),AND(INDEX(角色面板!$B$18:$B$21,MATCH(E91,角色面板!$A$18:$A$21,0))="兽",Boss参数!$B$4="木"),AND(INDEX(角色面板!$B$18:$B$21,MATCH(E91,角色面板!$A$18:$A$21,0))="木",Boss参数!$B$4="星"),AND(INDEX(角色面板!$B$18:$B$21,MATCH(E91,角色面板!$A$18:$A$21,0))="智",Boss参数!$B$4="灵"),AND(INDEX(角色面板!$B$18:$B$21,MATCH(E91,角色面板!$A$18:$A$21,0))="灵",Boss参数!$B$4="智"))),1,0))</f>
        <v>0</v>
      </c>
      <c r="DU91" s="1">
        <f>IF(D91="",0,INDEX(回合状态!$E$7:$E$17,MATCH(DG91,回合状态!$A$7:$A$17,0))+IF(AND(DH91="敌方",OR(INDEX(回合状态!$C$7:$C$17,MATCH(DG91,回合状态!$A$7:$A$17,0))="普通",INDEX(回合状态!$C$7:$C$17,MATCH(DG91,回合状态!$A$7:$A$17,0))="额外")),0.05,0))</f>
        <v>0.3</v>
      </c>
      <c r="DV91" s="1">
        <f>MAX(Boss参数!$B$28,1+IF(AND(E91="37",AC91&gt;0,BH91&gt;0),Boss参数!$B$42,0)-DI91*Boss参数!$B$24+EA91-ER91)</f>
        <v>0</v>
      </c>
      <c r="DW91" s="1">
        <f>MIN(IF(Boss参数!$B$77=1,Boss参数!$B$63*Boss参数!$B$62,Boss参数!$B$61*Boss参数!$B$62),ROUNDDOWN(BQ91*(1-ES91),0))</f>
        <v>6504</v>
      </c>
      <c r="DX91" s="1">
        <f>MIN(IF(Boss参数!$B$77=1,Boss参数!$B$63*Boss参数!$B$62,Boss参数!$B$61*Boss参数!$B$62),ROUNDDOWN(BR91*(1-ES91),0))</f>
        <v>7154</v>
      </c>
      <c r="DY91" s="1">
        <f t="shared" si="135"/>
        <v>250</v>
      </c>
      <c r="DZ91" s="1">
        <f>IF(L91="RHI_ULT",MIN(Boss参数!$B$48,ROUNDDOWN(AY91*Boss参数!$B$47,0)),DY91)</f>
        <v>250</v>
      </c>
      <c r="EA91" s="1">
        <v>0</v>
      </c>
      <c r="EB91" s="1">
        <f t="shared" si="104"/>
        <v>0</v>
      </c>
      <c r="EC91" s="1">
        <f>SUMIFS($EB$3:EB91,$B$3:B91,"&gt;="&amp;MAX(1,B91-2),$B$3:B91,"&lt;="&amp;B91)*Boss参数!$B$51</f>
        <v>18</v>
      </c>
      <c r="ED91" s="1">
        <f>IF(D91="",EG90,IF(AND(DG91&lt;&gt;DG90,DH91&lt;&gt;"洞穿"),MIN(Boss参数!$B$55,EG90+2),EG90))</f>
        <v>0</v>
      </c>
      <c r="EE91" s="1">
        <f t="shared" si="105"/>
        <v>0</v>
      </c>
      <c r="EF91" s="1">
        <f>IF(AND(OR(L91="END_TURN",AND(DH91="敌方",OR(DH90&lt;&gt;"敌方",DG91&lt;&gt;DG90))),SUMIFS($EF$3:EF90,$DG$3:DG90,DG91)=0),MIN(1,MAX(0,ED91-EE91)),0)</f>
        <v>0</v>
      </c>
      <c r="EG91" s="1">
        <f t="shared" si="106"/>
        <v>0</v>
      </c>
      <c r="EH91" s="1">
        <f>Boss参数!$B$53-IF(Y91=1,Boss参数!$B$54,0)</f>
        <v>0</v>
      </c>
      <c r="EI91" s="1">
        <f t="shared" si="107"/>
        <v>0.3</v>
      </c>
      <c r="EJ91" s="1">
        <f t="shared" si="108"/>
        <v>0.3</v>
      </c>
      <c r="EK91" s="1">
        <f t="shared" si="109"/>
        <v>1</v>
      </c>
      <c r="EL91" s="1">
        <f t="shared" si="136"/>
        <v>0</v>
      </c>
      <c r="EM91" s="1">
        <f>IF(AND(DG91&lt;&gt;DG90,DH91="洞穿"),0,IF(L91="ENTER_INSIGHT",Boss参数!$B$57,EO90))</f>
        <v>0</v>
      </c>
      <c r="EN91" s="1">
        <f>IF(AND(Y91=1,H91="洞知",EM91&gt;0),Boss参数!$B$56,0)</f>
        <v>0</v>
      </c>
      <c r="EO91" s="1">
        <f t="shared" si="110"/>
        <v>0</v>
      </c>
      <c r="EP91" s="1">
        <f t="shared" si="137"/>
        <v>14320524</v>
      </c>
      <c r="EQ91" s="1">
        <f>ROUNDDOWN(EP91/Boss参数!$B$62,0)</f>
        <v>143</v>
      </c>
      <c r="ER91" s="1">
        <f>IF(EQ91&gt;=Boss参数!$B$66,Boss参数!$B$69,IF(EQ91&gt;=Boss参数!$B$65,Boss参数!$B$68,IF(EQ91&gt;=Boss参数!$B$64,Boss参数!$B$67,0)))</f>
        <v>0.9</v>
      </c>
      <c r="ES91" s="1">
        <f>MIN(1,IF(EQ91&gt;=Boss参数!$B$66,Boss参数!$B$72+ROUNDDOWN((EQ91-Boss参数!$B$66)/Boss参数!$B$73,0)*Boss参数!$B$74,IF(EQ91&gt;=Boss参数!$B$65,Boss参数!$B$71,IF(EQ91&gt;=Boss参数!$B$64,Boss参数!$B$70,0))))</f>
        <v>0.6</v>
      </c>
      <c r="ET91" s="1">
        <f>MIN(Boss参数!$B$61*Boss参数!$B$62,EP91+IF(AND(Boss参数!$B$60=1,ISNUMBER(验证表!H97)),验证表!H97,EU91))</f>
        <v>14327028</v>
      </c>
      <c r="EU91" s="1">
        <f>IF(D91="",0,IF(验证表!G97="是",BV91,IF(验证表!G97="否",BU91,BW91)))</f>
        <v>6504</v>
      </c>
      <c r="EV91" s="1">
        <f>IF(EQ91&gt;=Boss参数!$B$66,2,IF(EQ91&gt;=Boss参数!$B$65,1,0))</f>
        <v>2</v>
      </c>
      <c r="EW91" s="1">
        <f t="shared" si="111"/>
        <v>3</v>
      </c>
      <c r="EX91" s="1">
        <f>IF(D91="",0,INDEX(回合状态!$D$7:$D$17,MATCH(DG91,回合状态!$A$7:$A$17,0)))</f>
        <v>5</v>
      </c>
      <c r="EY91" s="1">
        <f>IF(OR(L91="RHI_ATTACK",L91="RHI_BUFF"),1,IF(L91="RHI_ULT",Boss参数!$B$52,0))</f>
        <v>0</v>
      </c>
      <c r="EZ91" s="1">
        <f>MIN(6,SUMIFS($EY$3:EY91,$EX$3:EX91,"&gt;="&amp;MAX(1,EX91-Boss参数!$B$87+1),$EX$3:EX91,"&lt;="&amp;EX91))</f>
        <v>6</v>
      </c>
      <c r="FA91" s="1">
        <f t="shared" si="138"/>
        <v>35</v>
      </c>
      <c r="FB91" s="17">
        <f>IF(L91="BOSS_CONSERVATIVE",B91+Boss参数!$B$91,FB90)</f>
        <v>7</v>
      </c>
      <c r="FC91" s="17">
        <f t="shared" si="139"/>
        <v>1</v>
      </c>
      <c r="FD91" s="17">
        <f>IF(D91="",FD90,FD90+IF(AND(DG91&lt;&gt;DG90,INDEX(回合状态!$C$7:$C$17,MATCH(DG91,回合状态!$A$7:$A$17,0))&lt;&gt;"洞穿"),1,0))</f>
        <v>6</v>
      </c>
      <c r="FE91" s="17">
        <f>IF(D91="",0,IF(AND(OR(L91="END_TURN",DH91="敌方"),INDEX(回合状态!$C$7:$C$17,MATCH(DG91,回合状态!$A$7:$A$17,0))&lt;&gt;"洞穿",SUMIFS($FE$3:FE90,$DG$3:DG90,DG91)=0),1,0))</f>
        <v>0</v>
      </c>
    </row>
    <row r="92" spans="1:161" ht="84.95" customHeight="1">
      <c r="A92" s="1">
        <f>行动模拟!A98</f>
        <v>90</v>
      </c>
      <c r="B92" s="1">
        <f>IF(D92="",0,INDEX(回合状态!$B$7:$B$17,MATCH(DG92,回合状态!$A$7:$A$17,0)))</f>
        <v>6</v>
      </c>
      <c r="C92" s="1">
        <f>行动模拟!C98</f>
        <v>1</v>
      </c>
      <c r="D92" s="1" t="str">
        <f>IF(行动模拟!D98="","",行动模拟!D98)</f>
        <v>小瑞安侬｜唱予无忧之诗</v>
      </c>
      <c r="E92" s="1" t="str">
        <f>IF($D92="","",IFERROR(INDEX(技能数据库!$B$4:$B$38,MATCH($D92,技能数据库!$A$4:$A$38,0)),""))</f>
        <v>小瑞安侬</v>
      </c>
      <c r="F92" s="1" t="str">
        <f>IF($D92="","",IFERROR(INDEX(技能数据库!$C$4:$C$38,MATCH($D92,技能数据库!$A$4:$A$38,0)),""))</f>
        <v>唱予无忧之诗</v>
      </c>
      <c r="G92" s="1">
        <f>IF($D92="","",IFERROR(INDEX(技能数据库!$D$4:$D$38,MATCH($D92,技能数据库!$A$4:$A$38,0)),""))</f>
        <v>0</v>
      </c>
      <c r="H92" s="1" t="str">
        <f>IF($D92="","",IFERROR(INDEX(技能数据库!$E$4:$E$38,MATCH($D92,技能数据库!$A$4:$A$38,0)),""))</f>
        <v>仪式</v>
      </c>
      <c r="I92" s="1" t="str">
        <f>IF($D92="","",IFERROR(INDEX(技能数据库!$F$4:$F$38,MATCH($D92,技能数据库!$A$4:$A$38,0)),""))</f>
        <v>无</v>
      </c>
      <c r="J92" s="1">
        <f>IF($D92="","",IFERROR(INDEX(技能数据库!$G$4:$G$38,MATCH($D92,技能数据库!$A$4:$A$38,0)),""))</f>
        <v>0</v>
      </c>
      <c r="K92" s="1">
        <f>IF($D92="","",IFERROR(INDEX(技能数据库!$H$4:$H$38,MATCH($D92,技能数据库!$A$4:$A$38,0)),""))</f>
        <v>0</v>
      </c>
      <c r="L92" s="1" t="str">
        <f>IF($D92="","",IFERROR(INDEX(技能数据库!$I$4:$I$38,MATCH($D92,技能数据库!$A$4:$A$38,0)),""))</f>
        <v>RHI_ULT</v>
      </c>
      <c r="M92" s="1">
        <v>1</v>
      </c>
      <c r="N92" s="1"/>
      <c r="O92" s="1"/>
      <c r="P92" s="1"/>
      <c r="Q92" s="1">
        <f t="shared" si="70"/>
        <v>0</v>
      </c>
      <c r="R92" s="1">
        <v>0</v>
      </c>
      <c r="S92" s="1">
        <v>0</v>
      </c>
      <c r="T92" s="1">
        <f>行动模拟!I98</f>
        <v>0</v>
      </c>
      <c r="U92" s="1">
        <f>IF(FD92&lt;&gt;FD91,IF(BY91=1,IF(MIN(10,CA91+IF(AND(DG92&lt;&gt;DG91,DH91&lt;&gt;"洞穿",SUMIFS($FE$3:FE91,$DG$3:DG91,DG91)=0,BY91=1),3,0))&gt;=10,2,1),IF(BY91=2,IF(BZ91&lt;=1,0,2),0)),BY91)</f>
        <v>2</v>
      </c>
      <c r="V92" s="1">
        <f>IF(FD92&lt;&gt;FD91,IF(BY91=1,IF(MIN(10,CA91+IF(AND(DG92&lt;&gt;DG91,DH91&lt;&gt;"洞穿",SUMIFS($FE$3:FE91,$DG$3:DG91,DG91)=0,BY91=1),3,0))&gt;=10,2,0),IF(BY91=2,MAX(0,BZ91-1),0)),BZ91)</f>
        <v>2</v>
      </c>
      <c r="W92" s="1">
        <f>IF(AND(FD92&lt;&gt;FD91,BY91=2,BZ91&lt;=1),0,MIN(10,CA91+IF(AND(DG92&lt;&gt;DG91,DH91&lt;&gt;"洞穿",SUMIFS($FE$3:FE91,$DG$3:DG91,DG91)=0,BY91=1),3,0)))</f>
        <v>10</v>
      </c>
      <c r="X92" s="1">
        <f t="shared" si="112"/>
        <v>8</v>
      </c>
      <c r="Y92" s="1">
        <f t="shared" si="113"/>
        <v>0</v>
      </c>
      <c r="Z92" s="1">
        <f t="shared" si="114"/>
        <v>0</v>
      </c>
      <c r="AA92" s="1">
        <f t="shared" si="115"/>
        <v>0</v>
      </c>
      <c r="AB92" s="1">
        <f t="shared" si="116"/>
        <v>1</v>
      </c>
      <c r="AC92" s="1">
        <f t="shared" si="117"/>
        <v>0</v>
      </c>
      <c r="AD92" s="1">
        <f t="shared" si="118"/>
        <v>35</v>
      </c>
      <c r="AE92" s="1">
        <f>IF(D92="",0,IF(DG92&lt;&gt;DG91,IFERROR(INDEX(回合状态!$F$7:$F$17,MATCH(DG92,回合状态!$A$7:$A$17,0)),0),CI91))</f>
        <v>11</v>
      </c>
      <c r="AF92" s="1">
        <f t="shared" si="119"/>
        <v>0.875</v>
      </c>
      <c r="AG92" s="1">
        <f t="shared" si="120"/>
        <v>6</v>
      </c>
      <c r="AH92" s="1">
        <f t="shared" si="121"/>
        <v>7</v>
      </c>
      <c r="AI92" s="1">
        <f t="shared" si="122"/>
        <v>6</v>
      </c>
      <c r="AJ92" s="1">
        <f t="shared" si="123"/>
        <v>7</v>
      </c>
      <c r="AK92" s="1">
        <f t="shared" si="124"/>
        <v>6</v>
      </c>
      <c r="AL92" s="1">
        <f t="shared" si="125"/>
        <v>3</v>
      </c>
      <c r="AM92" s="1">
        <f t="shared" si="126"/>
        <v>30</v>
      </c>
      <c r="AN92" s="1">
        <f t="shared" si="127"/>
        <v>6</v>
      </c>
      <c r="AO92" s="1">
        <f t="shared" si="128"/>
        <v>0</v>
      </c>
      <c r="AP92" s="1">
        <f t="shared" si="129"/>
        <v>0.12</v>
      </c>
      <c r="AQ92" s="1">
        <f t="shared" si="130"/>
        <v>6</v>
      </c>
      <c r="AR92" s="1">
        <f t="shared" si="131"/>
        <v>0.3</v>
      </c>
      <c r="AS92" s="1">
        <f t="shared" si="132"/>
        <v>6</v>
      </c>
      <c r="AT92" s="1">
        <f t="shared" si="133"/>
        <v>0.3</v>
      </c>
      <c r="AU92" s="1">
        <f t="shared" si="134"/>
        <v>7</v>
      </c>
      <c r="AV92" s="1">
        <f>MIN(5,SUMIFS($EL$3:EL92,$B$3:B92,"&gt;="&amp;MAX(1,B92-2),$B$3:B92,"&lt;="&amp;B92)+EC92)</f>
        <v>5</v>
      </c>
      <c r="AW92" s="1">
        <f>MIN(6,SUMIFS($EY$3:EY91,$EX$3:EX91,"&gt;="&amp;MAX(1,EX92-Boss参数!$B$87+1),$EX$3:EX91,"&lt;="&amp;EX92))</f>
        <v>6</v>
      </c>
      <c r="AX92" s="1">
        <f>MIN(4,COUNTIFS($B$3:$B$91,"&gt;="&amp;MAX(1,$B92-2),$B$3:$B$91,"&lt;="&amp;$B92,$L$3:$L$91,"37_FOLLOW"))</f>
        <v>4</v>
      </c>
      <c r="AY92" s="1">
        <f>IF($E92="","",IF($E92="系统",0,ROUNDDOWN(INDEX(角色面板!$C$4:$C$7,MATCH($E92,角色面板!$A$4:$A$7,0))*(1+INDEX(角色面板!$C$11:$C$14,MATCH($E92,角色面板!$A$11:$A$14,0))+IF($E92="小瑞安侬",MAX(IF($B92&lt;=$AQ92,$AP92,0),IF(AND($L92="RHI_ATTACK",$EE92&gt;0),0.11+0.01*$G92,0)),0)+IF($E92="J",$AD92*Boss参数!$B$18,0))+IF(FD92&lt;=$AN92,MIN(Boss参数!$B$21,ROUNDDOWN(角色面板!$C$19*Boss参数!$B$20,0)),0)+IF(AND($B92&lt;=$AK92,$E92&lt;&gt;"小瑞安侬"),$DY92,0),0)))</f>
        <v>3298</v>
      </c>
      <c r="AZ92" s="1">
        <f>IF($E92="","",MAX(0,MIN(1,IFERROR(INDEX(角色面板!$G$18:$G$21,MATCH($E92,角色面板!$A$18:$A$21,0)),0)-FC92*Boss参数!$B$89-Boss参数!$E$4)))</f>
        <v>0.55499999999999994</v>
      </c>
      <c r="BA92" s="1">
        <f>IF(E92="","",(IF($E92="","",IF($E92="红弩箭",Boss参数!$B$80,IF($E92="J",Boss参数!$B$81,IFERROR(INDEX(角色面板!$H$18:$H$21,MATCH($E92,角色面板!$A$18:$A$21,0)),0)))+IF($B92&lt;=$AI92,Boss参数!$B$13,0)+MIN(30,$AM92)*Boss参数!$B$17+IF(AND($L92="LILYA_ULT",$X92&gt;=6),1,0)+IF(AND($Y92=1,$L92="LILYA_INSIGHT"),IF(MOD($AA92+1,3)=0,Boss参数!$B$83,Boss参数!$B$82),IF(AND($Y92=1,$L92="LILYA_FINISH"),Boss参数!$B$84,0))))-FC92*Boss参数!$B$90)</f>
        <v>1.83</v>
      </c>
      <c r="BB92" s="1">
        <f>IF($E92="","",IFERROR(INDEX(角色面板!$M$18:$M$21,MATCH($E92,角色面板!$A$18:$A$21,0)),0)+$AW92*Boss参数!$B$12+IF($B92&lt;=$AG92,$AF92,0)+$EI92+IF($L92="LILYA_DIVE",IF($U92=1,IF($G92=1,0.3,IF($G92=2,0.4,0.5)),IF($U92=2,IF($G92=1,0.6,IF($G92=2,0.8,1)),0)),0)+$R92+IF(AND($E92="J",OR($L92="J_COUNTER",$L92="J_HARD")),Boss参数!$B$79,0)+IF(AND(OR(L92="J_COUNTER",L92="J_HARD"),FA92&gt;=Boss参数!$B$59),FA92*Boss参数!$B$40,0))</f>
        <v>1.2949999999999999</v>
      </c>
      <c r="BC92" s="1">
        <f>IF($E92="","",IFERROR(INDEX(角色面板!$K$18:$K$21,MATCH($E92,角色面板!$A$18:$A$21,0)),0)+IF($B92&lt;=$AH92,Boss参数!$B$46,0)+IF($E92="红弩箭",IF($U92=1,0.6,IF($U92=2,1.2,0))+$W92*0.06,0))-DI92*Boss参数!$B$23</f>
        <v>-0.85000000000000009</v>
      </c>
      <c r="BD92" s="1">
        <f>IF($E92="","",IFERROR(INDEX(角色面板!$L$18:$L$21,MATCH($E92,角色面板!$A$18:$A$21,0)),0)+IF($B92&lt;=$AH92,Boss参数!$B$46,0)+IF($E92="J",$AL92*Boss参数!$B$16,0)+IF($E92="红弩箭",$X92*0.025,0)+IF(AND($L92="LILYA_ULT",$X92&gt;=6),1,0))-DI92*Boss参数!$B$23</f>
        <v>-0.45</v>
      </c>
      <c r="BE92" s="1">
        <f>IF($E92="","",IF($H92="洞知",IF($E92="红弩箭",$AO92*Boss参数!$B$15,0)+$AX92*Boss参数!$B$14,0))</f>
        <v>0</v>
      </c>
      <c r="BF92" s="1">
        <f t="shared" si="71"/>
        <v>0</v>
      </c>
      <c r="BG92" s="1">
        <f>IF($D92="",0,IF(AND($L92&lt;&gt;"LILYA_DIVE",$L92&lt;&gt;"LILYA_ULT",$L92&lt;&gt;"LILYA_INSIGHT",$L92&lt;&gt;"LILYA_FINISH",$L92&lt;&gt;"37_FOLLOW",$L92&lt;&gt;"RHI_ATTACK",$L92&lt;&gt;"RHI_BERRY",$L92&lt;&gt;"J_COUNTER",$L92&lt;&gt;"J_ULT"),$J92,0)+IF($L92="LILYA_DIVE",$J92+IF($U92=1,IF($G92=1,6,IF($G92=2,12,18)),IF($U92=2,IF($G92=1,12,IF($G92=2,24,36)),0)),0)+IF($L92="LILYA_ULT",$J92+IF($X92&gt;=6,18,0),0)+IF($L92="LILYA_INSIGHT",IF($Y92=1,IF(MOD($AA92+1,3)=0,32,15),0),0)+IF($L92="LILYA_FINISH",IF($Y92=1,50+2.5*$Z92,0),0)+IF($L92="37_FOLLOW",$J92,0)+IF($L92="RHI_ATTACK",$J92*IF($B92&lt;=$AJ92,2,1),0)+IF($L92="RHI_BERRY",15+1.5*$AV92,0)+IF($L92="J_COUNTER",$J92+$AD92*Boss参数!$B$39,0)+IF($L92="J_ULT",$J92+Boss参数!$B$45*MAX(0,$AE92+$AD92-Boss参数!$I$4),0)+$S92)</f>
        <v>0</v>
      </c>
      <c r="BH92" s="1">
        <f t="shared" si="72"/>
        <v>0</v>
      </c>
      <c r="BI92" s="1">
        <f>IF(E92="","",IF(DT92=1,1+Boss参数!$B$8+AV92*Boss参数!$B$19,1))</f>
        <v>1</v>
      </c>
      <c r="BJ92" s="1">
        <f>IF($I92="现实",Boss参数!$C$4,IF($I92="精神",Boss参数!$D$4,0))</f>
        <v>0</v>
      </c>
      <c r="BK92" s="1">
        <f>IF($E92="","",MAX($AY92*Boss参数!$B$9,$AY92-$BJ92*(1-$BF92)))</f>
        <v>3298</v>
      </c>
      <c r="BL92" s="1">
        <f>MAX(0,Boss参数!$F$4+IF(DT92=0,Boss参数!$B$27,0)-EJ92)</f>
        <v>1.0999999999999999</v>
      </c>
      <c r="BM92" s="1">
        <f>Boss参数!$G$4+DU92-IF(Y92=1,Boss参数!$B$11,0)</f>
        <v>0.7</v>
      </c>
      <c r="BN92" s="1">
        <f>IF($E92="","",MAX(Boss参数!$B$10,1+IFERROR(INDEX(角色面板!$I$18:$I$21,MATCH($E92,角色面板!$A$18:$A$21,0)),0)+$BB92+Boss参数!$H$4-$BM92))</f>
        <v>1.6300000000000001</v>
      </c>
      <c r="BO92" s="1">
        <f>IF(E92="","",IF(OR(L92="J_COUNTER",L92="J_HARD"),MAX(0,1+INDEX(角色面板!$K$18:$K$21,MATCH(E92,角色面板!$A$18:$A$21,0))-DI92*Boss参数!$B$23+IF(OR(Boss参数!$B$43=1,L92="J_HARD"),IF(B92&lt;=AH92,Boss参数!$B$46,0),0)),MAX(0,IF(OR(H92="术法",L92="RHI_BERRY",AND(L92="37_FOLLOW",Boss参数!$B$31=1)),1+BC92,IF(H92="仪式",1+BD92,IF(H92="洞知",EK92,1))))))</f>
        <v>0.55000000000000004</v>
      </c>
      <c r="BP92" s="1">
        <f t="shared" si="73"/>
        <v>1.1000000000000001</v>
      </c>
      <c r="BQ92" s="1">
        <f t="shared" si="74"/>
        <v>0</v>
      </c>
      <c r="BR92" s="1">
        <f t="shared" si="75"/>
        <v>0</v>
      </c>
      <c r="BS92" s="1">
        <f>IF(BH92=0,0,ROUNDDOWN(AY92*BH92,0)*DV92*IF(Boss参数!$B$29=1,BN92,1)*IF(Boss参数!$B$33=1,BO92,1)*IF(Boss参数!$B$76=1,1-ES92,1))</f>
        <v>0</v>
      </c>
      <c r="BT92" s="1">
        <f t="shared" si="76"/>
        <v>0</v>
      </c>
      <c r="BU92" s="1">
        <f>IF(D92="",0,MIN(IF(Boss参数!$B$77=1,Boss参数!$B$63*Boss参数!$B$62,Boss参数!$B$61*Boss参数!$B$62),DW92+ROUNDDOWN(BS92,0)+ROUNDDOWN(DW92*Q92,0)))</f>
        <v>0</v>
      </c>
      <c r="BV92" s="1">
        <f>IF(D92="",0,MIN(IF(Boss参数!$B$77=1,Boss参数!$B$63*Boss参数!$B$62,Boss参数!$B$61*Boss参数!$B$62),DX92+ROUNDDOWN(BT92,0)+ROUNDDOWN(DX92*Q92,0)))</f>
        <v>0</v>
      </c>
      <c r="BW92" s="1">
        <f t="shared" si="77"/>
        <v>0</v>
      </c>
      <c r="BX92" s="1" t="str">
        <f t="shared" si="78"/>
        <v/>
      </c>
      <c r="BY92" s="1">
        <f t="shared" si="79"/>
        <v>2</v>
      </c>
      <c r="BZ92" s="1">
        <f t="shared" si="80"/>
        <v>2</v>
      </c>
      <c r="CA92" s="1">
        <f>MIN(10,W92+IF(AND(L92="LILYA_COBRA",COUNTIF($L$3:L92,"LILYA_COBRA")=1),5,0)+IF(AND(L92="LILYA_DIVE",U92=1,COUNTIFS($DG$3:DG92,DG92,$L$3:L92,"LILYA_DIVE")=1),2,0)+IF(AND(FE92=1,U92=1),3,0))</f>
        <v>10</v>
      </c>
      <c r="CB92" s="1">
        <f>MIN(20,MAX(0,X92+IF(L92="LILYA_COBRA",IF(COUNTIF($L$3:L92,"LILYA_COBRA")=1,6,IF(U92=1,MAX(1,G92),IF(U92=2,2*MAX(1,G92),0))),0)+IF(AND(Y92=1,E92="红弩箭",L92&lt;&gt;"ENTER_INSIGHT"),1,0)-IF(AND(L92="LILYA_ULT",X92&gt;=6),6,0)))</f>
        <v>8</v>
      </c>
      <c r="CC92" s="1">
        <f t="shared" si="81"/>
        <v>0</v>
      </c>
      <c r="CD92" s="1">
        <f t="shared" si="82"/>
        <v>0</v>
      </c>
      <c r="CE92" s="1">
        <f t="shared" si="83"/>
        <v>0</v>
      </c>
      <c r="CF92" s="1">
        <f t="shared" si="84"/>
        <v>2</v>
      </c>
      <c r="CG92" s="1">
        <f t="shared" si="85"/>
        <v>0</v>
      </c>
      <c r="CH92" s="1">
        <f>MIN(35,AD92+IF(L92="J_HARD",6,0)+IF(L92="J_COUNTER",Boss参数!$B$30,0))</f>
        <v>35</v>
      </c>
      <c r="CI92" s="1">
        <f>MIN(Boss参数!$I$4,AE92+IF(L92="J_HARD",6,0)+IF(L92="J_ULT",AD92,0)+IF(L92="J_COUNTER",Boss参数!$B$30,0))</f>
        <v>11</v>
      </c>
      <c r="CJ92" s="1">
        <f>IF(L92="J_ULT",AD92*Boss参数!$B$41,IF(B92&lt;=AG92,AF92,0))</f>
        <v>0.875</v>
      </c>
      <c r="CK92" s="1">
        <f t="shared" si="86"/>
        <v>6</v>
      </c>
      <c r="CL92" s="1">
        <f t="shared" si="87"/>
        <v>7</v>
      </c>
      <c r="CM92" s="1">
        <f t="shared" si="88"/>
        <v>8</v>
      </c>
      <c r="CN92" s="1">
        <f t="shared" si="89"/>
        <v>9</v>
      </c>
      <c r="CO92" s="1">
        <f t="shared" si="90"/>
        <v>8</v>
      </c>
      <c r="CP92" s="1">
        <f t="shared" si="91"/>
        <v>3</v>
      </c>
      <c r="CQ92" s="1">
        <f t="shared" si="92"/>
        <v>30</v>
      </c>
      <c r="CR92" s="1">
        <f t="shared" si="93"/>
        <v>6</v>
      </c>
      <c r="CS92" s="1">
        <f t="shared" si="94"/>
        <v>0</v>
      </c>
      <c r="CT92" s="1">
        <f t="shared" si="95"/>
        <v>0.12</v>
      </c>
      <c r="CU92" s="1">
        <f t="shared" si="96"/>
        <v>6</v>
      </c>
      <c r="CV92" s="1">
        <f t="shared" si="97"/>
        <v>0.3</v>
      </c>
      <c r="CW92" s="1">
        <f t="shared" si="98"/>
        <v>6</v>
      </c>
      <c r="CX92" s="1">
        <f t="shared" si="99"/>
        <v>0.3</v>
      </c>
      <c r="CY92" s="1">
        <f t="shared" si="100"/>
        <v>7</v>
      </c>
      <c r="CZ92" s="1"/>
      <c r="DA92" s="1"/>
      <c r="DB92" s="1"/>
      <c r="DC92" s="1"/>
      <c r="DD92" s="1"/>
      <c r="DE92" s="1"/>
      <c r="DF92" s="1"/>
      <c r="DG92" s="1">
        <f>IF(D92="","",行动模拟!B98)</f>
        <v>6</v>
      </c>
      <c r="DH92" s="1" t="str">
        <f>IF(L92="END_TURN","回合结束",IF(D92="","",IF(INDEX(回合状态!$C$7:$C$17,MATCH(DG92,回合状态!$A$7:$A$17,0))="洞穿","洞穿",IF(OR(L92="J_COUNTER",L92="BOSS_ACTION",L92="BOSS_CONSERVATIVE"),"敌方",IF(AND(L92="37_FOLLOW",DG92=DG91,DH91="敌方"),"敌方",IF(INDEX(回合状态!$C$7:$C$17,MATCH(DG92,回合状态!$A$7:$A$17,0))="普通","出牌",INDEX(回合状态!$C$7:$C$17,MATCH(DG92,回合状态!$A$7:$A$17,0))))))))</f>
        <v>出牌</v>
      </c>
      <c r="DI92" s="1">
        <f t="shared" si="101"/>
        <v>5</v>
      </c>
      <c r="DJ92" s="1">
        <f>IF(D92="",0,MIN(Boss参数!$B$25,IF(OR(AND(DH92="敌方",OR(DH91&lt;&gt;"敌方",DG92&lt;&gt;DG91)),AND(L92="END_TURN",DH92&lt;&gt;"洞穿"),AND(DG92&lt;&gt;DG91,DH91&lt;&gt;"洞穿",L91&lt;&gt;"END_TURN",COUNTIFS($DG$3:DG91,DG91,$DH$3:DH91,"敌方")=0)),EW92,DN91)))</f>
        <v>5</v>
      </c>
      <c r="DK92" s="1">
        <f>IF(D92="",0,MIN(Boss参数!$B$25,IF(OR(AND(DH92="敌方",OR(DH91&lt;&gt;"敌方",DG92&lt;&gt;DG91)),AND(L92="END_TURN",DH92&lt;&gt;"洞穿"),AND(DG92&lt;&gt;DG91,DH91&lt;&gt;"洞穿",L91&lt;&gt;"END_TURN",COUNTIFS($DG$3:DG91,DG91,$DH$3:DH91,"敌方")=0)),EW92,DO91)))</f>
        <v>4</v>
      </c>
      <c r="DL92" s="1">
        <f>IF(D92="",0,MIN(Boss参数!$B$25,IF(OR(AND(DH92="敌方",OR(DH91&lt;&gt;"敌方",DG92&lt;&gt;DG91)),AND(L92="END_TURN",DH92&lt;&gt;"洞穿"),AND(DG92&lt;&gt;DG91,DH91&lt;&gt;"洞穿",L91&lt;&gt;"END_TURN",COUNTIFS($DG$3:DG91,DG91,$DH$3:DH91,"敌方")=0)),EW92,DP91)))</f>
        <v>5</v>
      </c>
      <c r="DM92" s="1">
        <f>IF(D92="",0,MIN(Boss参数!$B$25,IF(OR(AND(DH92="敌方",OR(DH91&lt;&gt;"敌方",DG92&lt;&gt;DG91)),AND(L92="END_TURN",DH92&lt;&gt;"洞穿"),AND(DG92&lt;&gt;DG91,DH91&lt;&gt;"洞穿",L91&lt;&gt;"END_TURN",COUNTIFS($DG$3:DG91,DG91,$DH$3:DH91,"敌方")=0)),EW92,DQ91)))</f>
        <v>0</v>
      </c>
      <c r="DN92" s="1">
        <f>MAX(0,MIN(Boss参数!$B$25,DJ92+DR92)-IF(E92="红弩箭",2*DR92,0))</f>
        <v>5</v>
      </c>
      <c r="DO92" s="1">
        <f>MAX(0,MIN(Boss参数!$B$25,DK92+DR92)-IF(E92="37",2*DR92,0))</f>
        <v>4</v>
      </c>
      <c r="DP92" s="1">
        <f>MAX(0,MIN(Boss参数!$B$25,DL92+DR92)-IF(E92="小瑞安侬",2*DR92,0))</f>
        <v>5</v>
      </c>
      <c r="DQ92" s="1">
        <f>MAX(0,MIN(Boss参数!$B$25,DM92+DR92)-IF(E92="J",2*DR92,0))</f>
        <v>0</v>
      </c>
      <c r="DR92" s="1">
        <f t="shared" si="102"/>
        <v>0</v>
      </c>
      <c r="DS92" s="1">
        <f t="shared" si="103"/>
        <v>0</v>
      </c>
      <c r="DT92" s="1">
        <f>IF(OR(E92="",E92="系统"),0,IF(OR(AND(DS92=1,Boss参数!$B$32=1),L92="RHI_BERRY",OR(AND(INDEX(角色面板!$B$18:$B$21,MATCH(E92,角色面板!$A$18:$A$21,0))="星",Boss参数!$B$4="岩"),AND(INDEX(角色面板!$B$18:$B$21,MATCH(E92,角色面板!$A$18:$A$21,0))="岩",Boss参数!$B$4="兽"),AND(INDEX(角色面板!$B$18:$B$21,MATCH(E92,角色面板!$A$18:$A$21,0))="兽",Boss参数!$B$4="木"),AND(INDEX(角色面板!$B$18:$B$21,MATCH(E92,角色面板!$A$18:$A$21,0))="木",Boss参数!$B$4="星"),AND(INDEX(角色面板!$B$18:$B$21,MATCH(E92,角色面板!$A$18:$A$21,0))="智",Boss参数!$B$4="灵"),AND(INDEX(角色面板!$B$18:$B$21,MATCH(E92,角色面板!$A$18:$A$21,0))="灵",Boss参数!$B$4="智"))),1,0))</f>
        <v>0</v>
      </c>
      <c r="DU92" s="1">
        <f>IF(D92="",0,INDEX(回合状态!$E$7:$E$17,MATCH(DG92,回合状态!$A$7:$A$17,0))+IF(AND(DH92="敌方",OR(INDEX(回合状态!$C$7:$C$17,MATCH(DG92,回合状态!$A$7:$A$17,0))="普通",INDEX(回合状态!$C$7:$C$17,MATCH(DG92,回合状态!$A$7:$A$17,0))="额外")),0.05,0))</f>
        <v>0.3</v>
      </c>
      <c r="DV92" s="1">
        <f>MAX(Boss参数!$B$28,1+IF(AND(E92="37",AC92&gt;0,BH92&gt;0),Boss参数!$B$42,0)-DI92*Boss参数!$B$24+EA92-ER92)</f>
        <v>0</v>
      </c>
      <c r="DW92" s="1">
        <f>MIN(IF(Boss参数!$B$77=1,Boss参数!$B$63*Boss参数!$B$62,Boss参数!$B$61*Boss参数!$B$62),ROUNDDOWN(BQ92*(1-ES92),0))</f>
        <v>0</v>
      </c>
      <c r="DX92" s="1">
        <f>MIN(IF(Boss参数!$B$77=1,Boss参数!$B$63*Boss参数!$B$62,Boss参数!$B$61*Boss参数!$B$62),ROUNDDOWN(BR92*(1-ES92),0))</f>
        <v>0</v>
      </c>
      <c r="DY92" s="1">
        <f t="shared" si="135"/>
        <v>250</v>
      </c>
      <c r="DZ92" s="1">
        <f>IF(L92="RHI_ULT",MIN(Boss参数!$B$48,ROUNDDOWN(AY92*Boss参数!$B$47,0)),DY92)</f>
        <v>250</v>
      </c>
      <c r="EA92" s="1">
        <v>0</v>
      </c>
      <c r="EB92" s="1">
        <f t="shared" si="104"/>
        <v>0</v>
      </c>
      <c r="EC92" s="1">
        <f>SUMIFS($EB$3:EB92,$B$3:B92,"&gt;="&amp;MAX(1,B92-2),$B$3:B92,"&lt;="&amp;B92)*Boss参数!$B$51</f>
        <v>8</v>
      </c>
      <c r="ED92" s="1">
        <f>IF(D92="",EG91,IF(AND(DG92&lt;&gt;DG91,DH92&lt;&gt;"洞穿"),MIN(Boss参数!$B$55,EG91+2),EG91))</f>
        <v>2</v>
      </c>
      <c r="EE92" s="1">
        <f t="shared" si="105"/>
        <v>0</v>
      </c>
      <c r="EF92" s="1">
        <f>IF(AND(OR(L92="END_TURN",AND(DH92="敌方",OR(DH91&lt;&gt;"敌方",DG92&lt;&gt;DG91))),SUMIFS($EF$3:EF91,$DG$3:DG91,DG92)=0),MIN(1,MAX(0,ED92-EE92)),0)</f>
        <v>0</v>
      </c>
      <c r="EG92" s="1">
        <f t="shared" si="106"/>
        <v>2</v>
      </c>
      <c r="EH92" s="1">
        <f>Boss参数!$B$53-IF(Y92=1,Boss参数!$B$54,0)</f>
        <v>0</v>
      </c>
      <c r="EI92" s="1">
        <f t="shared" si="107"/>
        <v>0.3</v>
      </c>
      <c r="EJ92" s="1">
        <f t="shared" si="108"/>
        <v>0.3</v>
      </c>
      <c r="EK92" s="1">
        <f t="shared" si="109"/>
        <v>1</v>
      </c>
      <c r="EL92" s="1">
        <f t="shared" si="136"/>
        <v>1</v>
      </c>
      <c r="EM92" s="1">
        <f>IF(AND(DG92&lt;&gt;DG91,DH92="洞穿"),0,IF(L92="ENTER_INSIGHT",Boss参数!$B$57,EO91))</f>
        <v>0</v>
      </c>
      <c r="EN92" s="1">
        <f>IF(AND(Y92=1,H92="洞知",EM92&gt;0),Boss参数!$B$56,0)</f>
        <v>0</v>
      </c>
      <c r="EO92" s="1">
        <f t="shared" si="110"/>
        <v>0</v>
      </c>
      <c r="EP92" s="1">
        <f t="shared" si="137"/>
        <v>14327028</v>
      </c>
      <c r="EQ92" s="1">
        <f>ROUNDDOWN(EP92/Boss参数!$B$62,0)</f>
        <v>143</v>
      </c>
      <c r="ER92" s="1">
        <f>IF(EQ92&gt;=Boss参数!$B$66,Boss参数!$B$69,IF(EQ92&gt;=Boss参数!$B$65,Boss参数!$B$68,IF(EQ92&gt;=Boss参数!$B$64,Boss参数!$B$67,0)))</f>
        <v>0.9</v>
      </c>
      <c r="ES92" s="1">
        <f>MIN(1,IF(EQ92&gt;=Boss参数!$B$66,Boss参数!$B$72+ROUNDDOWN((EQ92-Boss参数!$B$66)/Boss参数!$B$73,0)*Boss参数!$B$74,IF(EQ92&gt;=Boss参数!$B$65,Boss参数!$B$71,IF(EQ92&gt;=Boss参数!$B$64,Boss参数!$B$70,0))))</f>
        <v>0.6</v>
      </c>
      <c r="ET92" s="1">
        <f>MIN(Boss参数!$B$61*Boss参数!$B$62,EP92+IF(AND(Boss参数!$B$60=1,ISNUMBER(验证表!H98)),验证表!H98,EU92))</f>
        <v>14327028</v>
      </c>
      <c r="EU92" s="1">
        <f>IF(D92="",0,IF(验证表!G98="是",BV92,IF(验证表!G98="否",BU92,BW92)))</f>
        <v>0</v>
      </c>
      <c r="EV92" s="1">
        <f>IF(EQ92&gt;=Boss参数!$B$66,2,IF(EQ92&gt;=Boss参数!$B$65,1,0))</f>
        <v>2</v>
      </c>
      <c r="EW92" s="1">
        <f t="shared" si="111"/>
        <v>3</v>
      </c>
      <c r="EX92" s="1">
        <f>IF(D92="",0,INDEX(回合状态!$D$7:$D$17,MATCH(DG92,回合状态!$A$7:$A$17,0)))</f>
        <v>6</v>
      </c>
      <c r="EY92" s="1">
        <f>IF(OR(L92="RHI_ATTACK",L92="RHI_BUFF"),1,IF(L92="RHI_ULT",Boss参数!$B$52,0))</f>
        <v>1</v>
      </c>
      <c r="EZ92" s="1">
        <f>MIN(6,SUMIFS($EY$3:EY92,$EX$3:EX92,"&gt;="&amp;MAX(1,EX92-Boss参数!$B$87+1),$EX$3:EX92,"&lt;="&amp;EX92))</f>
        <v>6</v>
      </c>
      <c r="FA92" s="1">
        <f t="shared" si="138"/>
        <v>35</v>
      </c>
      <c r="FB92" s="17">
        <f>IF(L92="BOSS_CONSERVATIVE",B92+Boss参数!$B$91,FB91)</f>
        <v>7</v>
      </c>
      <c r="FC92" s="17">
        <f t="shared" si="139"/>
        <v>0</v>
      </c>
      <c r="FD92" s="17">
        <f>IF(D92="",FD91,FD91+IF(AND(DG92&lt;&gt;DG91,INDEX(回合状态!$C$7:$C$17,MATCH(DG92,回合状态!$A$7:$A$17,0))&lt;&gt;"洞穿"),1,0))</f>
        <v>7</v>
      </c>
      <c r="FE92" s="17">
        <f>IF(D92="",0,IF(AND(OR(L92="END_TURN",DH92="敌方"),INDEX(回合状态!$C$7:$C$17,MATCH(DG92,回合状态!$A$7:$A$17,0))&lt;&gt;"洞穿",SUMIFS($FE$3:FE91,$DG$3:DG91,DG92)=0),1,0))</f>
        <v>0</v>
      </c>
    </row>
    <row r="93" spans="1:161" ht="84.95" customHeight="1">
      <c r="A93" s="1">
        <f>行动模拟!A99</f>
        <v>91</v>
      </c>
      <c r="B93" s="1">
        <f>IF(D93="",0,INDEX(回合状态!$B$7:$B$17,MATCH(DG93,回合状态!$A$7:$A$17,0)))</f>
        <v>6</v>
      </c>
      <c r="C93" s="1">
        <f>行动模拟!C99</f>
        <v>2</v>
      </c>
      <c r="D93" s="1" t="str">
        <f>IF(行动模拟!D99="","",行动模拟!D99)</f>
        <v>小瑞安侬｜悄冥冥术阵</v>
      </c>
      <c r="E93" s="1" t="str">
        <f>IF($D93="","",IFERROR(INDEX(技能数据库!$B$4:$B$38,MATCH($D93,技能数据库!$A$4:$A$38,0)),""))</f>
        <v>小瑞安侬</v>
      </c>
      <c r="F93" s="1" t="str">
        <f>IF($D93="","",IFERROR(INDEX(技能数据库!$C$4:$C$38,MATCH($D93,技能数据库!$A$4:$A$38,0)),""))</f>
        <v>悄冥冥术阵</v>
      </c>
      <c r="G93" s="1">
        <f>IF($D93="","",IFERROR(INDEX(技能数据库!$D$4:$D$38,MATCH($D93,技能数据库!$A$4:$A$38,0)),""))</f>
        <v>0</v>
      </c>
      <c r="H93" s="1" t="str">
        <f>IF($D93="","",IFERROR(INDEX(技能数据库!$E$4:$E$38,MATCH($D93,技能数据库!$A$4:$A$38,0)),""))</f>
        <v>增益</v>
      </c>
      <c r="I93" s="1" t="str">
        <f>IF($D93="","",IFERROR(INDEX(技能数据库!$F$4:$F$38,MATCH($D93,技能数据库!$A$4:$A$38,0)),""))</f>
        <v>无</v>
      </c>
      <c r="J93" s="1">
        <f>IF($D93="","",IFERROR(INDEX(技能数据库!$G$4:$G$38,MATCH($D93,技能数据库!$A$4:$A$38,0)),""))</f>
        <v>0</v>
      </c>
      <c r="K93" s="1">
        <f>IF($D93="","",IFERROR(INDEX(技能数据库!$H$4:$H$38,MATCH($D93,技能数据库!$A$4:$A$38,0)),""))</f>
        <v>0</v>
      </c>
      <c r="L93" s="1" t="str">
        <f>IF($D93="","",IFERROR(INDEX(技能数据库!$I$4:$I$38,MATCH($D93,技能数据库!$A$4:$A$38,0)),""))</f>
        <v>RHI_BUFF</v>
      </c>
      <c r="M93" s="1">
        <v>1</v>
      </c>
      <c r="N93" s="1"/>
      <c r="O93" s="1"/>
      <c r="P93" s="1"/>
      <c r="Q93" s="1">
        <f t="shared" si="70"/>
        <v>0</v>
      </c>
      <c r="R93" s="1">
        <v>0</v>
      </c>
      <c r="S93" s="1">
        <v>0</v>
      </c>
      <c r="T93" s="1">
        <f>行动模拟!I99</f>
        <v>0</v>
      </c>
      <c r="U93" s="1">
        <f>IF(FD93&lt;&gt;FD92,IF(BY92=1,IF(MIN(10,CA92+IF(AND(DG93&lt;&gt;DG92,DH92&lt;&gt;"洞穿",SUMIFS($FE$3:FE92,$DG$3:DG92,DG92)=0,BY92=1),3,0))&gt;=10,2,1),IF(BY92=2,IF(BZ92&lt;=1,0,2),0)),BY92)</f>
        <v>2</v>
      </c>
      <c r="V93" s="1">
        <f>IF(FD93&lt;&gt;FD92,IF(BY92=1,IF(MIN(10,CA92+IF(AND(DG93&lt;&gt;DG92,DH92&lt;&gt;"洞穿",SUMIFS($FE$3:FE92,$DG$3:DG92,DG92)=0,BY92=1),3,0))&gt;=10,2,0),IF(BY92=2,MAX(0,BZ92-1),0)),BZ92)</f>
        <v>2</v>
      </c>
      <c r="W93" s="1">
        <f>IF(AND(FD93&lt;&gt;FD92,BY92=2,BZ92&lt;=1),0,MIN(10,CA92+IF(AND(DG93&lt;&gt;DG92,DH92&lt;&gt;"洞穿",SUMIFS($FE$3:FE92,$DG$3:DG92,DG92)=0,BY92=1),3,0)))</f>
        <v>10</v>
      </c>
      <c r="X93" s="1">
        <f t="shared" si="112"/>
        <v>8</v>
      </c>
      <c r="Y93" s="1">
        <f t="shared" si="113"/>
        <v>0</v>
      </c>
      <c r="Z93" s="1">
        <f t="shared" si="114"/>
        <v>0</v>
      </c>
      <c r="AA93" s="1">
        <f t="shared" si="115"/>
        <v>0</v>
      </c>
      <c r="AB93" s="1">
        <f t="shared" si="116"/>
        <v>2</v>
      </c>
      <c r="AC93" s="1">
        <f t="shared" si="117"/>
        <v>0</v>
      </c>
      <c r="AD93" s="1">
        <f t="shared" si="118"/>
        <v>35</v>
      </c>
      <c r="AE93" s="1">
        <f>IF(D93="",0,IF(DG93&lt;&gt;DG92,IFERROR(INDEX(回合状态!$F$7:$F$17,MATCH(DG93,回合状态!$A$7:$A$17,0)),0),CI92))</f>
        <v>11</v>
      </c>
      <c r="AF93" s="1">
        <f t="shared" si="119"/>
        <v>0.875</v>
      </c>
      <c r="AG93" s="1">
        <f t="shared" si="120"/>
        <v>6</v>
      </c>
      <c r="AH93" s="1">
        <f t="shared" si="121"/>
        <v>7</v>
      </c>
      <c r="AI93" s="1">
        <f t="shared" si="122"/>
        <v>8</v>
      </c>
      <c r="AJ93" s="1">
        <f t="shared" si="123"/>
        <v>9</v>
      </c>
      <c r="AK93" s="1">
        <f t="shared" si="124"/>
        <v>8</v>
      </c>
      <c r="AL93" s="1">
        <f t="shared" si="125"/>
        <v>3</v>
      </c>
      <c r="AM93" s="1">
        <f t="shared" si="126"/>
        <v>30</v>
      </c>
      <c r="AN93" s="1">
        <f t="shared" si="127"/>
        <v>6</v>
      </c>
      <c r="AO93" s="1">
        <f t="shared" si="128"/>
        <v>0</v>
      </c>
      <c r="AP93" s="1">
        <f t="shared" si="129"/>
        <v>0.12</v>
      </c>
      <c r="AQ93" s="1">
        <f t="shared" si="130"/>
        <v>6</v>
      </c>
      <c r="AR93" s="1">
        <f t="shared" si="131"/>
        <v>0.3</v>
      </c>
      <c r="AS93" s="1">
        <f t="shared" si="132"/>
        <v>6</v>
      </c>
      <c r="AT93" s="1">
        <f t="shared" si="133"/>
        <v>0.3</v>
      </c>
      <c r="AU93" s="1">
        <f t="shared" si="134"/>
        <v>7</v>
      </c>
      <c r="AV93" s="1">
        <f>MIN(5,SUMIFS($EL$3:EL93,$B$3:B93,"&gt;="&amp;MAX(1,B93-2),$B$3:B93,"&lt;="&amp;B93)+EC93)</f>
        <v>5</v>
      </c>
      <c r="AW93" s="1">
        <f>MIN(6,SUMIFS($EY$3:EY92,$EX$3:EX92,"&gt;="&amp;MAX(1,EX93-Boss参数!$B$87+1),$EX$3:EX92,"&lt;="&amp;EX93))</f>
        <v>6</v>
      </c>
      <c r="AX93" s="1">
        <f>MIN(4,COUNTIFS($B$3:$B$92,"&gt;="&amp;MAX(1,$B93-2),$B$3:$B$92,"&lt;="&amp;$B93,$L$3:$L$92,"37_FOLLOW"))</f>
        <v>4</v>
      </c>
      <c r="AY93" s="1">
        <f>IF($E93="","",IF($E93="系统",0,ROUNDDOWN(INDEX(角色面板!$C$4:$C$7,MATCH($E93,角色面板!$A$4:$A$7,0))*(1+INDEX(角色面板!$C$11:$C$14,MATCH($E93,角色面板!$A$11:$A$14,0))+IF($E93="小瑞安侬",MAX(IF($B93&lt;=$AQ93,$AP93,0),IF(AND($L93="RHI_ATTACK",$EE93&gt;0),0.11+0.01*$G93,0)),0)+IF($E93="J",$AD93*Boss参数!$B$18,0))+IF(FD93&lt;=$AN93,MIN(Boss参数!$B$21,ROUNDDOWN(角色面板!$C$19*Boss参数!$B$20,0)),0)+IF(AND($B93&lt;=$AK93,$E93&lt;&gt;"小瑞安侬"),$DY93,0),0)))</f>
        <v>3298</v>
      </c>
      <c r="AZ93" s="1">
        <f>IF($E93="","",MAX(0,MIN(1,IFERROR(INDEX(角色面板!$G$18:$G$21,MATCH($E93,角色面板!$A$18:$A$21,0)),0)-FC93*Boss参数!$B$89-Boss参数!$E$4)))</f>
        <v>0.55499999999999994</v>
      </c>
      <c r="BA93" s="1">
        <f>IF(E93="","",(IF($E93="","",IF($E93="红弩箭",Boss参数!$B$80,IF($E93="J",Boss参数!$B$81,IFERROR(INDEX(角色面板!$H$18:$H$21,MATCH($E93,角色面板!$A$18:$A$21,0)),0)))+IF($B93&lt;=$AI93,Boss参数!$B$13,0)+MIN(30,$AM93)*Boss参数!$B$17+IF(AND($L93="LILYA_ULT",$X93&gt;=6),1,0)+IF(AND($Y93=1,$L93="LILYA_INSIGHT"),IF(MOD($AA93+1,3)=0,Boss参数!$B$83,Boss参数!$B$82),IF(AND($Y93=1,$L93="LILYA_FINISH"),Boss参数!$B$84,0))))-FC93*Boss参数!$B$90)</f>
        <v>1.83</v>
      </c>
      <c r="BB93" s="1">
        <f>IF($E93="","",IFERROR(INDEX(角色面板!$M$18:$M$21,MATCH($E93,角色面板!$A$18:$A$21,0)),0)+$AW93*Boss参数!$B$12+IF($B93&lt;=$AG93,$AF93,0)+$EI93+IF($L93="LILYA_DIVE",IF($U93=1,IF($G93=1,0.3,IF($G93=2,0.4,0.5)),IF($U93=2,IF($G93=1,0.6,IF($G93=2,0.8,1)),0)),0)+$R93+IF(AND($E93="J",OR($L93="J_COUNTER",$L93="J_HARD")),Boss参数!$B$79,0)+IF(AND(OR(L93="J_COUNTER",L93="J_HARD"),FA93&gt;=Boss参数!$B$59),FA93*Boss参数!$B$40,0))</f>
        <v>1.2949999999999999</v>
      </c>
      <c r="BC93" s="1">
        <f>IF($E93="","",IFERROR(INDEX(角色面板!$K$18:$K$21,MATCH($E93,角色面板!$A$18:$A$21,0)),0)+IF($B93&lt;=$AH93,Boss参数!$B$46,0)+IF($E93="红弩箭",IF($U93=1,0.6,IF($U93=2,1.2,0))+$W93*0.06,0))-DI93*Boss参数!$B$23</f>
        <v>-0.85000000000000009</v>
      </c>
      <c r="BD93" s="1">
        <f>IF($E93="","",IFERROR(INDEX(角色面板!$L$18:$L$21,MATCH($E93,角色面板!$A$18:$A$21,0)),0)+IF($B93&lt;=$AH93,Boss参数!$B$46,0)+IF($E93="J",$AL93*Boss参数!$B$16,0)+IF($E93="红弩箭",$X93*0.025,0)+IF(AND($L93="LILYA_ULT",$X93&gt;=6),1,0))-DI93*Boss参数!$B$23</f>
        <v>-0.45</v>
      </c>
      <c r="BE93" s="1">
        <f>IF($E93="","",IF($H93="洞知",IF($E93="红弩箭",$AO93*Boss参数!$B$15,0)+$AX93*Boss参数!$B$14,0))</f>
        <v>0</v>
      </c>
      <c r="BF93" s="1">
        <f t="shared" si="71"/>
        <v>0</v>
      </c>
      <c r="BG93" s="1">
        <f>IF($D93="",0,IF(AND($L93&lt;&gt;"LILYA_DIVE",$L93&lt;&gt;"LILYA_ULT",$L93&lt;&gt;"LILYA_INSIGHT",$L93&lt;&gt;"LILYA_FINISH",$L93&lt;&gt;"37_FOLLOW",$L93&lt;&gt;"RHI_ATTACK",$L93&lt;&gt;"RHI_BERRY",$L93&lt;&gt;"J_COUNTER",$L93&lt;&gt;"J_ULT"),$J93,0)+IF($L93="LILYA_DIVE",$J93+IF($U93=1,IF($G93=1,6,IF($G93=2,12,18)),IF($U93=2,IF($G93=1,12,IF($G93=2,24,36)),0)),0)+IF($L93="LILYA_ULT",$J93+IF($X93&gt;=6,18,0),0)+IF($L93="LILYA_INSIGHT",IF($Y93=1,IF(MOD($AA93+1,3)=0,32,15),0),0)+IF($L93="LILYA_FINISH",IF($Y93=1,50+2.5*$Z93,0),0)+IF($L93="37_FOLLOW",$J93,0)+IF($L93="RHI_ATTACK",$J93*IF($B93&lt;=$AJ93,2,1),0)+IF($L93="RHI_BERRY",15+1.5*$AV93,0)+IF($L93="J_COUNTER",$J93+$AD93*Boss参数!$B$39,0)+IF($L93="J_ULT",$J93+Boss参数!$B$45*MAX(0,$AE93+$AD93-Boss参数!$I$4),0)+$S93)</f>
        <v>0</v>
      </c>
      <c r="BH93" s="1">
        <f t="shared" si="72"/>
        <v>0</v>
      </c>
      <c r="BI93" s="1">
        <f>IF(E93="","",IF(DT93=1,1+Boss参数!$B$8+AV93*Boss参数!$B$19,1))</f>
        <v>1</v>
      </c>
      <c r="BJ93" s="1">
        <f>IF($I93="现实",Boss参数!$C$4,IF($I93="精神",Boss参数!$D$4,0))</f>
        <v>0</v>
      </c>
      <c r="BK93" s="1">
        <f>IF($E93="","",MAX($AY93*Boss参数!$B$9,$AY93-$BJ93*(1-$BF93)))</f>
        <v>3298</v>
      </c>
      <c r="BL93" s="1">
        <f>MAX(0,Boss参数!$F$4+IF(DT93=0,Boss参数!$B$27,0)-EJ93)</f>
        <v>1.0999999999999999</v>
      </c>
      <c r="BM93" s="1">
        <f>Boss参数!$G$4+DU93-IF(Y93=1,Boss参数!$B$11,0)</f>
        <v>0.7</v>
      </c>
      <c r="BN93" s="1">
        <f>IF($E93="","",MAX(Boss参数!$B$10,1+IFERROR(INDEX(角色面板!$I$18:$I$21,MATCH($E93,角色面板!$A$18:$A$21,0)),0)+$BB93+Boss参数!$H$4-$BM93))</f>
        <v>1.6300000000000001</v>
      </c>
      <c r="BO93" s="1">
        <f>IF(E93="","",IF(OR(L93="J_COUNTER",L93="J_HARD"),MAX(0,1+INDEX(角色面板!$K$18:$K$21,MATCH(E93,角色面板!$A$18:$A$21,0))-DI93*Boss参数!$B$23+IF(OR(Boss参数!$B$43=1,L93="J_HARD"),IF(B93&lt;=AH93,Boss参数!$B$46,0),0)),MAX(0,IF(OR(H93="术法",L93="RHI_BERRY",AND(L93="37_FOLLOW",Boss参数!$B$31=1)),1+BC93,IF(H93="仪式",1+BD93,IF(H93="洞知",EK93,1))))))</f>
        <v>1</v>
      </c>
      <c r="BP93" s="1">
        <f t="shared" si="73"/>
        <v>1.1000000000000001</v>
      </c>
      <c r="BQ93" s="1">
        <f t="shared" si="74"/>
        <v>0</v>
      </c>
      <c r="BR93" s="1">
        <f t="shared" si="75"/>
        <v>0</v>
      </c>
      <c r="BS93" s="1">
        <f>IF(BH93=0,0,ROUNDDOWN(AY93*BH93,0)*DV93*IF(Boss参数!$B$29=1,BN93,1)*IF(Boss参数!$B$33=1,BO93,1)*IF(Boss参数!$B$76=1,1-ES93,1))</f>
        <v>0</v>
      </c>
      <c r="BT93" s="1">
        <f t="shared" si="76"/>
        <v>0</v>
      </c>
      <c r="BU93" s="1">
        <f>IF(D93="",0,MIN(IF(Boss参数!$B$77=1,Boss参数!$B$63*Boss参数!$B$62,Boss参数!$B$61*Boss参数!$B$62),DW93+ROUNDDOWN(BS93,0)+ROUNDDOWN(DW93*Q93,0)))</f>
        <v>0</v>
      </c>
      <c r="BV93" s="1">
        <f>IF(D93="",0,MIN(IF(Boss参数!$B$77=1,Boss参数!$B$63*Boss参数!$B$62,Boss参数!$B$61*Boss参数!$B$62),DX93+ROUNDDOWN(BT93,0)+ROUNDDOWN(DX93*Q93,0)))</f>
        <v>0</v>
      </c>
      <c r="BW93" s="1">
        <f t="shared" si="77"/>
        <v>0</v>
      </c>
      <c r="BX93" s="1" t="str">
        <f t="shared" si="78"/>
        <v/>
      </c>
      <c r="BY93" s="1">
        <f t="shared" si="79"/>
        <v>2</v>
      </c>
      <c r="BZ93" s="1">
        <f t="shared" si="80"/>
        <v>2</v>
      </c>
      <c r="CA93" s="1">
        <f>MIN(10,W93+IF(AND(L93="LILYA_COBRA",COUNTIF($L$3:L93,"LILYA_COBRA")=1),5,0)+IF(AND(L93="LILYA_DIVE",U93=1,COUNTIFS($DG$3:DG93,DG93,$L$3:L93,"LILYA_DIVE")=1),2,0)+IF(AND(FE93=1,U93=1),3,0))</f>
        <v>10</v>
      </c>
      <c r="CB93" s="1">
        <f>MIN(20,MAX(0,X93+IF(L93="LILYA_COBRA",IF(COUNTIF($L$3:L93,"LILYA_COBRA")=1,6,IF(U93=1,MAX(1,G93),IF(U93=2,2*MAX(1,G93),0))),0)+IF(AND(Y93=1,E93="红弩箭",L93&lt;&gt;"ENTER_INSIGHT"),1,0)-IF(AND(L93="LILYA_ULT",X93&gt;=6),6,0)))</f>
        <v>8</v>
      </c>
      <c r="CC93" s="1">
        <f t="shared" si="81"/>
        <v>0</v>
      </c>
      <c r="CD93" s="1">
        <f t="shared" si="82"/>
        <v>0</v>
      </c>
      <c r="CE93" s="1">
        <f t="shared" si="83"/>
        <v>0</v>
      </c>
      <c r="CF93" s="1">
        <f t="shared" si="84"/>
        <v>3</v>
      </c>
      <c r="CG93" s="1">
        <f t="shared" si="85"/>
        <v>0</v>
      </c>
      <c r="CH93" s="1">
        <f>MIN(35,AD93+IF(L93="J_HARD",6,0)+IF(L93="J_COUNTER",Boss参数!$B$30,0))</f>
        <v>35</v>
      </c>
      <c r="CI93" s="1">
        <f>MIN(Boss参数!$I$4,AE93+IF(L93="J_HARD",6,0)+IF(L93="J_ULT",AD93,0)+IF(L93="J_COUNTER",Boss参数!$B$30,0))</f>
        <v>11</v>
      </c>
      <c r="CJ93" s="1">
        <f>IF(L93="J_ULT",AD93*Boss参数!$B$41,IF(B93&lt;=AG93,AF93,0))</f>
        <v>0.875</v>
      </c>
      <c r="CK93" s="1">
        <f t="shared" si="86"/>
        <v>6</v>
      </c>
      <c r="CL93" s="1">
        <f t="shared" si="87"/>
        <v>8</v>
      </c>
      <c r="CM93" s="1">
        <f t="shared" si="88"/>
        <v>8</v>
      </c>
      <c r="CN93" s="1">
        <f t="shared" si="89"/>
        <v>9</v>
      </c>
      <c r="CO93" s="1">
        <f t="shared" si="90"/>
        <v>8</v>
      </c>
      <c r="CP93" s="1">
        <f t="shared" si="91"/>
        <v>3</v>
      </c>
      <c r="CQ93" s="1">
        <f t="shared" si="92"/>
        <v>30</v>
      </c>
      <c r="CR93" s="1">
        <f t="shared" si="93"/>
        <v>6</v>
      </c>
      <c r="CS93" s="1">
        <f t="shared" si="94"/>
        <v>0</v>
      </c>
      <c r="CT93" s="1">
        <f t="shared" si="95"/>
        <v>0.12</v>
      </c>
      <c r="CU93" s="1">
        <f t="shared" si="96"/>
        <v>6</v>
      </c>
      <c r="CV93" s="1">
        <f t="shared" si="97"/>
        <v>0.3</v>
      </c>
      <c r="CW93" s="1">
        <f t="shared" si="98"/>
        <v>6</v>
      </c>
      <c r="CX93" s="1">
        <f t="shared" si="99"/>
        <v>0.3</v>
      </c>
      <c r="CY93" s="1">
        <f t="shared" si="100"/>
        <v>8</v>
      </c>
      <c r="CZ93" s="1"/>
      <c r="DA93" s="1"/>
      <c r="DB93" s="1"/>
      <c r="DC93" s="1"/>
      <c r="DD93" s="1"/>
      <c r="DE93" s="1"/>
      <c r="DF93" s="1"/>
      <c r="DG93" s="1">
        <f>IF(D93="","",行动模拟!B99)</f>
        <v>6</v>
      </c>
      <c r="DH93" s="1" t="str">
        <f>IF(L93="END_TURN","回合结束",IF(D93="","",IF(INDEX(回合状态!$C$7:$C$17,MATCH(DG93,回合状态!$A$7:$A$17,0))="洞穿","洞穿",IF(OR(L93="J_COUNTER",L93="BOSS_ACTION",L93="BOSS_CONSERVATIVE"),"敌方",IF(AND(L93="37_FOLLOW",DG93=DG92,DH92="敌方"),"敌方",IF(INDEX(回合状态!$C$7:$C$17,MATCH(DG93,回合状态!$A$7:$A$17,0))="普通","出牌",INDEX(回合状态!$C$7:$C$17,MATCH(DG93,回合状态!$A$7:$A$17,0))))))))</f>
        <v>出牌</v>
      </c>
      <c r="DI93" s="1">
        <f t="shared" si="101"/>
        <v>5</v>
      </c>
      <c r="DJ93" s="1">
        <f>IF(D93="",0,MIN(Boss参数!$B$25,IF(OR(AND(DH93="敌方",OR(DH92&lt;&gt;"敌方",DG93&lt;&gt;DG92)),AND(L93="END_TURN",DH93&lt;&gt;"洞穿"),AND(DG93&lt;&gt;DG92,DH92&lt;&gt;"洞穿",L92&lt;&gt;"END_TURN",COUNTIFS($DG$3:DG92,DG92,$DH$3:DH92,"敌方")=0)),EW93,DN92)))</f>
        <v>5</v>
      </c>
      <c r="DK93" s="1">
        <f>IF(D93="",0,MIN(Boss参数!$B$25,IF(OR(AND(DH93="敌方",OR(DH92&lt;&gt;"敌方",DG93&lt;&gt;DG92)),AND(L93="END_TURN",DH93&lt;&gt;"洞穿"),AND(DG93&lt;&gt;DG92,DH92&lt;&gt;"洞穿",L92&lt;&gt;"END_TURN",COUNTIFS($DG$3:DG92,DG92,$DH$3:DH92,"敌方")=0)),EW93,DO92)))</f>
        <v>4</v>
      </c>
      <c r="DL93" s="1">
        <f>IF(D93="",0,MIN(Boss参数!$B$25,IF(OR(AND(DH93="敌方",OR(DH92&lt;&gt;"敌方",DG93&lt;&gt;DG92)),AND(L93="END_TURN",DH93&lt;&gt;"洞穿"),AND(DG93&lt;&gt;DG92,DH92&lt;&gt;"洞穿",L92&lt;&gt;"END_TURN",COUNTIFS($DG$3:DG92,DG92,$DH$3:DH92,"敌方")=0)),EW93,DP92)))</f>
        <v>5</v>
      </c>
      <c r="DM93" s="1">
        <f>IF(D93="",0,MIN(Boss参数!$B$25,IF(OR(AND(DH93="敌方",OR(DH92&lt;&gt;"敌方",DG93&lt;&gt;DG92)),AND(L93="END_TURN",DH93&lt;&gt;"洞穿"),AND(DG93&lt;&gt;DG92,DH92&lt;&gt;"洞穿",L92&lt;&gt;"END_TURN",COUNTIFS($DG$3:DG92,DG92,$DH$3:DH92,"敌方")=0)),EW93,DQ92)))</f>
        <v>0</v>
      </c>
      <c r="DN93" s="1">
        <f>MAX(0,MIN(Boss参数!$B$25,DJ93+DR93)-IF(E93="红弩箭",2*DR93,0))</f>
        <v>5</v>
      </c>
      <c r="DO93" s="1">
        <f>MAX(0,MIN(Boss参数!$B$25,DK93+DR93)-IF(E93="37",2*DR93,0))</f>
        <v>4</v>
      </c>
      <c r="DP93" s="1">
        <f>MAX(0,MIN(Boss参数!$B$25,DL93+DR93)-IF(E93="小瑞安侬",2*DR93,0))</f>
        <v>5</v>
      </c>
      <c r="DQ93" s="1">
        <f>MAX(0,MIN(Boss参数!$B$25,DM93+DR93)-IF(E93="J",2*DR93,0))</f>
        <v>0</v>
      </c>
      <c r="DR93" s="1">
        <f t="shared" si="102"/>
        <v>0</v>
      </c>
      <c r="DS93" s="1">
        <f t="shared" si="103"/>
        <v>0</v>
      </c>
      <c r="DT93" s="1">
        <f>IF(OR(E93="",E93="系统"),0,IF(OR(AND(DS93=1,Boss参数!$B$32=1),L93="RHI_BERRY",OR(AND(INDEX(角色面板!$B$18:$B$21,MATCH(E93,角色面板!$A$18:$A$21,0))="星",Boss参数!$B$4="岩"),AND(INDEX(角色面板!$B$18:$B$21,MATCH(E93,角色面板!$A$18:$A$21,0))="岩",Boss参数!$B$4="兽"),AND(INDEX(角色面板!$B$18:$B$21,MATCH(E93,角色面板!$A$18:$A$21,0))="兽",Boss参数!$B$4="木"),AND(INDEX(角色面板!$B$18:$B$21,MATCH(E93,角色面板!$A$18:$A$21,0))="木",Boss参数!$B$4="星"),AND(INDEX(角色面板!$B$18:$B$21,MATCH(E93,角色面板!$A$18:$A$21,0))="智",Boss参数!$B$4="灵"),AND(INDEX(角色面板!$B$18:$B$21,MATCH(E93,角色面板!$A$18:$A$21,0))="灵",Boss参数!$B$4="智"))),1,0))</f>
        <v>0</v>
      </c>
      <c r="DU93" s="1">
        <f>IF(D93="",0,INDEX(回合状态!$E$7:$E$17,MATCH(DG93,回合状态!$A$7:$A$17,0))+IF(AND(DH93="敌方",OR(INDEX(回合状态!$C$7:$C$17,MATCH(DG93,回合状态!$A$7:$A$17,0))="普通",INDEX(回合状态!$C$7:$C$17,MATCH(DG93,回合状态!$A$7:$A$17,0))="额外")),0.05,0))</f>
        <v>0.3</v>
      </c>
      <c r="DV93" s="1">
        <f>MAX(Boss参数!$B$28,1+IF(AND(E93="37",AC93&gt;0,BH93&gt;0),Boss参数!$B$42,0)-DI93*Boss参数!$B$24+EA93-ER93)</f>
        <v>0</v>
      </c>
      <c r="DW93" s="1">
        <f>MIN(IF(Boss参数!$B$77=1,Boss参数!$B$63*Boss参数!$B$62,Boss参数!$B$61*Boss参数!$B$62),ROUNDDOWN(BQ93*(1-ES93),0))</f>
        <v>0</v>
      </c>
      <c r="DX93" s="1">
        <f>MIN(IF(Boss参数!$B$77=1,Boss参数!$B$63*Boss参数!$B$62,Boss参数!$B$61*Boss参数!$B$62),ROUNDDOWN(BR93*(1-ES93),0))</f>
        <v>0</v>
      </c>
      <c r="DY93" s="1">
        <f t="shared" si="135"/>
        <v>250</v>
      </c>
      <c r="DZ93" s="1">
        <f>IF(L93="RHI_ULT",MIN(Boss参数!$B$48,ROUNDDOWN(AY93*Boss参数!$B$47,0)),DY93)</f>
        <v>250</v>
      </c>
      <c r="EA93" s="1">
        <v>0</v>
      </c>
      <c r="EB93" s="1">
        <f t="shared" si="104"/>
        <v>1</v>
      </c>
      <c r="EC93" s="1">
        <f>SUMIFS($EB$3:EB93,$B$3:B93,"&gt;="&amp;MAX(1,B93-2),$B$3:B93,"&lt;="&amp;B93)*Boss参数!$B$51</f>
        <v>10</v>
      </c>
      <c r="ED93" s="1">
        <f>IF(D93="",EG92,IF(AND(DG93&lt;&gt;DG92,DH93&lt;&gt;"洞穿"),MIN(Boss参数!$B$55,EG92+2),EG92))</f>
        <v>2</v>
      </c>
      <c r="EE93" s="1">
        <f t="shared" si="105"/>
        <v>1</v>
      </c>
      <c r="EF93" s="1">
        <f>IF(AND(OR(L93="END_TURN",AND(DH93="敌方",OR(DH92&lt;&gt;"敌方",DG93&lt;&gt;DG92))),SUMIFS($EF$3:EF92,$DG$3:DG92,DG93)=0),MIN(1,MAX(0,ED93-EE93)),0)</f>
        <v>0</v>
      </c>
      <c r="EG93" s="1">
        <f t="shared" si="106"/>
        <v>1</v>
      </c>
      <c r="EH93" s="1">
        <f>Boss参数!$B$53-IF(Y93=1,Boss参数!$B$54,0)</f>
        <v>0</v>
      </c>
      <c r="EI93" s="1">
        <f t="shared" si="107"/>
        <v>0.3</v>
      </c>
      <c r="EJ93" s="1">
        <f t="shared" si="108"/>
        <v>0.3</v>
      </c>
      <c r="EK93" s="1">
        <f t="shared" si="109"/>
        <v>1</v>
      </c>
      <c r="EL93" s="1">
        <f t="shared" si="136"/>
        <v>0</v>
      </c>
      <c r="EM93" s="1">
        <f>IF(AND(DG93&lt;&gt;DG92,DH93="洞穿"),0,IF(L93="ENTER_INSIGHT",Boss参数!$B$57,EO92))</f>
        <v>0</v>
      </c>
      <c r="EN93" s="1">
        <f>IF(AND(Y93=1,H93="洞知",EM93&gt;0),Boss参数!$B$56,0)</f>
        <v>0</v>
      </c>
      <c r="EO93" s="1">
        <f t="shared" si="110"/>
        <v>0</v>
      </c>
      <c r="EP93" s="1">
        <f t="shared" si="137"/>
        <v>14327028</v>
      </c>
      <c r="EQ93" s="1">
        <f>ROUNDDOWN(EP93/Boss参数!$B$62,0)</f>
        <v>143</v>
      </c>
      <c r="ER93" s="1">
        <f>IF(EQ93&gt;=Boss参数!$B$66,Boss参数!$B$69,IF(EQ93&gt;=Boss参数!$B$65,Boss参数!$B$68,IF(EQ93&gt;=Boss参数!$B$64,Boss参数!$B$67,0)))</f>
        <v>0.9</v>
      </c>
      <c r="ES93" s="1">
        <f>MIN(1,IF(EQ93&gt;=Boss参数!$B$66,Boss参数!$B$72+ROUNDDOWN((EQ93-Boss参数!$B$66)/Boss参数!$B$73,0)*Boss参数!$B$74,IF(EQ93&gt;=Boss参数!$B$65,Boss参数!$B$71,IF(EQ93&gt;=Boss参数!$B$64,Boss参数!$B$70,0))))</f>
        <v>0.6</v>
      </c>
      <c r="ET93" s="1">
        <f>MIN(Boss参数!$B$61*Boss参数!$B$62,EP93+IF(AND(Boss参数!$B$60=1,ISNUMBER(验证表!H99)),验证表!H99,EU93))</f>
        <v>14327028</v>
      </c>
      <c r="EU93" s="1">
        <f>IF(D93="",0,IF(验证表!G99="是",BV93,IF(验证表!G99="否",BU93,BW93)))</f>
        <v>0</v>
      </c>
      <c r="EV93" s="1">
        <f>IF(EQ93&gt;=Boss参数!$B$66,2,IF(EQ93&gt;=Boss参数!$B$65,1,0))</f>
        <v>2</v>
      </c>
      <c r="EW93" s="1">
        <f t="shared" si="111"/>
        <v>3</v>
      </c>
      <c r="EX93" s="1">
        <f>IF(D93="",0,INDEX(回合状态!$D$7:$D$17,MATCH(DG93,回合状态!$A$7:$A$17,0)))</f>
        <v>6</v>
      </c>
      <c r="EY93" s="1">
        <f>IF(OR(L93="RHI_ATTACK",L93="RHI_BUFF"),1,IF(L93="RHI_ULT",Boss参数!$B$52,0))</f>
        <v>1</v>
      </c>
      <c r="EZ93" s="1">
        <f>MIN(6,SUMIFS($EY$3:EY93,$EX$3:EX93,"&gt;="&amp;MAX(1,EX93-Boss参数!$B$87+1),$EX$3:EX93,"&lt;="&amp;EX93))</f>
        <v>6</v>
      </c>
      <c r="FA93" s="1">
        <f t="shared" si="138"/>
        <v>35</v>
      </c>
      <c r="FB93" s="17">
        <f>IF(L93="BOSS_CONSERVATIVE",B93+Boss参数!$B$91,FB92)</f>
        <v>7</v>
      </c>
      <c r="FC93" s="17">
        <f t="shared" si="139"/>
        <v>0</v>
      </c>
      <c r="FD93" s="17">
        <f>IF(D93="",FD92,FD92+IF(AND(DG93&lt;&gt;DG92,INDEX(回合状态!$C$7:$C$17,MATCH(DG93,回合状态!$A$7:$A$17,0))&lt;&gt;"洞穿"),1,0))</f>
        <v>7</v>
      </c>
      <c r="FE93" s="17">
        <f>IF(D93="",0,IF(AND(OR(L93="END_TURN",DH93="敌方"),INDEX(回合状态!$C$7:$C$17,MATCH(DG93,回合状态!$A$7:$A$17,0))&lt;&gt;"洞穿",SUMIFS($FE$3:FE92,$DG$3:DG92,DG93)=0),1,0))</f>
        <v>0</v>
      </c>
    </row>
    <row r="94" spans="1:161" ht="84.95" customHeight="1">
      <c r="A94" s="1">
        <f>行动模拟!A100</f>
        <v>92</v>
      </c>
      <c r="B94" s="1">
        <f>IF(D94="",0,INDEX(回合状态!$B$7:$B$17,MATCH(DG94,回合状态!$A$7:$A$17,0)))</f>
        <v>6</v>
      </c>
      <c r="C94" s="1">
        <f>行动模拟!C100</f>
        <v>3</v>
      </c>
      <c r="D94" s="1" t="str">
        <f>IF(行动模拟!D100="","",行动模拟!D100)</f>
        <v>J｜飞跃海特街</v>
      </c>
      <c r="E94" s="1" t="str">
        <f>IF($D94="","",IFERROR(INDEX(技能数据库!$B$4:$B$38,MATCH($D94,技能数据库!$A$4:$A$38,0)),""))</f>
        <v>J</v>
      </c>
      <c r="F94" s="1" t="str">
        <f>IF($D94="","",IFERROR(INDEX(技能数据库!$C$4:$C$38,MATCH($D94,技能数据库!$A$4:$A$38,0)),""))</f>
        <v>飞跃海特街</v>
      </c>
      <c r="G94" s="1">
        <f>IF($D94="","",IFERROR(INDEX(技能数据库!$D$4:$D$38,MATCH($D94,技能数据库!$A$4:$A$38,0)),""))</f>
        <v>0</v>
      </c>
      <c r="H94" s="1" t="str">
        <f>IF($D94="","",IFERROR(INDEX(技能数据库!$E$4:$E$38,MATCH($D94,技能数据库!$A$4:$A$38,0)),""))</f>
        <v>仪式</v>
      </c>
      <c r="I94" s="1" t="str">
        <f>IF($D94="","",IFERROR(INDEX(技能数据库!$F$4:$F$38,MATCH($D94,技能数据库!$A$4:$A$38,0)),""))</f>
        <v>现实</v>
      </c>
      <c r="J94" s="1">
        <f>IF($D94="","",IFERROR(INDEX(技能数据库!$G$4:$G$38,MATCH($D94,技能数据库!$A$4:$A$38,0)),""))</f>
        <v>7</v>
      </c>
      <c r="K94" s="1">
        <f>IF($D94="","",IFERROR(INDEX(技能数据库!$H$4:$H$38,MATCH($D94,技能数据库!$A$4:$A$38,0)),""))</f>
        <v>0</v>
      </c>
      <c r="L94" s="1" t="str">
        <f>IF($D94="","",IFERROR(INDEX(技能数据库!$I$4:$I$38,MATCH($D94,技能数据库!$A$4:$A$38,0)),""))</f>
        <v>J_ULT</v>
      </c>
      <c r="M94" s="1">
        <v>1</v>
      </c>
      <c r="N94" s="1"/>
      <c r="O94" s="1"/>
      <c r="P94" s="1"/>
      <c r="Q94" s="1">
        <f t="shared" si="70"/>
        <v>0</v>
      </c>
      <c r="R94" s="1">
        <v>0</v>
      </c>
      <c r="S94" s="1">
        <v>0</v>
      </c>
      <c r="T94" s="1">
        <f>行动模拟!I100</f>
        <v>0</v>
      </c>
      <c r="U94" s="1">
        <f>IF(FD94&lt;&gt;FD93,IF(BY93=1,IF(MIN(10,CA93+IF(AND(DG94&lt;&gt;DG93,DH93&lt;&gt;"洞穿",SUMIFS($FE$3:FE93,$DG$3:DG93,DG93)=0,BY93=1),3,0))&gt;=10,2,1),IF(BY93=2,IF(BZ93&lt;=1,0,2),0)),BY93)</f>
        <v>2</v>
      </c>
      <c r="V94" s="1">
        <f>IF(FD94&lt;&gt;FD93,IF(BY93=1,IF(MIN(10,CA93+IF(AND(DG94&lt;&gt;DG93,DH93&lt;&gt;"洞穿",SUMIFS($FE$3:FE93,$DG$3:DG93,DG93)=0,BY93=1),3,0))&gt;=10,2,0),IF(BY93=2,MAX(0,BZ93-1),0)),BZ93)</f>
        <v>2</v>
      </c>
      <c r="W94" s="1">
        <f>IF(AND(FD94&lt;&gt;FD93,BY93=2,BZ93&lt;=1),0,MIN(10,CA93+IF(AND(DG94&lt;&gt;DG93,DH93&lt;&gt;"洞穿",SUMIFS($FE$3:FE93,$DG$3:DG93,DG93)=0,BY93=1),3,0)))</f>
        <v>10</v>
      </c>
      <c r="X94" s="1">
        <f t="shared" si="112"/>
        <v>8</v>
      </c>
      <c r="Y94" s="1">
        <f t="shared" si="113"/>
        <v>0</v>
      </c>
      <c r="Z94" s="1">
        <f t="shared" si="114"/>
        <v>0</v>
      </c>
      <c r="AA94" s="1">
        <f t="shared" si="115"/>
        <v>0</v>
      </c>
      <c r="AB94" s="1">
        <f t="shared" si="116"/>
        <v>3</v>
      </c>
      <c r="AC94" s="1">
        <f t="shared" si="117"/>
        <v>0</v>
      </c>
      <c r="AD94" s="1">
        <f t="shared" si="118"/>
        <v>35</v>
      </c>
      <c r="AE94" s="1">
        <f>IF(D94="",0,IF(DG94&lt;&gt;DG93,IFERROR(INDEX(回合状态!$F$7:$F$17,MATCH(DG94,回合状态!$A$7:$A$17,0)),0),CI93))</f>
        <v>11</v>
      </c>
      <c r="AF94" s="1">
        <f t="shared" si="119"/>
        <v>0.875</v>
      </c>
      <c r="AG94" s="1">
        <f t="shared" si="120"/>
        <v>6</v>
      </c>
      <c r="AH94" s="1">
        <f t="shared" si="121"/>
        <v>8</v>
      </c>
      <c r="AI94" s="1">
        <f t="shared" si="122"/>
        <v>8</v>
      </c>
      <c r="AJ94" s="1">
        <f t="shared" si="123"/>
        <v>9</v>
      </c>
      <c r="AK94" s="1">
        <f t="shared" si="124"/>
        <v>8</v>
      </c>
      <c r="AL94" s="1">
        <f t="shared" si="125"/>
        <v>3</v>
      </c>
      <c r="AM94" s="1">
        <f t="shared" si="126"/>
        <v>30</v>
      </c>
      <c r="AN94" s="1">
        <f t="shared" si="127"/>
        <v>6</v>
      </c>
      <c r="AO94" s="1">
        <f t="shared" si="128"/>
        <v>0</v>
      </c>
      <c r="AP94" s="1">
        <f t="shared" si="129"/>
        <v>0.12</v>
      </c>
      <c r="AQ94" s="1">
        <f t="shared" si="130"/>
        <v>6</v>
      </c>
      <c r="AR94" s="1">
        <f t="shared" si="131"/>
        <v>0.3</v>
      </c>
      <c r="AS94" s="1">
        <f t="shared" si="132"/>
        <v>6</v>
      </c>
      <c r="AT94" s="1">
        <f t="shared" si="133"/>
        <v>0.3</v>
      </c>
      <c r="AU94" s="1">
        <f t="shared" si="134"/>
        <v>8</v>
      </c>
      <c r="AV94" s="1">
        <f>MIN(5,SUMIFS($EL$3:EL94,$B$3:B94,"&gt;="&amp;MAX(1,B94-2),$B$3:B94,"&lt;="&amp;B94)+EC94)</f>
        <v>5</v>
      </c>
      <c r="AW94" s="1">
        <f>MIN(6,SUMIFS($EY$3:EY93,$EX$3:EX93,"&gt;="&amp;MAX(1,EX94-Boss参数!$B$87+1),$EX$3:EX93,"&lt;="&amp;EX94))</f>
        <v>6</v>
      </c>
      <c r="AX94" s="1">
        <f>MIN(4,COUNTIFS($B$3:$B$93,"&gt;="&amp;MAX(1,$B94-2),$B$3:$B$93,"&lt;="&amp;$B94,$L$3:$L$93,"37_FOLLOW"))</f>
        <v>4</v>
      </c>
      <c r="AY94" s="1">
        <f>IF($E94="","",IF($E94="系统",0,ROUNDDOWN(INDEX(角色面板!$C$4:$C$7,MATCH($E94,角色面板!$A$4:$A$7,0))*(1+INDEX(角色面板!$C$11:$C$14,MATCH($E94,角色面板!$A$11:$A$14,0))+IF($E94="小瑞安侬",MAX(IF($B94&lt;=$AQ94,$AP94,0),IF(AND($L94="RHI_ATTACK",$EE94&gt;0),0.11+0.01*$G94,0)),0)+IF($E94="J",$AD94*Boss参数!$B$18,0))+IF(FD94&lt;=$AN94,MIN(Boss参数!$B$21,ROUNDDOWN(角色面板!$C$19*Boss参数!$B$20,0)),0)+IF(AND($B94&lt;=$AK94,$E94&lt;&gt;"小瑞安侬"),$DY94,0),0)))</f>
        <v>2823</v>
      </c>
      <c r="AZ94" s="1">
        <f>IF($E94="","",MAX(0,MIN(1,IFERROR(INDEX(角色面板!$G$18:$G$21,MATCH($E94,角色面板!$A$18:$A$21,0)),0)-FC94*Boss参数!$B$89-Boss参数!$E$4)))</f>
        <v>0.66700000000000004</v>
      </c>
      <c r="BA94" s="1">
        <f>IF(E94="","",(IF($E94="","",IF($E94="红弩箭",Boss参数!$B$80,IF($E94="J",Boss参数!$B$81,IFERROR(INDEX(角色面板!$H$18:$H$21,MATCH($E94,角色面板!$A$18:$A$21,0)),0)))+IF($B94&lt;=$AI94,Boss参数!$B$13,0)+MIN(30,$AM94)*Boss参数!$B$17+IF(AND($L94="LILYA_ULT",$X94&gt;=6),1,0)+IF(AND($Y94=1,$L94="LILYA_INSIGHT"),IF(MOD($AA94+1,3)=0,Boss参数!$B$83,Boss参数!$B$82),IF(AND($Y94=1,$L94="LILYA_FINISH"),Boss参数!$B$84,0))))-FC94*Boss参数!$B$90)</f>
        <v>1.9969999999999999</v>
      </c>
      <c r="BB94" s="1">
        <f>IF($E94="","",IFERROR(INDEX(角色面板!$M$18:$M$21,MATCH($E94,角色面板!$A$18:$A$21,0)),0)+$AW94*Boss参数!$B$12+IF($B94&lt;=$AG94,$AF94,0)+$EI94+IF($L94="LILYA_DIVE",IF($U94=1,IF($G94=1,0.3,IF($G94=2,0.4,0.5)),IF($U94=2,IF($G94=1,0.6,IF($G94=2,0.8,1)),0)),0)+$R94+IF(AND($E94="J",OR($L94="J_COUNTER",$L94="J_HARD")),Boss参数!$B$79,0)+IF(AND(OR(L94="J_COUNTER",L94="J_HARD"),FA94&gt;=Boss参数!$B$59),FA94*Boss参数!$B$40,0))</f>
        <v>1.375</v>
      </c>
      <c r="BC94" s="1">
        <f>IF($E94="","",IFERROR(INDEX(角色面板!$K$18:$K$21,MATCH($E94,角色面板!$A$18:$A$21,0)),0)+IF($B94&lt;=$AH94,Boss参数!$B$46,0)+IF($E94="红弩箭",IF($U94=1,0.6,IF($U94=2,1.2,0))+$W94*0.06,0))-DI94*Boss参数!$B$23</f>
        <v>-0.10000000000000003</v>
      </c>
      <c r="BD94" s="1">
        <f>IF($E94="","",IFERROR(INDEX(角色面板!$L$18:$L$21,MATCH($E94,角色面板!$A$18:$A$21,0)),0)+IF($B94&lt;=$AH94,Boss参数!$B$46,0)+IF($E94="J",$AL94*Boss参数!$B$16,0)+IF($E94="红弩箭",$X94*0.025,0)+IF(AND($L94="LILYA_ULT",$X94&gt;=6),1,0))-DI94*Boss参数!$B$23</f>
        <v>0.42</v>
      </c>
      <c r="BE94" s="1">
        <f>IF($E94="","",IF($H94="洞知",IF($E94="红弩箭",$AO94*Boss参数!$B$15,0)+$AX94*Boss参数!$B$14,0))</f>
        <v>0</v>
      </c>
      <c r="BF94" s="1">
        <f t="shared" si="71"/>
        <v>0</v>
      </c>
      <c r="BG94" s="1">
        <f>IF($D94="",0,IF(AND($L94&lt;&gt;"LILYA_DIVE",$L94&lt;&gt;"LILYA_ULT",$L94&lt;&gt;"LILYA_INSIGHT",$L94&lt;&gt;"LILYA_FINISH",$L94&lt;&gt;"37_FOLLOW",$L94&lt;&gt;"RHI_ATTACK",$L94&lt;&gt;"RHI_BERRY",$L94&lt;&gt;"J_COUNTER",$L94&lt;&gt;"J_ULT"),$J94,0)+IF($L94="LILYA_DIVE",$J94+IF($U94=1,IF($G94=1,6,IF($G94=2,12,18)),IF($U94=2,IF($G94=1,12,IF($G94=2,24,36)),0)),0)+IF($L94="LILYA_ULT",$J94+IF($X94&gt;=6,18,0),0)+IF($L94="LILYA_INSIGHT",IF($Y94=1,IF(MOD($AA94+1,3)=0,32,15),0),0)+IF($L94="LILYA_FINISH",IF($Y94=1,50+2.5*$Z94,0),0)+IF($L94="37_FOLLOW",$J94,0)+IF($L94="RHI_ATTACK",$J94*IF($B94&lt;=$AJ94,2,1),0)+IF($L94="RHI_BERRY",15+1.5*$AV94,0)+IF($L94="J_COUNTER",$J94+$AD94*Boss参数!$B$39,0)+IF($L94="J_ULT",$J94+Boss参数!$B$45*MAX(0,$AE94+$AD94-Boss参数!$I$4),0)+$S94)</f>
        <v>23</v>
      </c>
      <c r="BH94" s="1">
        <f t="shared" si="72"/>
        <v>0</v>
      </c>
      <c r="BI94" s="1">
        <f>IF(E94="","",IF(DT94=1,1+Boss参数!$B$8+AV94*Boss参数!$B$19,1))</f>
        <v>1.5</v>
      </c>
      <c r="BJ94" s="1">
        <f>IF($I94="现实",Boss参数!$C$4,IF($I94="精神",Boss参数!$D$4,0))</f>
        <v>1200</v>
      </c>
      <c r="BK94" s="1">
        <f>IF($E94="","",MAX($AY94*Boss参数!$B$9,$AY94-$BJ94*(1-$BF94)))</f>
        <v>1623</v>
      </c>
      <c r="BL94" s="1">
        <f>MAX(0,Boss参数!$F$4+IF(DT94=0,Boss参数!$B$27,0)-EJ94)</f>
        <v>0.10000000000000003</v>
      </c>
      <c r="BM94" s="1">
        <f>Boss参数!$G$4+DU94-IF(Y94=1,Boss参数!$B$11,0)</f>
        <v>0.7</v>
      </c>
      <c r="BN94" s="1">
        <f>IF($E94="","",MAX(Boss参数!$B$10,1+IFERROR(INDEX(角色面板!$I$18:$I$21,MATCH($E94,角色面板!$A$18:$A$21,0)),0)+$BB94+Boss参数!$H$4-$BM94))</f>
        <v>1.7</v>
      </c>
      <c r="BO94" s="1">
        <f>IF(E94="","",IF(OR(L94="J_COUNTER",L94="J_HARD"),MAX(0,1+INDEX(角色面板!$K$18:$K$21,MATCH(E94,角色面板!$A$18:$A$21,0))-DI94*Boss参数!$B$23+IF(OR(Boss参数!$B$43=1,L94="J_HARD"),IF(B94&lt;=AH94,Boss参数!$B$46,0),0)),MAX(0,IF(OR(H94="术法",L94="RHI_BERRY",AND(L94="37_FOLLOW",Boss参数!$B$31=1)),1+BC94,IF(H94="仪式",1+BD94,IF(H94="洞知",EK94,1))))))</f>
        <v>1.42</v>
      </c>
      <c r="BP94" s="1">
        <f t="shared" si="73"/>
        <v>1.8969999999999998</v>
      </c>
      <c r="BQ94" s="1">
        <f t="shared" si="74"/>
        <v>135168.30899999998</v>
      </c>
      <c r="BR94" s="1">
        <f t="shared" si="75"/>
        <v>256414.28217299993</v>
      </c>
      <c r="BS94" s="1">
        <f>IF(BH94=0,0,ROUNDDOWN(AY94*BH94,0)*DV94*IF(Boss参数!$B$29=1,BN94,1)*IF(Boss参数!$B$33=1,BO94,1)*IF(Boss参数!$B$76=1,1-ES94,1))</f>
        <v>0</v>
      </c>
      <c r="BT94" s="1">
        <f t="shared" si="76"/>
        <v>0</v>
      </c>
      <c r="BU94" s="1">
        <f>IF(D94="",0,MIN(IF(Boss参数!$B$77=1,Boss参数!$B$63*Boss参数!$B$62,Boss参数!$B$61*Boss参数!$B$62),DW94+ROUNDDOWN(BS94,0)+ROUNDDOWN(DW94*Q94,0)))</f>
        <v>54067</v>
      </c>
      <c r="BV94" s="1">
        <f>IF(D94="",0,MIN(IF(Boss参数!$B$77=1,Boss参数!$B$63*Boss参数!$B$62,Boss参数!$B$61*Boss参数!$B$62),DX94+ROUNDDOWN(BT94,0)+ROUNDDOWN(DX94*Q94,0)))</f>
        <v>102565</v>
      </c>
      <c r="BW94" s="1">
        <f t="shared" si="77"/>
        <v>86415</v>
      </c>
      <c r="BX94" s="1" t="str">
        <f t="shared" si="78"/>
        <v/>
      </c>
      <c r="BY94" s="1">
        <f t="shared" si="79"/>
        <v>2</v>
      </c>
      <c r="BZ94" s="1">
        <f t="shared" si="80"/>
        <v>2</v>
      </c>
      <c r="CA94" s="1">
        <f>MIN(10,W94+IF(AND(L94="LILYA_COBRA",COUNTIF($L$3:L94,"LILYA_COBRA")=1),5,0)+IF(AND(L94="LILYA_DIVE",U94=1,COUNTIFS($DG$3:DG94,DG94,$L$3:L94,"LILYA_DIVE")=1),2,0)+IF(AND(FE94=1,U94=1),3,0))</f>
        <v>10</v>
      </c>
      <c r="CB94" s="1">
        <f>MIN(20,MAX(0,X94+IF(L94="LILYA_COBRA",IF(COUNTIF($L$3:L94,"LILYA_COBRA")=1,6,IF(U94=1,MAX(1,G94),IF(U94=2,2*MAX(1,G94),0))),0)+IF(AND(Y94=1,E94="红弩箭",L94&lt;&gt;"ENTER_INSIGHT"),1,0)-IF(AND(L94="LILYA_ULT",X94&gt;=6),6,0)))</f>
        <v>8</v>
      </c>
      <c r="CC94" s="1">
        <f t="shared" si="81"/>
        <v>0</v>
      </c>
      <c r="CD94" s="1">
        <f t="shared" si="82"/>
        <v>0</v>
      </c>
      <c r="CE94" s="1">
        <f t="shared" si="83"/>
        <v>0</v>
      </c>
      <c r="CF94" s="1">
        <f t="shared" si="84"/>
        <v>4</v>
      </c>
      <c r="CG94" s="1">
        <f t="shared" si="85"/>
        <v>0</v>
      </c>
      <c r="CH94" s="1">
        <f>MIN(35,AD94+IF(L94="J_HARD",6,0)+IF(L94="J_COUNTER",Boss参数!$B$30,0))</f>
        <v>35</v>
      </c>
      <c r="CI94" s="1">
        <f>MIN(Boss参数!$I$4,AE94+IF(L94="J_HARD",6,0)+IF(L94="J_ULT",AD94,0)+IF(L94="J_COUNTER",Boss参数!$B$30,0))</f>
        <v>30</v>
      </c>
      <c r="CJ94" s="1">
        <f>IF(L94="J_ULT",AD94*Boss参数!$B$41,IF(B94&lt;=AG94,AF94,0))</f>
        <v>0.875</v>
      </c>
      <c r="CK94" s="1">
        <f t="shared" si="86"/>
        <v>8</v>
      </c>
      <c r="CL94" s="1">
        <f t="shared" si="87"/>
        <v>8</v>
      </c>
      <c r="CM94" s="1">
        <f t="shared" si="88"/>
        <v>8</v>
      </c>
      <c r="CN94" s="1">
        <f t="shared" si="89"/>
        <v>9</v>
      </c>
      <c r="CO94" s="1">
        <f t="shared" si="90"/>
        <v>8</v>
      </c>
      <c r="CP94" s="1">
        <f t="shared" si="91"/>
        <v>3</v>
      </c>
      <c r="CQ94" s="1">
        <f t="shared" si="92"/>
        <v>30</v>
      </c>
      <c r="CR94" s="1">
        <f t="shared" si="93"/>
        <v>6</v>
      </c>
      <c r="CS94" s="1">
        <f t="shared" si="94"/>
        <v>0</v>
      </c>
      <c r="CT94" s="1">
        <f t="shared" si="95"/>
        <v>0.12</v>
      </c>
      <c r="CU94" s="1">
        <f t="shared" si="96"/>
        <v>6</v>
      </c>
      <c r="CV94" s="1">
        <f t="shared" si="97"/>
        <v>0.3</v>
      </c>
      <c r="CW94" s="1">
        <f t="shared" si="98"/>
        <v>6</v>
      </c>
      <c r="CX94" s="1">
        <f t="shared" si="99"/>
        <v>0.3</v>
      </c>
      <c r="CY94" s="1">
        <f t="shared" si="100"/>
        <v>8</v>
      </c>
      <c r="CZ94" s="1"/>
      <c r="DA94" s="1"/>
      <c r="DB94" s="1"/>
      <c r="DC94" s="1"/>
      <c r="DD94" s="1"/>
      <c r="DE94" s="1"/>
      <c r="DF94" s="1"/>
      <c r="DG94" s="1">
        <f>IF(D94="","",行动模拟!B100)</f>
        <v>6</v>
      </c>
      <c r="DH94" s="1" t="str">
        <f>IF(L94="END_TURN","回合结束",IF(D94="","",IF(INDEX(回合状态!$C$7:$C$17,MATCH(DG94,回合状态!$A$7:$A$17,0))="洞穿","洞穿",IF(OR(L94="J_COUNTER",L94="BOSS_ACTION",L94="BOSS_CONSERVATIVE"),"敌方",IF(AND(L94="37_FOLLOW",DG94=DG93,DH93="敌方"),"敌方",IF(INDEX(回合状态!$C$7:$C$17,MATCH(DG94,回合状态!$A$7:$A$17,0))="普通","出牌",INDEX(回合状态!$C$7:$C$17,MATCH(DG94,回合状态!$A$7:$A$17,0))))))))</f>
        <v>出牌</v>
      </c>
      <c r="DI94" s="1">
        <f t="shared" si="101"/>
        <v>0</v>
      </c>
      <c r="DJ94" s="1">
        <f>IF(D94="",0,MIN(Boss参数!$B$25,IF(OR(AND(DH94="敌方",OR(DH93&lt;&gt;"敌方",DG94&lt;&gt;DG93)),AND(L94="END_TURN",DH94&lt;&gt;"洞穿"),AND(DG94&lt;&gt;DG93,DH93&lt;&gt;"洞穿",L93&lt;&gt;"END_TURN",COUNTIFS($DG$3:DG93,DG93,$DH$3:DH93,"敌方")=0)),EW94,DN93)))</f>
        <v>5</v>
      </c>
      <c r="DK94" s="1">
        <f>IF(D94="",0,MIN(Boss参数!$B$25,IF(OR(AND(DH94="敌方",OR(DH93&lt;&gt;"敌方",DG94&lt;&gt;DG93)),AND(L94="END_TURN",DH94&lt;&gt;"洞穿"),AND(DG94&lt;&gt;DG93,DH93&lt;&gt;"洞穿",L93&lt;&gt;"END_TURN",COUNTIFS($DG$3:DG93,DG93,$DH$3:DH93,"敌方")=0)),EW94,DO93)))</f>
        <v>4</v>
      </c>
      <c r="DL94" s="1">
        <f>IF(D94="",0,MIN(Boss参数!$B$25,IF(OR(AND(DH94="敌方",OR(DH93&lt;&gt;"敌方",DG94&lt;&gt;DG93)),AND(L94="END_TURN",DH94&lt;&gt;"洞穿"),AND(DG94&lt;&gt;DG93,DH93&lt;&gt;"洞穿",L93&lt;&gt;"END_TURN",COUNTIFS($DG$3:DG93,DG93,$DH$3:DH93,"敌方")=0)),EW94,DP93)))</f>
        <v>5</v>
      </c>
      <c r="DM94" s="1">
        <f>IF(D94="",0,MIN(Boss参数!$B$25,IF(OR(AND(DH94="敌方",OR(DH93&lt;&gt;"敌方",DG94&lt;&gt;DG93)),AND(L94="END_TURN",DH94&lt;&gt;"洞穿"),AND(DG94&lt;&gt;DG93,DH93&lt;&gt;"洞穿",L93&lt;&gt;"END_TURN",COUNTIFS($DG$3:DG93,DG93,$DH$3:DH93,"敌方")=0)),EW94,DQ93)))</f>
        <v>0</v>
      </c>
      <c r="DN94" s="1">
        <f>MAX(0,MIN(Boss参数!$B$25,DJ94+DR94)-IF(E94="红弩箭",2*DR94,0))</f>
        <v>5</v>
      </c>
      <c r="DO94" s="1">
        <f>MAX(0,MIN(Boss参数!$B$25,DK94+DR94)-IF(E94="37",2*DR94,0))</f>
        <v>4</v>
      </c>
      <c r="DP94" s="1">
        <f>MAX(0,MIN(Boss参数!$B$25,DL94+DR94)-IF(E94="小瑞安侬",2*DR94,0))</f>
        <v>5</v>
      </c>
      <c r="DQ94" s="1">
        <f>MAX(0,MIN(Boss参数!$B$25,DM94+DR94)-IF(E94="J",2*DR94,0))</f>
        <v>0</v>
      </c>
      <c r="DR94" s="1">
        <f t="shared" si="102"/>
        <v>0</v>
      </c>
      <c r="DS94" s="1">
        <f t="shared" si="103"/>
        <v>1</v>
      </c>
      <c r="DT94" s="1">
        <f>IF(OR(E94="",E94="系统"),0,IF(OR(AND(DS94=1,Boss参数!$B$32=1),L94="RHI_BERRY",OR(AND(INDEX(角色面板!$B$18:$B$21,MATCH(E94,角色面板!$A$18:$A$21,0))="星",Boss参数!$B$4="岩"),AND(INDEX(角色面板!$B$18:$B$21,MATCH(E94,角色面板!$A$18:$A$21,0))="岩",Boss参数!$B$4="兽"),AND(INDEX(角色面板!$B$18:$B$21,MATCH(E94,角色面板!$A$18:$A$21,0))="兽",Boss参数!$B$4="木"),AND(INDEX(角色面板!$B$18:$B$21,MATCH(E94,角色面板!$A$18:$A$21,0))="木",Boss参数!$B$4="星"),AND(INDEX(角色面板!$B$18:$B$21,MATCH(E94,角色面板!$A$18:$A$21,0))="智",Boss参数!$B$4="灵"),AND(INDEX(角色面板!$B$18:$B$21,MATCH(E94,角色面板!$A$18:$A$21,0))="灵",Boss参数!$B$4="智"))),1,0))</f>
        <v>1</v>
      </c>
      <c r="DU94" s="1">
        <f>IF(D94="",0,INDEX(回合状态!$E$7:$E$17,MATCH(DG94,回合状态!$A$7:$A$17,0))+IF(AND(DH94="敌方",OR(INDEX(回合状态!$C$7:$C$17,MATCH(DG94,回合状态!$A$7:$A$17,0))="普通",INDEX(回合状态!$C$7:$C$17,MATCH(DG94,回合状态!$A$7:$A$17,0))="额外")),0.05,0))</f>
        <v>0.3</v>
      </c>
      <c r="DV94" s="1">
        <f>MAX(Boss参数!$B$28,1+IF(AND(E94="37",AC94&gt;0,BH94&gt;0),Boss参数!$B$42,0)-DI94*Boss参数!$B$24+EA94-ER94)</f>
        <v>9.9999999999999978E-2</v>
      </c>
      <c r="DW94" s="1">
        <f>MIN(IF(Boss参数!$B$77=1,Boss参数!$B$63*Boss参数!$B$62,Boss参数!$B$61*Boss参数!$B$62),ROUNDDOWN(BQ94*(1-ES94),0))</f>
        <v>54067</v>
      </c>
      <c r="DX94" s="1">
        <f>MIN(IF(Boss参数!$B$77=1,Boss参数!$B$63*Boss参数!$B$62,Boss参数!$B$61*Boss参数!$B$62),ROUNDDOWN(BR94*(1-ES94),0))</f>
        <v>102565</v>
      </c>
      <c r="DY94" s="1">
        <f t="shared" si="135"/>
        <v>250</v>
      </c>
      <c r="DZ94" s="1">
        <f>IF(L94="RHI_ULT",MIN(Boss参数!$B$48,ROUNDDOWN(AY94*Boss参数!$B$47,0)),DY94)</f>
        <v>250</v>
      </c>
      <c r="EA94" s="1">
        <v>0</v>
      </c>
      <c r="EB94" s="1">
        <f t="shared" si="104"/>
        <v>0</v>
      </c>
      <c r="EC94" s="1">
        <f>SUMIFS($EB$3:EB94,$B$3:B94,"&gt;="&amp;MAX(1,B94-2),$B$3:B94,"&lt;="&amp;B94)*Boss参数!$B$51</f>
        <v>10</v>
      </c>
      <c r="ED94" s="1">
        <f>IF(D94="",EG93,IF(AND(DG94&lt;&gt;DG93,DH94&lt;&gt;"洞穿"),MIN(Boss参数!$B$55,EG93+2),EG93))</f>
        <v>1</v>
      </c>
      <c r="EE94" s="1">
        <f t="shared" si="105"/>
        <v>0</v>
      </c>
      <c r="EF94" s="1">
        <f>IF(AND(OR(L94="END_TURN",AND(DH94="敌方",OR(DH93&lt;&gt;"敌方",DG94&lt;&gt;DG93))),SUMIFS($EF$3:EF93,$DG$3:DG93,DG94)=0),MIN(1,MAX(0,ED94-EE94)),0)</f>
        <v>0</v>
      </c>
      <c r="EG94" s="1">
        <f t="shared" si="106"/>
        <v>1</v>
      </c>
      <c r="EH94" s="1">
        <f>Boss参数!$B$53-IF(Y94=1,Boss参数!$B$54,0)</f>
        <v>0</v>
      </c>
      <c r="EI94" s="1">
        <f t="shared" si="107"/>
        <v>0.3</v>
      </c>
      <c r="EJ94" s="1">
        <f t="shared" si="108"/>
        <v>0.3</v>
      </c>
      <c r="EK94" s="1">
        <f t="shared" si="109"/>
        <v>1</v>
      </c>
      <c r="EL94" s="1">
        <f t="shared" si="136"/>
        <v>0</v>
      </c>
      <c r="EM94" s="1">
        <f>IF(AND(DG94&lt;&gt;DG93,DH94="洞穿"),0,IF(L94="ENTER_INSIGHT",Boss参数!$B$57,EO93))</f>
        <v>0</v>
      </c>
      <c r="EN94" s="1">
        <f>IF(AND(Y94=1,H94="洞知",EM94&gt;0),Boss参数!$B$56,0)</f>
        <v>0</v>
      </c>
      <c r="EO94" s="1">
        <f t="shared" si="110"/>
        <v>0</v>
      </c>
      <c r="EP94" s="1">
        <f t="shared" si="137"/>
        <v>14327028</v>
      </c>
      <c r="EQ94" s="1">
        <f>ROUNDDOWN(EP94/Boss参数!$B$62,0)</f>
        <v>143</v>
      </c>
      <c r="ER94" s="1">
        <f>IF(EQ94&gt;=Boss参数!$B$66,Boss参数!$B$69,IF(EQ94&gt;=Boss参数!$B$65,Boss参数!$B$68,IF(EQ94&gt;=Boss参数!$B$64,Boss参数!$B$67,0)))</f>
        <v>0.9</v>
      </c>
      <c r="ES94" s="1">
        <f>MIN(1,IF(EQ94&gt;=Boss参数!$B$66,Boss参数!$B$72+ROUNDDOWN((EQ94-Boss参数!$B$66)/Boss参数!$B$73,0)*Boss参数!$B$74,IF(EQ94&gt;=Boss参数!$B$65,Boss参数!$B$71,IF(EQ94&gt;=Boss参数!$B$64,Boss参数!$B$70,0))))</f>
        <v>0.6</v>
      </c>
      <c r="ET94" s="1">
        <f>MIN(Boss参数!$B$61*Boss参数!$B$62,EP94+IF(AND(Boss参数!$B$60=1,ISNUMBER(验证表!H100)),验证表!H100,EU94))</f>
        <v>14381095</v>
      </c>
      <c r="EU94" s="1">
        <f>IF(D94="",0,IF(验证表!G100="是",BV94,IF(验证表!G100="否",BU94,BW94)))</f>
        <v>54067</v>
      </c>
      <c r="EV94" s="1">
        <f>IF(EQ94&gt;=Boss参数!$B$66,2,IF(EQ94&gt;=Boss参数!$B$65,1,0))</f>
        <v>2</v>
      </c>
      <c r="EW94" s="1">
        <f t="shared" si="111"/>
        <v>3</v>
      </c>
      <c r="EX94" s="1">
        <f>IF(D94="",0,INDEX(回合状态!$D$7:$D$17,MATCH(DG94,回合状态!$A$7:$A$17,0)))</f>
        <v>6</v>
      </c>
      <c r="EY94" s="1">
        <f>IF(OR(L94="RHI_ATTACK",L94="RHI_BUFF"),1,IF(L94="RHI_ULT",Boss参数!$B$52,0))</f>
        <v>0</v>
      </c>
      <c r="EZ94" s="1">
        <f>MIN(6,SUMIFS($EY$3:EY94,$EX$3:EX94,"&gt;="&amp;MAX(1,EX94-Boss参数!$B$87+1),$EX$3:EX94,"&lt;="&amp;EX94))</f>
        <v>6</v>
      </c>
      <c r="FA94" s="1">
        <f t="shared" si="138"/>
        <v>35</v>
      </c>
      <c r="FB94" s="17">
        <f>IF(L94="BOSS_CONSERVATIVE",B94+Boss参数!$B$91,FB93)</f>
        <v>7</v>
      </c>
      <c r="FC94" s="17">
        <f t="shared" si="139"/>
        <v>0</v>
      </c>
      <c r="FD94" s="17">
        <f>IF(D94="",FD93,FD93+IF(AND(DG94&lt;&gt;DG93,INDEX(回合状态!$C$7:$C$17,MATCH(DG94,回合状态!$A$7:$A$17,0))&lt;&gt;"洞穿"),1,0))</f>
        <v>7</v>
      </c>
      <c r="FE94" s="17">
        <f>IF(D94="",0,IF(AND(OR(L94="END_TURN",DH94="敌方"),INDEX(回合状态!$C$7:$C$17,MATCH(DG94,回合状态!$A$7:$A$17,0))&lt;&gt;"洞穿",SUMIFS($FE$3:FE93,$DG$3:DG93,DG94)=0),1,0))</f>
        <v>0</v>
      </c>
    </row>
    <row r="95" spans="1:161" ht="84.95" customHeight="1">
      <c r="A95" s="1">
        <f>行动模拟!A101</f>
        <v>93</v>
      </c>
      <c r="B95" s="1">
        <f>IF(D95="",0,INDEX(回合状态!$B$7:$B$17,MATCH(DG95,回合状态!$A$7:$A$17,0)))</f>
        <v>6</v>
      </c>
      <c r="C95" s="1">
        <f>行动模拟!C101</f>
        <v>4</v>
      </c>
      <c r="D95" s="1" t="str">
        <f>IF(行动模拟!D101="","",行动模拟!D101)</f>
        <v>J｜热处理</v>
      </c>
      <c r="E95" s="1" t="str">
        <f>IF($D95="","",IFERROR(INDEX(技能数据库!$B$4:$B$38,MATCH($D95,技能数据库!$A$4:$A$38,0)),""))</f>
        <v>J</v>
      </c>
      <c r="F95" s="1" t="str">
        <f>IF($D95="","",IFERROR(INDEX(技能数据库!$C$4:$C$38,MATCH($D95,技能数据库!$A$4:$A$38,0)),""))</f>
        <v>热处理</v>
      </c>
      <c r="G95" s="1">
        <f>IF($D95="","",IFERROR(INDEX(技能数据库!$D$4:$D$38,MATCH($D95,技能数据库!$A$4:$A$38,0)),""))</f>
        <v>0</v>
      </c>
      <c r="H95" s="1" t="str">
        <f>IF($D95="","",IFERROR(INDEX(技能数据库!$E$4:$E$38,MATCH($D95,技能数据库!$A$4:$A$38,0)),""))</f>
        <v>反制</v>
      </c>
      <c r="I95" s="1" t="str">
        <f>IF($D95="","",IFERROR(INDEX(技能数据库!$F$4:$F$38,MATCH($D95,技能数据库!$A$4:$A$38,0)),""))</f>
        <v>无</v>
      </c>
      <c r="J95" s="1">
        <f>IF($D95="","",IFERROR(INDEX(技能数据库!$G$4:$G$38,MATCH($D95,技能数据库!$A$4:$A$38,0)),""))</f>
        <v>0</v>
      </c>
      <c r="K95" s="1">
        <f>IF($D95="","",IFERROR(INDEX(技能数据库!$H$4:$H$38,MATCH($D95,技能数据库!$A$4:$A$38,0)),""))</f>
        <v>0</v>
      </c>
      <c r="L95" s="1" t="str">
        <f>IF($D95="","",IFERROR(INDEX(技能数据库!$I$4:$I$38,MATCH($D95,技能数据库!$A$4:$A$38,0)),""))</f>
        <v>J_HEAT</v>
      </c>
      <c r="M95" s="1">
        <v>1</v>
      </c>
      <c r="N95" s="1"/>
      <c r="O95" s="1"/>
      <c r="P95" s="1"/>
      <c r="Q95" s="1">
        <f t="shared" si="70"/>
        <v>0</v>
      </c>
      <c r="R95" s="1">
        <v>0</v>
      </c>
      <c r="S95" s="1">
        <v>0</v>
      </c>
      <c r="T95" s="1">
        <f>行动模拟!I101</f>
        <v>0</v>
      </c>
      <c r="U95" s="1">
        <f>IF(FD95&lt;&gt;FD94,IF(BY94=1,IF(MIN(10,CA94+IF(AND(DG95&lt;&gt;DG94,DH94&lt;&gt;"洞穿",SUMIFS($FE$3:FE94,$DG$3:DG94,DG94)=0,BY94=1),3,0))&gt;=10,2,1),IF(BY94=2,IF(BZ94&lt;=1,0,2),0)),BY94)</f>
        <v>2</v>
      </c>
      <c r="V95" s="1">
        <f>IF(FD95&lt;&gt;FD94,IF(BY94=1,IF(MIN(10,CA94+IF(AND(DG95&lt;&gt;DG94,DH94&lt;&gt;"洞穿",SUMIFS($FE$3:FE94,$DG$3:DG94,DG94)=0,BY94=1),3,0))&gt;=10,2,0),IF(BY94=2,MAX(0,BZ94-1),0)),BZ94)</f>
        <v>2</v>
      </c>
      <c r="W95" s="1">
        <f>IF(AND(FD95&lt;&gt;FD94,BY94=2,BZ94&lt;=1),0,MIN(10,CA94+IF(AND(DG95&lt;&gt;DG94,DH94&lt;&gt;"洞穿",SUMIFS($FE$3:FE94,$DG$3:DG94,DG94)=0,BY94=1),3,0)))</f>
        <v>10</v>
      </c>
      <c r="X95" s="1">
        <f t="shared" si="112"/>
        <v>8</v>
      </c>
      <c r="Y95" s="1">
        <f t="shared" si="113"/>
        <v>0</v>
      </c>
      <c r="Z95" s="1">
        <f t="shared" si="114"/>
        <v>0</v>
      </c>
      <c r="AA95" s="1">
        <f t="shared" si="115"/>
        <v>0</v>
      </c>
      <c r="AB95" s="1">
        <f t="shared" si="116"/>
        <v>4</v>
      </c>
      <c r="AC95" s="1">
        <f t="shared" si="117"/>
        <v>0</v>
      </c>
      <c r="AD95" s="1">
        <f t="shared" si="118"/>
        <v>35</v>
      </c>
      <c r="AE95" s="1">
        <f>IF(D95="",0,IF(DG95&lt;&gt;DG94,IFERROR(INDEX(回合状态!$F$7:$F$17,MATCH(DG95,回合状态!$A$7:$A$17,0)),0),CI94))</f>
        <v>30</v>
      </c>
      <c r="AF95" s="1">
        <f t="shared" si="119"/>
        <v>0.875</v>
      </c>
      <c r="AG95" s="1">
        <f t="shared" si="120"/>
        <v>8</v>
      </c>
      <c r="AH95" s="1">
        <f t="shared" si="121"/>
        <v>8</v>
      </c>
      <c r="AI95" s="1">
        <f t="shared" si="122"/>
        <v>8</v>
      </c>
      <c r="AJ95" s="1">
        <f t="shared" si="123"/>
        <v>9</v>
      </c>
      <c r="AK95" s="1">
        <f t="shared" si="124"/>
        <v>8</v>
      </c>
      <c r="AL95" s="1">
        <f t="shared" si="125"/>
        <v>3</v>
      </c>
      <c r="AM95" s="1">
        <f t="shared" si="126"/>
        <v>30</v>
      </c>
      <c r="AN95" s="1">
        <f t="shared" si="127"/>
        <v>6</v>
      </c>
      <c r="AO95" s="1">
        <f t="shared" si="128"/>
        <v>0</v>
      </c>
      <c r="AP95" s="1">
        <f t="shared" si="129"/>
        <v>0.12</v>
      </c>
      <c r="AQ95" s="1">
        <f t="shared" si="130"/>
        <v>6</v>
      </c>
      <c r="AR95" s="1">
        <f t="shared" si="131"/>
        <v>0.3</v>
      </c>
      <c r="AS95" s="1">
        <f t="shared" si="132"/>
        <v>6</v>
      </c>
      <c r="AT95" s="1">
        <f t="shared" si="133"/>
        <v>0.3</v>
      </c>
      <c r="AU95" s="1">
        <f t="shared" si="134"/>
        <v>8</v>
      </c>
      <c r="AV95" s="1">
        <f>MIN(5,SUMIFS($EL$3:EL95,$B$3:B95,"&gt;="&amp;MAX(1,B95-2),$B$3:B95,"&lt;="&amp;B95)+EC95)</f>
        <v>5</v>
      </c>
      <c r="AW95" s="1">
        <f>MIN(6,SUMIFS($EY$3:EY94,$EX$3:EX94,"&gt;="&amp;MAX(1,EX95-Boss参数!$B$87+1),$EX$3:EX94,"&lt;="&amp;EX95))</f>
        <v>6</v>
      </c>
      <c r="AX95" s="1">
        <f>MIN(4,COUNTIFS($B$3:$B$94,"&gt;="&amp;MAX(1,$B95-2),$B$3:$B$94,"&lt;="&amp;$B95,$L$3:$L$94,"37_FOLLOW"))</f>
        <v>4</v>
      </c>
      <c r="AY95" s="1">
        <f>IF($E95="","",IF($E95="系统",0,ROUNDDOWN(INDEX(角色面板!$C$4:$C$7,MATCH($E95,角色面板!$A$4:$A$7,0))*(1+INDEX(角色面板!$C$11:$C$14,MATCH($E95,角色面板!$A$11:$A$14,0))+IF($E95="小瑞安侬",MAX(IF($B95&lt;=$AQ95,$AP95,0),IF(AND($L95="RHI_ATTACK",$EE95&gt;0),0.11+0.01*$G95,0)),0)+IF($E95="J",$AD95*Boss参数!$B$18,0))+IF(FD95&lt;=$AN95,MIN(Boss参数!$B$21,ROUNDDOWN(角色面板!$C$19*Boss参数!$B$20,0)),0)+IF(AND($B95&lt;=$AK95,$E95&lt;&gt;"小瑞安侬"),$DY95,0),0)))</f>
        <v>2823</v>
      </c>
      <c r="AZ95" s="1">
        <f>IF($E95="","",MAX(0,MIN(1,IFERROR(INDEX(角色面板!$G$18:$G$21,MATCH($E95,角色面板!$A$18:$A$21,0)),0)-FC95*Boss参数!$B$89-Boss参数!$E$4)))</f>
        <v>0.66700000000000004</v>
      </c>
      <c r="BA95" s="1">
        <f>IF(E95="","",(IF($E95="","",IF($E95="红弩箭",Boss参数!$B$80,IF($E95="J",Boss参数!$B$81,IFERROR(INDEX(角色面板!$H$18:$H$21,MATCH($E95,角色面板!$A$18:$A$21,0)),0)))+IF($B95&lt;=$AI95,Boss参数!$B$13,0)+MIN(30,$AM95)*Boss参数!$B$17+IF(AND($L95="LILYA_ULT",$X95&gt;=6),1,0)+IF(AND($Y95=1,$L95="LILYA_INSIGHT"),IF(MOD($AA95+1,3)=0,Boss参数!$B$83,Boss参数!$B$82),IF(AND($Y95=1,$L95="LILYA_FINISH"),Boss参数!$B$84,0))))-FC95*Boss参数!$B$90)</f>
        <v>1.9969999999999999</v>
      </c>
      <c r="BB95" s="1">
        <f>IF($E95="","",IFERROR(INDEX(角色面板!$M$18:$M$21,MATCH($E95,角色面板!$A$18:$A$21,0)),0)+$AW95*Boss参数!$B$12+IF($B95&lt;=$AG95,$AF95,0)+$EI95+IF($L95="LILYA_DIVE",IF($U95=1,IF($G95=1,0.3,IF($G95=2,0.4,0.5)),IF($U95=2,IF($G95=1,0.6,IF($G95=2,0.8,1)),0)),0)+$R95+IF(AND($E95="J",OR($L95="J_COUNTER",$L95="J_HARD")),Boss参数!$B$79,0)+IF(AND(OR(L95="J_COUNTER",L95="J_HARD"),FA95&gt;=Boss参数!$B$59),FA95*Boss参数!$B$40,0))</f>
        <v>1.375</v>
      </c>
      <c r="BC95" s="1">
        <f>IF($E95="","",IFERROR(INDEX(角色面板!$K$18:$K$21,MATCH($E95,角色面板!$A$18:$A$21,0)),0)+IF($B95&lt;=$AH95,Boss参数!$B$46,0)+IF($E95="红弩箭",IF($U95=1,0.6,IF($U95=2,1.2,0))+$W95*0.06,0))-DI95*Boss参数!$B$23</f>
        <v>-0.10000000000000003</v>
      </c>
      <c r="BD95" s="1">
        <f>IF($E95="","",IFERROR(INDEX(角色面板!$L$18:$L$21,MATCH($E95,角色面板!$A$18:$A$21,0)),0)+IF($B95&lt;=$AH95,Boss参数!$B$46,0)+IF($E95="J",$AL95*Boss参数!$B$16,0)+IF($E95="红弩箭",$X95*0.025,0)+IF(AND($L95="LILYA_ULT",$X95&gt;=6),1,0))-DI95*Boss参数!$B$23</f>
        <v>0.42</v>
      </c>
      <c r="BE95" s="1">
        <f>IF($E95="","",IF($H95="洞知",IF($E95="红弩箭",$AO95*Boss参数!$B$15,0)+$AX95*Boss参数!$B$14,0))</f>
        <v>0</v>
      </c>
      <c r="BF95" s="1">
        <f t="shared" si="71"/>
        <v>0</v>
      </c>
      <c r="BG95" s="1">
        <f>IF($D95="",0,IF(AND($L95&lt;&gt;"LILYA_DIVE",$L95&lt;&gt;"LILYA_ULT",$L95&lt;&gt;"LILYA_INSIGHT",$L95&lt;&gt;"LILYA_FINISH",$L95&lt;&gt;"37_FOLLOW",$L95&lt;&gt;"RHI_ATTACK",$L95&lt;&gt;"RHI_BERRY",$L95&lt;&gt;"J_COUNTER",$L95&lt;&gt;"J_ULT"),$J95,0)+IF($L95="LILYA_DIVE",$J95+IF($U95=1,IF($G95=1,6,IF($G95=2,12,18)),IF($U95=2,IF($G95=1,12,IF($G95=2,24,36)),0)),0)+IF($L95="LILYA_ULT",$J95+IF($X95&gt;=6,18,0),0)+IF($L95="LILYA_INSIGHT",IF($Y95=1,IF(MOD($AA95+1,3)=0,32,15),0),0)+IF($L95="LILYA_FINISH",IF($Y95=1,50+2.5*$Z95,0),0)+IF($L95="37_FOLLOW",$J95,0)+IF($L95="RHI_ATTACK",$J95*IF($B95&lt;=$AJ95,2,1),0)+IF($L95="RHI_BERRY",15+1.5*$AV95,0)+IF($L95="J_COUNTER",$J95+$AD95*Boss参数!$B$39,0)+IF($L95="J_ULT",$J95+Boss参数!$B$45*MAX(0,$AE95+$AD95-Boss参数!$I$4),0)+$S95)</f>
        <v>0</v>
      </c>
      <c r="BH95" s="1">
        <f t="shared" si="72"/>
        <v>0</v>
      </c>
      <c r="BI95" s="1">
        <f>IF(E95="","",IF(DT95=1,1+Boss参数!$B$8+AV95*Boss参数!$B$19,1))</f>
        <v>1</v>
      </c>
      <c r="BJ95" s="1">
        <f>IF($I95="现实",Boss参数!$C$4,IF($I95="精神",Boss参数!$D$4,0))</f>
        <v>0</v>
      </c>
      <c r="BK95" s="1">
        <f>IF($E95="","",MAX($AY95*Boss参数!$B$9,$AY95-$BJ95*(1-$BF95)))</f>
        <v>2823</v>
      </c>
      <c r="BL95" s="1">
        <f>MAX(0,Boss参数!$F$4+IF(DT95=0,Boss参数!$B$27,0)-EJ95)</f>
        <v>1.0999999999999999</v>
      </c>
      <c r="BM95" s="1">
        <f>Boss参数!$G$4+DU95-IF(Y95=1,Boss参数!$B$11,0)</f>
        <v>0.7</v>
      </c>
      <c r="BN95" s="1">
        <f>IF($E95="","",MAX(Boss参数!$B$10,1+IFERROR(INDEX(角色面板!$I$18:$I$21,MATCH($E95,角色面板!$A$18:$A$21,0)),0)+$BB95+Boss参数!$H$4-$BM95))</f>
        <v>1.7</v>
      </c>
      <c r="BO95" s="1">
        <f>IF(E95="","",IF(OR(L95="J_COUNTER",L95="J_HARD"),MAX(0,1+INDEX(角色面板!$K$18:$K$21,MATCH(E95,角色面板!$A$18:$A$21,0))-DI95*Boss参数!$B$23+IF(OR(Boss参数!$B$43=1,L95="J_HARD"),IF(B95&lt;=AH95,Boss参数!$B$46,0),0)),MAX(0,IF(OR(H95="术法",L95="RHI_BERRY",AND(L95="37_FOLLOW",Boss参数!$B$31=1)),1+BC95,IF(H95="仪式",1+BD95,IF(H95="洞知",EK95,1))))))</f>
        <v>1</v>
      </c>
      <c r="BP95" s="1">
        <f t="shared" si="73"/>
        <v>1.1000000000000001</v>
      </c>
      <c r="BQ95" s="1">
        <f t="shared" si="74"/>
        <v>0</v>
      </c>
      <c r="BR95" s="1">
        <f t="shared" si="75"/>
        <v>0</v>
      </c>
      <c r="BS95" s="1">
        <f>IF(BH95=0,0,ROUNDDOWN(AY95*BH95,0)*DV95*IF(Boss参数!$B$29=1,BN95,1)*IF(Boss参数!$B$33=1,BO95,1)*IF(Boss参数!$B$76=1,1-ES95,1))</f>
        <v>0</v>
      </c>
      <c r="BT95" s="1">
        <f t="shared" si="76"/>
        <v>0</v>
      </c>
      <c r="BU95" s="1">
        <f>IF(D95="",0,MIN(IF(Boss参数!$B$77=1,Boss参数!$B$63*Boss参数!$B$62,Boss参数!$B$61*Boss参数!$B$62),DW95+ROUNDDOWN(BS95,0)+ROUNDDOWN(DW95*Q95,0)))</f>
        <v>0</v>
      </c>
      <c r="BV95" s="1">
        <f>IF(D95="",0,MIN(IF(Boss参数!$B$77=1,Boss参数!$B$63*Boss参数!$B$62,Boss参数!$B$61*Boss参数!$B$62),DX95+ROUNDDOWN(BT95,0)+ROUNDDOWN(DX95*Q95,0)))</f>
        <v>0</v>
      </c>
      <c r="BW95" s="1">
        <f t="shared" si="77"/>
        <v>0</v>
      </c>
      <c r="BX95" s="1" t="str">
        <f t="shared" si="78"/>
        <v/>
      </c>
      <c r="BY95" s="1">
        <f t="shared" si="79"/>
        <v>2</v>
      </c>
      <c r="BZ95" s="1">
        <f t="shared" si="80"/>
        <v>2</v>
      </c>
      <c r="CA95" s="1">
        <f>MIN(10,W95+IF(AND(L95="LILYA_COBRA",COUNTIF($L$3:L95,"LILYA_COBRA")=1),5,0)+IF(AND(L95="LILYA_DIVE",U95=1,COUNTIFS($DG$3:DG95,DG95,$L$3:L95,"LILYA_DIVE")=1),2,0)+IF(AND(FE95=1,U95=1),3,0))</f>
        <v>10</v>
      </c>
      <c r="CB95" s="1">
        <f>MIN(20,MAX(0,X95+IF(L95="LILYA_COBRA",IF(COUNTIF($L$3:L95,"LILYA_COBRA")=1,6,IF(U95=1,MAX(1,G95),IF(U95=2,2*MAX(1,G95),0))),0)+IF(AND(Y95=1,E95="红弩箭",L95&lt;&gt;"ENTER_INSIGHT"),1,0)-IF(AND(L95="LILYA_ULT",X95&gt;=6),6,0)))</f>
        <v>8</v>
      </c>
      <c r="CC95" s="1">
        <f t="shared" si="81"/>
        <v>0</v>
      </c>
      <c r="CD95" s="1">
        <f t="shared" si="82"/>
        <v>0</v>
      </c>
      <c r="CE95" s="1">
        <f t="shared" si="83"/>
        <v>0</v>
      </c>
      <c r="CF95" s="1">
        <f t="shared" si="84"/>
        <v>5</v>
      </c>
      <c r="CG95" s="1">
        <f t="shared" si="85"/>
        <v>0</v>
      </c>
      <c r="CH95" s="1">
        <f>MIN(35,AD95+IF(L95="J_HARD",6,0)+IF(L95="J_COUNTER",Boss参数!$B$30,0))</f>
        <v>35</v>
      </c>
      <c r="CI95" s="1">
        <f>MIN(Boss参数!$I$4,AE95+IF(L95="J_HARD",6,0)+IF(L95="J_ULT",AD95,0)+IF(L95="J_COUNTER",Boss参数!$B$30,0))</f>
        <v>30</v>
      </c>
      <c r="CJ95" s="1">
        <f>IF(L95="J_ULT",AD95*Boss参数!$B$41,IF(B95&lt;=AG95,AF95,0))</f>
        <v>0.875</v>
      </c>
      <c r="CK95" s="1">
        <f t="shared" si="86"/>
        <v>8</v>
      </c>
      <c r="CL95" s="1">
        <f t="shared" si="87"/>
        <v>8</v>
      </c>
      <c r="CM95" s="1">
        <f t="shared" si="88"/>
        <v>8</v>
      </c>
      <c r="CN95" s="1">
        <f t="shared" si="89"/>
        <v>9</v>
      </c>
      <c r="CO95" s="1">
        <f t="shared" si="90"/>
        <v>8</v>
      </c>
      <c r="CP95" s="1">
        <f t="shared" si="91"/>
        <v>3</v>
      </c>
      <c r="CQ95" s="1">
        <f t="shared" si="92"/>
        <v>30</v>
      </c>
      <c r="CR95" s="1">
        <f t="shared" si="93"/>
        <v>6</v>
      </c>
      <c r="CS95" s="1">
        <f t="shared" si="94"/>
        <v>0</v>
      </c>
      <c r="CT95" s="1">
        <f t="shared" si="95"/>
        <v>0.12</v>
      </c>
      <c r="CU95" s="1">
        <f t="shared" si="96"/>
        <v>6</v>
      </c>
      <c r="CV95" s="1">
        <f t="shared" si="97"/>
        <v>0.3</v>
      </c>
      <c r="CW95" s="1">
        <f t="shared" si="98"/>
        <v>6</v>
      </c>
      <c r="CX95" s="1">
        <f t="shared" si="99"/>
        <v>0.3</v>
      </c>
      <c r="CY95" s="1">
        <f t="shared" si="100"/>
        <v>8</v>
      </c>
      <c r="CZ95" s="1"/>
      <c r="DA95" s="1"/>
      <c r="DB95" s="1"/>
      <c r="DC95" s="1"/>
      <c r="DD95" s="1"/>
      <c r="DE95" s="1"/>
      <c r="DF95" s="1"/>
      <c r="DG95" s="1">
        <f>IF(D95="","",行动模拟!B101)</f>
        <v>6</v>
      </c>
      <c r="DH95" s="1" t="str">
        <f>IF(L95="END_TURN","回合结束",IF(D95="","",IF(INDEX(回合状态!$C$7:$C$17,MATCH(DG95,回合状态!$A$7:$A$17,0))="洞穿","洞穿",IF(OR(L95="J_COUNTER",L95="BOSS_ACTION",L95="BOSS_CONSERVATIVE"),"敌方",IF(AND(L95="37_FOLLOW",DG95=DG94,DH94="敌方"),"敌方",IF(INDEX(回合状态!$C$7:$C$17,MATCH(DG95,回合状态!$A$7:$A$17,0))="普通","出牌",INDEX(回合状态!$C$7:$C$17,MATCH(DG95,回合状态!$A$7:$A$17,0))))))))</f>
        <v>出牌</v>
      </c>
      <c r="DI95" s="1">
        <f t="shared" si="101"/>
        <v>0</v>
      </c>
      <c r="DJ95" s="1">
        <f>IF(D95="",0,MIN(Boss参数!$B$25,IF(OR(AND(DH95="敌方",OR(DH94&lt;&gt;"敌方",DG95&lt;&gt;DG94)),AND(L95="END_TURN",DH95&lt;&gt;"洞穿"),AND(DG95&lt;&gt;DG94,DH94&lt;&gt;"洞穿",L94&lt;&gt;"END_TURN",COUNTIFS($DG$3:DG94,DG94,$DH$3:DH94,"敌方")=0)),EW95,DN94)))</f>
        <v>5</v>
      </c>
      <c r="DK95" s="1">
        <f>IF(D95="",0,MIN(Boss参数!$B$25,IF(OR(AND(DH95="敌方",OR(DH94&lt;&gt;"敌方",DG95&lt;&gt;DG94)),AND(L95="END_TURN",DH95&lt;&gt;"洞穿"),AND(DG95&lt;&gt;DG94,DH94&lt;&gt;"洞穿",L94&lt;&gt;"END_TURN",COUNTIFS($DG$3:DG94,DG94,$DH$3:DH94,"敌方")=0)),EW95,DO94)))</f>
        <v>4</v>
      </c>
      <c r="DL95" s="1">
        <f>IF(D95="",0,MIN(Boss参数!$B$25,IF(OR(AND(DH95="敌方",OR(DH94&lt;&gt;"敌方",DG95&lt;&gt;DG94)),AND(L95="END_TURN",DH95&lt;&gt;"洞穿"),AND(DG95&lt;&gt;DG94,DH94&lt;&gt;"洞穿",L94&lt;&gt;"END_TURN",COUNTIFS($DG$3:DG94,DG94,$DH$3:DH94,"敌方")=0)),EW95,DP94)))</f>
        <v>5</v>
      </c>
      <c r="DM95" s="1">
        <f>IF(D95="",0,MIN(Boss参数!$B$25,IF(OR(AND(DH95="敌方",OR(DH94&lt;&gt;"敌方",DG95&lt;&gt;DG94)),AND(L95="END_TURN",DH95&lt;&gt;"洞穿"),AND(DG95&lt;&gt;DG94,DH94&lt;&gt;"洞穿",L94&lt;&gt;"END_TURN",COUNTIFS($DG$3:DG94,DG94,$DH$3:DH94,"敌方")=0)),EW95,DQ94)))</f>
        <v>0</v>
      </c>
      <c r="DN95" s="1">
        <f>MAX(0,MIN(Boss参数!$B$25,DJ95+DR95)-IF(E95="红弩箭",2*DR95,0))</f>
        <v>5</v>
      </c>
      <c r="DO95" s="1">
        <f>MAX(0,MIN(Boss参数!$B$25,DK95+DR95)-IF(E95="37",2*DR95,0))</f>
        <v>4</v>
      </c>
      <c r="DP95" s="1">
        <f>MAX(0,MIN(Boss参数!$B$25,DL95+DR95)-IF(E95="小瑞安侬",2*DR95,0))</f>
        <v>5</v>
      </c>
      <c r="DQ95" s="1">
        <f>MAX(0,MIN(Boss参数!$B$25,DM95+DR95)-IF(E95="J",2*DR95,0))</f>
        <v>0</v>
      </c>
      <c r="DR95" s="1">
        <f t="shared" si="102"/>
        <v>0</v>
      </c>
      <c r="DS95" s="1">
        <f t="shared" si="103"/>
        <v>0</v>
      </c>
      <c r="DT95" s="1">
        <f>IF(OR(E95="",E95="系统"),0,IF(OR(AND(DS95=1,Boss参数!$B$32=1),L95="RHI_BERRY",OR(AND(INDEX(角色面板!$B$18:$B$21,MATCH(E95,角色面板!$A$18:$A$21,0))="星",Boss参数!$B$4="岩"),AND(INDEX(角色面板!$B$18:$B$21,MATCH(E95,角色面板!$A$18:$A$21,0))="岩",Boss参数!$B$4="兽"),AND(INDEX(角色面板!$B$18:$B$21,MATCH(E95,角色面板!$A$18:$A$21,0))="兽",Boss参数!$B$4="木"),AND(INDEX(角色面板!$B$18:$B$21,MATCH(E95,角色面板!$A$18:$A$21,0))="木",Boss参数!$B$4="星"),AND(INDEX(角色面板!$B$18:$B$21,MATCH(E95,角色面板!$A$18:$A$21,0))="智",Boss参数!$B$4="灵"),AND(INDEX(角色面板!$B$18:$B$21,MATCH(E95,角色面板!$A$18:$A$21,0))="灵",Boss参数!$B$4="智"))),1,0))</f>
        <v>0</v>
      </c>
      <c r="DU95" s="1">
        <f>IF(D95="",0,INDEX(回合状态!$E$7:$E$17,MATCH(DG95,回合状态!$A$7:$A$17,0))+IF(AND(DH95="敌方",OR(INDEX(回合状态!$C$7:$C$17,MATCH(DG95,回合状态!$A$7:$A$17,0))="普通",INDEX(回合状态!$C$7:$C$17,MATCH(DG95,回合状态!$A$7:$A$17,0))="额外")),0.05,0))</f>
        <v>0.3</v>
      </c>
      <c r="DV95" s="1">
        <f>MAX(Boss参数!$B$28,1+IF(AND(E95="37",AC95&gt;0,BH95&gt;0),Boss参数!$B$42,0)-DI95*Boss参数!$B$24+EA95-ER95)</f>
        <v>9.9999999999999978E-2</v>
      </c>
      <c r="DW95" s="1">
        <f>MIN(IF(Boss参数!$B$77=1,Boss参数!$B$63*Boss参数!$B$62,Boss参数!$B$61*Boss参数!$B$62),ROUNDDOWN(BQ95*(1-ES95),0))</f>
        <v>0</v>
      </c>
      <c r="DX95" s="1">
        <f>MIN(IF(Boss参数!$B$77=1,Boss参数!$B$63*Boss参数!$B$62,Boss参数!$B$61*Boss参数!$B$62),ROUNDDOWN(BR95*(1-ES95),0))</f>
        <v>0</v>
      </c>
      <c r="DY95" s="1">
        <f t="shared" si="135"/>
        <v>250</v>
      </c>
      <c r="DZ95" s="1">
        <f>IF(L95="RHI_ULT",MIN(Boss参数!$B$48,ROUNDDOWN(AY95*Boss参数!$B$47,0)),DY95)</f>
        <v>250</v>
      </c>
      <c r="EA95" s="1">
        <v>0</v>
      </c>
      <c r="EB95" s="1">
        <f t="shared" si="104"/>
        <v>0</v>
      </c>
      <c r="EC95" s="1">
        <f>SUMIFS($EB$3:EB95,$B$3:B95,"&gt;="&amp;MAX(1,B95-2),$B$3:B95,"&lt;="&amp;B95)*Boss参数!$B$51</f>
        <v>10</v>
      </c>
      <c r="ED95" s="1">
        <f>IF(D95="",EG94,IF(AND(DG95&lt;&gt;DG94,DH95&lt;&gt;"洞穿"),MIN(Boss参数!$B$55,EG94+2),EG94))</f>
        <v>1</v>
      </c>
      <c r="EE95" s="1">
        <f t="shared" si="105"/>
        <v>0</v>
      </c>
      <c r="EF95" s="1">
        <f>IF(AND(OR(L95="END_TURN",AND(DH95="敌方",OR(DH94&lt;&gt;"敌方",DG95&lt;&gt;DG94))),SUMIFS($EF$3:EF94,$DG$3:DG94,DG95)=0),MIN(1,MAX(0,ED95-EE95)),0)</f>
        <v>0</v>
      </c>
      <c r="EG95" s="1">
        <f t="shared" si="106"/>
        <v>1</v>
      </c>
      <c r="EH95" s="1">
        <f>Boss参数!$B$53-IF(Y95=1,Boss参数!$B$54,0)</f>
        <v>0</v>
      </c>
      <c r="EI95" s="1">
        <f t="shared" si="107"/>
        <v>0.3</v>
      </c>
      <c r="EJ95" s="1">
        <f t="shared" si="108"/>
        <v>0.3</v>
      </c>
      <c r="EK95" s="1">
        <f t="shared" si="109"/>
        <v>1</v>
      </c>
      <c r="EL95" s="1">
        <f t="shared" si="136"/>
        <v>0</v>
      </c>
      <c r="EM95" s="1">
        <f>IF(AND(DG95&lt;&gt;DG94,DH95="洞穿"),0,IF(L95="ENTER_INSIGHT",Boss参数!$B$57,EO94))</f>
        <v>0</v>
      </c>
      <c r="EN95" s="1">
        <f>IF(AND(Y95=1,H95="洞知",EM95&gt;0),Boss参数!$B$56,0)</f>
        <v>0</v>
      </c>
      <c r="EO95" s="1">
        <f t="shared" si="110"/>
        <v>0</v>
      </c>
      <c r="EP95" s="1">
        <f t="shared" si="137"/>
        <v>14381095</v>
      </c>
      <c r="EQ95" s="1">
        <f>ROUNDDOWN(EP95/Boss参数!$B$62,0)</f>
        <v>143</v>
      </c>
      <c r="ER95" s="1">
        <f>IF(EQ95&gt;=Boss参数!$B$66,Boss参数!$B$69,IF(EQ95&gt;=Boss参数!$B$65,Boss参数!$B$68,IF(EQ95&gt;=Boss参数!$B$64,Boss参数!$B$67,0)))</f>
        <v>0.9</v>
      </c>
      <c r="ES95" s="1">
        <f>MIN(1,IF(EQ95&gt;=Boss参数!$B$66,Boss参数!$B$72+ROUNDDOWN((EQ95-Boss参数!$B$66)/Boss参数!$B$73,0)*Boss参数!$B$74,IF(EQ95&gt;=Boss参数!$B$65,Boss参数!$B$71,IF(EQ95&gt;=Boss参数!$B$64,Boss参数!$B$70,0))))</f>
        <v>0.6</v>
      </c>
      <c r="ET95" s="1">
        <f>MIN(Boss参数!$B$61*Boss参数!$B$62,EP95+IF(AND(Boss参数!$B$60=1,ISNUMBER(验证表!H101)),验证表!H101,EU95))</f>
        <v>14381095</v>
      </c>
      <c r="EU95" s="1">
        <f>IF(D95="",0,IF(验证表!G101="是",BV95,IF(验证表!G101="否",BU95,BW95)))</f>
        <v>0</v>
      </c>
      <c r="EV95" s="1">
        <f>IF(EQ95&gt;=Boss参数!$B$66,2,IF(EQ95&gt;=Boss参数!$B$65,1,0))</f>
        <v>2</v>
      </c>
      <c r="EW95" s="1">
        <f t="shared" si="111"/>
        <v>3</v>
      </c>
      <c r="EX95" s="1">
        <f>IF(D95="",0,INDEX(回合状态!$D$7:$D$17,MATCH(DG95,回合状态!$A$7:$A$17,0)))</f>
        <v>6</v>
      </c>
      <c r="EY95" s="1">
        <f>IF(OR(L95="RHI_ATTACK",L95="RHI_BUFF"),1,IF(L95="RHI_ULT",Boss参数!$B$52,0))</f>
        <v>0</v>
      </c>
      <c r="EZ95" s="1">
        <f>MIN(6,SUMIFS($EY$3:EY95,$EX$3:EX95,"&gt;="&amp;MAX(1,EX95-Boss参数!$B$87+1),$EX$3:EX95,"&lt;="&amp;EX95))</f>
        <v>6</v>
      </c>
      <c r="FA95" s="1">
        <f t="shared" si="138"/>
        <v>35</v>
      </c>
      <c r="FB95" s="17">
        <f>IF(L95="BOSS_CONSERVATIVE",B95+Boss参数!$B$91,FB94)</f>
        <v>7</v>
      </c>
      <c r="FC95" s="17">
        <f t="shared" si="139"/>
        <v>0</v>
      </c>
      <c r="FD95" s="17">
        <f>IF(D95="",FD94,FD94+IF(AND(DG95&lt;&gt;DG94,INDEX(回合状态!$C$7:$C$17,MATCH(DG95,回合状态!$A$7:$A$17,0))&lt;&gt;"洞穿"),1,0))</f>
        <v>7</v>
      </c>
      <c r="FE95" s="17">
        <f>IF(D95="",0,IF(AND(OR(L95="END_TURN",DH95="敌方"),INDEX(回合状态!$C$7:$C$17,MATCH(DG95,回合状态!$A$7:$A$17,0))&lt;&gt;"洞穿",SUMIFS($FE$3:FE94,$DG$3:DG94,DG95)=0),1,0))</f>
        <v>0</v>
      </c>
    </row>
    <row r="96" spans="1:161" ht="84.95" customHeight="1">
      <c r="A96" s="1">
        <f>行动模拟!A102</f>
        <v>94</v>
      </c>
      <c r="B96" s="1">
        <f>IF(D96="",0,INDEX(回合状态!$B$7:$B$17,MATCH(DG96,回合状态!$A$7:$A$17,0)))</f>
        <v>6</v>
      </c>
      <c r="C96" s="1">
        <f>行动模拟!C102</f>
        <v>5</v>
      </c>
      <c r="D96" s="1" t="str">
        <f>IF(行动模拟!D102="","",行动模拟!D102)</f>
        <v>37｜补充算式</v>
      </c>
      <c r="E96" s="1" t="str">
        <f>IF($D96="","",IFERROR(INDEX(技能数据库!$B$4:$B$38,MATCH($D96,技能数据库!$A$4:$A$38,0)),""))</f>
        <v>37</v>
      </c>
      <c r="F96" s="1" t="str">
        <f>IF($D96="","",IFERROR(INDEX(技能数据库!$C$4:$C$38,MATCH($D96,技能数据库!$A$4:$A$38,0)),""))</f>
        <v>补充算式</v>
      </c>
      <c r="G96" s="1">
        <f>IF($D96="","",IFERROR(INDEX(技能数据库!$D$4:$D$38,MATCH($D96,技能数据库!$A$4:$A$38,0)),""))</f>
        <v>0</v>
      </c>
      <c r="H96" s="1" t="str">
        <f>IF($D96="","",IFERROR(INDEX(技能数据库!$E$4:$E$38,MATCH($D96,技能数据库!$A$4:$A$38,0)),""))</f>
        <v>额外行动</v>
      </c>
      <c r="I96" s="1" t="str">
        <f>IF($D96="","",IFERROR(INDEX(技能数据库!$F$4:$F$38,MATCH($D96,技能数据库!$A$4:$A$38,0)),""))</f>
        <v>精神</v>
      </c>
      <c r="J96" s="1">
        <f>IF($D96="","",IFERROR(INDEX(技能数据库!$G$4:$G$38,MATCH($D96,技能数据库!$A$4:$A$38,0)),""))</f>
        <v>3</v>
      </c>
      <c r="K96" s="1">
        <f>IF($D96="","",IFERROR(INDEX(技能数据库!$H$4:$H$38,MATCH($D96,技能数据库!$A$4:$A$38,0)),""))</f>
        <v>1</v>
      </c>
      <c r="L96" s="1" t="str">
        <f>IF($D96="","",IFERROR(INDEX(技能数据库!$I$4:$I$38,MATCH($D96,技能数据库!$A$4:$A$38,0)),""))</f>
        <v>37_FOLLOW</v>
      </c>
      <c r="M96" s="1">
        <v>1</v>
      </c>
      <c r="N96" s="1"/>
      <c r="O96" s="1"/>
      <c r="P96" s="1"/>
      <c r="Q96" s="1">
        <f t="shared" si="70"/>
        <v>0</v>
      </c>
      <c r="R96" s="1">
        <v>0</v>
      </c>
      <c r="S96" s="1">
        <v>0</v>
      </c>
      <c r="T96" s="1">
        <f>行动模拟!I102</f>
        <v>0</v>
      </c>
      <c r="U96" s="1">
        <f>IF(FD96&lt;&gt;FD95,IF(BY95=1,IF(MIN(10,CA95+IF(AND(DG96&lt;&gt;DG95,DH95&lt;&gt;"洞穿",SUMIFS($FE$3:FE95,$DG$3:DG95,DG95)=0,BY95=1),3,0))&gt;=10,2,1),IF(BY95=2,IF(BZ95&lt;=1,0,2),0)),BY95)</f>
        <v>2</v>
      </c>
      <c r="V96" s="1">
        <f>IF(FD96&lt;&gt;FD95,IF(BY95=1,IF(MIN(10,CA95+IF(AND(DG96&lt;&gt;DG95,DH95&lt;&gt;"洞穿",SUMIFS($FE$3:FE95,$DG$3:DG95,DG95)=0,BY95=1),3,0))&gt;=10,2,0),IF(BY95=2,MAX(0,BZ95-1),0)),BZ95)</f>
        <v>2</v>
      </c>
      <c r="W96" s="1">
        <f>IF(AND(FD96&lt;&gt;FD95,BY95=2,BZ95&lt;=1),0,MIN(10,CA95+IF(AND(DG96&lt;&gt;DG95,DH95&lt;&gt;"洞穿",SUMIFS($FE$3:FE95,$DG$3:DG95,DG95)=0,BY95=1),3,0)))</f>
        <v>10</v>
      </c>
      <c r="X96" s="1">
        <f t="shared" si="112"/>
        <v>8</v>
      </c>
      <c r="Y96" s="1">
        <f t="shared" si="113"/>
        <v>0</v>
      </c>
      <c r="Z96" s="1">
        <f t="shared" si="114"/>
        <v>0</v>
      </c>
      <c r="AA96" s="1">
        <f t="shared" si="115"/>
        <v>0</v>
      </c>
      <c r="AB96" s="1">
        <f t="shared" si="116"/>
        <v>5</v>
      </c>
      <c r="AC96" s="1">
        <f t="shared" si="117"/>
        <v>0</v>
      </c>
      <c r="AD96" s="1">
        <f t="shared" si="118"/>
        <v>35</v>
      </c>
      <c r="AE96" s="1">
        <f>IF(D96="",0,IF(DG96&lt;&gt;DG95,IFERROR(INDEX(回合状态!$F$7:$F$17,MATCH(DG96,回合状态!$A$7:$A$17,0)),0),CI95))</f>
        <v>30</v>
      </c>
      <c r="AF96" s="1">
        <f t="shared" si="119"/>
        <v>0.875</v>
      </c>
      <c r="AG96" s="1">
        <f t="shared" si="120"/>
        <v>8</v>
      </c>
      <c r="AH96" s="1">
        <f t="shared" si="121"/>
        <v>8</v>
      </c>
      <c r="AI96" s="1">
        <f t="shared" si="122"/>
        <v>8</v>
      </c>
      <c r="AJ96" s="1">
        <f t="shared" si="123"/>
        <v>9</v>
      </c>
      <c r="AK96" s="1">
        <f t="shared" si="124"/>
        <v>8</v>
      </c>
      <c r="AL96" s="1">
        <f t="shared" si="125"/>
        <v>3</v>
      </c>
      <c r="AM96" s="1">
        <f t="shared" si="126"/>
        <v>30</v>
      </c>
      <c r="AN96" s="1">
        <f t="shared" si="127"/>
        <v>6</v>
      </c>
      <c r="AO96" s="1">
        <f t="shared" si="128"/>
        <v>0</v>
      </c>
      <c r="AP96" s="1">
        <f t="shared" si="129"/>
        <v>0.12</v>
      </c>
      <c r="AQ96" s="1">
        <f t="shared" si="130"/>
        <v>6</v>
      </c>
      <c r="AR96" s="1">
        <f t="shared" si="131"/>
        <v>0.3</v>
      </c>
      <c r="AS96" s="1">
        <f t="shared" si="132"/>
        <v>6</v>
      </c>
      <c r="AT96" s="1">
        <f t="shared" si="133"/>
        <v>0.3</v>
      </c>
      <c r="AU96" s="1">
        <f t="shared" si="134"/>
        <v>8</v>
      </c>
      <c r="AV96" s="1">
        <f>MIN(5,SUMIFS($EL$3:EL96,$B$3:B96,"&gt;="&amp;MAX(1,B96-2),$B$3:B96,"&lt;="&amp;B96)+EC96)</f>
        <v>5</v>
      </c>
      <c r="AW96" s="1">
        <f>MIN(6,SUMIFS($EY$3:EY95,$EX$3:EX95,"&gt;="&amp;MAX(1,EX96-Boss参数!$B$87+1),$EX$3:EX95,"&lt;="&amp;EX96))</f>
        <v>6</v>
      </c>
      <c r="AX96" s="1">
        <f>MIN(4,COUNTIFS($B$3:$B$95,"&gt;="&amp;MAX(1,$B96-2),$B$3:$B$95,"&lt;="&amp;$B96,$L$3:$L$95,"37_FOLLOW"))</f>
        <v>4</v>
      </c>
      <c r="AY96" s="1">
        <f>IF($E96="","",IF($E96="系统",0,ROUNDDOWN(INDEX(角色面板!$C$4:$C$7,MATCH($E96,角色面板!$A$4:$A$7,0))*(1+INDEX(角色面板!$C$11:$C$14,MATCH($E96,角色面板!$A$11:$A$14,0))+IF($E96="小瑞安侬",MAX(IF($B96&lt;=$AQ96,$AP96,0),IF(AND($L96="RHI_ATTACK",$EE96&gt;0),0.11+0.01*$G96,0)),0)+IF($E96="J",$AD96*Boss参数!$B$18,0))+IF(FD96&lt;=$AN96,MIN(Boss参数!$B$21,ROUNDDOWN(角色面板!$C$19*Boss参数!$B$20,0)),0)+IF(AND($B96&lt;=$AK96,$E96&lt;&gt;"小瑞安侬"),$DY96,0),0)))</f>
        <v>3017</v>
      </c>
      <c r="AZ96" s="1">
        <f>IF($E96="","",MAX(0,MIN(1,IFERROR(INDEX(角色面板!$G$18:$G$21,MATCH($E96,角色面板!$A$18:$A$21,0)),0)-FC96*Boss参数!$B$89-Boss参数!$E$4)))</f>
        <v>0.26</v>
      </c>
      <c r="BA96" s="1">
        <f>IF(E96="","",(IF($E96="","",IF($E96="红弩箭",Boss参数!$B$80,IF($E96="J",Boss参数!$B$81,IFERROR(INDEX(角色面板!$H$18:$H$21,MATCH($E96,角色面板!$A$18:$A$21,0)),0)))+IF($B96&lt;=$AI96,Boss参数!$B$13,0)+MIN(30,$AM96)*Boss参数!$B$17+IF(AND($L96="LILYA_ULT",$X96&gt;=6),1,0)+IF(AND($Y96=1,$L96="LILYA_INSIGHT"),IF(MOD($AA96+1,3)=0,Boss参数!$B$83,Boss参数!$B$82),IF(AND($Y96=1,$L96="LILYA_FINISH"),Boss参数!$B$84,0))))-FC96*Boss参数!$B$90)</f>
        <v>1.7780000000000002</v>
      </c>
      <c r="BB96" s="1">
        <f>IF($E96="","",IFERROR(INDEX(角色面板!$M$18:$M$21,MATCH($E96,角色面板!$A$18:$A$21,0)),0)+$AW96*Boss参数!$B$12+IF($B96&lt;=$AG96,$AF96,0)+$EI96+IF($L96="LILYA_DIVE",IF($U96=1,IF($G96=1,0.3,IF($G96=2,0.4,0.5)),IF($U96=2,IF($G96=1,0.6,IF($G96=2,0.8,1)),0)),0)+$R96+IF(AND($E96="J",OR($L96="J_COUNTER",$L96="J_HARD")),Boss参数!$B$79,0)+IF(AND(OR(L96="J_COUNTER",L96="J_HARD"),FA96&gt;=Boss参数!$B$59),FA96*Boss参数!$B$40,0))</f>
        <v>1.2949999999999999</v>
      </c>
      <c r="BC96" s="1">
        <f>IF($E96="","",IFERROR(INDEX(角色面板!$K$18:$K$21,MATCH($E96,角色面板!$A$18:$A$21,0)),0)+IF($B96&lt;=$AH96,Boss参数!$B$46,0)+IF($E96="红弩箭",IF($U96=1,0.6,IF($U96=2,1.2,0))+$W96*0.06,0))-DI96*Boss参数!$B$23</f>
        <v>-0.7</v>
      </c>
      <c r="BD96" s="1">
        <f>IF($E96="","",IFERROR(INDEX(角色面板!$L$18:$L$21,MATCH($E96,角色面板!$A$18:$A$21,0)),0)+IF($B96&lt;=$AH96,Boss参数!$B$46,0)+IF($E96="J",$AL96*Boss参数!$B$16,0)+IF($E96="红弩箭",$X96*0.025,0)+IF(AND($L96="LILYA_ULT",$X96&gt;=6),1,0))-DI96*Boss参数!$B$23</f>
        <v>-0.3</v>
      </c>
      <c r="BE96" s="1">
        <f>IF($E96="","",IF($H96="洞知",IF($E96="红弩箭",$AO96*Boss参数!$B$15,0)+$AX96*Boss参数!$B$14,0))</f>
        <v>0</v>
      </c>
      <c r="BF96" s="1">
        <f t="shared" si="71"/>
        <v>0</v>
      </c>
      <c r="BG96" s="1">
        <f>IF($D96="",0,IF(AND($L96&lt;&gt;"LILYA_DIVE",$L96&lt;&gt;"LILYA_ULT",$L96&lt;&gt;"LILYA_INSIGHT",$L96&lt;&gt;"LILYA_FINISH",$L96&lt;&gt;"37_FOLLOW",$L96&lt;&gt;"RHI_ATTACK",$L96&lt;&gt;"RHI_BERRY",$L96&lt;&gt;"J_COUNTER",$L96&lt;&gt;"J_ULT"),$J96,0)+IF($L96="LILYA_DIVE",$J96+IF($U96=1,IF($G96=1,6,IF($G96=2,12,18)),IF($U96=2,IF($G96=1,12,IF($G96=2,24,36)),0)),0)+IF($L96="LILYA_ULT",$J96+IF($X96&gt;=6,18,0),0)+IF($L96="LILYA_INSIGHT",IF($Y96=1,IF(MOD($AA96+1,3)=0,32,15),0),0)+IF($L96="LILYA_FINISH",IF($Y96=1,50+2.5*$Z96,0),0)+IF($L96="37_FOLLOW",$J96,0)+IF($L96="RHI_ATTACK",$J96*IF($B96&lt;=$AJ96,2,1),0)+IF($L96="RHI_BERRY",15+1.5*$AV96,0)+IF($L96="J_COUNTER",$J96+$AD96*Boss参数!$B$39,0)+IF($L96="J_ULT",$J96+Boss参数!$B$45*MAX(0,$AE96+$AD96-Boss参数!$I$4),0)+$S96)</f>
        <v>3</v>
      </c>
      <c r="BH96" s="1">
        <f t="shared" si="72"/>
        <v>1</v>
      </c>
      <c r="BI96" s="1">
        <f>IF(E96="","",IF(DT96=1,1+Boss参数!$B$8+AV96*Boss参数!$B$19,1))</f>
        <v>1.5</v>
      </c>
      <c r="BJ96" s="1">
        <f>IF($I96="现实",Boss参数!$C$4,IF($I96="精神",Boss参数!$D$4,0))</f>
        <v>1000</v>
      </c>
      <c r="BK96" s="1">
        <f>IF($E96="","",MAX($AY96*Boss参数!$B$9,$AY96-$BJ96*(1-$BF96)))</f>
        <v>2017</v>
      </c>
      <c r="BL96" s="1">
        <f>MAX(0,Boss参数!$F$4+IF(DT96=0,Boss参数!$B$27,0)-EJ96)</f>
        <v>0.10000000000000003</v>
      </c>
      <c r="BM96" s="1">
        <f>Boss参数!$G$4+DU96-IF(Y96=1,Boss参数!$B$11,0)</f>
        <v>0.7</v>
      </c>
      <c r="BN96" s="1">
        <f>IF($E96="","",MAX(Boss参数!$B$10,1+IFERROR(INDEX(角色面板!$I$18:$I$21,MATCH($E96,角色面板!$A$18:$A$21,0)),0)+$BB96+Boss参数!$H$4-$BM96))</f>
        <v>1.5999999999999999</v>
      </c>
      <c r="BO96" s="1">
        <f>IF(E96="","",IF(OR(L96="J_COUNTER",L96="J_HARD"),MAX(0,1+INDEX(角色面板!$K$18:$K$21,MATCH(E96,角色面板!$A$18:$A$21,0))-DI96*Boss参数!$B$23+IF(OR(Boss参数!$B$43=1,L96="J_HARD"),IF(B96&lt;=AH96,Boss参数!$B$46,0),0)),MAX(0,IF(OR(H96="术法",L96="RHI_BERRY",AND(L96="37_FOLLOW",Boss参数!$B$31=1)),1+BC96,IF(H96="仪式",1+BD96,IF(H96="洞知",EK96,1))))))</f>
        <v>0.30000000000000004</v>
      </c>
      <c r="BP96" s="1">
        <f t="shared" si="73"/>
        <v>1.6780000000000002</v>
      </c>
      <c r="BQ96" s="1">
        <f t="shared" si="74"/>
        <v>4356.72</v>
      </c>
      <c r="BR96" s="1">
        <f t="shared" si="75"/>
        <v>7310.5761600000014</v>
      </c>
      <c r="BS96" s="1">
        <f>IF(BH96=0,0,ROUNDDOWN(AY96*BH96,0)*DV96*IF(Boss参数!$B$29=1,BN96,1)*IF(Boss参数!$B$33=1,BO96,1)*IF(Boss参数!$B$76=1,1-ES96,1))</f>
        <v>0</v>
      </c>
      <c r="BT96" s="1">
        <f t="shared" si="76"/>
        <v>0</v>
      </c>
      <c r="BU96" s="1">
        <f>IF(D96="",0,MIN(IF(Boss参数!$B$77=1,Boss参数!$B$63*Boss参数!$B$62,Boss参数!$B$61*Boss参数!$B$62),DW96+ROUNDDOWN(BS96,0)+ROUNDDOWN(DW96*Q96,0)))</f>
        <v>1742</v>
      </c>
      <c r="BV96" s="1">
        <f>IF(D96="",0,MIN(IF(Boss参数!$B$77=1,Boss参数!$B$63*Boss参数!$B$62,Boss参数!$B$61*Boss参数!$B$62),DX96+ROUNDDOWN(BT96,0)+ROUNDDOWN(DX96*Q96,0)))</f>
        <v>2924</v>
      </c>
      <c r="BW96" s="1">
        <f t="shared" si="77"/>
        <v>2049</v>
      </c>
      <c r="BX96" s="1" t="str">
        <f t="shared" si="78"/>
        <v/>
      </c>
      <c r="BY96" s="1">
        <f t="shared" si="79"/>
        <v>2</v>
      </c>
      <c r="BZ96" s="1">
        <f t="shared" si="80"/>
        <v>2</v>
      </c>
      <c r="CA96" s="1">
        <f>MIN(10,W96+IF(AND(L96="LILYA_COBRA",COUNTIF($L$3:L96,"LILYA_COBRA")=1),5,0)+IF(AND(L96="LILYA_DIVE",U96=1,COUNTIFS($DG$3:DG96,DG96,$L$3:L96,"LILYA_DIVE")=1),2,0)+IF(AND(FE96=1,U96=1),3,0))</f>
        <v>10</v>
      </c>
      <c r="CB96" s="1">
        <f>MIN(20,MAX(0,X96+IF(L96="LILYA_COBRA",IF(COUNTIF($L$3:L96,"LILYA_COBRA")=1,6,IF(U96=1,MAX(1,G96),IF(U96=2,2*MAX(1,G96),0))),0)+IF(AND(Y96=1,E96="红弩箭",L96&lt;&gt;"ENTER_INSIGHT"),1,0)-IF(AND(L96="LILYA_ULT",X96&gt;=6),6,0)))</f>
        <v>8</v>
      </c>
      <c r="CC96" s="1">
        <f t="shared" si="81"/>
        <v>0</v>
      </c>
      <c r="CD96" s="1">
        <f t="shared" si="82"/>
        <v>0</v>
      </c>
      <c r="CE96" s="1">
        <f t="shared" si="83"/>
        <v>0</v>
      </c>
      <c r="CF96" s="1">
        <f t="shared" si="84"/>
        <v>0</v>
      </c>
      <c r="CG96" s="1">
        <f t="shared" si="85"/>
        <v>0</v>
      </c>
      <c r="CH96" s="1">
        <f>MIN(35,AD96+IF(L96="J_HARD",6,0)+IF(L96="J_COUNTER",Boss参数!$B$30,0))</f>
        <v>35</v>
      </c>
      <c r="CI96" s="1">
        <f>MIN(Boss参数!$I$4,AE96+IF(L96="J_HARD",6,0)+IF(L96="J_ULT",AD96,0)+IF(L96="J_COUNTER",Boss参数!$B$30,0))</f>
        <v>30</v>
      </c>
      <c r="CJ96" s="1">
        <f>IF(L96="J_ULT",AD96*Boss参数!$B$41,IF(B96&lt;=AG96,AF96,0))</f>
        <v>0.875</v>
      </c>
      <c r="CK96" s="1">
        <f t="shared" si="86"/>
        <v>8</v>
      </c>
      <c r="CL96" s="1">
        <f t="shared" si="87"/>
        <v>8</v>
      </c>
      <c r="CM96" s="1">
        <f t="shared" si="88"/>
        <v>8</v>
      </c>
      <c r="CN96" s="1">
        <f t="shared" si="89"/>
        <v>9</v>
      </c>
      <c r="CO96" s="1">
        <f t="shared" si="90"/>
        <v>8</v>
      </c>
      <c r="CP96" s="1">
        <f t="shared" si="91"/>
        <v>3</v>
      </c>
      <c r="CQ96" s="1">
        <f t="shared" si="92"/>
        <v>30</v>
      </c>
      <c r="CR96" s="1">
        <f t="shared" si="93"/>
        <v>6</v>
      </c>
      <c r="CS96" s="1">
        <f t="shared" si="94"/>
        <v>0</v>
      </c>
      <c r="CT96" s="1">
        <f t="shared" si="95"/>
        <v>0.12</v>
      </c>
      <c r="CU96" s="1">
        <f t="shared" si="96"/>
        <v>6</v>
      </c>
      <c r="CV96" s="1">
        <f t="shared" si="97"/>
        <v>0.3</v>
      </c>
      <c r="CW96" s="1">
        <f t="shared" si="98"/>
        <v>6</v>
      </c>
      <c r="CX96" s="1">
        <f t="shared" si="99"/>
        <v>0.3</v>
      </c>
      <c r="CY96" s="1">
        <f t="shared" si="100"/>
        <v>8</v>
      </c>
      <c r="CZ96" s="1"/>
      <c r="DA96" s="1"/>
      <c r="DB96" s="1"/>
      <c r="DC96" s="1"/>
      <c r="DD96" s="1"/>
      <c r="DE96" s="1"/>
      <c r="DF96" s="1"/>
      <c r="DG96" s="1">
        <f>IF(D96="","",行动模拟!B102)</f>
        <v>6</v>
      </c>
      <c r="DH96" s="1" t="str">
        <f>IF(L96="END_TURN","回合结束",IF(D96="","",IF(INDEX(回合状态!$C$7:$C$17,MATCH(DG96,回合状态!$A$7:$A$17,0))="洞穿","洞穿",IF(OR(L96="J_COUNTER",L96="BOSS_ACTION",L96="BOSS_CONSERVATIVE"),"敌方",IF(AND(L96="37_FOLLOW",DG96=DG95,DH95="敌方"),"敌方",IF(INDEX(回合状态!$C$7:$C$17,MATCH(DG96,回合状态!$A$7:$A$17,0))="普通","出牌",INDEX(回合状态!$C$7:$C$17,MATCH(DG96,回合状态!$A$7:$A$17,0))))))))</f>
        <v>出牌</v>
      </c>
      <c r="DI96" s="1">
        <f t="shared" si="101"/>
        <v>4</v>
      </c>
      <c r="DJ96" s="1">
        <f>IF(D96="",0,MIN(Boss参数!$B$25,IF(OR(AND(DH96="敌方",OR(DH95&lt;&gt;"敌方",DG96&lt;&gt;DG95)),AND(L96="END_TURN",DH96&lt;&gt;"洞穿"),AND(DG96&lt;&gt;DG95,DH95&lt;&gt;"洞穿",L95&lt;&gt;"END_TURN",COUNTIFS($DG$3:DG95,DG95,$DH$3:DH95,"敌方")=0)),EW96,DN95)))</f>
        <v>5</v>
      </c>
      <c r="DK96" s="1">
        <f>IF(D96="",0,MIN(Boss参数!$B$25,IF(OR(AND(DH96="敌方",OR(DH95&lt;&gt;"敌方",DG96&lt;&gt;DG95)),AND(L96="END_TURN",DH96&lt;&gt;"洞穿"),AND(DG96&lt;&gt;DG95,DH95&lt;&gt;"洞穿",L95&lt;&gt;"END_TURN",COUNTIFS($DG$3:DG95,DG95,$DH$3:DH95,"敌方")=0)),EW96,DO95)))</f>
        <v>4</v>
      </c>
      <c r="DL96" s="1">
        <f>IF(D96="",0,MIN(Boss参数!$B$25,IF(OR(AND(DH96="敌方",OR(DH95&lt;&gt;"敌方",DG96&lt;&gt;DG95)),AND(L96="END_TURN",DH96&lt;&gt;"洞穿"),AND(DG96&lt;&gt;DG95,DH95&lt;&gt;"洞穿",L95&lt;&gt;"END_TURN",COUNTIFS($DG$3:DG95,DG95,$DH$3:DH95,"敌方")=0)),EW96,DP95)))</f>
        <v>5</v>
      </c>
      <c r="DM96" s="1">
        <f>IF(D96="",0,MIN(Boss参数!$B$25,IF(OR(AND(DH96="敌方",OR(DH95&lt;&gt;"敌方",DG96&lt;&gt;DG95)),AND(L96="END_TURN",DH96&lt;&gt;"洞穿"),AND(DG96&lt;&gt;DG95,DH95&lt;&gt;"洞穿",L95&lt;&gt;"END_TURN",COUNTIFS($DG$3:DG95,DG95,$DH$3:DH95,"敌方")=0)),EW96,DQ95)))</f>
        <v>0</v>
      </c>
      <c r="DN96" s="1">
        <f>MAX(0,MIN(Boss参数!$B$25,DJ96+DR96)-IF(E96="红弩箭",2*DR96,0))</f>
        <v>5</v>
      </c>
      <c r="DO96" s="1">
        <f>MAX(0,MIN(Boss参数!$B$25,DK96+DR96)-IF(E96="37",2*DR96,0))</f>
        <v>3</v>
      </c>
      <c r="DP96" s="1">
        <f>MAX(0,MIN(Boss参数!$B$25,DL96+DR96)-IF(E96="小瑞安侬",2*DR96,0))</f>
        <v>5</v>
      </c>
      <c r="DQ96" s="1">
        <f>MAX(0,MIN(Boss参数!$B$25,DM96+DR96)-IF(E96="J",2*DR96,0))</f>
        <v>1</v>
      </c>
      <c r="DR96" s="1">
        <f t="shared" si="102"/>
        <v>1</v>
      </c>
      <c r="DS96" s="1">
        <f t="shared" si="103"/>
        <v>0</v>
      </c>
      <c r="DT96" s="1">
        <f>IF(OR(E96="",E96="系统"),0,IF(OR(AND(DS96=1,Boss参数!$B$32=1),L96="RHI_BERRY",OR(AND(INDEX(角色面板!$B$18:$B$21,MATCH(E96,角色面板!$A$18:$A$21,0))="星",Boss参数!$B$4="岩"),AND(INDEX(角色面板!$B$18:$B$21,MATCH(E96,角色面板!$A$18:$A$21,0))="岩",Boss参数!$B$4="兽"),AND(INDEX(角色面板!$B$18:$B$21,MATCH(E96,角色面板!$A$18:$A$21,0))="兽",Boss参数!$B$4="木"),AND(INDEX(角色面板!$B$18:$B$21,MATCH(E96,角色面板!$A$18:$A$21,0))="木",Boss参数!$B$4="星"),AND(INDEX(角色面板!$B$18:$B$21,MATCH(E96,角色面板!$A$18:$A$21,0))="智",Boss参数!$B$4="灵"),AND(INDEX(角色面板!$B$18:$B$21,MATCH(E96,角色面板!$A$18:$A$21,0))="灵",Boss参数!$B$4="智"))),1,0))</f>
        <v>1</v>
      </c>
      <c r="DU96" s="1">
        <f>IF(D96="",0,INDEX(回合状态!$E$7:$E$17,MATCH(DG96,回合状态!$A$7:$A$17,0))+IF(AND(DH96="敌方",OR(INDEX(回合状态!$C$7:$C$17,MATCH(DG96,回合状态!$A$7:$A$17,0))="普通",INDEX(回合状态!$C$7:$C$17,MATCH(DG96,回合状态!$A$7:$A$17,0))="额外")),0.05,0))</f>
        <v>0.3</v>
      </c>
      <c r="DV96" s="1">
        <f>MAX(Boss参数!$B$28,1+IF(AND(E96="37",AC96&gt;0,BH96&gt;0),Boss参数!$B$42,0)-DI96*Boss参数!$B$24+EA96-ER96)</f>
        <v>0</v>
      </c>
      <c r="DW96" s="1">
        <f>MIN(IF(Boss参数!$B$77=1,Boss参数!$B$63*Boss参数!$B$62,Boss参数!$B$61*Boss参数!$B$62),ROUNDDOWN(BQ96*(1-ES96),0))</f>
        <v>1742</v>
      </c>
      <c r="DX96" s="1">
        <f>MIN(IF(Boss参数!$B$77=1,Boss参数!$B$63*Boss参数!$B$62,Boss参数!$B$61*Boss参数!$B$62),ROUNDDOWN(BR96*(1-ES96),0))</f>
        <v>2924</v>
      </c>
      <c r="DY96" s="1">
        <f t="shared" si="135"/>
        <v>250</v>
      </c>
      <c r="DZ96" s="1">
        <f>IF(L96="RHI_ULT",MIN(Boss参数!$B$48,ROUNDDOWN(AY96*Boss参数!$B$47,0)),DY96)</f>
        <v>250</v>
      </c>
      <c r="EA96" s="1">
        <v>0</v>
      </c>
      <c r="EB96" s="1">
        <f t="shared" si="104"/>
        <v>0</v>
      </c>
      <c r="EC96" s="1">
        <f>SUMIFS($EB$3:EB96,$B$3:B96,"&gt;="&amp;MAX(1,B96-2),$B$3:B96,"&lt;="&amp;B96)*Boss参数!$B$51</f>
        <v>10</v>
      </c>
      <c r="ED96" s="1">
        <f>IF(D96="",EG95,IF(AND(DG96&lt;&gt;DG95,DH96&lt;&gt;"洞穿"),MIN(Boss参数!$B$55,EG95+2),EG95))</f>
        <v>1</v>
      </c>
      <c r="EE96" s="1">
        <f t="shared" si="105"/>
        <v>0</v>
      </c>
      <c r="EF96" s="1">
        <f>IF(AND(OR(L96="END_TURN",AND(DH96="敌方",OR(DH95&lt;&gt;"敌方",DG96&lt;&gt;DG95))),SUMIFS($EF$3:EF95,$DG$3:DG95,DG96)=0),MIN(1,MAX(0,ED96-EE96)),0)</f>
        <v>0</v>
      </c>
      <c r="EG96" s="1">
        <f t="shared" si="106"/>
        <v>1</v>
      </c>
      <c r="EH96" s="1">
        <f>Boss参数!$B$53-IF(Y96=1,Boss参数!$B$54,0)</f>
        <v>0</v>
      </c>
      <c r="EI96" s="1">
        <f t="shared" si="107"/>
        <v>0.3</v>
      </c>
      <c r="EJ96" s="1">
        <f t="shared" si="108"/>
        <v>0.3</v>
      </c>
      <c r="EK96" s="1">
        <f t="shared" si="109"/>
        <v>1</v>
      </c>
      <c r="EL96" s="1">
        <f t="shared" si="136"/>
        <v>0</v>
      </c>
      <c r="EM96" s="1">
        <f>IF(AND(DG96&lt;&gt;DG95,DH96="洞穿"),0,IF(L96="ENTER_INSIGHT",Boss参数!$B$57,EO95))</f>
        <v>0</v>
      </c>
      <c r="EN96" s="1">
        <f>IF(AND(Y96=1,H96="洞知",EM96&gt;0),Boss参数!$B$56,0)</f>
        <v>0</v>
      </c>
      <c r="EO96" s="1">
        <f t="shared" si="110"/>
        <v>0</v>
      </c>
      <c r="EP96" s="1">
        <f t="shared" si="137"/>
        <v>14381095</v>
      </c>
      <c r="EQ96" s="1">
        <f>ROUNDDOWN(EP96/Boss参数!$B$62,0)</f>
        <v>143</v>
      </c>
      <c r="ER96" s="1">
        <f>IF(EQ96&gt;=Boss参数!$B$66,Boss参数!$B$69,IF(EQ96&gt;=Boss参数!$B$65,Boss参数!$B$68,IF(EQ96&gt;=Boss参数!$B$64,Boss参数!$B$67,0)))</f>
        <v>0.9</v>
      </c>
      <c r="ES96" s="1">
        <f>MIN(1,IF(EQ96&gt;=Boss参数!$B$66,Boss参数!$B$72+ROUNDDOWN((EQ96-Boss参数!$B$66)/Boss参数!$B$73,0)*Boss参数!$B$74,IF(EQ96&gt;=Boss参数!$B$65,Boss参数!$B$71,IF(EQ96&gt;=Boss参数!$B$64,Boss参数!$B$70,0))))</f>
        <v>0.6</v>
      </c>
      <c r="ET96" s="1">
        <f>MIN(Boss参数!$B$61*Boss参数!$B$62,EP96+IF(AND(Boss参数!$B$60=1,ISNUMBER(验证表!H102)),验证表!H102,EU96))</f>
        <v>14382837</v>
      </c>
      <c r="EU96" s="1">
        <f>IF(D96="",0,IF(验证表!G102="是",BV96,IF(验证表!G102="否",BU96,BW96)))</f>
        <v>1742</v>
      </c>
      <c r="EV96" s="1">
        <f>IF(EQ96&gt;=Boss参数!$B$66,2,IF(EQ96&gt;=Boss参数!$B$65,1,0))</f>
        <v>2</v>
      </c>
      <c r="EW96" s="1">
        <f t="shared" si="111"/>
        <v>3</v>
      </c>
      <c r="EX96" s="1">
        <f>IF(D96="",0,INDEX(回合状态!$D$7:$D$17,MATCH(DG96,回合状态!$A$7:$A$17,0)))</f>
        <v>6</v>
      </c>
      <c r="EY96" s="1">
        <f>IF(OR(L96="RHI_ATTACK",L96="RHI_BUFF"),1,IF(L96="RHI_ULT",Boss参数!$B$52,0))</f>
        <v>0</v>
      </c>
      <c r="EZ96" s="1">
        <f>MIN(6,SUMIFS($EY$3:EY96,$EX$3:EX96,"&gt;="&amp;MAX(1,EX96-Boss参数!$B$87+1),$EX$3:EX96,"&lt;="&amp;EX96))</f>
        <v>6</v>
      </c>
      <c r="FA96" s="1">
        <f t="shared" si="138"/>
        <v>35</v>
      </c>
      <c r="FB96" s="17">
        <f>IF(L96="BOSS_CONSERVATIVE",B96+Boss参数!$B$91,FB95)</f>
        <v>7</v>
      </c>
      <c r="FC96" s="17">
        <f t="shared" si="139"/>
        <v>1</v>
      </c>
      <c r="FD96" s="17">
        <f>IF(D96="",FD95,FD95+IF(AND(DG96&lt;&gt;DG95,INDEX(回合状态!$C$7:$C$17,MATCH(DG96,回合状态!$A$7:$A$17,0))&lt;&gt;"洞穿"),1,0))</f>
        <v>7</v>
      </c>
      <c r="FE96" s="17">
        <f>IF(D96="",0,IF(AND(OR(L96="END_TURN",DH96="敌方"),INDEX(回合状态!$C$7:$C$17,MATCH(DG96,回合状态!$A$7:$A$17,0))&lt;&gt;"洞穿",SUMIFS($FE$3:FE95,$DG$3:DG95,DG96)=0),1,0))</f>
        <v>0</v>
      </c>
    </row>
    <row r="97" spans="1:161" ht="84.95" customHeight="1">
      <c r="A97" s="1">
        <f>行动模拟!A103</f>
        <v>95</v>
      </c>
      <c r="B97" s="1">
        <f>IF(D97="",0,INDEX(回合状态!$B$7:$B$17,MATCH(DG97,回合状态!$A$7:$A$17,0)))</f>
        <v>6</v>
      </c>
      <c r="C97" s="1">
        <f>行动模拟!C103</f>
        <v>6</v>
      </c>
      <c r="D97" s="1" t="str">
        <f>IF(行动模拟!D103="","",行动模拟!D103)</f>
        <v>37｜三角正论Ⅱ</v>
      </c>
      <c r="E97" s="1" t="str">
        <f>IF($D97="","",IFERROR(INDEX(技能数据库!$B$4:$B$38,MATCH($D97,技能数据库!$A$4:$A$38,0)),""))</f>
        <v>37</v>
      </c>
      <c r="F97" s="1" t="str">
        <f>IF($D97="","",IFERROR(INDEX(技能数据库!$C$4:$C$38,MATCH($D97,技能数据库!$A$4:$A$38,0)),""))</f>
        <v>三角正论</v>
      </c>
      <c r="G97" s="1">
        <f>IF($D97="","",IFERROR(INDEX(技能数据库!$D$4:$D$38,MATCH($D97,技能数据库!$A$4:$A$38,0)),""))</f>
        <v>2</v>
      </c>
      <c r="H97" s="1" t="str">
        <f>IF($D97="","",IFERROR(INDEX(技能数据库!$E$4:$E$38,MATCH($D97,技能数据库!$A$4:$A$38,0)),""))</f>
        <v>术法</v>
      </c>
      <c r="I97" s="1" t="str">
        <f>IF($D97="","",IFERROR(INDEX(技能数据库!$F$4:$F$38,MATCH($D97,技能数据库!$A$4:$A$38,0)),""))</f>
        <v>精神</v>
      </c>
      <c r="J97" s="1">
        <f>IF($D97="","",IFERROR(INDEX(技能数据库!$G$4:$G$38,MATCH($D97,技能数据库!$A$4:$A$38,0)),""))</f>
        <v>4.2</v>
      </c>
      <c r="K97" s="1">
        <f>IF($D97="","",IFERROR(INDEX(技能数据库!$H$4:$H$38,MATCH($D97,技能数据库!$A$4:$A$38,0)),""))</f>
        <v>1.2</v>
      </c>
      <c r="L97" s="1" t="str">
        <f>IF($D97="","",IFERROR(INDEX(技能数据库!$I$4:$I$38,MATCH($D97,技能数据库!$A$4:$A$38,0)),""))</f>
        <v>37_TRIANGLE</v>
      </c>
      <c r="M97" s="1">
        <v>1</v>
      </c>
      <c r="N97" s="1"/>
      <c r="O97" s="1"/>
      <c r="P97" s="1"/>
      <c r="Q97" s="1">
        <f t="shared" si="70"/>
        <v>0</v>
      </c>
      <c r="R97" s="1">
        <v>0</v>
      </c>
      <c r="S97" s="1">
        <v>0</v>
      </c>
      <c r="T97" s="1">
        <f>行动模拟!I103</f>
        <v>0</v>
      </c>
      <c r="U97" s="1">
        <f>IF(FD97&lt;&gt;FD96,IF(BY96=1,IF(MIN(10,CA96+IF(AND(DG97&lt;&gt;DG96,DH96&lt;&gt;"洞穿",SUMIFS($FE$3:FE96,$DG$3:DG96,DG96)=0,BY96=1),3,0))&gt;=10,2,1),IF(BY96=2,IF(BZ96&lt;=1,0,2),0)),BY96)</f>
        <v>2</v>
      </c>
      <c r="V97" s="1">
        <f>IF(FD97&lt;&gt;FD96,IF(BY96=1,IF(MIN(10,CA96+IF(AND(DG97&lt;&gt;DG96,DH96&lt;&gt;"洞穿",SUMIFS($FE$3:FE96,$DG$3:DG96,DG96)=0,BY96=1),3,0))&gt;=10,2,0),IF(BY96=2,MAX(0,BZ96-1),0)),BZ96)</f>
        <v>2</v>
      </c>
      <c r="W97" s="1">
        <f>IF(AND(FD97&lt;&gt;FD96,BY96=2,BZ96&lt;=1),0,MIN(10,CA96+IF(AND(DG97&lt;&gt;DG96,DH96&lt;&gt;"洞穿",SUMIFS($FE$3:FE96,$DG$3:DG96,DG96)=0,BY96=1),3,0)))</f>
        <v>10</v>
      </c>
      <c r="X97" s="1">
        <f t="shared" si="112"/>
        <v>8</v>
      </c>
      <c r="Y97" s="1">
        <f t="shared" si="113"/>
        <v>0</v>
      </c>
      <c r="Z97" s="1">
        <f t="shared" si="114"/>
        <v>0</v>
      </c>
      <c r="AA97" s="1">
        <f t="shared" si="115"/>
        <v>0</v>
      </c>
      <c r="AB97" s="1">
        <f t="shared" si="116"/>
        <v>0</v>
      </c>
      <c r="AC97" s="1">
        <f t="shared" si="117"/>
        <v>0</v>
      </c>
      <c r="AD97" s="1">
        <f t="shared" si="118"/>
        <v>35</v>
      </c>
      <c r="AE97" s="1">
        <f>IF(D97="",0,IF(DG97&lt;&gt;DG96,IFERROR(INDEX(回合状态!$F$7:$F$17,MATCH(DG97,回合状态!$A$7:$A$17,0)),0),CI96))</f>
        <v>30</v>
      </c>
      <c r="AF97" s="1">
        <f t="shared" si="119"/>
        <v>0.875</v>
      </c>
      <c r="AG97" s="1">
        <f t="shared" si="120"/>
        <v>8</v>
      </c>
      <c r="AH97" s="1">
        <f t="shared" si="121"/>
        <v>8</v>
      </c>
      <c r="AI97" s="1">
        <f t="shared" si="122"/>
        <v>8</v>
      </c>
      <c r="AJ97" s="1">
        <f t="shared" si="123"/>
        <v>9</v>
      </c>
      <c r="AK97" s="1">
        <f t="shared" si="124"/>
        <v>8</v>
      </c>
      <c r="AL97" s="1">
        <f t="shared" si="125"/>
        <v>3</v>
      </c>
      <c r="AM97" s="1">
        <f t="shared" si="126"/>
        <v>30</v>
      </c>
      <c r="AN97" s="1">
        <f t="shared" si="127"/>
        <v>6</v>
      </c>
      <c r="AO97" s="1">
        <f t="shared" si="128"/>
        <v>0</v>
      </c>
      <c r="AP97" s="1">
        <f t="shared" si="129"/>
        <v>0.12</v>
      </c>
      <c r="AQ97" s="1">
        <f t="shared" si="130"/>
        <v>6</v>
      </c>
      <c r="AR97" s="1">
        <f t="shared" si="131"/>
        <v>0.3</v>
      </c>
      <c r="AS97" s="1">
        <f t="shared" si="132"/>
        <v>6</v>
      </c>
      <c r="AT97" s="1">
        <f t="shared" si="133"/>
        <v>0.3</v>
      </c>
      <c r="AU97" s="1">
        <f t="shared" si="134"/>
        <v>8</v>
      </c>
      <c r="AV97" s="1">
        <f>MIN(5,SUMIFS($EL$3:EL97,$B$3:B97,"&gt;="&amp;MAX(1,B97-2),$B$3:B97,"&lt;="&amp;B97)+EC97)</f>
        <v>5</v>
      </c>
      <c r="AW97" s="1">
        <f>MIN(6,SUMIFS($EY$3:EY96,$EX$3:EX96,"&gt;="&amp;MAX(1,EX97-Boss参数!$B$87+1),$EX$3:EX96,"&lt;="&amp;EX97))</f>
        <v>6</v>
      </c>
      <c r="AX97" s="1">
        <f>MIN(4,COUNTIFS($B$3:$B$96,"&gt;="&amp;MAX(1,$B97-2),$B$3:$B$96,"&lt;="&amp;$B97,$L$3:$L$96,"37_FOLLOW"))</f>
        <v>4</v>
      </c>
      <c r="AY97" s="1">
        <f>IF($E97="","",IF($E97="系统",0,ROUNDDOWN(INDEX(角色面板!$C$4:$C$7,MATCH($E97,角色面板!$A$4:$A$7,0))*(1+INDEX(角色面板!$C$11:$C$14,MATCH($E97,角色面板!$A$11:$A$14,0))+IF($E97="小瑞安侬",MAX(IF($B97&lt;=$AQ97,$AP97,0),IF(AND($L97="RHI_ATTACK",$EE97&gt;0),0.11+0.01*$G97,0)),0)+IF($E97="J",$AD97*Boss参数!$B$18,0))+IF(FD97&lt;=$AN97,MIN(Boss参数!$B$21,ROUNDDOWN(角色面板!$C$19*Boss参数!$B$20,0)),0)+IF(AND($B97&lt;=$AK97,$E97&lt;&gt;"小瑞安侬"),$DY97,0),0)))</f>
        <v>3017</v>
      </c>
      <c r="AZ97" s="1">
        <f>IF($E97="","",MAX(0,MIN(1,IFERROR(INDEX(角色面板!$G$18:$G$21,MATCH($E97,角色面板!$A$18:$A$21,0)),0)-FC97*Boss参数!$B$89-Boss参数!$E$4)))</f>
        <v>0.76</v>
      </c>
      <c r="BA97" s="1">
        <f>IF(E97="","",(IF($E97="","",IF($E97="红弩箭",Boss参数!$B$80,IF($E97="J",Boss参数!$B$81,IFERROR(INDEX(角色面板!$H$18:$H$21,MATCH($E97,角色面板!$A$18:$A$21,0)),0)))+IF($B97&lt;=$AI97,Boss参数!$B$13,0)+MIN(30,$AM97)*Boss参数!$B$17+IF(AND($L97="LILYA_ULT",$X97&gt;=6),1,0)+IF(AND($Y97=1,$L97="LILYA_INSIGHT"),IF(MOD($AA97+1,3)=0,Boss参数!$B$83,Boss参数!$B$82),IF(AND($Y97=1,$L97="LILYA_FINISH"),Boss参数!$B$84,0))))-FC97*Boss参数!$B$90)</f>
        <v>2.4780000000000002</v>
      </c>
      <c r="BB97" s="1">
        <f>IF($E97="","",IFERROR(INDEX(角色面板!$M$18:$M$21,MATCH($E97,角色面板!$A$18:$A$21,0)),0)+$AW97*Boss参数!$B$12+IF($B97&lt;=$AG97,$AF97,0)+$EI97+IF($L97="LILYA_DIVE",IF($U97=1,IF($G97=1,0.3,IF($G97=2,0.4,0.5)),IF($U97=2,IF($G97=1,0.6,IF($G97=2,0.8,1)),0)),0)+$R97+IF(AND($E97="J",OR($L97="J_COUNTER",$L97="J_HARD")),Boss参数!$B$79,0)+IF(AND(OR(L97="J_COUNTER",L97="J_HARD"),FA97&gt;=Boss参数!$B$59),FA97*Boss参数!$B$40,0))</f>
        <v>1.2949999999999999</v>
      </c>
      <c r="BC97" s="1">
        <f>IF($E97="","",IFERROR(INDEX(角色面板!$K$18:$K$21,MATCH($E97,角色面板!$A$18:$A$21,0)),0)+IF($B97&lt;=$AH97,Boss参数!$B$46,0)+IF($E97="红弩箭",IF($U97=1,0.6,IF($U97=2,1.2,0))+$W97*0.06,0))-DI97*Boss参数!$B$23</f>
        <v>-0.55000000000000004</v>
      </c>
      <c r="BD97" s="1">
        <f>IF($E97="","",IFERROR(INDEX(角色面板!$L$18:$L$21,MATCH($E97,角色面板!$A$18:$A$21,0)),0)+IF($B97&lt;=$AH97,Boss参数!$B$46,0)+IF($E97="J",$AL97*Boss参数!$B$16,0)+IF($E97="红弩箭",$X97*0.025,0)+IF(AND($L97="LILYA_ULT",$X97&gt;=6),1,0))-DI97*Boss参数!$B$23</f>
        <v>-0.14999999999999997</v>
      </c>
      <c r="BE97" s="1">
        <f>IF($E97="","",IF($H97="洞知",IF($E97="红弩箭",$AO97*Boss参数!$B$15,0)+$AX97*Boss参数!$B$14,0))</f>
        <v>0</v>
      </c>
      <c r="BF97" s="1">
        <f t="shared" si="71"/>
        <v>0</v>
      </c>
      <c r="BG97" s="1">
        <f>IF($D97="",0,IF(AND($L97&lt;&gt;"LILYA_DIVE",$L97&lt;&gt;"LILYA_ULT",$L97&lt;&gt;"LILYA_INSIGHT",$L97&lt;&gt;"LILYA_FINISH",$L97&lt;&gt;"37_FOLLOW",$L97&lt;&gt;"RHI_ATTACK",$L97&lt;&gt;"RHI_BERRY",$L97&lt;&gt;"J_COUNTER",$L97&lt;&gt;"J_ULT"),$J97,0)+IF($L97="LILYA_DIVE",$J97+IF($U97=1,IF($G97=1,6,IF($G97=2,12,18)),IF($U97=2,IF($G97=1,12,IF($G97=2,24,36)),0)),0)+IF($L97="LILYA_ULT",$J97+IF($X97&gt;=6,18,0),0)+IF($L97="LILYA_INSIGHT",IF($Y97=1,IF(MOD($AA97+1,3)=0,32,15),0),0)+IF($L97="LILYA_FINISH",IF($Y97=1,50+2.5*$Z97,0),0)+IF($L97="37_FOLLOW",$J97,0)+IF($L97="RHI_ATTACK",$J97*IF($B97&lt;=$AJ97,2,1),0)+IF($L97="RHI_BERRY",15+1.5*$AV97,0)+IF($L97="J_COUNTER",$J97+$AD97*Boss参数!$B$39,0)+IF($L97="J_ULT",$J97+Boss参数!$B$45*MAX(0,$AE97+$AD97-Boss参数!$I$4),0)+$S97)</f>
        <v>4.2</v>
      </c>
      <c r="BH97" s="1">
        <f t="shared" si="72"/>
        <v>1.2</v>
      </c>
      <c r="BI97" s="1">
        <f>IF(E97="","",IF(DT97=1,1+Boss参数!$B$8+AV97*Boss参数!$B$19,1))</f>
        <v>1.5</v>
      </c>
      <c r="BJ97" s="1">
        <f>IF($I97="现实",Boss参数!$C$4,IF($I97="精神",Boss参数!$D$4,0))</f>
        <v>1000</v>
      </c>
      <c r="BK97" s="1">
        <f>IF($E97="","",MAX($AY97*Boss参数!$B$9,$AY97-$BJ97*(1-$BF97)))</f>
        <v>2017</v>
      </c>
      <c r="BL97" s="1">
        <f>MAX(0,Boss参数!$F$4+IF(DT97=0,Boss参数!$B$27,0)-EJ97)</f>
        <v>0.10000000000000003</v>
      </c>
      <c r="BM97" s="1">
        <f>Boss参数!$G$4+DU97-IF(Y97=1,Boss参数!$B$11,0)</f>
        <v>0.7</v>
      </c>
      <c r="BN97" s="1">
        <f>IF($E97="","",MAX(Boss参数!$B$10,1+IFERROR(INDEX(角色面板!$I$18:$I$21,MATCH($E97,角色面板!$A$18:$A$21,0)),0)+$BB97+Boss参数!$H$4-$BM97))</f>
        <v>1.5999999999999999</v>
      </c>
      <c r="BO97" s="1">
        <f>IF(E97="","",IF(OR(L97="J_COUNTER",L97="J_HARD"),MAX(0,1+INDEX(角色面板!$K$18:$K$21,MATCH(E97,角色面板!$A$18:$A$21,0))-DI97*Boss参数!$B$23+IF(OR(Boss参数!$B$43=1,L97="J_HARD"),IF(B97&lt;=AH97,Boss参数!$B$46,0),0)),MAX(0,IF(OR(H97="术法",L97="RHI_BERRY",AND(L97="37_FOLLOW",Boss参数!$B$31=1)),1+BC97,IF(H97="仪式",1+BD97,IF(H97="洞知",EK97,1))))))</f>
        <v>0.44999999999999996</v>
      </c>
      <c r="BP97" s="1">
        <f t="shared" si="73"/>
        <v>2.3780000000000001</v>
      </c>
      <c r="BQ97" s="1">
        <f t="shared" si="74"/>
        <v>9149.1119999999974</v>
      </c>
      <c r="BR97" s="1">
        <f t="shared" si="75"/>
        <v>21756.588335999993</v>
      </c>
      <c r="BS97" s="1">
        <f>IF(BH97=0,0,ROUNDDOWN(AY97*BH97,0)*DV97*IF(Boss参数!$B$29=1,BN97,1)*IF(Boss参数!$B$33=1,BO97,1)*IF(Boss参数!$B$76=1,1-ES97,1))</f>
        <v>0</v>
      </c>
      <c r="BT97" s="1">
        <f t="shared" si="76"/>
        <v>0</v>
      </c>
      <c r="BU97" s="1">
        <f>IF(D97="",0,MIN(IF(Boss参数!$B$77=1,Boss参数!$B$63*Boss参数!$B$62,Boss参数!$B$61*Boss参数!$B$62),DW97+ROUNDDOWN(BS97,0)+ROUNDDOWN(DW97*Q97,0)))</f>
        <v>3659</v>
      </c>
      <c r="BV97" s="1">
        <f>IF(D97="",0,MIN(IF(Boss参数!$B$77=1,Boss参数!$B$63*Boss参数!$B$62,Boss参数!$B$61*Boss参数!$B$62),DX97+ROUNDDOWN(BT97,0)+ROUNDDOWN(DX97*Q97,0)))</f>
        <v>8702</v>
      </c>
      <c r="BW97" s="1">
        <f t="shared" si="77"/>
        <v>7491</v>
      </c>
      <c r="BX97" s="1" t="str">
        <f t="shared" si="78"/>
        <v/>
      </c>
      <c r="BY97" s="1">
        <f t="shared" si="79"/>
        <v>2</v>
      </c>
      <c r="BZ97" s="1">
        <f t="shared" si="80"/>
        <v>2</v>
      </c>
      <c r="CA97" s="1">
        <f>MIN(10,W97+IF(AND(L97="LILYA_COBRA",COUNTIF($L$3:L97,"LILYA_COBRA")=1),5,0)+IF(AND(L97="LILYA_DIVE",U97=1,COUNTIFS($DG$3:DG97,DG97,$L$3:L97,"LILYA_DIVE")=1),2,0)+IF(AND(FE97=1,U97=1),3,0))</f>
        <v>10</v>
      </c>
      <c r="CB97" s="1">
        <f>MIN(20,MAX(0,X97+IF(L97="LILYA_COBRA",IF(COUNTIF($L$3:L97,"LILYA_COBRA")=1,6,IF(U97=1,MAX(1,G97),IF(U97=2,2*MAX(1,G97),0))),0)+IF(AND(Y97=1,E97="红弩箭",L97&lt;&gt;"ENTER_INSIGHT"),1,0)-IF(AND(L97="LILYA_ULT",X97&gt;=6),6,0)))</f>
        <v>8</v>
      </c>
      <c r="CC97" s="1">
        <f t="shared" si="81"/>
        <v>0</v>
      </c>
      <c r="CD97" s="1">
        <f t="shared" si="82"/>
        <v>0</v>
      </c>
      <c r="CE97" s="1">
        <f t="shared" si="83"/>
        <v>0</v>
      </c>
      <c r="CF97" s="1">
        <f t="shared" si="84"/>
        <v>1</v>
      </c>
      <c r="CG97" s="1">
        <f t="shared" si="85"/>
        <v>1</v>
      </c>
      <c r="CH97" s="1">
        <f>MIN(35,AD97+IF(L97="J_HARD",6,0)+IF(L97="J_COUNTER",Boss参数!$B$30,0))</f>
        <v>35</v>
      </c>
      <c r="CI97" s="1">
        <f>MIN(Boss参数!$I$4,AE97+IF(L97="J_HARD",6,0)+IF(L97="J_ULT",AD97,0)+IF(L97="J_COUNTER",Boss参数!$B$30,0))</f>
        <v>30</v>
      </c>
      <c r="CJ97" s="1">
        <f>IF(L97="J_ULT",AD97*Boss参数!$B$41,IF(B97&lt;=AG97,AF97,0))</f>
        <v>0.875</v>
      </c>
      <c r="CK97" s="1">
        <f t="shared" si="86"/>
        <v>8</v>
      </c>
      <c r="CL97" s="1">
        <f t="shared" si="87"/>
        <v>8</v>
      </c>
      <c r="CM97" s="1">
        <f t="shared" si="88"/>
        <v>8</v>
      </c>
      <c r="CN97" s="1">
        <f t="shared" si="89"/>
        <v>9</v>
      </c>
      <c r="CO97" s="1">
        <f t="shared" si="90"/>
        <v>8</v>
      </c>
      <c r="CP97" s="1">
        <f t="shared" si="91"/>
        <v>3</v>
      </c>
      <c r="CQ97" s="1">
        <f t="shared" si="92"/>
        <v>30</v>
      </c>
      <c r="CR97" s="1">
        <f t="shared" si="93"/>
        <v>6</v>
      </c>
      <c r="CS97" s="1">
        <f t="shared" si="94"/>
        <v>0</v>
      </c>
      <c r="CT97" s="1">
        <f t="shared" si="95"/>
        <v>0.12</v>
      </c>
      <c r="CU97" s="1">
        <f t="shared" si="96"/>
        <v>6</v>
      </c>
      <c r="CV97" s="1">
        <f t="shared" si="97"/>
        <v>0.3</v>
      </c>
      <c r="CW97" s="1">
        <f t="shared" si="98"/>
        <v>6</v>
      </c>
      <c r="CX97" s="1">
        <f t="shared" si="99"/>
        <v>0.3</v>
      </c>
      <c r="CY97" s="1">
        <f t="shared" si="100"/>
        <v>8</v>
      </c>
      <c r="CZ97" s="1"/>
      <c r="DA97" s="1"/>
      <c r="DB97" s="1"/>
      <c r="DC97" s="1"/>
      <c r="DD97" s="1"/>
      <c r="DE97" s="1"/>
      <c r="DF97" s="1"/>
      <c r="DG97" s="1">
        <f>IF(D97="","",行动模拟!B103)</f>
        <v>6</v>
      </c>
      <c r="DH97" s="1" t="str">
        <f>IF(L97="END_TURN","回合结束",IF(D97="","",IF(INDEX(回合状态!$C$7:$C$17,MATCH(DG97,回合状态!$A$7:$A$17,0))="洞穿","洞穿",IF(OR(L97="J_COUNTER",L97="BOSS_ACTION",L97="BOSS_CONSERVATIVE"),"敌方",IF(AND(L97="37_FOLLOW",DG97=DG96,DH96="敌方"),"敌方",IF(INDEX(回合状态!$C$7:$C$17,MATCH(DG97,回合状态!$A$7:$A$17,0))="普通","出牌",INDEX(回合状态!$C$7:$C$17,MATCH(DG97,回合状态!$A$7:$A$17,0))))))))</f>
        <v>出牌</v>
      </c>
      <c r="DI97" s="1">
        <f t="shared" si="101"/>
        <v>3</v>
      </c>
      <c r="DJ97" s="1">
        <f>IF(D97="",0,MIN(Boss参数!$B$25,IF(OR(AND(DH97="敌方",OR(DH96&lt;&gt;"敌方",DG97&lt;&gt;DG96)),AND(L97="END_TURN",DH97&lt;&gt;"洞穿"),AND(DG97&lt;&gt;DG96,DH96&lt;&gt;"洞穿",L96&lt;&gt;"END_TURN",COUNTIFS($DG$3:DG96,DG96,$DH$3:DH96,"敌方")=0)),EW97,DN96)))</f>
        <v>5</v>
      </c>
      <c r="DK97" s="1">
        <f>IF(D97="",0,MIN(Boss参数!$B$25,IF(OR(AND(DH97="敌方",OR(DH96&lt;&gt;"敌方",DG97&lt;&gt;DG96)),AND(L97="END_TURN",DH97&lt;&gt;"洞穿"),AND(DG97&lt;&gt;DG96,DH96&lt;&gt;"洞穿",L96&lt;&gt;"END_TURN",COUNTIFS($DG$3:DG96,DG96,$DH$3:DH96,"敌方")=0)),EW97,DO96)))</f>
        <v>3</v>
      </c>
      <c r="DL97" s="1">
        <f>IF(D97="",0,MIN(Boss参数!$B$25,IF(OR(AND(DH97="敌方",OR(DH96&lt;&gt;"敌方",DG97&lt;&gt;DG96)),AND(L97="END_TURN",DH97&lt;&gt;"洞穿"),AND(DG97&lt;&gt;DG96,DH96&lt;&gt;"洞穿",L96&lt;&gt;"END_TURN",COUNTIFS($DG$3:DG96,DG96,$DH$3:DH96,"敌方")=0)),EW97,DP96)))</f>
        <v>5</v>
      </c>
      <c r="DM97" s="1">
        <f>IF(D97="",0,MIN(Boss参数!$B$25,IF(OR(AND(DH97="敌方",OR(DH96&lt;&gt;"敌方",DG97&lt;&gt;DG96)),AND(L97="END_TURN",DH97&lt;&gt;"洞穿"),AND(DG97&lt;&gt;DG96,DH96&lt;&gt;"洞穿",L96&lt;&gt;"END_TURN",COUNTIFS($DG$3:DG96,DG96,$DH$3:DH96,"敌方")=0)),EW97,DQ96)))</f>
        <v>1</v>
      </c>
      <c r="DN97" s="1">
        <f>MAX(0,MIN(Boss参数!$B$25,DJ97+DR97)-IF(E97="红弩箭",2*DR97,0))</f>
        <v>5</v>
      </c>
      <c r="DO97" s="1">
        <f>MAX(0,MIN(Boss参数!$B$25,DK97+DR97)-IF(E97="37",2*DR97,0))</f>
        <v>2</v>
      </c>
      <c r="DP97" s="1">
        <f>MAX(0,MIN(Boss参数!$B$25,DL97+DR97)-IF(E97="小瑞安侬",2*DR97,0))</f>
        <v>5</v>
      </c>
      <c r="DQ97" s="1">
        <f>MAX(0,MIN(Boss参数!$B$25,DM97+DR97)-IF(E97="J",2*DR97,0))</f>
        <v>2</v>
      </c>
      <c r="DR97" s="1">
        <f t="shared" si="102"/>
        <v>1</v>
      </c>
      <c r="DS97" s="1">
        <f t="shared" si="103"/>
        <v>1</v>
      </c>
      <c r="DT97" s="1">
        <f>IF(OR(E97="",E97="系统"),0,IF(OR(AND(DS97=1,Boss参数!$B$32=1),L97="RHI_BERRY",OR(AND(INDEX(角色面板!$B$18:$B$21,MATCH(E97,角色面板!$A$18:$A$21,0))="星",Boss参数!$B$4="岩"),AND(INDEX(角色面板!$B$18:$B$21,MATCH(E97,角色面板!$A$18:$A$21,0))="岩",Boss参数!$B$4="兽"),AND(INDEX(角色面板!$B$18:$B$21,MATCH(E97,角色面板!$A$18:$A$21,0))="兽",Boss参数!$B$4="木"),AND(INDEX(角色面板!$B$18:$B$21,MATCH(E97,角色面板!$A$18:$A$21,0))="木",Boss参数!$B$4="星"),AND(INDEX(角色面板!$B$18:$B$21,MATCH(E97,角色面板!$A$18:$A$21,0))="智",Boss参数!$B$4="灵"),AND(INDEX(角色面板!$B$18:$B$21,MATCH(E97,角色面板!$A$18:$A$21,0))="灵",Boss参数!$B$4="智"))),1,0))</f>
        <v>1</v>
      </c>
      <c r="DU97" s="1">
        <f>IF(D97="",0,INDEX(回合状态!$E$7:$E$17,MATCH(DG97,回合状态!$A$7:$A$17,0))+IF(AND(DH97="敌方",OR(INDEX(回合状态!$C$7:$C$17,MATCH(DG97,回合状态!$A$7:$A$17,0))="普通",INDEX(回合状态!$C$7:$C$17,MATCH(DG97,回合状态!$A$7:$A$17,0))="额外")),0.05,0))</f>
        <v>0.3</v>
      </c>
      <c r="DV97" s="1">
        <f>MAX(Boss参数!$B$28,1+IF(AND(E97="37",AC97&gt;0,BH97&gt;0),Boss参数!$B$42,0)-DI97*Boss参数!$B$24+EA97-ER97)</f>
        <v>0</v>
      </c>
      <c r="DW97" s="1">
        <f>MIN(IF(Boss参数!$B$77=1,Boss参数!$B$63*Boss参数!$B$62,Boss参数!$B$61*Boss参数!$B$62),ROUNDDOWN(BQ97*(1-ES97),0))</f>
        <v>3659</v>
      </c>
      <c r="DX97" s="1">
        <f>MIN(IF(Boss参数!$B$77=1,Boss参数!$B$63*Boss参数!$B$62,Boss参数!$B$61*Boss参数!$B$62),ROUNDDOWN(BR97*(1-ES97),0))</f>
        <v>8702</v>
      </c>
      <c r="DY97" s="1">
        <f t="shared" si="135"/>
        <v>250</v>
      </c>
      <c r="DZ97" s="1">
        <f>IF(L97="RHI_ULT",MIN(Boss参数!$B$48,ROUNDDOWN(AY97*Boss参数!$B$47,0)),DY97)</f>
        <v>250</v>
      </c>
      <c r="EA97" s="1">
        <v>0</v>
      </c>
      <c r="EB97" s="1">
        <f t="shared" si="104"/>
        <v>0</v>
      </c>
      <c r="EC97" s="1">
        <f>SUMIFS($EB$3:EB97,$B$3:B97,"&gt;="&amp;MAX(1,B97-2),$B$3:B97,"&lt;="&amp;B97)*Boss参数!$B$51</f>
        <v>10</v>
      </c>
      <c r="ED97" s="1">
        <f>IF(D97="",EG96,IF(AND(DG97&lt;&gt;DG96,DH97&lt;&gt;"洞穿"),MIN(Boss参数!$B$55,EG96+2),EG96))</f>
        <v>1</v>
      </c>
      <c r="EE97" s="1">
        <f t="shared" si="105"/>
        <v>0</v>
      </c>
      <c r="EF97" s="1">
        <f>IF(AND(OR(L97="END_TURN",AND(DH97="敌方",OR(DH96&lt;&gt;"敌方",DG97&lt;&gt;DG96))),SUMIFS($EF$3:EF96,$DG$3:DG96,DG97)=0),MIN(1,MAX(0,ED97-EE97)),0)</f>
        <v>0</v>
      </c>
      <c r="EG97" s="1">
        <f t="shared" si="106"/>
        <v>1</v>
      </c>
      <c r="EH97" s="1">
        <f>Boss参数!$B$53-IF(Y97=1,Boss参数!$B$54,0)</f>
        <v>0</v>
      </c>
      <c r="EI97" s="1">
        <f t="shared" si="107"/>
        <v>0.3</v>
      </c>
      <c r="EJ97" s="1">
        <f t="shared" si="108"/>
        <v>0.3</v>
      </c>
      <c r="EK97" s="1">
        <f t="shared" si="109"/>
        <v>1</v>
      </c>
      <c r="EL97" s="1">
        <f t="shared" si="136"/>
        <v>0</v>
      </c>
      <c r="EM97" s="1">
        <f>IF(AND(DG97&lt;&gt;DG96,DH97="洞穿"),0,IF(L97="ENTER_INSIGHT",Boss参数!$B$57,EO96))</f>
        <v>0</v>
      </c>
      <c r="EN97" s="1">
        <f>IF(AND(Y97=1,H97="洞知",EM97&gt;0),Boss参数!$B$56,0)</f>
        <v>0</v>
      </c>
      <c r="EO97" s="1">
        <f t="shared" si="110"/>
        <v>0</v>
      </c>
      <c r="EP97" s="1">
        <f t="shared" si="137"/>
        <v>14382837</v>
      </c>
      <c r="EQ97" s="1">
        <f>ROUNDDOWN(EP97/Boss参数!$B$62,0)</f>
        <v>143</v>
      </c>
      <c r="ER97" s="1">
        <f>IF(EQ97&gt;=Boss参数!$B$66,Boss参数!$B$69,IF(EQ97&gt;=Boss参数!$B$65,Boss参数!$B$68,IF(EQ97&gt;=Boss参数!$B$64,Boss参数!$B$67,0)))</f>
        <v>0.9</v>
      </c>
      <c r="ES97" s="1">
        <f>MIN(1,IF(EQ97&gt;=Boss参数!$B$66,Boss参数!$B$72+ROUNDDOWN((EQ97-Boss参数!$B$66)/Boss参数!$B$73,0)*Boss参数!$B$74,IF(EQ97&gt;=Boss参数!$B$65,Boss参数!$B$71,IF(EQ97&gt;=Boss参数!$B$64,Boss参数!$B$70,0))))</f>
        <v>0.6</v>
      </c>
      <c r="ET97" s="1">
        <f>MIN(Boss参数!$B$61*Boss参数!$B$62,EP97+IF(AND(Boss参数!$B$60=1,ISNUMBER(验证表!H103)),验证表!H103,EU97))</f>
        <v>14391539</v>
      </c>
      <c r="EU97" s="1">
        <f>IF(D97="",0,IF(验证表!G103="是",BV97,IF(验证表!G103="否",BU97,BW97)))</f>
        <v>8702</v>
      </c>
      <c r="EV97" s="1">
        <f>IF(EQ97&gt;=Boss参数!$B$66,2,IF(EQ97&gt;=Boss参数!$B$65,1,0))</f>
        <v>2</v>
      </c>
      <c r="EW97" s="1">
        <f t="shared" si="111"/>
        <v>3</v>
      </c>
      <c r="EX97" s="1">
        <f>IF(D97="",0,INDEX(回合状态!$D$7:$D$17,MATCH(DG97,回合状态!$A$7:$A$17,0)))</f>
        <v>6</v>
      </c>
      <c r="EY97" s="1">
        <f>IF(OR(L97="RHI_ATTACK",L97="RHI_BUFF"),1,IF(L97="RHI_ULT",Boss参数!$B$52,0))</f>
        <v>0</v>
      </c>
      <c r="EZ97" s="1">
        <f>MIN(6,SUMIFS($EY$3:EY97,$EX$3:EX97,"&gt;="&amp;MAX(1,EX97-Boss参数!$B$87+1),$EX$3:EX97,"&lt;="&amp;EX97))</f>
        <v>6</v>
      </c>
      <c r="FA97" s="1">
        <f t="shared" si="138"/>
        <v>35</v>
      </c>
      <c r="FB97" s="17">
        <f>IF(L97="BOSS_CONSERVATIVE",B97+Boss参数!$B$91,FB96)</f>
        <v>7</v>
      </c>
      <c r="FC97" s="17">
        <f t="shared" si="139"/>
        <v>0</v>
      </c>
      <c r="FD97" s="17">
        <f>IF(D97="",FD96,FD96+IF(AND(DG97&lt;&gt;DG96,INDEX(回合状态!$C$7:$C$17,MATCH(DG97,回合状态!$A$7:$A$17,0))&lt;&gt;"洞穿"),1,0))</f>
        <v>7</v>
      </c>
      <c r="FE97" s="17">
        <f>IF(D97="",0,IF(AND(OR(L97="END_TURN",DH97="敌方"),INDEX(回合状态!$C$7:$C$17,MATCH(DG97,回合状态!$A$7:$A$17,0))&lt;&gt;"洞穿",SUMIFS($FE$3:FE96,$DG$3:DG96,DG97)=0),1,0))</f>
        <v>0</v>
      </c>
    </row>
    <row r="98" spans="1:161" ht="84.95" customHeight="1">
      <c r="A98" s="1">
        <f>行动模拟!A104</f>
        <v>96</v>
      </c>
      <c r="B98" s="1">
        <f>IF(D98="",0,INDEX(回合状态!$B$7:$B$17,MATCH(DG98,回合状态!$A$7:$A$17,0)))</f>
        <v>6</v>
      </c>
      <c r="C98" s="1">
        <f>行动模拟!C104</f>
        <v>7</v>
      </c>
      <c r="D98" s="1" t="str">
        <f>IF(行动模拟!D104="","",行动模拟!D104)</f>
        <v>红弩箭｜极限俯冲Ⅲ</v>
      </c>
      <c r="E98" s="1" t="str">
        <f>IF($D98="","",IFERROR(INDEX(技能数据库!$B$4:$B$38,MATCH($D98,技能数据库!$A$4:$A$38,0)),""))</f>
        <v>红弩箭</v>
      </c>
      <c r="F98" s="1" t="str">
        <f>IF($D98="","",IFERROR(INDEX(技能数据库!$C$4:$C$38,MATCH($D98,技能数据库!$A$4:$A$38,0)),""))</f>
        <v>极限俯冲</v>
      </c>
      <c r="G98" s="1">
        <f>IF($D98="","",IFERROR(INDEX(技能数据库!$D$4:$D$38,MATCH($D98,技能数据库!$A$4:$A$38,0)),""))</f>
        <v>3</v>
      </c>
      <c r="H98" s="1" t="str">
        <f>IF($D98="","",IFERROR(INDEX(技能数据库!$E$4:$E$38,MATCH($D98,技能数据库!$A$4:$A$38,0)),""))</f>
        <v>术法</v>
      </c>
      <c r="I98" s="1" t="str">
        <f>IF($D98="","",IFERROR(INDEX(技能数据库!$F$4:$F$38,MATCH($D98,技能数据库!$A$4:$A$38,0)),""))</f>
        <v>现实</v>
      </c>
      <c r="J98" s="1">
        <f>IF($D98="","",IFERROR(INDEX(技能数据库!$G$4:$G$38,MATCH($D98,技能数据库!$A$4:$A$38,0)),""))</f>
        <v>9</v>
      </c>
      <c r="K98" s="1">
        <f>IF($D98="","",IFERROR(INDEX(技能数据库!$H$4:$H$38,MATCH($D98,技能数据库!$A$4:$A$38,0)),""))</f>
        <v>0</v>
      </c>
      <c r="L98" s="1" t="str">
        <f>IF($D98="","",IFERROR(INDEX(技能数据库!$I$4:$I$38,MATCH($D98,技能数据库!$A$4:$A$38,0)),""))</f>
        <v>LILYA_DIVE</v>
      </c>
      <c r="M98" s="1">
        <v>1</v>
      </c>
      <c r="N98" s="1"/>
      <c r="O98" s="1"/>
      <c r="P98" s="1"/>
      <c r="Q98" s="1">
        <f t="shared" si="70"/>
        <v>0</v>
      </c>
      <c r="R98" s="1">
        <v>0</v>
      </c>
      <c r="S98" s="1">
        <v>0</v>
      </c>
      <c r="T98" s="1">
        <f>行动模拟!I104</f>
        <v>0</v>
      </c>
      <c r="U98" s="1">
        <f>IF(FD98&lt;&gt;FD97,IF(BY97=1,IF(MIN(10,CA97+IF(AND(DG98&lt;&gt;DG97,DH97&lt;&gt;"洞穿",SUMIFS($FE$3:FE97,$DG$3:DG97,DG97)=0,BY97=1),3,0))&gt;=10,2,1),IF(BY97=2,IF(BZ97&lt;=1,0,2),0)),BY97)</f>
        <v>2</v>
      </c>
      <c r="V98" s="1">
        <f>IF(FD98&lt;&gt;FD97,IF(BY97=1,IF(MIN(10,CA97+IF(AND(DG98&lt;&gt;DG97,DH97&lt;&gt;"洞穿",SUMIFS($FE$3:FE97,$DG$3:DG97,DG97)=0,BY97=1),3,0))&gt;=10,2,0),IF(BY97=2,MAX(0,BZ97-1),0)),BZ97)</f>
        <v>2</v>
      </c>
      <c r="W98" s="1">
        <f>IF(AND(FD98&lt;&gt;FD97,BY97=2,BZ97&lt;=1),0,MIN(10,CA97+IF(AND(DG98&lt;&gt;DG97,DH97&lt;&gt;"洞穿",SUMIFS($FE$3:FE97,$DG$3:DG97,DG97)=0,BY97=1),3,0)))</f>
        <v>10</v>
      </c>
      <c r="X98" s="1">
        <f t="shared" si="112"/>
        <v>8</v>
      </c>
      <c r="Y98" s="1">
        <f t="shared" si="113"/>
        <v>0</v>
      </c>
      <c r="Z98" s="1">
        <f t="shared" si="114"/>
        <v>0</v>
      </c>
      <c r="AA98" s="1">
        <f t="shared" si="115"/>
        <v>0</v>
      </c>
      <c r="AB98" s="1">
        <f t="shared" si="116"/>
        <v>1</v>
      </c>
      <c r="AC98" s="1">
        <f t="shared" si="117"/>
        <v>1</v>
      </c>
      <c r="AD98" s="1">
        <f t="shared" si="118"/>
        <v>35</v>
      </c>
      <c r="AE98" s="1">
        <f>IF(D98="",0,IF(DG98&lt;&gt;DG97,IFERROR(INDEX(回合状态!$F$7:$F$17,MATCH(DG98,回合状态!$A$7:$A$17,0)),0),CI97))</f>
        <v>30</v>
      </c>
      <c r="AF98" s="1">
        <f t="shared" si="119"/>
        <v>0.875</v>
      </c>
      <c r="AG98" s="1">
        <f t="shared" si="120"/>
        <v>8</v>
      </c>
      <c r="AH98" s="1">
        <f t="shared" si="121"/>
        <v>8</v>
      </c>
      <c r="AI98" s="1">
        <f t="shared" si="122"/>
        <v>8</v>
      </c>
      <c r="AJ98" s="1">
        <f t="shared" si="123"/>
        <v>9</v>
      </c>
      <c r="AK98" s="1">
        <f t="shared" si="124"/>
        <v>8</v>
      </c>
      <c r="AL98" s="1">
        <f t="shared" si="125"/>
        <v>3</v>
      </c>
      <c r="AM98" s="1">
        <f t="shared" si="126"/>
        <v>30</v>
      </c>
      <c r="AN98" s="1">
        <f t="shared" si="127"/>
        <v>6</v>
      </c>
      <c r="AO98" s="1">
        <f t="shared" si="128"/>
        <v>0</v>
      </c>
      <c r="AP98" s="1">
        <f t="shared" si="129"/>
        <v>0.12</v>
      </c>
      <c r="AQ98" s="1">
        <f t="shared" si="130"/>
        <v>6</v>
      </c>
      <c r="AR98" s="1">
        <f t="shared" si="131"/>
        <v>0.3</v>
      </c>
      <c r="AS98" s="1">
        <f t="shared" si="132"/>
        <v>6</v>
      </c>
      <c r="AT98" s="1">
        <f t="shared" si="133"/>
        <v>0.3</v>
      </c>
      <c r="AU98" s="1">
        <f t="shared" si="134"/>
        <v>8</v>
      </c>
      <c r="AV98" s="1">
        <f>MIN(5,SUMIFS($EL$3:EL98,$B$3:B98,"&gt;="&amp;MAX(1,B98-2),$B$3:B98,"&lt;="&amp;B98)+EC98)</f>
        <v>5</v>
      </c>
      <c r="AW98" s="1">
        <f>MIN(6,SUMIFS($EY$3:EY97,$EX$3:EX97,"&gt;="&amp;MAX(1,EX98-Boss参数!$B$87+1),$EX$3:EX97,"&lt;="&amp;EX98))</f>
        <v>6</v>
      </c>
      <c r="AX98" s="1">
        <f>MIN(4,COUNTIFS($B$3:$B$97,"&gt;="&amp;MAX(1,$B98-2),$B$3:$B$97,"&lt;="&amp;$B98,$L$3:$L$97,"37_FOLLOW"))</f>
        <v>4</v>
      </c>
      <c r="AY98" s="1">
        <f>IF($E98="","",IF($E98="系统",0,ROUNDDOWN(INDEX(角色面板!$C$4:$C$7,MATCH($E98,角色面板!$A$4:$A$7,0))*(1+INDEX(角色面板!$C$11:$C$14,MATCH($E98,角色面板!$A$11:$A$14,0))+IF($E98="小瑞安侬",MAX(IF($B98&lt;=$AQ98,$AP98,0),IF(AND($L98="RHI_ATTACK",$EE98&gt;0),0.11+0.01*$G98,0)),0)+IF($E98="J",$AD98*Boss参数!$B$18,0))+IF(FD98&lt;=$AN98,MIN(Boss参数!$B$21,ROUNDDOWN(角色面板!$C$19*Boss参数!$B$20,0)),0)+IF(AND($B98&lt;=$AK98,$E98&lt;&gt;"小瑞安侬"),$DY98,0),0)))</f>
        <v>3005</v>
      </c>
      <c r="AZ98" s="1">
        <f>IF($E98="","",MAX(0,MIN(1,IFERROR(INDEX(角色面板!$G$18:$G$21,MATCH($E98,角色面板!$A$18:$A$21,0)),0)-FC98*Boss参数!$B$89-Boss参数!$E$4)))</f>
        <v>1</v>
      </c>
      <c r="BA98" s="1">
        <f>IF(E98="","",(IF($E98="","",IF($E98="红弩箭",Boss参数!$B$80,IF($E98="J",Boss参数!$B$81,IFERROR(INDEX(角色面板!$H$18:$H$21,MATCH($E98,角色面板!$A$18:$A$21,0)),0)))+IF($B98&lt;=$AI98,Boss参数!$B$13,0)+MIN(30,$AM98)*Boss参数!$B$17+IF(AND($L98="LILYA_ULT",$X98&gt;=6),1,0)+IF(AND($Y98=1,$L98="LILYA_INSIGHT"),IF(MOD($AA98+1,3)=0,Boss参数!$B$83,Boss参数!$B$82),IF(AND($Y98=1,$L98="LILYA_FINISH"),Boss参数!$B$84,0))))-FC98*Boss参数!$B$90)</f>
        <v>2.3050000000000002</v>
      </c>
      <c r="BB98" s="1">
        <f>IF($E98="","",IFERROR(INDEX(角色面板!$M$18:$M$21,MATCH($E98,角色面板!$A$18:$A$21,0)),0)+$AW98*Boss参数!$B$12+IF($B98&lt;=$AG98,$AF98,0)+$EI98+IF($L98="LILYA_DIVE",IF($U98=1,IF($G98=1,0.3,IF($G98=2,0.4,0.5)),IF($U98=2,IF($G98=1,0.6,IF($G98=2,0.8,1)),0)),0)+$R98+IF(AND($E98="J",OR($L98="J_COUNTER",$L98="J_HARD")),Boss参数!$B$79,0)+IF(AND(OR(L98="J_COUNTER",L98="J_HARD"),FA98&gt;=Boss参数!$B$59),FA98*Boss参数!$B$40,0))</f>
        <v>2.5350000000000001</v>
      </c>
      <c r="BC98" s="1">
        <f>IF($E98="","",IFERROR(INDEX(角色面板!$K$18:$K$21,MATCH($E98,角色面板!$A$18:$A$21,0)),0)+IF($B98&lt;=$AH98,Boss参数!$B$46,0)+IF($E98="红弩箭",IF($U98=1,0.6,IF($U98=2,1.2,0))+$W98*0.06,0))-DI98*Boss参数!$B$23</f>
        <v>0.94999999999999973</v>
      </c>
      <c r="BD98" s="1">
        <f>IF($E98="","",IFERROR(INDEX(角色面板!$L$18:$L$21,MATCH($E98,角色面板!$A$18:$A$21,0)),0)+IF($B98&lt;=$AH98,Boss参数!$B$46,0)+IF($E98="J",$AL98*Boss参数!$B$16,0)+IF($E98="红弩箭",$X98*0.025,0)+IF(AND($L98="LILYA_ULT",$X98&gt;=6),1,0))-DI98*Boss参数!$B$23</f>
        <v>-0.25</v>
      </c>
      <c r="BE98" s="1">
        <f>IF($E98="","",IF($H98="洞知",IF($E98="红弩箭",$AO98*Boss参数!$B$15,0)+$AX98*Boss参数!$B$14,0))</f>
        <v>0</v>
      </c>
      <c r="BF98" s="1">
        <f t="shared" si="71"/>
        <v>0</v>
      </c>
      <c r="BG98" s="1">
        <f>IF($D98="",0,IF(AND($L98&lt;&gt;"LILYA_DIVE",$L98&lt;&gt;"LILYA_ULT",$L98&lt;&gt;"LILYA_INSIGHT",$L98&lt;&gt;"LILYA_FINISH",$L98&lt;&gt;"37_FOLLOW",$L98&lt;&gt;"RHI_ATTACK",$L98&lt;&gt;"RHI_BERRY",$L98&lt;&gt;"J_COUNTER",$L98&lt;&gt;"J_ULT"),$J98,0)+IF($L98="LILYA_DIVE",$J98+IF($U98=1,IF($G98=1,6,IF($G98=2,12,18)),IF($U98=2,IF($G98=1,12,IF($G98=2,24,36)),0)),0)+IF($L98="LILYA_ULT",$J98+IF($X98&gt;=6,18,0),0)+IF($L98="LILYA_INSIGHT",IF($Y98=1,IF(MOD($AA98+1,3)=0,32,15),0),0)+IF($L98="LILYA_FINISH",IF($Y98=1,50+2.5*$Z98,0),0)+IF($L98="37_FOLLOW",$J98,0)+IF($L98="RHI_ATTACK",$J98*IF($B98&lt;=$AJ98,2,1),0)+IF($L98="RHI_BERRY",15+1.5*$AV98,0)+IF($L98="J_COUNTER",$J98+$AD98*Boss参数!$B$39,0)+IF($L98="J_ULT",$J98+Boss参数!$B$45*MAX(0,$AE98+$AD98-Boss参数!$I$4),0)+$S98)</f>
        <v>45</v>
      </c>
      <c r="BH98" s="1">
        <f t="shared" si="72"/>
        <v>0</v>
      </c>
      <c r="BI98" s="1">
        <f>IF(E98="","",IF(DT98=1,1+Boss参数!$B$8+AV98*Boss参数!$B$19,1))</f>
        <v>1.5</v>
      </c>
      <c r="BJ98" s="1">
        <f>IF($I98="现实",Boss参数!$C$4,IF($I98="精神",Boss参数!$D$4,0))</f>
        <v>1200</v>
      </c>
      <c r="BK98" s="1">
        <f>IF($E98="","",MAX($AY98*Boss参数!$B$9,$AY98-$BJ98*(1-$BF98)))</f>
        <v>1805</v>
      </c>
      <c r="BL98" s="1">
        <f>MAX(0,Boss参数!$F$4+IF(DT98=0,Boss参数!$B$27,0)-EJ98)</f>
        <v>0.10000000000000003</v>
      </c>
      <c r="BM98" s="1">
        <f>Boss参数!$G$4+DU98-IF(Y98=1,Boss参数!$B$11,0)</f>
        <v>0.7</v>
      </c>
      <c r="BN98" s="1">
        <f>IF($E98="","",MAX(Boss参数!$B$10,1+IFERROR(INDEX(角色面板!$I$18:$I$21,MATCH($E98,角色面板!$A$18:$A$21,0)),0)+$BB98+Boss参数!$H$4-$BM98))</f>
        <v>2.9350000000000005</v>
      </c>
      <c r="BO98" s="1">
        <f>IF(E98="","",IF(OR(L98="J_COUNTER",L98="J_HARD"),MAX(0,1+INDEX(角色面板!$K$18:$K$21,MATCH(E98,角色面板!$A$18:$A$21,0))-DI98*Boss参数!$B$23+IF(OR(Boss参数!$B$43=1,L98="J_HARD"),IF(B98&lt;=AH98,Boss参数!$B$46,0),0)),MAX(0,IF(OR(H98="术法",L98="RHI_BERRY",AND(L98="37_FOLLOW",Boss参数!$B$31=1)),1+BC98,IF(H98="仪式",1+BD98,IF(H98="洞知",EK98,1))))))</f>
        <v>1.9499999999999997</v>
      </c>
      <c r="BP98" s="1">
        <f t="shared" si="73"/>
        <v>2.2050000000000001</v>
      </c>
      <c r="BQ98" s="1">
        <f t="shared" si="74"/>
        <v>697306.47187500005</v>
      </c>
      <c r="BR98" s="1">
        <f t="shared" si="75"/>
        <v>1537560.7704843751</v>
      </c>
      <c r="BS98" s="1">
        <f>IF(BH98=0,0,ROUNDDOWN(AY98*BH98,0)*DV98*IF(Boss参数!$B$29=1,BN98,1)*IF(Boss参数!$B$33=1,BO98,1)*IF(Boss参数!$B$76=1,1-ES98,1))</f>
        <v>0</v>
      </c>
      <c r="BT98" s="1">
        <f t="shared" si="76"/>
        <v>0</v>
      </c>
      <c r="BU98" s="1">
        <f>IF(D98="",0,MIN(IF(Boss参数!$B$77=1,Boss参数!$B$63*Boss参数!$B$62,Boss参数!$B$61*Boss参数!$B$62),DW98+ROUNDDOWN(BS98,0)+ROUNDDOWN(DW98*Q98,0)))</f>
        <v>278922</v>
      </c>
      <c r="BV98" s="1">
        <f>IF(D98="",0,MIN(IF(Boss参数!$B$77=1,Boss参数!$B$63*Boss参数!$B$62,Boss参数!$B$61*Boss参数!$B$62),DX98+ROUNDDOWN(BT98,0)+ROUNDDOWN(DX98*Q98,0)))</f>
        <v>615024</v>
      </c>
      <c r="BW98" s="1">
        <f t="shared" si="77"/>
        <v>615024</v>
      </c>
      <c r="BX98" s="1" t="str">
        <f t="shared" si="78"/>
        <v/>
      </c>
      <c r="BY98" s="1">
        <f t="shared" si="79"/>
        <v>2</v>
      </c>
      <c r="BZ98" s="1">
        <f t="shared" si="80"/>
        <v>2</v>
      </c>
      <c r="CA98" s="1">
        <f>MIN(10,W98+IF(AND(L98="LILYA_COBRA",COUNTIF($L$3:L98,"LILYA_COBRA")=1),5,0)+IF(AND(L98="LILYA_DIVE",U98=1,COUNTIFS($DG$3:DG98,DG98,$L$3:L98,"LILYA_DIVE")=1),2,0)+IF(AND(FE98=1,U98=1),3,0))</f>
        <v>10</v>
      </c>
      <c r="CB98" s="1">
        <f>MIN(20,MAX(0,X98+IF(L98="LILYA_COBRA",IF(COUNTIF($L$3:L98,"LILYA_COBRA")=1,6,IF(U98=1,MAX(1,G98),IF(U98=2,2*MAX(1,G98),0))),0)+IF(AND(Y98=1,E98="红弩箭",L98&lt;&gt;"ENTER_INSIGHT"),1,0)-IF(AND(L98="LILYA_ULT",X98&gt;=6),6,0)))</f>
        <v>8</v>
      </c>
      <c r="CC98" s="1">
        <f t="shared" si="81"/>
        <v>0</v>
      </c>
      <c r="CD98" s="1">
        <f t="shared" si="82"/>
        <v>0</v>
      </c>
      <c r="CE98" s="1">
        <f t="shared" si="83"/>
        <v>0</v>
      </c>
      <c r="CF98" s="1">
        <f t="shared" si="84"/>
        <v>2</v>
      </c>
      <c r="CG98" s="1">
        <f t="shared" si="85"/>
        <v>1</v>
      </c>
      <c r="CH98" s="1">
        <f>MIN(35,AD98+IF(L98="J_HARD",6,0)+IF(L98="J_COUNTER",Boss参数!$B$30,0))</f>
        <v>35</v>
      </c>
      <c r="CI98" s="1">
        <f>MIN(Boss参数!$I$4,AE98+IF(L98="J_HARD",6,0)+IF(L98="J_ULT",AD98,0)+IF(L98="J_COUNTER",Boss参数!$B$30,0))</f>
        <v>30</v>
      </c>
      <c r="CJ98" s="1">
        <f>IF(L98="J_ULT",AD98*Boss参数!$B$41,IF(B98&lt;=AG98,AF98,0))</f>
        <v>0.875</v>
      </c>
      <c r="CK98" s="1">
        <f t="shared" si="86"/>
        <v>8</v>
      </c>
      <c r="CL98" s="1">
        <f t="shared" si="87"/>
        <v>8</v>
      </c>
      <c r="CM98" s="1">
        <f t="shared" si="88"/>
        <v>8</v>
      </c>
      <c r="CN98" s="1">
        <f t="shared" si="89"/>
        <v>9</v>
      </c>
      <c r="CO98" s="1">
        <f t="shared" si="90"/>
        <v>8</v>
      </c>
      <c r="CP98" s="1">
        <f t="shared" si="91"/>
        <v>3</v>
      </c>
      <c r="CQ98" s="1">
        <f t="shared" si="92"/>
        <v>30</v>
      </c>
      <c r="CR98" s="1">
        <f t="shared" si="93"/>
        <v>6</v>
      </c>
      <c r="CS98" s="1">
        <f t="shared" si="94"/>
        <v>0</v>
      </c>
      <c r="CT98" s="1">
        <f t="shared" si="95"/>
        <v>0.12</v>
      </c>
      <c r="CU98" s="1">
        <f t="shared" si="96"/>
        <v>6</v>
      </c>
      <c r="CV98" s="1">
        <f t="shared" si="97"/>
        <v>0.3</v>
      </c>
      <c r="CW98" s="1">
        <f t="shared" si="98"/>
        <v>6</v>
      </c>
      <c r="CX98" s="1">
        <f t="shared" si="99"/>
        <v>0.3</v>
      </c>
      <c r="CY98" s="1">
        <f t="shared" si="100"/>
        <v>8</v>
      </c>
      <c r="CZ98" s="1"/>
      <c r="DA98" s="1"/>
      <c r="DB98" s="1"/>
      <c r="DC98" s="1"/>
      <c r="DD98" s="1"/>
      <c r="DE98" s="1"/>
      <c r="DF98" s="1"/>
      <c r="DG98" s="1">
        <f>IF(D98="","",行动模拟!B104)</f>
        <v>6</v>
      </c>
      <c r="DH98" s="1" t="str">
        <f>IF(L98="END_TURN","回合结束",IF(D98="","",IF(INDEX(回合状态!$C$7:$C$17,MATCH(DG98,回合状态!$A$7:$A$17,0))="洞穿","洞穿",IF(OR(L98="J_COUNTER",L98="BOSS_ACTION",L98="BOSS_CONSERVATIVE"),"敌方",IF(AND(L98="37_FOLLOW",DG98=DG97,DH97="敌方"),"敌方",IF(INDEX(回合状态!$C$7:$C$17,MATCH(DG98,回合状态!$A$7:$A$17,0))="普通","出牌",INDEX(回合状态!$C$7:$C$17,MATCH(DG98,回合状态!$A$7:$A$17,0))))))))</f>
        <v>出牌</v>
      </c>
      <c r="DI98" s="1">
        <f t="shared" si="101"/>
        <v>5</v>
      </c>
      <c r="DJ98" s="1">
        <f>IF(D98="",0,MIN(Boss参数!$B$25,IF(OR(AND(DH98="敌方",OR(DH97&lt;&gt;"敌方",DG98&lt;&gt;DG97)),AND(L98="END_TURN",DH98&lt;&gt;"洞穿"),AND(DG98&lt;&gt;DG97,DH97&lt;&gt;"洞穿",L97&lt;&gt;"END_TURN",COUNTIFS($DG$3:DG97,DG97,$DH$3:DH97,"敌方")=0)),EW98,DN97)))</f>
        <v>5</v>
      </c>
      <c r="DK98" s="1">
        <f>IF(D98="",0,MIN(Boss参数!$B$25,IF(OR(AND(DH98="敌方",OR(DH97&lt;&gt;"敌方",DG98&lt;&gt;DG97)),AND(L98="END_TURN",DH98&lt;&gt;"洞穿"),AND(DG98&lt;&gt;DG97,DH97&lt;&gt;"洞穿",L97&lt;&gt;"END_TURN",COUNTIFS($DG$3:DG97,DG97,$DH$3:DH97,"敌方")=0)),EW98,DO97)))</f>
        <v>2</v>
      </c>
      <c r="DL98" s="1">
        <f>IF(D98="",0,MIN(Boss参数!$B$25,IF(OR(AND(DH98="敌方",OR(DH97&lt;&gt;"敌方",DG98&lt;&gt;DG97)),AND(L98="END_TURN",DH98&lt;&gt;"洞穿"),AND(DG98&lt;&gt;DG97,DH97&lt;&gt;"洞穿",L97&lt;&gt;"END_TURN",COUNTIFS($DG$3:DG97,DG97,$DH$3:DH97,"敌方")=0)),EW98,DP97)))</f>
        <v>5</v>
      </c>
      <c r="DM98" s="1">
        <f>IF(D98="",0,MIN(Boss参数!$B$25,IF(OR(AND(DH98="敌方",OR(DH97&lt;&gt;"敌方",DG98&lt;&gt;DG97)),AND(L98="END_TURN",DH98&lt;&gt;"洞穿"),AND(DG98&lt;&gt;DG97,DH97&lt;&gt;"洞穿",L97&lt;&gt;"END_TURN",COUNTIFS($DG$3:DG97,DG97,$DH$3:DH97,"敌方")=0)),EW98,DQ97)))</f>
        <v>2</v>
      </c>
      <c r="DN98" s="1">
        <f>MAX(0,MIN(Boss参数!$B$25,DJ98+DR98)-IF(E98="红弩箭",2*DR98,0))</f>
        <v>3</v>
      </c>
      <c r="DO98" s="1">
        <f>MAX(0,MIN(Boss参数!$B$25,DK98+DR98)-IF(E98="37",2*DR98,0))</f>
        <v>3</v>
      </c>
      <c r="DP98" s="1">
        <f>MAX(0,MIN(Boss参数!$B$25,DL98+DR98)-IF(E98="小瑞安侬",2*DR98,0))</f>
        <v>5</v>
      </c>
      <c r="DQ98" s="1">
        <f>MAX(0,MIN(Boss参数!$B$25,DM98+DR98)-IF(E98="J",2*DR98,0))</f>
        <v>3</v>
      </c>
      <c r="DR98" s="1">
        <f t="shared" si="102"/>
        <v>1</v>
      </c>
      <c r="DS98" s="1">
        <f t="shared" si="103"/>
        <v>1</v>
      </c>
      <c r="DT98" s="1">
        <f>IF(OR(E98="",E98="系统"),0,IF(OR(AND(DS98=1,Boss参数!$B$32=1),L98="RHI_BERRY",OR(AND(INDEX(角色面板!$B$18:$B$21,MATCH(E98,角色面板!$A$18:$A$21,0))="星",Boss参数!$B$4="岩"),AND(INDEX(角色面板!$B$18:$B$21,MATCH(E98,角色面板!$A$18:$A$21,0))="岩",Boss参数!$B$4="兽"),AND(INDEX(角色面板!$B$18:$B$21,MATCH(E98,角色面板!$A$18:$A$21,0))="兽",Boss参数!$B$4="木"),AND(INDEX(角色面板!$B$18:$B$21,MATCH(E98,角色面板!$A$18:$A$21,0))="木",Boss参数!$B$4="星"),AND(INDEX(角色面板!$B$18:$B$21,MATCH(E98,角色面板!$A$18:$A$21,0))="智",Boss参数!$B$4="灵"),AND(INDEX(角色面板!$B$18:$B$21,MATCH(E98,角色面板!$A$18:$A$21,0))="灵",Boss参数!$B$4="智"))),1,0))</f>
        <v>1</v>
      </c>
      <c r="DU98" s="1">
        <f>IF(D98="",0,INDEX(回合状态!$E$7:$E$17,MATCH(DG98,回合状态!$A$7:$A$17,0))+IF(AND(DH98="敌方",OR(INDEX(回合状态!$C$7:$C$17,MATCH(DG98,回合状态!$A$7:$A$17,0))="普通",INDEX(回合状态!$C$7:$C$17,MATCH(DG98,回合状态!$A$7:$A$17,0))="额外")),0.05,0))</f>
        <v>0.3</v>
      </c>
      <c r="DV98" s="1">
        <f>MAX(Boss参数!$B$28,1+IF(AND(E98="37",AC98&gt;0,BH98&gt;0),Boss参数!$B$42,0)-DI98*Boss参数!$B$24+EA98-ER98)</f>
        <v>0</v>
      </c>
      <c r="DW98" s="1">
        <f>MIN(IF(Boss参数!$B$77=1,Boss参数!$B$63*Boss参数!$B$62,Boss参数!$B$61*Boss参数!$B$62),ROUNDDOWN(BQ98*(1-ES98),0))</f>
        <v>278922</v>
      </c>
      <c r="DX98" s="1">
        <f>MIN(IF(Boss参数!$B$77=1,Boss参数!$B$63*Boss参数!$B$62,Boss参数!$B$61*Boss参数!$B$62),ROUNDDOWN(BR98*(1-ES98),0))</f>
        <v>615024</v>
      </c>
      <c r="DY98" s="1">
        <f t="shared" si="135"/>
        <v>250</v>
      </c>
      <c r="DZ98" s="1">
        <f>IF(L98="RHI_ULT",MIN(Boss参数!$B$48,ROUNDDOWN(AY98*Boss参数!$B$47,0)),DY98)</f>
        <v>250</v>
      </c>
      <c r="EA98" s="1">
        <v>0</v>
      </c>
      <c r="EB98" s="1">
        <f t="shared" si="104"/>
        <v>0</v>
      </c>
      <c r="EC98" s="1">
        <f>SUMIFS($EB$3:EB98,$B$3:B98,"&gt;="&amp;MAX(1,B98-2),$B$3:B98,"&lt;="&amp;B98)*Boss参数!$B$51</f>
        <v>10</v>
      </c>
      <c r="ED98" s="1">
        <f>IF(D98="",EG97,IF(AND(DG98&lt;&gt;DG97,DH98&lt;&gt;"洞穿"),MIN(Boss参数!$B$55,EG97+2),EG97))</f>
        <v>1</v>
      </c>
      <c r="EE98" s="1">
        <f t="shared" si="105"/>
        <v>0</v>
      </c>
      <c r="EF98" s="1">
        <f>IF(AND(OR(L98="END_TURN",AND(DH98="敌方",OR(DH97&lt;&gt;"敌方",DG98&lt;&gt;DG97))),SUMIFS($EF$3:EF97,$DG$3:DG97,DG98)=0),MIN(1,MAX(0,ED98-EE98)),0)</f>
        <v>0</v>
      </c>
      <c r="EG98" s="1">
        <f t="shared" si="106"/>
        <v>1</v>
      </c>
      <c r="EH98" s="1">
        <f>Boss参数!$B$53-IF(Y98=1,Boss参数!$B$54,0)</f>
        <v>0</v>
      </c>
      <c r="EI98" s="1">
        <f t="shared" si="107"/>
        <v>0.3</v>
      </c>
      <c r="EJ98" s="1">
        <f t="shared" si="108"/>
        <v>0.3</v>
      </c>
      <c r="EK98" s="1">
        <f t="shared" si="109"/>
        <v>1</v>
      </c>
      <c r="EL98" s="1">
        <f t="shared" si="136"/>
        <v>0</v>
      </c>
      <c r="EM98" s="1">
        <f>IF(AND(DG98&lt;&gt;DG97,DH98="洞穿"),0,IF(L98="ENTER_INSIGHT",Boss参数!$B$57,EO97))</f>
        <v>0</v>
      </c>
      <c r="EN98" s="1">
        <f>IF(AND(Y98=1,H98="洞知",EM98&gt;0),Boss参数!$B$56,0)</f>
        <v>0</v>
      </c>
      <c r="EO98" s="1">
        <f t="shared" si="110"/>
        <v>0</v>
      </c>
      <c r="EP98" s="1">
        <f t="shared" si="137"/>
        <v>14391539</v>
      </c>
      <c r="EQ98" s="1">
        <f>ROUNDDOWN(EP98/Boss参数!$B$62,0)</f>
        <v>143</v>
      </c>
      <c r="ER98" s="1">
        <f>IF(EQ98&gt;=Boss参数!$B$66,Boss参数!$B$69,IF(EQ98&gt;=Boss参数!$B$65,Boss参数!$B$68,IF(EQ98&gt;=Boss参数!$B$64,Boss参数!$B$67,0)))</f>
        <v>0.9</v>
      </c>
      <c r="ES98" s="1">
        <f>MIN(1,IF(EQ98&gt;=Boss参数!$B$66,Boss参数!$B$72+ROUNDDOWN((EQ98-Boss参数!$B$66)/Boss参数!$B$73,0)*Boss参数!$B$74,IF(EQ98&gt;=Boss参数!$B$65,Boss参数!$B$71,IF(EQ98&gt;=Boss参数!$B$64,Boss参数!$B$70,0))))</f>
        <v>0.6</v>
      </c>
      <c r="ET98" s="1">
        <f>MIN(Boss参数!$B$61*Boss参数!$B$62,EP98+IF(AND(Boss参数!$B$60=1,ISNUMBER(验证表!H104)),验证表!H104,EU98))</f>
        <v>15006563</v>
      </c>
      <c r="EU98" s="1">
        <f>IF(D98="",0,IF(验证表!G104="是",BV98,IF(验证表!G104="否",BU98,BW98)))</f>
        <v>615024</v>
      </c>
      <c r="EV98" s="1">
        <f>IF(EQ98&gt;=Boss参数!$B$66,2,IF(EQ98&gt;=Boss参数!$B$65,1,0))</f>
        <v>2</v>
      </c>
      <c r="EW98" s="1">
        <f t="shared" si="111"/>
        <v>3</v>
      </c>
      <c r="EX98" s="1">
        <f>IF(D98="",0,INDEX(回合状态!$D$7:$D$17,MATCH(DG98,回合状态!$A$7:$A$17,0)))</f>
        <v>6</v>
      </c>
      <c r="EY98" s="1">
        <f>IF(OR(L98="RHI_ATTACK",L98="RHI_BUFF"),1,IF(L98="RHI_ULT",Boss参数!$B$52,0))</f>
        <v>0</v>
      </c>
      <c r="EZ98" s="1">
        <f>MIN(6,SUMIFS($EY$3:EY98,$EX$3:EX98,"&gt;="&amp;MAX(1,EX98-Boss参数!$B$87+1),$EX$3:EX98,"&lt;="&amp;EX98))</f>
        <v>6</v>
      </c>
      <c r="FA98" s="1">
        <f t="shared" si="138"/>
        <v>35</v>
      </c>
      <c r="FB98" s="17">
        <f>IF(L98="BOSS_CONSERVATIVE",B98+Boss参数!$B$91,FB97)</f>
        <v>7</v>
      </c>
      <c r="FC98" s="17">
        <f t="shared" si="139"/>
        <v>0</v>
      </c>
      <c r="FD98" s="17">
        <f>IF(D98="",FD97,FD97+IF(AND(DG98&lt;&gt;DG97,INDEX(回合状态!$C$7:$C$17,MATCH(DG98,回合状态!$A$7:$A$17,0))&lt;&gt;"洞穿"),1,0))</f>
        <v>7</v>
      </c>
      <c r="FE98" s="17">
        <f>IF(D98="",0,IF(AND(OR(L98="END_TURN",DH98="敌方"),INDEX(回合状态!$C$7:$C$17,MATCH(DG98,回合状态!$A$7:$A$17,0))&lt;&gt;"洞穿",SUMIFS($FE$3:FE97,$DG$3:DG97,DG98)=0),1,0))</f>
        <v>0</v>
      </c>
    </row>
    <row r="99" spans="1:161" ht="84.95" customHeight="1">
      <c r="A99" s="1">
        <f>行动模拟!A105</f>
        <v>97</v>
      </c>
      <c r="B99" s="1">
        <f>IF(D99="",0,INDEX(回合状态!$B$7:$B$17,MATCH(DG99,回合状态!$A$7:$A$17,0)))</f>
        <v>6</v>
      </c>
      <c r="C99" s="1">
        <f>行动模拟!C105</f>
        <v>8</v>
      </c>
      <c r="D99" s="1" t="str">
        <f>IF(行动模拟!D105="","",行动模拟!D105)</f>
        <v>J｜硬度测试Ⅱ</v>
      </c>
      <c r="E99" s="1" t="str">
        <f>IF($D99="","",IFERROR(INDEX(技能数据库!$B$4:$B$38,MATCH($D99,技能数据库!$A$4:$A$38,0)),""))</f>
        <v>J</v>
      </c>
      <c r="F99" s="1" t="str">
        <f>IF($D99="","",IFERROR(INDEX(技能数据库!$C$4:$C$38,MATCH($D99,技能数据库!$A$4:$A$38,0)),""))</f>
        <v>硬度测试</v>
      </c>
      <c r="G99" s="1">
        <f>IF($D99="","",IFERROR(INDEX(技能数据库!$D$4:$D$38,MATCH($D99,技能数据库!$A$4:$A$38,0)),""))</f>
        <v>2</v>
      </c>
      <c r="H99" s="1" t="str">
        <f>IF($D99="","",IFERROR(INDEX(技能数据库!$E$4:$E$38,MATCH($D99,技能数据库!$A$4:$A$38,0)),""))</f>
        <v>术法</v>
      </c>
      <c r="I99" s="1" t="str">
        <f>IF($D99="","",IFERROR(INDEX(技能数据库!$F$4:$F$38,MATCH($D99,技能数据库!$A$4:$A$38,0)),""))</f>
        <v>现实</v>
      </c>
      <c r="J99" s="1">
        <f>IF($D99="","",IFERROR(INDEX(技能数据库!$G$4:$G$38,MATCH($D99,技能数据库!$A$4:$A$38,0)),""))</f>
        <v>5.4</v>
      </c>
      <c r="K99" s="1">
        <f>IF($D99="","",IFERROR(INDEX(技能数据库!$H$4:$H$38,MATCH($D99,技能数据库!$A$4:$A$38,0)),""))</f>
        <v>0</v>
      </c>
      <c r="L99" s="1" t="str">
        <f>IF($D99="","",IFERROR(INDEX(技能数据库!$I$4:$I$38,MATCH($D99,技能数据库!$A$4:$A$38,0)),""))</f>
        <v>J_HARD</v>
      </c>
      <c r="M99" s="1">
        <v>1</v>
      </c>
      <c r="N99" s="1"/>
      <c r="O99" s="1"/>
      <c r="P99" s="1"/>
      <c r="Q99" s="1">
        <f t="shared" si="70"/>
        <v>0</v>
      </c>
      <c r="R99" s="1">
        <v>0</v>
      </c>
      <c r="S99" s="1">
        <v>0</v>
      </c>
      <c r="T99" s="1">
        <f>行动模拟!I105</f>
        <v>0</v>
      </c>
      <c r="U99" s="1">
        <f>IF(FD99&lt;&gt;FD98,IF(BY98=1,IF(MIN(10,CA98+IF(AND(DG99&lt;&gt;DG98,DH98&lt;&gt;"洞穿",SUMIFS($FE$3:FE98,$DG$3:DG98,DG98)=0,BY98=1),3,0))&gt;=10,2,1),IF(BY98=2,IF(BZ98&lt;=1,0,2),0)),BY98)</f>
        <v>2</v>
      </c>
      <c r="V99" s="1">
        <f>IF(FD99&lt;&gt;FD98,IF(BY98=1,IF(MIN(10,CA98+IF(AND(DG99&lt;&gt;DG98,DH98&lt;&gt;"洞穿",SUMIFS($FE$3:FE98,$DG$3:DG98,DG98)=0,BY98=1),3,0))&gt;=10,2,0),IF(BY98=2,MAX(0,BZ98-1),0)),BZ98)</f>
        <v>2</v>
      </c>
      <c r="W99" s="1">
        <f>IF(AND(FD99&lt;&gt;FD98,BY98=2,BZ98&lt;=1),0,MIN(10,CA98+IF(AND(DG99&lt;&gt;DG98,DH98&lt;&gt;"洞穿",SUMIFS($FE$3:FE98,$DG$3:DG98,DG98)=0,BY98=1),3,0)))</f>
        <v>10</v>
      </c>
      <c r="X99" s="1">
        <f t="shared" si="112"/>
        <v>8</v>
      </c>
      <c r="Y99" s="1">
        <f t="shared" si="113"/>
        <v>0</v>
      </c>
      <c r="Z99" s="1">
        <f t="shared" si="114"/>
        <v>0</v>
      </c>
      <c r="AA99" s="1">
        <f t="shared" si="115"/>
        <v>0</v>
      </c>
      <c r="AB99" s="1">
        <f t="shared" si="116"/>
        <v>2</v>
      </c>
      <c r="AC99" s="1">
        <f t="shared" si="117"/>
        <v>1</v>
      </c>
      <c r="AD99" s="1">
        <f t="shared" si="118"/>
        <v>35</v>
      </c>
      <c r="AE99" s="1">
        <f>IF(D99="",0,IF(DG99&lt;&gt;DG98,IFERROR(INDEX(回合状态!$F$7:$F$17,MATCH(DG99,回合状态!$A$7:$A$17,0)),0),CI98))</f>
        <v>30</v>
      </c>
      <c r="AF99" s="1">
        <f t="shared" si="119"/>
        <v>0.875</v>
      </c>
      <c r="AG99" s="1">
        <f t="shared" si="120"/>
        <v>8</v>
      </c>
      <c r="AH99" s="1">
        <f t="shared" si="121"/>
        <v>8</v>
      </c>
      <c r="AI99" s="1">
        <f t="shared" si="122"/>
        <v>8</v>
      </c>
      <c r="AJ99" s="1">
        <f t="shared" si="123"/>
        <v>9</v>
      </c>
      <c r="AK99" s="1">
        <f t="shared" si="124"/>
        <v>8</v>
      </c>
      <c r="AL99" s="1">
        <f t="shared" si="125"/>
        <v>3</v>
      </c>
      <c r="AM99" s="1">
        <f t="shared" si="126"/>
        <v>30</v>
      </c>
      <c r="AN99" s="1">
        <f t="shared" si="127"/>
        <v>6</v>
      </c>
      <c r="AO99" s="1">
        <f t="shared" si="128"/>
        <v>0</v>
      </c>
      <c r="AP99" s="1">
        <f t="shared" si="129"/>
        <v>0.12</v>
      </c>
      <c r="AQ99" s="1">
        <f t="shared" si="130"/>
        <v>6</v>
      </c>
      <c r="AR99" s="1">
        <f t="shared" si="131"/>
        <v>0.3</v>
      </c>
      <c r="AS99" s="1">
        <f t="shared" si="132"/>
        <v>6</v>
      </c>
      <c r="AT99" s="1">
        <f t="shared" si="133"/>
        <v>0.3</v>
      </c>
      <c r="AU99" s="1">
        <f t="shared" si="134"/>
        <v>8</v>
      </c>
      <c r="AV99" s="1">
        <f>MIN(5,SUMIFS($EL$3:EL99,$B$3:B99,"&gt;="&amp;MAX(1,B99-2),$B$3:B99,"&lt;="&amp;B99)+EC99)</f>
        <v>5</v>
      </c>
      <c r="AW99" s="1">
        <f>MIN(6,SUMIFS($EY$3:EY98,$EX$3:EX98,"&gt;="&amp;MAX(1,EX99-Boss参数!$B$87+1),$EX$3:EX98,"&lt;="&amp;EX99))</f>
        <v>6</v>
      </c>
      <c r="AX99" s="1">
        <f>MIN(4,COUNTIFS($B$3:$B$98,"&gt;="&amp;MAX(1,$B99-2),$B$3:$B$98,"&lt;="&amp;$B99,$L$3:$L$98,"37_FOLLOW"))</f>
        <v>4</v>
      </c>
      <c r="AY99" s="1">
        <f>IF($E99="","",IF($E99="系统",0,ROUNDDOWN(INDEX(角色面板!$C$4:$C$7,MATCH($E99,角色面板!$A$4:$A$7,0))*(1+INDEX(角色面板!$C$11:$C$14,MATCH($E99,角色面板!$A$11:$A$14,0))+IF($E99="小瑞安侬",MAX(IF($B99&lt;=$AQ99,$AP99,0),IF(AND($L99="RHI_ATTACK",$EE99&gt;0),0.11+0.01*$G99,0)),0)+IF($E99="J",$AD99*Boss参数!$B$18,0))+IF(FD99&lt;=$AN99,MIN(Boss参数!$B$21,ROUNDDOWN(角色面板!$C$19*Boss参数!$B$20,0)),0)+IF(AND($B99&lt;=$AK99,$E99&lt;&gt;"小瑞安侬"),$DY99,0),0)))</f>
        <v>2823</v>
      </c>
      <c r="AZ99" s="1">
        <f>IF($E99="","",MAX(0,MIN(1,IFERROR(INDEX(角色面板!$G$18:$G$21,MATCH($E99,角色面板!$A$18:$A$21,0)),0)-FC99*Boss参数!$B$89-Boss参数!$E$4)))</f>
        <v>0.66700000000000004</v>
      </c>
      <c r="BA99" s="1">
        <f>IF(E99="","",(IF($E99="","",IF($E99="红弩箭",Boss参数!$B$80,IF($E99="J",Boss参数!$B$81,IFERROR(INDEX(角色面板!$H$18:$H$21,MATCH($E99,角色面板!$A$18:$A$21,0)),0)))+IF($B99&lt;=$AI99,Boss参数!$B$13,0)+MIN(30,$AM99)*Boss参数!$B$17+IF(AND($L99="LILYA_ULT",$X99&gt;=6),1,0)+IF(AND($Y99=1,$L99="LILYA_INSIGHT"),IF(MOD($AA99+1,3)=0,Boss参数!$B$83,Boss参数!$B$82),IF(AND($Y99=1,$L99="LILYA_FINISH"),Boss参数!$B$84,0))))-FC99*Boss参数!$B$90)</f>
        <v>1.9969999999999999</v>
      </c>
      <c r="BB99" s="1">
        <f>IF($E99="","",IFERROR(INDEX(角色面板!$M$18:$M$21,MATCH($E99,角色面板!$A$18:$A$21,0)),0)+$AW99*Boss参数!$B$12+IF($B99&lt;=$AG99,$AF99,0)+$EI99+IF($L99="LILYA_DIVE",IF($U99=1,IF($G99=1,0.3,IF($G99=2,0.4,0.5)),IF($U99=2,IF($G99=1,0.6,IF($G99=2,0.8,1)),0)),0)+$R99+IF(AND($E99="J",OR($L99="J_COUNTER",$L99="J_HARD")),Boss参数!$B$79,0)+IF(AND(OR(L99="J_COUNTER",L99="J_HARD"),FA99&gt;=Boss参数!$B$59),FA99*Boss参数!$B$40,0))</f>
        <v>1.8250000000000002</v>
      </c>
      <c r="BC99" s="1">
        <f>IF($E99="","",IFERROR(INDEX(角色面板!$K$18:$K$21,MATCH($E99,角色面板!$A$18:$A$21,0)),0)+IF($B99&lt;=$AH99,Boss参数!$B$46,0)+IF($E99="红弩箭",IF($U99=1,0.6,IF($U99=2,1.2,0))+$W99*0.06,0))-DI99*Boss参数!$B$23</f>
        <v>-0.55000000000000004</v>
      </c>
      <c r="BD99" s="1">
        <f>IF($E99="","",IFERROR(INDEX(角色面板!$L$18:$L$21,MATCH($E99,角色面板!$A$18:$A$21,0)),0)+IF($B99&lt;=$AH99,Boss参数!$B$46,0)+IF($E99="J",$AL99*Boss参数!$B$16,0)+IF($E99="红弩箭",$X99*0.025,0)+IF(AND($L99="LILYA_ULT",$X99&gt;=6),1,0))-DI99*Boss参数!$B$23</f>
        <v>-2.9999999999999971E-2</v>
      </c>
      <c r="BE99" s="1">
        <f>IF($E99="","",IF($H99="洞知",IF($E99="红弩箭",$AO99*Boss参数!$B$15,0)+$AX99*Boss参数!$B$14,0))</f>
        <v>0</v>
      </c>
      <c r="BF99" s="1">
        <f t="shared" si="71"/>
        <v>0</v>
      </c>
      <c r="BG99" s="1">
        <f>IF($D99="",0,IF(AND($L99&lt;&gt;"LILYA_DIVE",$L99&lt;&gt;"LILYA_ULT",$L99&lt;&gt;"LILYA_INSIGHT",$L99&lt;&gt;"LILYA_FINISH",$L99&lt;&gt;"37_FOLLOW",$L99&lt;&gt;"RHI_ATTACK",$L99&lt;&gt;"RHI_BERRY",$L99&lt;&gt;"J_COUNTER",$L99&lt;&gt;"J_ULT"),$J99,0)+IF($L99="LILYA_DIVE",$J99+IF($U99=1,IF($G99=1,6,IF($G99=2,12,18)),IF($U99=2,IF($G99=1,12,IF($G99=2,24,36)),0)),0)+IF($L99="LILYA_ULT",$J99+IF($X99&gt;=6,18,0),0)+IF($L99="LILYA_INSIGHT",IF($Y99=1,IF(MOD($AA99+1,3)=0,32,15),0),0)+IF($L99="LILYA_FINISH",IF($Y99=1,50+2.5*$Z99,0),0)+IF($L99="37_FOLLOW",$J99,0)+IF($L99="RHI_ATTACK",$J99*IF($B99&lt;=$AJ99,2,1),0)+IF($L99="RHI_BERRY",15+1.5*$AV99,0)+IF($L99="J_COUNTER",$J99+$AD99*Boss参数!$B$39,0)+IF($L99="J_ULT",$J99+Boss参数!$B$45*MAX(0,$AE99+$AD99-Boss参数!$I$4),0)+$S99)</f>
        <v>5.4</v>
      </c>
      <c r="BH99" s="1">
        <f t="shared" si="72"/>
        <v>0</v>
      </c>
      <c r="BI99" s="1">
        <f>IF(E99="","",IF(DT99=1,1+Boss参数!$B$8+AV99*Boss参数!$B$19,1))</f>
        <v>1.5</v>
      </c>
      <c r="BJ99" s="1">
        <f>IF($I99="现实",Boss参数!$C$4,IF($I99="精神",Boss参数!$D$4,0))</f>
        <v>1200</v>
      </c>
      <c r="BK99" s="1">
        <f>IF($E99="","",MAX($AY99*Boss参数!$B$9,$AY99-$BJ99*(1-$BF99)))</f>
        <v>1623</v>
      </c>
      <c r="BL99" s="1">
        <f>MAX(0,Boss参数!$F$4+IF(DT99=0,Boss参数!$B$27,0)-EJ99)</f>
        <v>0.10000000000000003</v>
      </c>
      <c r="BM99" s="1">
        <f>Boss参数!$G$4+DU99-IF(Y99=1,Boss参数!$B$11,0)</f>
        <v>0.7</v>
      </c>
      <c r="BN99" s="1">
        <f>IF($E99="","",MAX(Boss参数!$B$10,1+IFERROR(INDEX(角色面板!$I$18:$I$21,MATCH($E99,角色面板!$A$18:$A$21,0)),0)+$BB99+Boss参数!$H$4-$BM99))</f>
        <v>2.1500000000000004</v>
      </c>
      <c r="BO99" s="1">
        <f>IF(E99="","",IF(OR(L99="J_COUNTER",L99="J_HARD"),MAX(0,1+INDEX(角色面板!$K$18:$K$21,MATCH(E99,角色面板!$A$18:$A$21,0))-DI99*Boss参数!$B$23+IF(OR(Boss参数!$B$43=1,L99="J_HARD"),IF(B99&lt;=AH99,Boss参数!$B$46,0),0)),MAX(0,IF(OR(H99="术法",L99="RHI_BERRY",AND(L99="37_FOLLOW",Boss参数!$B$31=1)),1+BC99,IF(H99="仪式",1+BD99,IF(H99="洞知",EK99,1))))))</f>
        <v>0.45</v>
      </c>
      <c r="BP99" s="1">
        <f t="shared" si="73"/>
        <v>1.8969999999999998</v>
      </c>
      <c r="BQ99" s="1">
        <f t="shared" si="74"/>
        <v>12719.045250000005</v>
      </c>
      <c r="BR99" s="1">
        <f t="shared" si="75"/>
        <v>24128.028839250008</v>
      </c>
      <c r="BS99" s="1">
        <f>IF(BH99=0,0,ROUNDDOWN(AY99*BH99,0)*DV99*IF(Boss参数!$B$29=1,BN99,1)*IF(Boss参数!$B$33=1,BO99,1)*IF(Boss参数!$B$76=1,1-ES99,1))</f>
        <v>0</v>
      </c>
      <c r="BT99" s="1">
        <f t="shared" si="76"/>
        <v>0</v>
      </c>
      <c r="BU99" s="1">
        <f>IF(D99="",0,MIN(IF(Boss参数!$B$77=1,Boss参数!$B$63*Boss参数!$B$62,Boss参数!$B$61*Boss参数!$B$62),DW99+ROUNDDOWN(BS99,0)+ROUNDDOWN(DW99*Q99,0)))</f>
        <v>5087</v>
      </c>
      <c r="BV99" s="1">
        <f>IF(D99="",0,MIN(IF(Boss参数!$B$77=1,Boss参数!$B$63*Boss参数!$B$62,Boss参数!$B$61*Boss参数!$B$62),DX99+ROUNDDOWN(BT99,0)+ROUNDDOWN(DX99*Q99,0)))</f>
        <v>9651</v>
      </c>
      <c r="BW99" s="1">
        <f t="shared" si="77"/>
        <v>8131</v>
      </c>
      <c r="BX99" s="1" t="str">
        <f t="shared" si="78"/>
        <v/>
      </c>
      <c r="BY99" s="1">
        <f t="shared" si="79"/>
        <v>2</v>
      </c>
      <c r="BZ99" s="1">
        <f t="shared" si="80"/>
        <v>2</v>
      </c>
      <c r="CA99" s="1">
        <f>MIN(10,W99+IF(AND(L99="LILYA_COBRA",COUNTIF($L$3:L99,"LILYA_COBRA")=1),5,0)+IF(AND(L99="LILYA_DIVE",U99=1,COUNTIFS($DG$3:DG99,DG99,$L$3:L99,"LILYA_DIVE")=1),2,0)+IF(AND(FE99=1,U99=1),3,0))</f>
        <v>10</v>
      </c>
      <c r="CB99" s="1">
        <f>MIN(20,MAX(0,X99+IF(L99="LILYA_COBRA",IF(COUNTIF($L$3:L99,"LILYA_COBRA")=1,6,IF(U99=1,MAX(1,G99),IF(U99=2,2*MAX(1,G99),0))),0)+IF(AND(Y99=1,E99="红弩箭",L99&lt;&gt;"ENTER_INSIGHT"),1,0)-IF(AND(L99="LILYA_ULT",X99&gt;=6),6,0)))</f>
        <v>8</v>
      </c>
      <c r="CC99" s="1">
        <f t="shared" si="81"/>
        <v>0</v>
      </c>
      <c r="CD99" s="1">
        <f t="shared" si="82"/>
        <v>0</v>
      </c>
      <c r="CE99" s="1">
        <f t="shared" si="83"/>
        <v>0</v>
      </c>
      <c r="CF99" s="1">
        <f t="shared" si="84"/>
        <v>3</v>
      </c>
      <c r="CG99" s="1">
        <f t="shared" si="85"/>
        <v>1</v>
      </c>
      <c r="CH99" s="1">
        <f>MIN(35,AD99+IF(L99="J_HARD",6,0)+IF(L99="J_COUNTER",Boss参数!$B$30,0))</f>
        <v>35</v>
      </c>
      <c r="CI99" s="1">
        <f>MIN(Boss参数!$I$4,AE99+IF(L99="J_HARD",6,0)+IF(L99="J_ULT",AD99,0)+IF(L99="J_COUNTER",Boss参数!$B$30,0))</f>
        <v>30</v>
      </c>
      <c r="CJ99" s="1">
        <f>IF(L99="J_ULT",AD99*Boss参数!$B$41,IF(B99&lt;=AG99,AF99,0))</f>
        <v>0.875</v>
      </c>
      <c r="CK99" s="1">
        <f t="shared" si="86"/>
        <v>8</v>
      </c>
      <c r="CL99" s="1">
        <f t="shared" si="87"/>
        <v>8</v>
      </c>
      <c r="CM99" s="1">
        <f t="shared" si="88"/>
        <v>8</v>
      </c>
      <c r="CN99" s="1">
        <f t="shared" si="89"/>
        <v>9</v>
      </c>
      <c r="CO99" s="1">
        <f t="shared" si="90"/>
        <v>8</v>
      </c>
      <c r="CP99" s="1">
        <f t="shared" si="91"/>
        <v>3</v>
      </c>
      <c r="CQ99" s="1">
        <f t="shared" si="92"/>
        <v>30</v>
      </c>
      <c r="CR99" s="1">
        <f t="shared" si="93"/>
        <v>6</v>
      </c>
      <c r="CS99" s="1">
        <f t="shared" si="94"/>
        <v>0</v>
      </c>
      <c r="CT99" s="1">
        <f t="shared" si="95"/>
        <v>0.12</v>
      </c>
      <c r="CU99" s="1">
        <f t="shared" si="96"/>
        <v>6</v>
      </c>
      <c r="CV99" s="1">
        <f t="shared" si="97"/>
        <v>0.3</v>
      </c>
      <c r="CW99" s="1">
        <f t="shared" si="98"/>
        <v>6</v>
      </c>
      <c r="CX99" s="1">
        <f t="shared" si="99"/>
        <v>0.3</v>
      </c>
      <c r="CY99" s="1">
        <f t="shared" si="100"/>
        <v>8</v>
      </c>
      <c r="CZ99" s="1"/>
      <c r="DA99" s="1"/>
      <c r="DB99" s="1"/>
      <c r="DC99" s="1"/>
      <c r="DD99" s="1"/>
      <c r="DE99" s="1"/>
      <c r="DF99" s="1"/>
      <c r="DG99" s="1">
        <f>IF(D99="","",行动模拟!B105)</f>
        <v>6</v>
      </c>
      <c r="DH99" s="1" t="str">
        <f>IF(L99="END_TURN","回合结束",IF(D99="","",IF(INDEX(回合状态!$C$7:$C$17,MATCH(DG99,回合状态!$A$7:$A$17,0))="洞穿","洞穿",IF(OR(L99="J_COUNTER",L99="BOSS_ACTION",L99="BOSS_CONSERVATIVE"),"敌方",IF(AND(L99="37_FOLLOW",DG99=DG98,DH98="敌方"),"敌方",IF(INDEX(回合状态!$C$7:$C$17,MATCH(DG99,回合状态!$A$7:$A$17,0))="普通","出牌",INDEX(回合状态!$C$7:$C$17,MATCH(DG99,回合状态!$A$7:$A$17,0))))))))</f>
        <v>出牌</v>
      </c>
      <c r="DI99" s="1">
        <f t="shared" si="101"/>
        <v>3</v>
      </c>
      <c r="DJ99" s="1">
        <f>IF(D99="",0,MIN(Boss参数!$B$25,IF(OR(AND(DH99="敌方",OR(DH98&lt;&gt;"敌方",DG99&lt;&gt;DG98)),AND(L99="END_TURN",DH99&lt;&gt;"洞穿"),AND(DG99&lt;&gt;DG98,DH98&lt;&gt;"洞穿",L98&lt;&gt;"END_TURN",COUNTIFS($DG$3:DG98,DG98,$DH$3:DH98,"敌方")=0)),EW99,DN98)))</f>
        <v>3</v>
      </c>
      <c r="DK99" s="1">
        <f>IF(D99="",0,MIN(Boss参数!$B$25,IF(OR(AND(DH99="敌方",OR(DH98&lt;&gt;"敌方",DG99&lt;&gt;DG98)),AND(L99="END_TURN",DH99&lt;&gt;"洞穿"),AND(DG99&lt;&gt;DG98,DH98&lt;&gt;"洞穿",L98&lt;&gt;"END_TURN",COUNTIFS($DG$3:DG98,DG98,$DH$3:DH98,"敌方")=0)),EW99,DO98)))</f>
        <v>3</v>
      </c>
      <c r="DL99" s="1">
        <f>IF(D99="",0,MIN(Boss参数!$B$25,IF(OR(AND(DH99="敌方",OR(DH98&lt;&gt;"敌方",DG99&lt;&gt;DG98)),AND(L99="END_TURN",DH99&lt;&gt;"洞穿"),AND(DG99&lt;&gt;DG98,DH98&lt;&gt;"洞穿",L98&lt;&gt;"END_TURN",COUNTIFS($DG$3:DG98,DG98,$DH$3:DH98,"敌方")=0)),EW99,DP98)))</f>
        <v>5</v>
      </c>
      <c r="DM99" s="1">
        <f>IF(D99="",0,MIN(Boss参数!$B$25,IF(OR(AND(DH99="敌方",OR(DH98&lt;&gt;"敌方",DG99&lt;&gt;DG98)),AND(L99="END_TURN",DH99&lt;&gt;"洞穿"),AND(DG99&lt;&gt;DG98,DH98&lt;&gt;"洞穿",L98&lt;&gt;"END_TURN",COUNTIFS($DG$3:DG98,DG98,$DH$3:DH98,"敌方")=0)),EW99,DQ98)))</f>
        <v>3</v>
      </c>
      <c r="DN99" s="1">
        <f>MAX(0,MIN(Boss参数!$B$25,DJ99+DR99)-IF(E99="红弩箭",2*DR99,0))</f>
        <v>4</v>
      </c>
      <c r="DO99" s="1">
        <f>MAX(0,MIN(Boss参数!$B$25,DK99+DR99)-IF(E99="37",2*DR99,0))</f>
        <v>4</v>
      </c>
      <c r="DP99" s="1">
        <f>MAX(0,MIN(Boss参数!$B$25,DL99+DR99)-IF(E99="小瑞安侬",2*DR99,0))</f>
        <v>5</v>
      </c>
      <c r="DQ99" s="1">
        <f>MAX(0,MIN(Boss参数!$B$25,DM99+DR99)-IF(E99="J",2*DR99,0))</f>
        <v>2</v>
      </c>
      <c r="DR99" s="1">
        <f t="shared" si="102"/>
        <v>1</v>
      </c>
      <c r="DS99" s="1">
        <f t="shared" si="103"/>
        <v>1</v>
      </c>
      <c r="DT99" s="1">
        <f>IF(OR(E99="",E99="系统"),0,IF(OR(AND(DS99=1,Boss参数!$B$32=1),L99="RHI_BERRY",OR(AND(INDEX(角色面板!$B$18:$B$21,MATCH(E99,角色面板!$A$18:$A$21,0))="星",Boss参数!$B$4="岩"),AND(INDEX(角色面板!$B$18:$B$21,MATCH(E99,角色面板!$A$18:$A$21,0))="岩",Boss参数!$B$4="兽"),AND(INDEX(角色面板!$B$18:$B$21,MATCH(E99,角色面板!$A$18:$A$21,0))="兽",Boss参数!$B$4="木"),AND(INDEX(角色面板!$B$18:$B$21,MATCH(E99,角色面板!$A$18:$A$21,0))="木",Boss参数!$B$4="星"),AND(INDEX(角色面板!$B$18:$B$21,MATCH(E99,角色面板!$A$18:$A$21,0))="智",Boss参数!$B$4="灵"),AND(INDEX(角色面板!$B$18:$B$21,MATCH(E99,角色面板!$A$18:$A$21,0))="灵",Boss参数!$B$4="智"))),1,0))</f>
        <v>1</v>
      </c>
      <c r="DU99" s="1">
        <f>IF(D99="",0,INDEX(回合状态!$E$7:$E$17,MATCH(DG99,回合状态!$A$7:$A$17,0))+IF(AND(DH99="敌方",OR(INDEX(回合状态!$C$7:$C$17,MATCH(DG99,回合状态!$A$7:$A$17,0))="普通",INDEX(回合状态!$C$7:$C$17,MATCH(DG99,回合状态!$A$7:$A$17,0))="额外")),0.05,0))</f>
        <v>0.3</v>
      </c>
      <c r="DV99" s="1">
        <f>MAX(Boss参数!$B$28,1+IF(AND(E99="37",AC99&gt;0,BH99&gt;0),Boss参数!$B$42,0)-DI99*Boss参数!$B$24+EA99-ER99)</f>
        <v>0</v>
      </c>
      <c r="DW99" s="1">
        <f>MIN(IF(Boss参数!$B$77=1,Boss参数!$B$63*Boss参数!$B$62,Boss参数!$B$61*Boss参数!$B$62),ROUNDDOWN(BQ99*(1-ES99),0))</f>
        <v>5087</v>
      </c>
      <c r="DX99" s="1">
        <f>MIN(IF(Boss参数!$B$77=1,Boss参数!$B$63*Boss参数!$B$62,Boss参数!$B$61*Boss参数!$B$62),ROUNDDOWN(BR99*(1-ES99),0))</f>
        <v>9651</v>
      </c>
      <c r="DY99" s="1">
        <f t="shared" si="135"/>
        <v>250</v>
      </c>
      <c r="DZ99" s="1">
        <f>IF(L99="RHI_ULT",MIN(Boss参数!$B$48,ROUNDDOWN(AY99*Boss参数!$B$47,0)),DY99)</f>
        <v>250</v>
      </c>
      <c r="EA99" s="1">
        <v>0</v>
      </c>
      <c r="EB99" s="1">
        <f t="shared" si="104"/>
        <v>0</v>
      </c>
      <c r="EC99" s="1">
        <f>SUMIFS($EB$3:EB99,$B$3:B99,"&gt;="&amp;MAX(1,B99-2),$B$3:B99,"&lt;="&amp;B99)*Boss参数!$B$51</f>
        <v>10</v>
      </c>
      <c r="ED99" s="1">
        <f>IF(D99="",EG98,IF(AND(DG99&lt;&gt;DG98,DH99&lt;&gt;"洞穿"),MIN(Boss参数!$B$55,EG98+2),EG98))</f>
        <v>1</v>
      </c>
      <c r="EE99" s="1">
        <f t="shared" si="105"/>
        <v>0</v>
      </c>
      <c r="EF99" s="1">
        <f>IF(AND(OR(L99="END_TURN",AND(DH99="敌方",OR(DH98&lt;&gt;"敌方",DG99&lt;&gt;DG98))),SUMIFS($EF$3:EF98,$DG$3:DG98,DG99)=0),MIN(1,MAX(0,ED99-EE99)),0)</f>
        <v>0</v>
      </c>
      <c r="EG99" s="1">
        <f t="shared" si="106"/>
        <v>1</v>
      </c>
      <c r="EH99" s="1">
        <f>Boss参数!$B$53-IF(Y99=1,Boss参数!$B$54,0)</f>
        <v>0</v>
      </c>
      <c r="EI99" s="1">
        <f t="shared" si="107"/>
        <v>0.3</v>
      </c>
      <c r="EJ99" s="1">
        <f t="shared" si="108"/>
        <v>0.3</v>
      </c>
      <c r="EK99" s="1">
        <f t="shared" si="109"/>
        <v>1</v>
      </c>
      <c r="EL99" s="1">
        <f t="shared" si="136"/>
        <v>0</v>
      </c>
      <c r="EM99" s="1">
        <f>IF(AND(DG99&lt;&gt;DG98,DH99="洞穿"),0,IF(L99="ENTER_INSIGHT",Boss参数!$B$57,EO98))</f>
        <v>0</v>
      </c>
      <c r="EN99" s="1">
        <f>IF(AND(Y99=1,H99="洞知",EM99&gt;0),Boss参数!$B$56,0)</f>
        <v>0</v>
      </c>
      <c r="EO99" s="1">
        <f t="shared" si="110"/>
        <v>0</v>
      </c>
      <c r="EP99" s="1">
        <f t="shared" si="137"/>
        <v>15006563</v>
      </c>
      <c r="EQ99" s="1">
        <f>ROUNDDOWN(EP99/Boss参数!$B$62,0)</f>
        <v>150</v>
      </c>
      <c r="ER99" s="1">
        <f>IF(EQ99&gt;=Boss参数!$B$66,Boss参数!$B$69,IF(EQ99&gt;=Boss参数!$B$65,Boss参数!$B$68,IF(EQ99&gt;=Boss参数!$B$64,Boss参数!$B$67,0)))</f>
        <v>0.9</v>
      </c>
      <c r="ES99" s="1">
        <f>MIN(1,IF(EQ99&gt;=Boss参数!$B$66,Boss参数!$B$72+ROUNDDOWN((EQ99-Boss参数!$B$66)/Boss参数!$B$73,0)*Boss参数!$B$74,IF(EQ99&gt;=Boss参数!$B$65,Boss参数!$B$71,IF(EQ99&gt;=Boss参数!$B$64,Boss参数!$B$70,0))))</f>
        <v>0.6</v>
      </c>
      <c r="ET99" s="1">
        <f>MIN(Boss参数!$B$61*Boss参数!$B$62,EP99+IF(AND(Boss参数!$B$60=1,ISNUMBER(验证表!H105)),验证表!H105,EU99))</f>
        <v>15011650</v>
      </c>
      <c r="EU99" s="1">
        <f>IF(D99="",0,IF(验证表!G105="是",BV99,IF(验证表!G105="否",BU99,BW99)))</f>
        <v>5087</v>
      </c>
      <c r="EV99" s="1">
        <f>IF(EQ99&gt;=Boss参数!$B$66,2,IF(EQ99&gt;=Boss参数!$B$65,1,0))</f>
        <v>2</v>
      </c>
      <c r="EW99" s="1">
        <f t="shared" si="111"/>
        <v>3</v>
      </c>
      <c r="EX99" s="1">
        <f>IF(D99="",0,INDEX(回合状态!$D$7:$D$17,MATCH(DG99,回合状态!$A$7:$A$17,0)))</f>
        <v>6</v>
      </c>
      <c r="EY99" s="1">
        <f>IF(OR(L99="RHI_ATTACK",L99="RHI_BUFF"),1,IF(L99="RHI_ULT",Boss参数!$B$52,0))</f>
        <v>0</v>
      </c>
      <c r="EZ99" s="1">
        <f>MIN(6,SUMIFS($EY$3:EY99,$EX$3:EX99,"&gt;="&amp;MAX(1,EX99-Boss参数!$B$87+1),$EX$3:EX99,"&lt;="&amp;EX99))</f>
        <v>6</v>
      </c>
      <c r="FA99" s="1">
        <f t="shared" si="138"/>
        <v>35</v>
      </c>
      <c r="FB99" s="17">
        <f>IF(L99="BOSS_CONSERVATIVE",B99+Boss参数!$B$91,FB98)</f>
        <v>7</v>
      </c>
      <c r="FC99" s="17">
        <f t="shared" si="139"/>
        <v>0</v>
      </c>
      <c r="FD99" s="17">
        <f>IF(D99="",FD98,FD98+IF(AND(DG99&lt;&gt;DG98,INDEX(回合状态!$C$7:$C$17,MATCH(DG99,回合状态!$A$7:$A$17,0))&lt;&gt;"洞穿"),1,0))</f>
        <v>7</v>
      </c>
      <c r="FE99" s="17">
        <f>IF(D99="",0,IF(AND(OR(L99="END_TURN",DH99="敌方"),INDEX(回合状态!$C$7:$C$17,MATCH(DG99,回合状态!$A$7:$A$17,0))&lt;&gt;"洞穿",SUMIFS($FE$3:FE98,$DG$3:DG98,DG99)=0),1,0))</f>
        <v>0</v>
      </c>
    </row>
    <row r="100" spans="1:161" ht="84.95" customHeight="1">
      <c r="A100" s="1">
        <f>行动模拟!A106</f>
        <v>98</v>
      </c>
      <c r="B100" s="1">
        <f>IF(D100="",0,INDEX(回合状态!$B$7:$B$17,MATCH(DG100,回合状态!$A$7:$A$17,0)))</f>
        <v>6</v>
      </c>
      <c r="C100" s="1">
        <f>行动模拟!C106</f>
        <v>9</v>
      </c>
      <c r="D100" s="1" t="str">
        <f>IF(行动模拟!D106="","",行动模拟!D106)</f>
        <v>J｜高温回火</v>
      </c>
      <c r="E100" s="1" t="str">
        <f>IF($D100="","",IFERROR(INDEX(技能数据库!$B$4:$B$38,MATCH($D100,技能数据库!$A$4:$A$38,0)),""))</f>
        <v>J</v>
      </c>
      <c r="F100" s="1" t="str">
        <f>IF($D100="","",IFERROR(INDEX(技能数据库!$C$4:$C$38,MATCH($D100,技能数据库!$A$4:$A$38,0)),""))</f>
        <v>高温回火</v>
      </c>
      <c r="G100" s="1">
        <f>IF($D100="","",IFERROR(INDEX(技能数据库!$D$4:$D$38,MATCH($D100,技能数据库!$A$4:$A$38,0)),""))</f>
        <v>0</v>
      </c>
      <c r="H100" s="1" t="str">
        <f>IF($D100="","",IFERROR(INDEX(技能数据库!$E$4:$E$38,MATCH($D100,技能数据库!$A$4:$A$38,0)),""))</f>
        <v>反击</v>
      </c>
      <c r="I100" s="1" t="str">
        <f>IF($D100="","",IFERROR(INDEX(技能数据库!$F$4:$F$38,MATCH($D100,技能数据库!$A$4:$A$38,0)),""))</f>
        <v>现实</v>
      </c>
      <c r="J100" s="1">
        <f>IF($D100="","",IFERROR(INDEX(技能数据库!$G$4:$G$38,MATCH($D100,技能数据库!$A$4:$A$38,0)),""))</f>
        <v>3</v>
      </c>
      <c r="K100" s="1">
        <f>IF($D100="","",IFERROR(INDEX(技能数据库!$H$4:$H$38,MATCH($D100,技能数据库!$A$4:$A$38,0)),""))</f>
        <v>0</v>
      </c>
      <c r="L100" s="1" t="str">
        <f>IF($D100="","",IFERROR(INDEX(技能数据库!$I$4:$I$38,MATCH($D100,技能数据库!$A$4:$A$38,0)),""))</f>
        <v>J_COUNTER</v>
      </c>
      <c r="M100" s="1">
        <v>1</v>
      </c>
      <c r="N100" s="1"/>
      <c r="O100" s="1"/>
      <c r="P100" s="1"/>
      <c r="Q100" s="1">
        <f t="shared" si="70"/>
        <v>0</v>
      </c>
      <c r="R100" s="1">
        <v>0</v>
      </c>
      <c r="S100" s="1">
        <v>0</v>
      </c>
      <c r="T100" s="1">
        <f>行动模拟!I106</f>
        <v>0</v>
      </c>
      <c r="U100" s="1">
        <f>IF(FD100&lt;&gt;FD99,IF(BY99=1,IF(MIN(10,CA99+IF(AND(DG100&lt;&gt;DG99,DH99&lt;&gt;"洞穿",SUMIFS($FE$3:FE99,$DG$3:DG99,DG99)=0,BY99=1),3,0))&gt;=10,2,1),IF(BY99=2,IF(BZ99&lt;=1,0,2),0)),BY99)</f>
        <v>2</v>
      </c>
      <c r="V100" s="1">
        <f>IF(FD100&lt;&gt;FD99,IF(BY99=1,IF(MIN(10,CA99+IF(AND(DG100&lt;&gt;DG99,DH99&lt;&gt;"洞穿",SUMIFS($FE$3:FE99,$DG$3:DG99,DG99)=0,BY99=1),3,0))&gt;=10,2,0),IF(BY99=2,MAX(0,BZ99-1),0)),BZ99)</f>
        <v>2</v>
      </c>
      <c r="W100" s="1">
        <f>IF(AND(FD100&lt;&gt;FD99,BY99=2,BZ99&lt;=1),0,MIN(10,CA99+IF(AND(DG100&lt;&gt;DG99,DH99&lt;&gt;"洞穿",SUMIFS($FE$3:FE99,$DG$3:DG99,DG99)=0,BY99=1),3,0)))</f>
        <v>10</v>
      </c>
      <c r="X100" s="1">
        <f t="shared" si="112"/>
        <v>8</v>
      </c>
      <c r="Y100" s="1">
        <f t="shared" si="113"/>
        <v>0</v>
      </c>
      <c r="Z100" s="1">
        <f t="shared" si="114"/>
        <v>0</v>
      </c>
      <c r="AA100" s="1">
        <f t="shared" si="115"/>
        <v>0</v>
      </c>
      <c r="AB100" s="1">
        <f t="shared" si="116"/>
        <v>3</v>
      </c>
      <c r="AC100" s="1">
        <f t="shared" si="117"/>
        <v>1</v>
      </c>
      <c r="AD100" s="1">
        <f t="shared" si="118"/>
        <v>35</v>
      </c>
      <c r="AE100" s="1">
        <f>IF(D100="",0,IF(DG100&lt;&gt;DG99,IFERROR(INDEX(回合状态!$F$7:$F$17,MATCH(DG100,回合状态!$A$7:$A$17,0)),0),CI99))</f>
        <v>30</v>
      </c>
      <c r="AF100" s="1">
        <f t="shared" si="119"/>
        <v>0.875</v>
      </c>
      <c r="AG100" s="1">
        <f t="shared" si="120"/>
        <v>8</v>
      </c>
      <c r="AH100" s="1">
        <f t="shared" si="121"/>
        <v>8</v>
      </c>
      <c r="AI100" s="1">
        <f t="shared" si="122"/>
        <v>8</v>
      </c>
      <c r="AJ100" s="1">
        <f t="shared" si="123"/>
        <v>9</v>
      </c>
      <c r="AK100" s="1">
        <f t="shared" si="124"/>
        <v>8</v>
      </c>
      <c r="AL100" s="1">
        <f t="shared" si="125"/>
        <v>3</v>
      </c>
      <c r="AM100" s="1">
        <f t="shared" si="126"/>
        <v>30</v>
      </c>
      <c r="AN100" s="1">
        <f t="shared" si="127"/>
        <v>6</v>
      </c>
      <c r="AO100" s="1">
        <f t="shared" si="128"/>
        <v>0</v>
      </c>
      <c r="AP100" s="1">
        <f t="shared" si="129"/>
        <v>0.12</v>
      </c>
      <c r="AQ100" s="1">
        <f t="shared" si="130"/>
        <v>6</v>
      </c>
      <c r="AR100" s="1">
        <f t="shared" si="131"/>
        <v>0.3</v>
      </c>
      <c r="AS100" s="1">
        <f t="shared" si="132"/>
        <v>6</v>
      </c>
      <c r="AT100" s="1">
        <f t="shared" si="133"/>
        <v>0.3</v>
      </c>
      <c r="AU100" s="1">
        <f t="shared" si="134"/>
        <v>8</v>
      </c>
      <c r="AV100" s="1">
        <f>MIN(5,SUMIFS($EL$3:EL100,$B$3:B100,"&gt;="&amp;MAX(1,B100-2),$B$3:B100,"&lt;="&amp;B100)+EC100)</f>
        <v>5</v>
      </c>
      <c r="AW100" s="1">
        <f>MIN(6,SUMIFS($EY$3:EY99,$EX$3:EX99,"&gt;="&amp;MAX(1,EX100-Boss参数!$B$87+1),$EX$3:EX99,"&lt;="&amp;EX100))</f>
        <v>6</v>
      </c>
      <c r="AX100" s="1">
        <f>MIN(4,COUNTIFS($B$3:$B$99,"&gt;="&amp;MAX(1,$B100-2),$B$3:$B$99,"&lt;="&amp;$B100,$L$3:$L$99,"37_FOLLOW"))</f>
        <v>4</v>
      </c>
      <c r="AY100" s="1">
        <f>IF($E100="","",IF($E100="系统",0,ROUNDDOWN(INDEX(角色面板!$C$4:$C$7,MATCH($E100,角色面板!$A$4:$A$7,0))*(1+INDEX(角色面板!$C$11:$C$14,MATCH($E100,角色面板!$A$11:$A$14,0))+IF($E100="小瑞安侬",MAX(IF($B100&lt;=$AQ100,$AP100,0),IF(AND($L100="RHI_ATTACK",$EE100&gt;0),0.11+0.01*$G100,0)),0)+IF($E100="J",$AD100*Boss参数!$B$18,0))+IF(FD100&lt;=$AN100,MIN(Boss参数!$B$21,ROUNDDOWN(角色面板!$C$19*Boss参数!$B$20,0)),0)+IF(AND($B100&lt;=$AK100,$E100&lt;&gt;"小瑞安侬"),$DY100,0),0)))</f>
        <v>2823</v>
      </c>
      <c r="AZ100" s="1">
        <f>IF($E100="","",MAX(0,MIN(1,IFERROR(INDEX(角色面板!$G$18:$G$21,MATCH($E100,角色面板!$A$18:$A$21,0)),0)-FC100*Boss参数!$B$89-Boss参数!$E$4)))</f>
        <v>0.16700000000000004</v>
      </c>
      <c r="BA100" s="1">
        <f>IF(E100="","",(IF($E100="","",IF($E100="红弩箭",Boss参数!$B$80,IF($E100="J",Boss参数!$B$81,IFERROR(INDEX(角色面板!$H$18:$H$21,MATCH($E100,角色面板!$A$18:$A$21,0)),0)))+IF($B100&lt;=$AI100,Boss参数!$B$13,0)+MIN(30,$AM100)*Boss参数!$B$17+IF(AND($L100="LILYA_ULT",$X100&gt;=6),1,0)+IF(AND($Y100=1,$L100="LILYA_INSIGHT"),IF(MOD($AA100+1,3)=0,Boss参数!$B$83,Boss参数!$B$82),IF(AND($Y100=1,$L100="LILYA_FINISH"),Boss参数!$B$84,0))))-FC100*Boss参数!$B$90)</f>
        <v>1.2969999999999999</v>
      </c>
      <c r="BB100" s="1">
        <f>IF($E100="","",IFERROR(INDEX(角色面板!$M$18:$M$21,MATCH($E100,角色面板!$A$18:$A$21,0)),0)+$AW100*Boss参数!$B$12+IF($B100&lt;=$AG100,$AF100,0)+$EI100+IF($L100="LILYA_DIVE",IF($U100=1,IF($G100=1,0.3,IF($G100=2,0.4,0.5)),IF($U100=2,IF($G100=1,0.6,IF($G100=2,0.8,1)),0)),0)+$R100+IF(AND($E100="J",OR($L100="J_COUNTER",$L100="J_HARD")),Boss参数!$B$79,0)+IF(AND(OR(L100="J_COUNTER",L100="J_HARD"),FA100&gt;=Boss参数!$B$59),FA100*Boss参数!$B$40,0))</f>
        <v>1.8250000000000002</v>
      </c>
      <c r="BC100" s="1">
        <f>IF($E100="","",IFERROR(INDEX(角色面板!$K$18:$K$21,MATCH($E100,角色面板!$A$18:$A$21,0)),0)+IF($B100&lt;=$AH100,Boss参数!$B$46,0)+IF($E100="红弩箭",IF($U100=1,0.6,IF($U100=2,1.2,0))+$W100*0.06,0))-DI100*Boss参数!$B$23</f>
        <v>-0.55000000000000004</v>
      </c>
      <c r="BD100" s="1">
        <f>IF($E100="","",IFERROR(INDEX(角色面板!$L$18:$L$21,MATCH($E100,角色面板!$A$18:$A$21,0)),0)+IF($B100&lt;=$AH100,Boss参数!$B$46,0)+IF($E100="J",$AL100*Boss参数!$B$16,0)+IF($E100="红弩箭",$X100*0.025,0)+IF(AND($L100="LILYA_ULT",$X100&gt;=6),1,0))-DI100*Boss参数!$B$23</f>
        <v>-2.9999999999999971E-2</v>
      </c>
      <c r="BE100" s="1">
        <f>IF($E100="","",IF($H100="洞知",IF($E100="红弩箭",$AO100*Boss参数!$B$15,0)+$AX100*Boss参数!$B$14,0))</f>
        <v>0</v>
      </c>
      <c r="BF100" s="1">
        <f t="shared" si="71"/>
        <v>0</v>
      </c>
      <c r="BG100" s="1">
        <f>IF($D100="",0,IF(AND($L100&lt;&gt;"LILYA_DIVE",$L100&lt;&gt;"LILYA_ULT",$L100&lt;&gt;"LILYA_INSIGHT",$L100&lt;&gt;"LILYA_FINISH",$L100&lt;&gt;"37_FOLLOW",$L100&lt;&gt;"RHI_ATTACK",$L100&lt;&gt;"RHI_BERRY",$L100&lt;&gt;"J_COUNTER",$L100&lt;&gt;"J_ULT"),$J100,0)+IF($L100="LILYA_DIVE",$J100+IF($U100=1,IF($G100=1,6,IF($G100=2,12,18)),IF($U100=2,IF($G100=1,12,IF($G100=2,24,36)),0)),0)+IF($L100="LILYA_ULT",$J100+IF($X100&gt;=6,18,0),0)+IF($L100="LILYA_INSIGHT",IF($Y100=1,IF(MOD($AA100+1,3)=0,32,15),0),0)+IF($L100="LILYA_FINISH",IF($Y100=1,50+2.5*$Z100,0),0)+IF($L100="37_FOLLOW",$J100,0)+IF($L100="RHI_ATTACK",$J100*IF($B100&lt;=$AJ100,2,1),0)+IF($L100="RHI_BERRY",15+1.5*$AV100,0)+IF($L100="J_COUNTER",$J100+$AD100*Boss参数!$B$39,0)+IF($L100="J_ULT",$J100+Boss参数!$B$45*MAX(0,$AE100+$AD100-Boss参数!$I$4),0)+$S100)</f>
        <v>4.75</v>
      </c>
      <c r="BH100" s="1">
        <f t="shared" si="72"/>
        <v>0</v>
      </c>
      <c r="BI100" s="1">
        <f>IF(E100="","",IF(DT100=1,1+Boss参数!$B$8+AV100*Boss参数!$B$19,1))</f>
        <v>1</v>
      </c>
      <c r="BJ100" s="1">
        <f>IF($I100="现实",Boss参数!$C$4,IF($I100="精神",Boss参数!$D$4,0))</f>
        <v>1200</v>
      </c>
      <c r="BK100" s="1">
        <f>IF($E100="","",MAX($AY100*Boss参数!$B$9,$AY100-$BJ100*(1-$BF100)))</f>
        <v>1623</v>
      </c>
      <c r="BL100" s="1">
        <f>MAX(0,Boss参数!$F$4+IF(DT100=0,Boss参数!$B$27,0)-EJ100)</f>
        <v>1.0999999999999999</v>
      </c>
      <c r="BM100" s="1">
        <f>Boss参数!$G$4+DU100-IF(Y100=1,Boss参数!$B$11,0)</f>
        <v>0.75</v>
      </c>
      <c r="BN100" s="1">
        <f>IF($E100="","",MAX(Boss参数!$B$10,1+IFERROR(INDEX(角色面板!$I$18:$I$21,MATCH($E100,角色面板!$A$18:$A$21,0)),0)+$BB100+Boss参数!$H$4-$BM100))</f>
        <v>2.1</v>
      </c>
      <c r="BO100" s="1">
        <f>IF(E100="","",IF(OR(L100="J_COUNTER",L100="J_HARD"),MAX(0,1+INDEX(角色面板!$K$18:$K$21,MATCH(E100,角色面板!$A$18:$A$21,0))-DI100*Boss参数!$B$23+IF(OR(Boss参数!$B$43=1,L100="J_HARD"),IF(B100&lt;=AH100,Boss参数!$B$46,0),0)),MAX(0,IF(OR(H100="术法",L100="RHI_BERRY",AND(L100="37_FOLLOW",Boss参数!$B$31=1)),1+BC100,IF(H100="仪式",1+BD100,IF(H100="洞知",EK100,1))))))</f>
        <v>0.45</v>
      </c>
      <c r="BP100" s="1">
        <f t="shared" si="73"/>
        <v>1.1000000000000001</v>
      </c>
      <c r="BQ100" s="1">
        <f t="shared" si="74"/>
        <v>7285.2412500000009</v>
      </c>
      <c r="BR100" s="1">
        <f t="shared" si="75"/>
        <v>8013.7653750000018</v>
      </c>
      <c r="BS100" s="1">
        <f>IF(BH100=0,0,ROUNDDOWN(AY100*BH100,0)*DV100*IF(Boss参数!$B$29=1,BN100,1)*IF(Boss参数!$B$33=1,BO100,1)*IF(Boss参数!$B$76=1,1-ES100,1))</f>
        <v>0</v>
      </c>
      <c r="BT100" s="1">
        <f t="shared" si="76"/>
        <v>0</v>
      </c>
      <c r="BU100" s="1">
        <f>IF(D100="",0,MIN(IF(Boss参数!$B$77=1,Boss参数!$B$63*Boss参数!$B$62,Boss参数!$B$61*Boss参数!$B$62),DW100+ROUNDDOWN(BS100,0)+ROUNDDOWN(DW100*Q100,0)))</f>
        <v>2914</v>
      </c>
      <c r="BV100" s="1">
        <f>IF(D100="",0,MIN(IF(Boss参数!$B$77=1,Boss参数!$B$63*Boss参数!$B$62,Boss参数!$B$61*Boss参数!$B$62),DX100+ROUNDDOWN(BT100,0)+ROUNDDOWN(DX100*Q100,0)))</f>
        <v>3205</v>
      </c>
      <c r="BW100" s="1">
        <f t="shared" si="77"/>
        <v>2962</v>
      </c>
      <c r="BX100" s="1" t="str">
        <f t="shared" si="78"/>
        <v/>
      </c>
      <c r="BY100" s="1">
        <f t="shared" si="79"/>
        <v>2</v>
      </c>
      <c r="BZ100" s="1">
        <f t="shared" si="80"/>
        <v>2</v>
      </c>
      <c r="CA100" s="1">
        <f>MIN(10,W100+IF(AND(L100="LILYA_COBRA",COUNTIF($L$3:L100,"LILYA_COBRA")=1),5,0)+IF(AND(L100="LILYA_DIVE",U100=1,COUNTIFS($DG$3:DG100,DG100,$L$3:L100,"LILYA_DIVE")=1),2,0)+IF(AND(FE100=1,U100=1),3,0))</f>
        <v>10</v>
      </c>
      <c r="CB100" s="1">
        <f>MIN(20,MAX(0,X100+IF(L100="LILYA_COBRA",IF(COUNTIF($L$3:L100,"LILYA_COBRA")=1,6,IF(U100=1,MAX(1,G100),IF(U100=2,2*MAX(1,G100),0))),0)+IF(AND(Y100=1,E100="红弩箭",L100&lt;&gt;"ENTER_INSIGHT"),1,0)-IF(AND(L100="LILYA_ULT",X100&gt;=6),6,0)))</f>
        <v>8</v>
      </c>
      <c r="CC100" s="1">
        <f t="shared" si="81"/>
        <v>0</v>
      </c>
      <c r="CD100" s="1">
        <f t="shared" si="82"/>
        <v>0</v>
      </c>
      <c r="CE100" s="1">
        <f t="shared" si="83"/>
        <v>0</v>
      </c>
      <c r="CF100" s="1">
        <f t="shared" si="84"/>
        <v>4</v>
      </c>
      <c r="CG100" s="1">
        <f t="shared" si="85"/>
        <v>1</v>
      </c>
      <c r="CH100" s="1">
        <f>MIN(35,AD100+IF(L100="J_HARD",6,0)+IF(L100="J_COUNTER",Boss参数!$B$30,0))</f>
        <v>35</v>
      </c>
      <c r="CI100" s="1">
        <f>MIN(Boss参数!$I$4,AE100+IF(L100="J_HARD",6,0)+IF(L100="J_ULT",AD100,0)+IF(L100="J_COUNTER",Boss参数!$B$30,0))</f>
        <v>30</v>
      </c>
      <c r="CJ100" s="1">
        <f>IF(L100="J_ULT",AD100*Boss参数!$B$41,IF(B100&lt;=AG100,AF100,0))</f>
        <v>0.875</v>
      </c>
      <c r="CK100" s="1">
        <f t="shared" si="86"/>
        <v>8</v>
      </c>
      <c r="CL100" s="1">
        <f t="shared" si="87"/>
        <v>8</v>
      </c>
      <c r="CM100" s="1">
        <f t="shared" si="88"/>
        <v>8</v>
      </c>
      <c r="CN100" s="1">
        <f t="shared" si="89"/>
        <v>9</v>
      </c>
      <c r="CO100" s="1">
        <f t="shared" si="90"/>
        <v>8</v>
      </c>
      <c r="CP100" s="1">
        <f t="shared" si="91"/>
        <v>3</v>
      </c>
      <c r="CQ100" s="1">
        <f t="shared" si="92"/>
        <v>30</v>
      </c>
      <c r="CR100" s="1">
        <f t="shared" si="93"/>
        <v>6</v>
      </c>
      <c r="CS100" s="1">
        <f t="shared" si="94"/>
        <v>0</v>
      </c>
      <c r="CT100" s="1">
        <f t="shared" si="95"/>
        <v>0.12</v>
      </c>
      <c r="CU100" s="1">
        <f t="shared" si="96"/>
        <v>6</v>
      </c>
      <c r="CV100" s="1">
        <f t="shared" si="97"/>
        <v>0.3</v>
      </c>
      <c r="CW100" s="1">
        <f t="shared" si="98"/>
        <v>6</v>
      </c>
      <c r="CX100" s="1">
        <f t="shared" si="99"/>
        <v>0.3</v>
      </c>
      <c r="CY100" s="1">
        <f t="shared" si="100"/>
        <v>8</v>
      </c>
      <c r="CZ100" s="1"/>
      <c r="DA100" s="1"/>
      <c r="DB100" s="1"/>
      <c r="DC100" s="1"/>
      <c r="DD100" s="1"/>
      <c r="DE100" s="1"/>
      <c r="DF100" s="1"/>
      <c r="DG100" s="1">
        <f>IF(D100="","",行动模拟!B106)</f>
        <v>6</v>
      </c>
      <c r="DH100" s="1" t="str">
        <f>IF(L100="END_TURN","回合结束",IF(D100="","",IF(INDEX(回合状态!$C$7:$C$17,MATCH(DG100,回合状态!$A$7:$A$17,0))="洞穿","洞穿",IF(OR(L100="J_COUNTER",L100="BOSS_ACTION",L100="BOSS_CONSERVATIVE"),"敌方",IF(AND(L100="37_FOLLOW",DG100=DG99,DH99="敌方"),"敌方",IF(INDEX(回合状态!$C$7:$C$17,MATCH(DG100,回合状态!$A$7:$A$17,0))="普通","出牌",INDEX(回合状态!$C$7:$C$17,MATCH(DG100,回合状态!$A$7:$A$17,0))))))))</f>
        <v>敌方</v>
      </c>
      <c r="DI100" s="1">
        <f t="shared" si="101"/>
        <v>3</v>
      </c>
      <c r="DJ100" s="1">
        <f>IF(D100="",0,MIN(Boss参数!$B$25,IF(OR(AND(DH100="敌方",OR(DH99&lt;&gt;"敌方",DG100&lt;&gt;DG99)),AND(L100="END_TURN",DH100&lt;&gt;"洞穿"),AND(DG100&lt;&gt;DG99,DH99&lt;&gt;"洞穿",L99&lt;&gt;"END_TURN",COUNTIFS($DG$3:DG99,DG99,$DH$3:DH99,"敌方")=0)),EW100,DN99)))</f>
        <v>3</v>
      </c>
      <c r="DK100" s="1">
        <f>IF(D100="",0,MIN(Boss参数!$B$25,IF(OR(AND(DH100="敌方",OR(DH99&lt;&gt;"敌方",DG100&lt;&gt;DG99)),AND(L100="END_TURN",DH100&lt;&gt;"洞穿"),AND(DG100&lt;&gt;DG99,DH99&lt;&gt;"洞穿",L99&lt;&gt;"END_TURN",COUNTIFS($DG$3:DG99,DG99,$DH$3:DH99,"敌方")=0)),EW100,DO99)))</f>
        <v>3</v>
      </c>
      <c r="DL100" s="1">
        <f>IF(D100="",0,MIN(Boss参数!$B$25,IF(OR(AND(DH100="敌方",OR(DH99&lt;&gt;"敌方",DG100&lt;&gt;DG99)),AND(L100="END_TURN",DH100&lt;&gt;"洞穿"),AND(DG100&lt;&gt;DG99,DH99&lt;&gt;"洞穿",L99&lt;&gt;"END_TURN",COUNTIFS($DG$3:DG99,DG99,$DH$3:DH99,"敌方")=0)),EW100,DP99)))</f>
        <v>3</v>
      </c>
      <c r="DM100" s="1">
        <f>IF(D100="",0,MIN(Boss参数!$B$25,IF(OR(AND(DH100="敌方",OR(DH99&lt;&gt;"敌方",DG100&lt;&gt;DG99)),AND(L100="END_TURN",DH100&lt;&gt;"洞穿"),AND(DG100&lt;&gt;DG99,DH99&lt;&gt;"洞穿",L99&lt;&gt;"END_TURN",COUNTIFS($DG$3:DG99,DG99,$DH$3:DH99,"敌方")=0)),EW100,DQ99)))</f>
        <v>3</v>
      </c>
      <c r="DN100" s="1">
        <f>MAX(0,MIN(Boss参数!$B$25,DJ100+DR100)-IF(E100="红弩箭",2*DR100,0))</f>
        <v>4</v>
      </c>
      <c r="DO100" s="1">
        <f>MAX(0,MIN(Boss参数!$B$25,DK100+DR100)-IF(E100="37",2*DR100,0))</f>
        <v>4</v>
      </c>
      <c r="DP100" s="1">
        <f>MAX(0,MIN(Boss参数!$B$25,DL100+DR100)-IF(E100="小瑞安侬",2*DR100,0))</f>
        <v>4</v>
      </c>
      <c r="DQ100" s="1">
        <f>MAX(0,MIN(Boss参数!$B$25,DM100+DR100)-IF(E100="J",2*DR100,0))</f>
        <v>2</v>
      </c>
      <c r="DR100" s="1">
        <f t="shared" si="102"/>
        <v>1</v>
      </c>
      <c r="DS100" s="1">
        <f t="shared" si="103"/>
        <v>0</v>
      </c>
      <c r="DT100" s="1">
        <f>IF(OR(E100="",E100="系统"),0,IF(OR(AND(DS100=1,Boss参数!$B$32=1),L100="RHI_BERRY",OR(AND(INDEX(角色面板!$B$18:$B$21,MATCH(E100,角色面板!$A$18:$A$21,0))="星",Boss参数!$B$4="岩"),AND(INDEX(角色面板!$B$18:$B$21,MATCH(E100,角色面板!$A$18:$A$21,0))="岩",Boss参数!$B$4="兽"),AND(INDEX(角色面板!$B$18:$B$21,MATCH(E100,角色面板!$A$18:$A$21,0))="兽",Boss参数!$B$4="木"),AND(INDEX(角色面板!$B$18:$B$21,MATCH(E100,角色面板!$A$18:$A$21,0))="木",Boss参数!$B$4="星"),AND(INDEX(角色面板!$B$18:$B$21,MATCH(E100,角色面板!$A$18:$A$21,0))="智",Boss参数!$B$4="灵"),AND(INDEX(角色面板!$B$18:$B$21,MATCH(E100,角色面板!$A$18:$A$21,0))="灵",Boss参数!$B$4="智"))),1,0))</f>
        <v>0</v>
      </c>
      <c r="DU100" s="1">
        <f>IF(D100="",0,INDEX(回合状态!$E$7:$E$17,MATCH(DG100,回合状态!$A$7:$A$17,0))+IF(AND(DH100="敌方",OR(INDEX(回合状态!$C$7:$C$17,MATCH(DG100,回合状态!$A$7:$A$17,0))="普通",INDEX(回合状态!$C$7:$C$17,MATCH(DG100,回合状态!$A$7:$A$17,0))="额外")),0.05,0))</f>
        <v>0.35</v>
      </c>
      <c r="DV100" s="1">
        <f>MAX(Boss参数!$B$28,1+IF(AND(E100="37",AC100&gt;0,BH100&gt;0),Boss参数!$B$42,0)-DI100*Boss参数!$B$24+EA100-ER100)</f>
        <v>0</v>
      </c>
      <c r="DW100" s="1">
        <f>MIN(IF(Boss参数!$B$77=1,Boss参数!$B$63*Boss参数!$B$62,Boss参数!$B$61*Boss参数!$B$62),ROUNDDOWN(BQ100*(1-ES100),0))</f>
        <v>2914</v>
      </c>
      <c r="DX100" s="1">
        <f>MIN(IF(Boss参数!$B$77=1,Boss参数!$B$63*Boss参数!$B$62,Boss参数!$B$61*Boss参数!$B$62),ROUNDDOWN(BR100*(1-ES100),0))</f>
        <v>3205</v>
      </c>
      <c r="DY100" s="1">
        <f t="shared" si="135"/>
        <v>250</v>
      </c>
      <c r="DZ100" s="1">
        <f>IF(L100="RHI_ULT",MIN(Boss参数!$B$48,ROUNDDOWN(AY100*Boss参数!$B$47,0)),DY100)</f>
        <v>250</v>
      </c>
      <c r="EA100" s="1">
        <v>0</v>
      </c>
      <c r="EB100" s="1">
        <f t="shared" si="104"/>
        <v>1</v>
      </c>
      <c r="EC100" s="1">
        <f>SUMIFS($EB$3:EB100,$B$3:B100,"&gt;="&amp;MAX(1,B100-2),$B$3:B100,"&lt;="&amp;B100)*Boss参数!$B$51</f>
        <v>12</v>
      </c>
      <c r="ED100" s="1">
        <f>IF(D100="",EG99,IF(AND(DG100&lt;&gt;DG99,DH100&lt;&gt;"洞穿"),MIN(Boss参数!$B$55,EG99+2),EG99))</f>
        <v>1</v>
      </c>
      <c r="EE100" s="1">
        <f t="shared" si="105"/>
        <v>0</v>
      </c>
      <c r="EF100" s="1">
        <f>IF(AND(OR(L100="END_TURN",AND(DH100="敌方",OR(DH99&lt;&gt;"敌方",DG100&lt;&gt;DG99))),SUMIFS($EF$3:EF99,$DG$3:DG99,DG100)=0),MIN(1,MAX(0,ED100-EE100)),0)</f>
        <v>1</v>
      </c>
      <c r="EG100" s="1">
        <f t="shared" si="106"/>
        <v>0</v>
      </c>
      <c r="EH100" s="1">
        <f>Boss参数!$B$53-IF(Y100=1,Boss参数!$B$54,0)</f>
        <v>0</v>
      </c>
      <c r="EI100" s="1">
        <f t="shared" si="107"/>
        <v>0.3</v>
      </c>
      <c r="EJ100" s="1">
        <f t="shared" si="108"/>
        <v>0.3</v>
      </c>
      <c r="EK100" s="1">
        <f t="shared" si="109"/>
        <v>1</v>
      </c>
      <c r="EL100" s="1">
        <f t="shared" si="136"/>
        <v>0</v>
      </c>
      <c r="EM100" s="1">
        <f>IF(AND(DG100&lt;&gt;DG99,DH100="洞穿"),0,IF(L100="ENTER_INSIGHT",Boss参数!$B$57,EO99))</f>
        <v>0</v>
      </c>
      <c r="EN100" s="1">
        <f>IF(AND(Y100=1,H100="洞知",EM100&gt;0),Boss参数!$B$56,0)</f>
        <v>0</v>
      </c>
      <c r="EO100" s="1">
        <f t="shared" si="110"/>
        <v>0</v>
      </c>
      <c r="EP100" s="1">
        <f t="shared" si="137"/>
        <v>15011650</v>
      </c>
      <c r="EQ100" s="1">
        <f>ROUNDDOWN(EP100/Boss参数!$B$62,0)</f>
        <v>150</v>
      </c>
      <c r="ER100" s="1">
        <f>IF(EQ100&gt;=Boss参数!$B$66,Boss参数!$B$69,IF(EQ100&gt;=Boss参数!$B$65,Boss参数!$B$68,IF(EQ100&gt;=Boss参数!$B$64,Boss参数!$B$67,0)))</f>
        <v>0.9</v>
      </c>
      <c r="ES100" s="1">
        <f>MIN(1,IF(EQ100&gt;=Boss参数!$B$66,Boss参数!$B$72+ROUNDDOWN((EQ100-Boss参数!$B$66)/Boss参数!$B$73,0)*Boss参数!$B$74,IF(EQ100&gt;=Boss参数!$B$65,Boss参数!$B$71,IF(EQ100&gt;=Boss参数!$B$64,Boss参数!$B$70,0))))</f>
        <v>0.6</v>
      </c>
      <c r="ET100" s="1">
        <f>MIN(Boss参数!$B$61*Boss参数!$B$62,EP100+IF(AND(Boss参数!$B$60=1,ISNUMBER(验证表!H106)),验证表!H106,EU100))</f>
        <v>15014564</v>
      </c>
      <c r="EU100" s="1">
        <f>IF(D100="",0,IF(验证表!G106="是",BV100,IF(验证表!G106="否",BU100,BW100)))</f>
        <v>2914</v>
      </c>
      <c r="EV100" s="1">
        <f>IF(EQ100&gt;=Boss参数!$B$66,2,IF(EQ100&gt;=Boss参数!$B$65,1,0))</f>
        <v>2</v>
      </c>
      <c r="EW100" s="1">
        <f t="shared" si="111"/>
        <v>3</v>
      </c>
      <c r="EX100" s="1">
        <f>IF(D100="",0,INDEX(回合状态!$D$7:$D$17,MATCH(DG100,回合状态!$A$7:$A$17,0)))</f>
        <v>6</v>
      </c>
      <c r="EY100" s="1">
        <f>IF(OR(L100="RHI_ATTACK",L100="RHI_BUFF"),1,IF(L100="RHI_ULT",Boss参数!$B$52,0))</f>
        <v>0</v>
      </c>
      <c r="EZ100" s="1">
        <f>MIN(6,SUMIFS($EY$3:EY100,$EX$3:EX100,"&gt;="&amp;MAX(1,EX100-Boss参数!$B$87+1),$EX$3:EX100,"&lt;="&amp;EX100))</f>
        <v>6</v>
      </c>
      <c r="FA100" s="1">
        <f t="shared" si="138"/>
        <v>35</v>
      </c>
      <c r="FB100" s="17">
        <f>IF(L100="BOSS_CONSERVATIVE",B100+Boss参数!$B$91,FB99)</f>
        <v>7</v>
      </c>
      <c r="FC100" s="17">
        <f t="shared" si="139"/>
        <v>1</v>
      </c>
      <c r="FD100" s="17">
        <f>IF(D100="",FD99,FD99+IF(AND(DG100&lt;&gt;DG99,INDEX(回合状态!$C$7:$C$17,MATCH(DG100,回合状态!$A$7:$A$17,0))&lt;&gt;"洞穿"),1,0))</f>
        <v>7</v>
      </c>
      <c r="FE100" s="17">
        <f>IF(D100="",0,IF(AND(OR(L100="END_TURN",DH100="敌方"),INDEX(回合状态!$C$7:$C$17,MATCH(DG100,回合状态!$A$7:$A$17,0))&lt;&gt;"洞穿",SUMIFS($FE$3:FE99,$DG$3:DG99,DG100)=0),1,0))</f>
        <v>1</v>
      </c>
    </row>
    <row r="101" spans="1:161" ht="84.95" customHeight="1">
      <c r="A101" s="1">
        <f>行动模拟!A107</f>
        <v>99</v>
      </c>
      <c r="B101" s="1">
        <f>IF(D101="",0,INDEX(回合状态!$B$7:$B$17,MATCH(DG101,回合状态!$A$7:$A$17,0)))</f>
        <v>6</v>
      </c>
      <c r="C101" s="1">
        <f>行动模拟!C107</f>
        <v>10</v>
      </c>
      <c r="D101" s="1" t="str">
        <f>IF(行动模拟!D107="","",行动模拟!D107)</f>
        <v>J｜高温回火</v>
      </c>
      <c r="E101" s="1" t="str">
        <f>IF($D101="","",IFERROR(INDEX(技能数据库!$B$4:$B$38,MATCH($D101,技能数据库!$A$4:$A$38,0)),""))</f>
        <v>J</v>
      </c>
      <c r="F101" s="1" t="str">
        <f>IF($D101="","",IFERROR(INDEX(技能数据库!$C$4:$C$38,MATCH($D101,技能数据库!$A$4:$A$38,0)),""))</f>
        <v>高温回火</v>
      </c>
      <c r="G101" s="1">
        <f>IF($D101="","",IFERROR(INDEX(技能数据库!$D$4:$D$38,MATCH($D101,技能数据库!$A$4:$A$38,0)),""))</f>
        <v>0</v>
      </c>
      <c r="H101" s="1" t="str">
        <f>IF($D101="","",IFERROR(INDEX(技能数据库!$E$4:$E$38,MATCH($D101,技能数据库!$A$4:$A$38,0)),""))</f>
        <v>反击</v>
      </c>
      <c r="I101" s="1" t="str">
        <f>IF($D101="","",IFERROR(INDEX(技能数据库!$F$4:$F$38,MATCH($D101,技能数据库!$A$4:$A$38,0)),""))</f>
        <v>现实</v>
      </c>
      <c r="J101" s="1">
        <f>IF($D101="","",IFERROR(INDEX(技能数据库!$G$4:$G$38,MATCH($D101,技能数据库!$A$4:$A$38,0)),""))</f>
        <v>3</v>
      </c>
      <c r="K101" s="1">
        <f>IF($D101="","",IFERROR(INDEX(技能数据库!$H$4:$H$38,MATCH($D101,技能数据库!$A$4:$A$38,0)),""))</f>
        <v>0</v>
      </c>
      <c r="L101" s="1" t="str">
        <f>IF($D101="","",IFERROR(INDEX(技能数据库!$I$4:$I$38,MATCH($D101,技能数据库!$A$4:$A$38,0)),""))</f>
        <v>J_COUNTER</v>
      </c>
      <c r="M101" s="1">
        <v>1</v>
      </c>
      <c r="N101" s="1"/>
      <c r="O101" s="1"/>
      <c r="P101" s="1"/>
      <c r="Q101" s="1">
        <f t="shared" si="70"/>
        <v>0</v>
      </c>
      <c r="R101" s="1">
        <v>0</v>
      </c>
      <c r="S101" s="1">
        <v>0</v>
      </c>
      <c r="T101" s="1">
        <f>行动模拟!I107</f>
        <v>0</v>
      </c>
      <c r="U101" s="1">
        <f>IF(FD101&lt;&gt;FD100,IF(BY100=1,IF(MIN(10,CA100+IF(AND(DG101&lt;&gt;DG100,DH100&lt;&gt;"洞穿",SUMIFS($FE$3:FE100,$DG$3:DG100,DG100)=0,BY100=1),3,0))&gt;=10,2,1),IF(BY100=2,IF(BZ100&lt;=1,0,2),0)),BY100)</f>
        <v>2</v>
      </c>
      <c r="V101" s="1">
        <f>IF(FD101&lt;&gt;FD100,IF(BY100=1,IF(MIN(10,CA100+IF(AND(DG101&lt;&gt;DG100,DH100&lt;&gt;"洞穿",SUMIFS($FE$3:FE100,$DG$3:DG100,DG100)=0,BY100=1),3,0))&gt;=10,2,0),IF(BY100=2,MAX(0,BZ100-1),0)),BZ100)</f>
        <v>2</v>
      </c>
      <c r="W101" s="1">
        <f>IF(AND(FD101&lt;&gt;FD100,BY100=2,BZ100&lt;=1),0,MIN(10,CA100+IF(AND(DG101&lt;&gt;DG100,DH100&lt;&gt;"洞穿",SUMIFS($FE$3:FE100,$DG$3:DG100,DG100)=0,BY100=1),3,0)))</f>
        <v>10</v>
      </c>
      <c r="X101" s="1">
        <f t="shared" si="112"/>
        <v>8</v>
      </c>
      <c r="Y101" s="1">
        <f t="shared" si="113"/>
        <v>0</v>
      </c>
      <c r="Z101" s="1">
        <f t="shared" si="114"/>
        <v>0</v>
      </c>
      <c r="AA101" s="1">
        <f t="shared" si="115"/>
        <v>0</v>
      </c>
      <c r="AB101" s="1">
        <f t="shared" si="116"/>
        <v>4</v>
      </c>
      <c r="AC101" s="1">
        <f t="shared" si="117"/>
        <v>1</v>
      </c>
      <c r="AD101" s="1">
        <f t="shared" si="118"/>
        <v>35</v>
      </c>
      <c r="AE101" s="1">
        <f>IF(D101="",0,IF(DG101&lt;&gt;DG100,IFERROR(INDEX(回合状态!$F$7:$F$17,MATCH(DG101,回合状态!$A$7:$A$17,0)),0),CI100))</f>
        <v>30</v>
      </c>
      <c r="AF101" s="1">
        <f t="shared" si="119"/>
        <v>0.875</v>
      </c>
      <c r="AG101" s="1">
        <f t="shared" si="120"/>
        <v>8</v>
      </c>
      <c r="AH101" s="1">
        <f t="shared" si="121"/>
        <v>8</v>
      </c>
      <c r="AI101" s="1">
        <f t="shared" si="122"/>
        <v>8</v>
      </c>
      <c r="AJ101" s="1">
        <f t="shared" si="123"/>
        <v>9</v>
      </c>
      <c r="AK101" s="1">
        <f t="shared" si="124"/>
        <v>8</v>
      </c>
      <c r="AL101" s="1">
        <f t="shared" si="125"/>
        <v>3</v>
      </c>
      <c r="AM101" s="1">
        <f t="shared" si="126"/>
        <v>30</v>
      </c>
      <c r="AN101" s="1">
        <f t="shared" si="127"/>
        <v>6</v>
      </c>
      <c r="AO101" s="1">
        <f t="shared" si="128"/>
        <v>0</v>
      </c>
      <c r="AP101" s="1">
        <f t="shared" si="129"/>
        <v>0.12</v>
      </c>
      <c r="AQ101" s="1">
        <f t="shared" si="130"/>
        <v>6</v>
      </c>
      <c r="AR101" s="1">
        <f t="shared" si="131"/>
        <v>0.3</v>
      </c>
      <c r="AS101" s="1">
        <f t="shared" si="132"/>
        <v>6</v>
      </c>
      <c r="AT101" s="1">
        <f t="shared" si="133"/>
        <v>0.3</v>
      </c>
      <c r="AU101" s="1">
        <f t="shared" si="134"/>
        <v>8</v>
      </c>
      <c r="AV101" s="1">
        <f>MIN(5,SUMIFS($EL$3:EL101,$B$3:B101,"&gt;="&amp;MAX(1,B101-2),$B$3:B101,"&lt;="&amp;B101)+EC101)</f>
        <v>5</v>
      </c>
      <c r="AW101" s="1">
        <f>MIN(6,SUMIFS($EY$3:EY100,$EX$3:EX100,"&gt;="&amp;MAX(1,EX101-Boss参数!$B$87+1),$EX$3:EX100,"&lt;="&amp;EX101))</f>
        <v>6</v>
      </c>
      <c r="AX101" s="1">
        <f>MIN(4,COUNTIFS($B$3:$B$100,"&gt;="&amp;MAX(1,$B101-2),$B$3:$B$100,"&lt;="&amp;$B101,$L$3:$L$100,"37_FOLLOW"))</f>
        <v>4</v>
      </c>
      <c r="AY101" s="1">
        <f>IF($E101="","",IF($E101="系统",0,ROUNDDOWN(INDEX(角色面板!$C$4:$C$7,MATCH($E101,角色面板!$A$4:$A$7,0))*(1+INDEX(角色面板!$C$11:$C$14,MATCH($E101,角色面板!$A$11:$A$14,0))+IF($E101="小瑞安侬",MAX(IF($B101&lt;=$AQ101,$AP101,0),IF(AND($L101="RHI_ATTACK",$EE101&gt;0),0.11+0.01*$G101,0)),0)+IF($E101="J",$AD101*Boss参数!$B$18,0))+IF(FD101&lt;=$AN101,MIN(Boss参数!$B$21,ROUNDDOWN(角色面板!$C$19*Boss参数!$B$20,0)),0)+IF(AND($B101&lt;=$AK101,$E101&lt;&gt;"小瑞安侬"),$DY101,0),0)))</f>
        <v>2823</v>
      </c>
      <c r="AZ101" s="1">
        <f>IF($E101="","",MAX(0,MIN(1,IFERROR(INDEX(角色面板!$G$18:$G$21,MATCH($E101,角色面板!$A$18:$A$21,0)),0)-FC101*Boss参数!$B$89-Boss参数!$E$4)))</f>
        <v>0.16700000000000004</v>
      </c>
      <c r="BA101" s="1">
        <f>IF(E101="","",(IF($E101="","",IF($E101="红弩箭",Boss参数!$B$80,IF($E101="J",Boss参数!$B$81,IFERROR(INDEX(角色面板!$H$18:$H$21,MATCH($E101,角色面板!$A$18:$A$21,0)),0)))+IF($B101&lt;=$AI101,Boss参数!$B$13,0)+MIN(30,$AM101)*Boss参数!$B$17+IF(AND($L101="LILYA_ULT",$X101&gt;=6),1,0)+IF(AND($Y101=1,$L101="LILYA_INSIGHT"),IF(MOD($AA101+1,3)=0,Boss参数!$B$83,Boss参数!$B$82),IF(AND($Y101=1,$L101="LILYA_FINISH"),Boss参数!$B$84,0))))-FC101*Boss参数!$B$90)</f>
        <v>1.2969999999999999</v>
      </c>
      <c r="BB101" s="1">
        <f>IF($E101="","",IFERROR(INDEX(角色面板!$M$18:$M$21,MATCH($E101,角色面板!$A$18:$A$21,0)),0)+$AW101*Boss参数!$B$12+IF($B101&lt;=$AG101,$AF101,0)+$EI101+IF($L101="LILYA_DIVE",IF($U101=1,IF($G101=1,0.3,IF($G101=2,0.4,0.5)),IF($U101=2,IF($G101=1,0.6,IF($G101=2,0.8,1)),0)),0)+$R101+IF(AND($E101="J",OR($L101="J_COUNTER",$L101="J_HARD")),Boss参数!$B$79,0)+IF(AND(OR(L101="J_COUNTER",L101="J_HARD"),FA101&gt;=Boss参数!$B$59),FA101*Boss参数!$B$40,0))</f>
        <v>1.8250000000000002</v>
      </c>
      <c r="BC101" s="1">
        <f>IF($E101="","",IFERROR(INDEX(角色面板!$K$18:$K$21,MATCH($E101,角色面板!$A$18:$A$21,0)),0)+IF($B101&lt;=$AH101,Boss参数!$B$46,0)+IF($E101="红弩箭",IF($U101=1,0.6,IF($U101=2,1.2,0))+$W101*0.06,0))-DI101*Boss参数!$B$23</f>
        <v>-0.4</v>
      </c>
      <c r="BD101" s="1">
        <f>IF($E101="","",IFERROR(INDEX(角色面板!$L$18:$L$21,MATCH($E101,角色面板!$A$18:$A$21,0)),0)+IF($B101&lt;=$AH101,Boss参数!$B$46,0)+IF($E101="J",$AL101*Boss参数!$B$16,0)+IF($E101="红弩箭",$X101*0.025,0)+IF(AND($L101="LILYA_ULT",$X101&gt;=6),1,0))-DI101*Boss参数!$B$23</f>
        <v>0.12</v>
      </c>
      <c r="BE101" s="1">
        <f>IF($E101="","",IF($H101="洞知",IF($E101="红弩箭",$AO101*Boss参数!$B$15,0)+$AX101*Boss参数!$B$14,0))</f>
        <v>0</v>
      </c>
      <c r="BF101" s="1">
        <f t="shared" si="71"/>
        <v>0</v>
      </c>
      <c r="BG101" s="1">
        <f>IF($D101="",0,IF(AND($L101&lt;&gt;"LILYA_DIVE",$L101&lt;&gt;"LILYA_ULT",$L101&lt;&gt;"LILYA_INSIGHT",$L101&lt;&gt;"LILYA_FINISH",$L101&lt;&gt;"37_FOLLOW",$L101&lt;&gt;"RHI_ATTACK",$L101&lt;&gt;"RHI_BERRY",$L101&lt;&gt;"J_COUNTER",$L101&lt;&gt;"J_ULT"),$J101,0)+IF($L101="LILYA_DIVE",$J101+IF($U101=1,IF($G101=1,6,IF($G101=2,12,18)),IF($U101=2,IF($G101=1,12,IF($G101=2,24,36)),0)),0)+IF($L101="LILYA_ULT",$J101+IF($X101&gt;=6,18,0),0)+IF($L101="LILYA_INSIGHT",IF($Y101=1,IF(MOD($AA101+1,3)=0,32,15),0),0)+IF($L101="LILYA_FINISH",IF($Y101=1,50+2.5*$Z101,0),0)+IF($L101="37_FOLLOW",$J101,0)+IF($L101="RHI_ATTACK",$J101*IF($B101&lt;=$AJ101,2,1),0)+IF($L101="RHI_BERRY",15+1.5*$AV101,0)+IF($L101="J_COUNTER",$J101+$AD101*Boss参数!$B$39,0)+IF($L101="J_ULT",$J101+Boss参数!$B$45*MAX(0,$AE101+$AD101-Boss参数!$I$4),0)+$S101)</f>
        <v>4.75</v>
      </c>
      <c r="BH101" s="1">
        <f t="shared" si="72"/>
        <v>0</v>
      </c>
      <c r="BI101" s="1">
        <f>IF(E101="","",IF(DT101=1,1+Boss参数!$B$8+AV101*Boss参数!$B$19,1))</f>
        <v>1</v>
      </c>
      <c r="BJ101" s="1">
        <f>IF($I101="现实",Boss参数!$C$4,IF($I101="精神",Boss参数!$D$4,0))</f>
        <v>1200</v>
      </c>
      <c r="BK101" s="1">
        <f>IF($E101="","",MAX($AY101*Boss参数!$B$9,$AY101-$BJ101*(1-$BF101)))</f>
        <v>1623</v>
      </c>
      <c r="BL101" s="1">
        <f>MAX(0,Boss参数!$F$4+IF(DT101=0,Boss参数!$B$27,0)-EJ101)</f>
        <v>1.0999999999999999</v>
      </c>
      <c r="BM101" s="1">
        <f>Boss参数!$G$4+DU101-IF(Y101=1,Boss参数!$B$11,0)</f>
        <v>0.75</v>
      </c>
      <c r="BN101" s="1">
        <f>IF($E101="","",MAX(Boss参数!$B$10,1+IFERROR(INDEX(角色面板!$I$18:$I$21,MATCH($E101,角色面板!$A$18:$A$21,0)),0)+$BB101+Boss参数!$H$4-$BM101))</f>
        <v>2.1</v>
      </c>
      <c r="BO101" s="1">
        <f>IF(E101="","",IF(OR(L101="J_COUNTER",L101="J_HARD"),MAX(0,1+INDEX(角色面板!$K$18:$K$21,MATCH(E101,角色面板!$A$18:$A$21,0))-DI101*Boss参数!$B$23+IF(OR(Boss参数!$B$43=1,L101="J_HARD"),IF(B101&lt;=AH101,Boss参数!$B$46,0),0)),MAX(0,IF(OR(H101="术法",L101="RHI_BERRY",AND(L101="37_FOLLOW",Boss参数!$B$31=1)),1+BC101,IF(H101="仪式",1+BD101,IF(H101="洞知",EK101,1))))))</f>
        <v>0.6</v>
      </c>
      <c r="BP101" s="1">
        <f t="shared" si="73"/>
        <v>1.1000000000000001</v>
      </c>
      <c r="BQ101" s="1">
        <f t="shared" si="74"/>
        <v>9713.6550000000007</v>
      </c>
      <c r="BR101" s="1">
        <f t="shared" si="75"/>
        <v>10685.020500000002</v>
      </c>
      <c r="BS101" s="1">
        <f>IF(BH101=0,0,ROUNDDOWN(AY101*BH101,0)*DV101*IF(Boss参数!$B$29=1,BN101,1)*IF(Boss参数!$B$33=1,BO101,1)*IF(Boss参数!$B$76=1,1-ES101,1))</f>
        <v>0</v>
      </c>
      <c r="BT101" s="1">
        <f t="shared" si="76"/>
        <v>0</v>
      </c>
      <c r="BU101" s="1">
        <f>IF(D101="",0,MIN(IF(Boss参数!$B$77=1,Boss参数!$B$63*Boss参数!$B$62,Boss参数!$B$61*Boss参数!$B$62),DW101+ROUNDDOWN(BS101,0)+ROUNDDOWN(DW101*Q101,0)))</f>
        <v>3885</v>
      </c>
      <c r="BV101" s="1">
        <f>IF(D101="",0,MIN(IF(Boss参数!$B$77=1,Boss参数!$B$63*Boss参数!$B$62,Boss参数!$B$61*Boss参数!$B$62),DX101+ROUNDDOWN(BT101,0)+ROUNDDOWN(DX101*Q101,0)))</f>
        <v>4274</v>
      </c>
      <c r="BW101" s="1">
        <f t="shared" si="77"/>
        <v>3949</v>
      </c>
      <c r="BX101" s="1" t="str">
        <f t="shared" si="78"/>
        <v/>
      </c>
      <c r="BY101" s="1">
        <f t="shared" si="79"/>
        <v>2</v>
      </c>
      <c r="BZ101" s="1">
        <f t="shared" si="80"/>
        <v>2</v>
      </c>
      <c r="CA101" s="1">
        <f>MIN(10,W101+IF(AND(L101="LILYA_COBRA",COUNTIF($L$3:L101,"LILYA_COBRA")=1),5,0)+IF(AND(L101="LILYA_DIVE",U101=1,COUNTIFS($DG$3:DG101,DG101,$L$3:L101,"LILYA_DIVE")=1),2,0)+IF(AND(FE101=1,U101=1),3,0))</f>
        <v>10</v>
      </c>
      <c r="CB101" s="1">
        <f>MIN(20,MAX(0,X101+IF(L101="LILYA_COBRA",IF(COUNTIF($L$3:L101,"LILYA_COBRA")=1,6,IF(U101=1,MAX(1,G101),IF(U101=2,2*MAX(1,G101),0))),0)+IF(AND(Y101=1,E101="红弩箭",L101&lt;&gt;"ENTER_INSIGHT"),1,0)-IF(AND(L101="LILYA_ULT",X101&gt;=6),6,0)))</f>
        <v>8</v>
      </c>
      <c r="CC101" s="1">
        <f t="shared" si="81"/>
        <v>0</v>
      </c>
      <c r="CD101" s="1">
        <f t="shared" si="82"/>
        <v>0</v>
      </c>
      <c r="CE101" s="1">
        <f t="shared" si="83"/>
        <v>0</v>
      </c>
      <c r="CF101" s="1">
        <f t="shared" si="84"/>
        <v>5</v>
      </c>
      <c r="CG101" s="1">
        <f t="shared" si="85"/>
        <v>1</v>
      </c>
      <c r="CH101" s="1">
        <f>MIN(35,AD101+IF(L101="J_HARD",6,0)+IF(L101="J_COUNTER",Boss参数!$B$30,0))</f>
        <v>35</v>
      </c>
      <c r="CI101" s="1">
        <f>MIN(Boss参数!$I$4,AE101+IF(L101="J_HARD",6,0)+IF(L101="J_ULT",AD101,0)+IF(L101="J_COUNTER",Boss参数!$B$30,0))</f>
        <v>30</v>
      </c>
      <c r="CJ101" s="1">
        <f>IF(L101="J_ULT",AD101*Boss参数!$B$41,IF(B101&lt;=AG101,AF101,0))</f>
        <v>0.875</v>
      </c>
      <c r="CK101" s="1">
        <f t="shared" si="86"/>
        <v>8</v>
      </c>
      <c r="CL101" s="1">
        <f t="shared" si="87"/>
        <v>8</v>
      </c>
      <c r="CM101" s="1">
        <f t="shared" si="88"/>
        <v>8</v>
      </c>
      <c r="CN101" s="1">
        <f t="shared" si="89"/>
        <v>9</v>
      </c>
      <c r="CO101" s="1">
        <f t="shared" si="90"/>
        <v>8</v>
      </c>
      <c r="CP101" s="1">
        <f t="shared" si="91"/>
        <v>3</v>
      </c>
      <c r="CQ101" s="1">
        <f t="shared" si="92"/>
        <v>30</v>
      </c>
      <c r="CR101" s="1">
        <f t="shared" si="93"/>
        <v>6</v>
      </c>
      <c r="CS101" s="1">
        <f t="shared" si="94"/>
        <v>0</v>
      </c>
      <c r="CT101" s="1">
        <f t="shared" si="95"/>
        <v>0.12</v>
      </c>
      <c r="CU101" s="1">
        <f t="shared" si="96"/>
        <v>6</v>
      </c>
      <c r="CV101" s="1">
        <f t="shared" si="97"/>
        <v>0.3</v>
      </c>
      <c r="CW101" s="1">
        <f t="shared" si="98"/>
        <v>6</v>
      </c>
      <c r="CX101" s="1">
        <f t="shared" si="99"/>
        <v>0.3</v>
      </c>
      <c r="CY101" s="1">
        <f t="shared" si="100"/>
        <v>8</v>
      </c>
      <c r="CZ101" s="1"/>
      <c r="DA101" s="1"/>
      <c r="DB101" s="1"/>
      <c r="DC101" s="1"/>
      <c r="DD101" s="1"/>
      <c r="DE101" s="1"/>
      <c r="DF101" s="1"/>
      <c r="DG101" s="1">
        <f>IF(D101="","",行动模拟!B107)</f>
        <v>6</v>
      </c>
      <c r="DH101" s="1" t="str">
        <f>IF(L101="END_TURN","回合结束",IF(D101="","",IF(INDEX(回合状态!$C$7:$C$17,MATCH(DG101,回合状态!$A$7:$A$17,0))="洞穿","洞穿",IF(OR(L101="J_COUNTER",L101="BOSS_ACTION",L101="BOSS_CONSERVATIVE"),"敌方",IF(AND(L101="37_FOLLOW",DG101=DG100,DH100="敌方"),"敌方",IF(INDEX(回合状态!$C$7:$C$17,MATCH(DG101,回合状态!$A$7:$A$17,0))="普通","出牌",INDEX(回合状态!$C$7:$C$17,MATCH(DG101,回合状态!$A$7:$A$17,0))))))))</f>
        <v>敌方</v>
      </c>
      <c r="DI101" s="1">
        <f t="shared" si="101"/>
        <v>2</v>
      </c>
      <c r="DJ101" s="1">
        <f>IF(D101="",0,MIN(Boss参数!$B$25,IF(OR(AND(DH101="敌方",OR(DH100&lt;&gt;"敌方",DG101&lt;&gt;DG100)),AND(L101="END_TURN",DH101&lt;&gt;"洞穿"),AND(DG101&lt;&gt;DG100,DH100&lt;&gt;"洞穿",L100&lt;&gt;"END_TURN",COUNTIFS($DG$3:DG100,DG100,$DH$3:DH100,"敌方")=0)),EW101,DN100)))</f>
        <v>4</v>
      </c>
      <c r="DK101" s="1">
        <f>IF(D101="",0,MIN(Boss参数!$B$25,IF(OR(AND(DH101="敌方",OR(DH100&lt;&gt;"敌方",DG101&lt;&gt;DG100)),AND(L101="END_TURN",DH101&lt;&gt;"洞穿"),AND(DG101&lt;&gt;DG100,DH100&lt;&gt;"洞穿",L100&lt;&gt;"END_TURN",COUNTIFS($DG$3:DG100,DG100,$DH$3:DH100,"敌方")=0)),EW101,DO100)))</f>
        <v>4</v>
      </c>
      <c r="DL101" s="1">
        <f>IF(D101="",0,MIN(Boss参数!$B$25,IF(OR(AND(DH101="敌方",OR(DH100&lt;&gt;"敌方",DG101&lt;&gt;DG100)),AND(L101="END_TURN",DH101&lt;&gt;"洞穿"),AND(DG101&lt;&gt;DG100,DH100&lt;&gt;"洞穿",L100&lt;&gt;"END_TURN",COUNTIFS($DG$3:DG100,DG100,$DH$3:DH100,"敌方")=0)),EW101,DP100)))</f>
        <v>4</v>
      </c>
      <c r="DM101" s="1">
        <f>IF(D101="",0,MIN(Boss参数!$B$25,IF(OR(AND(DH101="敌方",OR(DH100&lt;&gt;"敌方",DG101&lt;&gt;DG100)),AND(L101="END_TURN",DH101&lt;&gt;"洞穿"),AND(DG101&lt;&gt;DG100,DH100&lt;&gt;"洞穿",L100&lt;&gt;"END_TURN",COUNTIFS($DG$3:DG100,DG100,$DH$3:DH100,"敌方")=0)),EW101,DQ100)))</f>
        <v>2</v>
      </c>
      <c r="DN101" s="1">
        <f>MAX(0,MIN(Boss参数!$B$25,DJ101+DR101)-IF(E101="红弩箭",2*DR101,0))</f>
        <v>5</v>
      </c>
      <c r="DO101" s="1">
        <f>MAX(0,MIN(Boss参数!$B$25,DK101+DR101)-IF(E101="37",2*DR101,0))</f>
        <v>5</v>
      </c>
      <c r="DP101" s="1">
        <f>MAX(0,MIN(Boss参数!$B$25,DL101+DR101)-IF(E101="小瑞安侬",2*DR101,0))</f>
        <v>5</v>
      </c>
      <c r="DQ101" s="1">
        <f>MAX(0,MIN(Boss参数!$B$25,DM101+DR101)-IF(E101="J",2*DR101,0))</f>
        <v>1</v>
      </c>
      <c r="DR101" s="1">
        <f t="shared" si="102"/>
        <v>1</v>
      </c>
      <c r="DS101" s="1">
        <f t="shared" si="103"/>
        <v>0</v>
      </c>
      <c r="DT101" s="1">
        <f>IF(OR(E101="",E101="系统"),0,IF(OR(AND(DS101=1,Boss参数!$B$32=1),L101="RHI_BERRY",OR(AND(INDEX(角色面板!$B$18:$B$21,MATCH(E101,角色面板!$A$18:$A$21,0))="星",Boss参数!$B$4="岩"),AND(INDEX(角色面板!$B$18:$B$21,MATCH(E101,角色面板!$A$18:$A$21,0))="岩",Boss参数!$B$4="兽"),AND(INDEX(角色面板!$B$18:$B$21,MATCH(E101,角色面板!$A$18:$A$21,0))="兽",Boss参数!$B$4="木"),AND(INDEX(角色面板!$B$18:$B$21,MATCH(E101,角色面板!$A$18:$A$21,0))="木",Boss参数!$B$4="星"),AND(INDEX(角色面板!$B$18:$B$21,MATCH(E101,角色面板!$A$18:$A$21,0))="智",Boss参数!$B$4="灵"),AND(INDEX(角色面板!$B$18:$B$21,MATCH(E101,角色面板!$A$18:$A$21,0))="灵",Boss参数!$B$4="智"))),1,0))</f>
        <v>0</v>
      </c>
      <c r="DU101" s="1">
        <f>IF(D101="",0,INDEX(回合状态!$E$7:$E$17,MATCH(DG101,回合状态!$A$7:$A$17,0))+IF(AND(DH101="敌方",OR(INDEX(回合状态!$C$7:$C$17,MATCH(DG101,回合状态!$A$7:$A$17,0))="普通",INDEX(回合状态!$C$7:$C$17,MATCH(DG101,回合状态!$A$7:$A$17,0))="额外")),0.05,0))</f>
        <v>0.35</v>
      </c>
      <c r="DV101" s="1">
        <f>MAX(Boss参数!$B$28,1+IF(AND(E101="37",AC101&gt;0,BH101&gt;0),Boss参数!$B$42,0)-DI101*Boss参数!$B$24+EA101-ER101)</f>
        <v>0</v>
      </c>
      <c r="DW101" s="1">
        <f>MIN(IF(Boss参数!$B$77=1,Boss参数!$B$63*Boss参数!$B$62,Boss参数!$B$61*Boss参数!$B$62),ROUNDDOWN(BQ101*(1-ES101),0))</f>
        <v>3885</v>
      </c>
      <c r="DX101" s="1">
        <f>MIN(IF(Boss参数!$B$77=1,Boss参数!$B$63*Boss参数!$B$62,Boss参数!$B$61*Boss参数!$B$62),ROUNDDOWN(BR101*(1-ES101),0))</f>
        <v>4274</v>
      </c>
      <c r="DY101" s="1">
        <f t="shared" si="135"/>
        <v>250</v>
      </c>
      <c r="DZ101" s="1">
        <f>IF(L101="RHI_ULT",MIN(Boss参数!$B$48,ROUNDDOWN(AY101*Boss参数!$B$47,0)),DY101)</f>
        <v>250</v>
      </c>
      <c r="EA101" s="1">
        <v>0</v>
      </c>
      <c r="EB101" s="1">
        <f t="shared" si="104"/>
        <v>0</v>
      </c>
      <c r="EC101" s="1">
        <f>SUMIFS($EB$3:EB101,$B$3:B101,"&gt;="&amp;MAX(1,B101-2),$B$3:B101,"&lt;="&amp;B101)*Boss参数!$B$51</f>
        <v>12</v>
      </c>
      <c r="ED101" s="1">
        <f>IF(D101="",EG100,IF(AND(DG101&lt;&gt;DG100,DH101&lt;&gt;"洞穿"),MIN(Boss参数!$B$55,EG100+2),EG100))</f>
        <v>0</v>
      </c>
      <c r="EE101" s="1">
        <f t="shared" si="105"/>
        <v>0</v>
      </c>
      <c r="EF101" s="1">
        <f>IF(AND(OR(L101="END_TURN",AND(DH101="敌方",OR(DH100&lt;&gt;"敌方",DG101&lt;&gt;DG100))),SUMIFS($EF$3:EF100,$DG$3:DG100,DG101)=0),MIN(1,MAX(0,ED101-EE101)),0)</f>
        <v>0</v>
      </c>
      <c r="EG101" s="1">
        <f t="shared" si="106"/>
        <v>0</v>
      </c>
      <c r="EH101" s="1">
        <f>Boss参数!$B$53-IF(Y101=1,Boss参数!$B$54,0)</f>
        <v>0</v>
      </c>
      <c r="EI101" s="1">
        <f t="shared" si="107"/>
        <v>0.3</v>
      </c>
      <c r="EJ101" s="1">
        <f t="shared" si="108"/>
        <v>0.3</v>
      </c>
      <c r="EK101" s="1">
        <f t="shared" si="109"/>
        <v>1</v>
      </c>
      <c r="EL101" s="1">
        <f t="shared" si="136"/>
        <v>0</v>
      </c>
      <c r="EM101" s="1">
        <f>IF(AND(DG101&lt;&gt;DG100,DH101="洞穿"),0,IF(L101="ENTER_INSIGHT",Boss参数!$B$57,EO100))</f>
        <v>0</v>
      </c>
      <c r="EN101" s="1">
        <f>IF(AND(Y101=1,H101="洞知",EM101&gt;0),Boss参数!$B$56,0)</f>
        <v>0</v>
      </c>
      <c r="EO101" s="1">
        <f t="shared" si="110"/>
        <v>0</v>
      </c>
      <c r="EP101" s="1">
        <f t="shared" si="137"/>
        <v>15014564</v>
      </c>
      <c r="EQ101" s="1">
        <f>ROUNDDOWN(EP101/Boss参数!$B$62,0)</f>
        <v>150</v>
      </c>
      <c r="ER101" s="1">
        <f>IF(EQ101&gt;=Boss参数!$B$66,Boss参数!$B$69,IF(EQ101&gt;=Boss参数!$B$65,Boss参数!$B$68,IF(EQ101&gt;=Boss参数!$B$64,Boss参数!$B$67,0)))</f>
        <v>0.9</v>
      </c>
      <c r="ES101" s="1">
        <f>MIN(1,IF(EQ101&gt;=Boss参数!$B$66,Boss参数!$B$72+ROUNDDOWN((EQ101-Boss参数!$B$66)/Boss参数!$B$73,0)*Boss参数!$B$74,IF(EQ101&gt;=Boss参数!$B$65,Boss参数!$B$71,IF(EQ101&gt;=Boss参数!$B$64,Boss参数!$B$70,0))))</f>
        <v>0.6</v>
      </c>
      <c r="ET101" s="1">
        <f>MIN(Boss参数!$B$61*Boss参数!$B$62,EP101+IF(AND(Boss参数!$B$60=1,ISNUMBER(验证表!H107)),验证表!H107,EU101))</f>
        <v>15018449</v>
      </c>
      <c r="EU101" s="1">
        <f>IF(D101="",0,IF(验证表!G107="是",BV101,IF(验证表!G107="否",BU101,BW101)))</f>
        <v>3885</v>
      </c>
      <c r="EV101" s="1">
        <f>IF(EQ101&gt;=Boss参数!$B$66,2,IF(EQ101&gt;=Boss参数!$B$65,1,0))</f>
        <v>2</v>
      </c>
      <c r="EW101" s="1">
        <f t="shared" si="111"/>
        <v>3</v>
      </c>
      <c r="EX101" s="1">
        <f>IF(D101="",0,INDEX(回合状态!$D$7:$D$17,MATCH(DG101,回合状态!$A$7:$A$17,0)))</f>
        <v>6</v>
      </c>
      <c r="EY101" s="1">
        <f>IF(OR(L101="RHI_ATTACK",L101="RHI_BUFF"),1,IF(L101="RHI_ULT",Boss参数!$B$52,0))</f>
        <v>0</v>
      </c>
      <c r="EZ101" s="1">
        <f>MIN(6,SUMIFS($EY$3:EY101,$EX$3:EX101,"&gt;="&amp;MAX(1,EX101-Boss参数!$B$87+1),$EX$3:EX101,"&lt;="&amp;EX101))</f>
        <v>6</v>
      </c>
      <c r="FA101" s="1">
        <f t="shared" si="138"/>
        <v>35</v>
      </c>
      <c r="FB101" s="17">
        <f>IF(L101="BOSS_CONSERVATIVE",B101+Boss参数!$B$91,FB100)</f>
        <v>7</v>
      </c>
      <c r="FC101" s="17">
        <f t="shared" si="139"/>
        <v>1</v>
      </c>
      <c r="FD101" s="17">
        <f>IF(D101="",FD100,FD100+IF(AND(DG101&lt;&gt;DG100,INDEX(回合状态!$C$7:$C$17,MATCH(DG101,回合状态!$A$7:$A$17,0))&lt;&gt;"洞穿"),1,0))</f>
        <v>7</v>
      </c>
      <c r="FE101" s="17">
        <f>IF(D101="",0,IF(AND(OR(L101="END_TURN",DH101="敌方"),INDEX(回合状态!$C$7:$C$17,MATCH(DG101,回合状态!$A$7:$A$17,0))&lt;&gt;"洞穿",SUMIFS($FE$3:FE100,$DG$3:DG100,DG101)=0),1,0))</f>
        <v>0</v>
      </c>
    </row>
    <row r="102" spans="1:161" ht="84.95" customHeight="1">
      <c r="A102" s="1">
        <f>行动模拟!A108</f>
        <v>100</v>
      </c>
      <c r="B102" s="1">
        <f>IF(D102="",0,INDEX(回合状态!$B$7:$B$17,MATCH(DG102,回合状态!$A$7:$A$17,0)))</f>
        <v>6</v>
      </c>
      <c r="C102" s="1">
        <f>行动模拟!C108</f>
        <v>11</v>
      </c>
      <c r="D102" s="1" t="str">
        <f>IF(行动模拟!D108="","",行动模拟!D108)</f>
        <v>37｜补充算式</v>
      </c>
      <c r="E102" s="1" t="str">
        <f>IF($D102="","",IFERROR(INDEX(技能数据库!$B$4:$B$38,MATCH($D102,技能数据库!$A$4:$A$38,0)),""))</f>
        <v>37</v>
      </c>
      <c r="F102" s="1" t="str">
        <f>IF($D102="","",IFERROR(INDEX(技能数据库!$C$4:$C$38,MATCH($D102,技能数据库!$A$4:$A$38,0)),""))</f>
        <v>补充算式</v>
      </c>
      <c r="G102" s="1">
        <f>IF($D102="","",IFERROR(INDEX(技能数据库!$D$4:$D$38,MATCH($D102,技能数据库!$A$4:$A$38,0)),""))</f>
        <v>0</v>
      </c>
      <c r="H102" s="1" t="str">
        <f>IF($D102="","",IFERROR(INDEX(技能数据库!$E$4:$E$38,MATCH($D102,技能数据库!$A$4:$A$38,0)),""))</f>
        <v>额外行动</v>
      </c>
      <c r="I102" s="1" t="str">
        <f>IF($D102="","",IFERROR(INDEX(技能数据库!$F$4:$F$38,MATCH($D102,技能数据库!$A$4:$A$38,0)),""))</f>
        <v>精神</v>
      </c>
      <c r="J102" s="1">
        <f>IF($D102="","",IFERROR(INDEX(技能数据库!$G$4:$G$38,MATCH($D102,技能数据库!$A$4:$A$38,0)),""))</f>
        <v>3</v>
      </c>
      <c r="K102" s="1">
        <f>IF($D102="","",IFERROR(INDEX(技能数据库!$H$4:$H$38,MATCH($D102,技能数据库!$A$4:$A$38,0)),""))</f>
        <v>1</v>
      </c>
      <c r="L102" s="1" t="str">
        <f>IF($D102="","",IFERROR(INDEX(技能数据库!$I$4:$I$38,MATCH($D102,技能数据库!$A$4:$A$38,0)),""))</f>
        <v>37_FOLLOW</v>
      </c>
      <c r="M102" s="1">
        <v>1</v>
      </c>
      <c r="N102" s="1"/>
      <c r="O102" s="1"/>
      <c r="P102" s="1"/>
      <c r="Q102" s="1">
        <f t="shared" si="70"/>
        <v>0</v>
      </c>
      <c r="R102" s="1">
        <v>0</v>
      </c>
      <c r="S102" s="1">
        <v>0</v>
      </c>
      <c r="T102" s="1">
        <f>行动模拟!I108</f>
        <v>0</v>
      </c>
      <c r="U102" s="1">
        <f>IF(FD102&lt;&gt;FD101,IF(BY101=1,IF(MIN(10,CA101+IF(AND(DG102&lt;&gt;DG101,DH101&lt;&gt;"洞穿",SUMIFS($FE$3:FE101,$DG$3:DG101,DG101)=0,BY101=1),3,0))&gt;=10,2,1),IF(BY101=2,IF(BZ101&lt;=1,0,2),0)),BY101)</f>
        <v>2</v>
      </c>
      <c r="V102" s="1">
        <f>IF(FD102&lt;&gt;FD101,IF(BY101=1,IF(MIN(10,CA101+IF(AND(DG102&lt;&gt;DG101,DH101&lt;&gt;"洞穿",SUMIFS($FE$3:FE101,$DG$3:DG101,DG101)=0,BY101=1),3,0))&gt;=10,2,0),IF(BY101=2,MAX(0,BZ101-1),0)),BZ101)</f>
        <v>2</v>
      </c>
      <c r="W102" s="1">
        <f>IF(AND(FD102&lt;&gt;FD101,BY101=2,BZ101&lt;=1),0,MIN(10,CA101+IF(AND(DG102&lt;&gt;DG101,DH101&lt;&gt;"洞穿",SUMIFS($FE$3:FE101,$DG$3:DG101,DG101)=0,BY101=1),3,0)))</f>
        <v>10</v>
      </c>
      <c r="X102" s="1">
        <f t="shared" si="112"/>
        <v>8</v>
      </c>
      <c r="Y102" s="1">
        <f t="shared" si="113"/>
        <v>0</v>
      </c>
      <c r="Z102" s="1">
        <f t="shared" si="114"/>
        <v>0</v>
      </c>
      <c r="AA102" s="1">
        <f t="shared" si="115"/>
        <v>0</v>
      </c>
      <c r="AB102" s="1">
        <f t="shared" si="116"/>
        <v>5</v>
      </c>
      <c r="AC102" s="1">
        <f t="shared" si="117"/>
        <v>1</v>
      </c>
      <c r="AD102" s="1">
        <f t="shared" si="118"/>
        <v>35</v>
      </c>
      <c r="AE102" s="1">
        <f>IF(D102="",0,IF(DG102&lt;&gt;DG101,IFERROR(INDEX(回合状态!$F$7:$F$17,MATCH(DG102,回合状态!$A$7:$A$17,0)),0),CI101))</f>
        <v>30</v>
      </c>
      <c r="AF102" s="1">
        <f t="shared" si="119"/>
        <v>0.875</v>
      </c>
      <c r="AG102" s="1">
        <f t="shared" si="120"/>
        <v>8</v>
      </c>
      <c r="AH102" s="1">
        <f t="shared" si="121"/>
        <v>8</v>
      </c>
      <c r="AI102" s="1">
        <f t="shared" si="122"/>
        <v>8</v>
      </c>
      <c r="AJ102" s="1">
        <f t="shared" si="123"/>
        <v>9</v>
      </c>
      <c r="AK102" s="1">
        <f t="shared" si="124"/>
        <v>8</v>
      </c>
      <c r="AL102" s="1">
        <f t="shared" si="125"/>
        <v>3</v>
      </c>
      <c r="AM102" s="1">
        <f t="shared" si="126"/>
        <v>30</v>
      </c>
      <c r="AN102" s="1">
        <f t="shared" si="127"/>
        <v>6</v>
      </c>
      <c r="AO102" s="1">
        <f t="shared" si="128"/>
        <v>0</v>
      </c>
      <c r="AP102" s="1">
        <f t="shared" si="129"/>
        <v>0.12</v>
      </c>
      <c r="AQ102" s="1">
        <f t="shared" si="130"/>
        <v>6</v>
      </c>
      <c r="AR102" s="1">
        <f t="shared" si="131"/>
        <v>0.3</v>
      </c>
      <c r="AS102" s="1">
        <f t="shared" si="132"/>
        <v>6</v>
      </c>
      <c r="AT102" s="1">
        <f t="shared" si="133"/>
        <v>0.3</v>
      </c>
      <c r="AU102" s="1">
        <f t="shared" si="134"/>
        <v>8</v>
      </c>
      <c r="AV102" s="1">
        <f>MIN(5,SUMIFS($EL$3:EL102,$B$3:B102,"&gt;="&amp;MAX(1,B102-2),$B$3:B102,"&lt;="&amp;B102)+EC102)</f>
        <v>5</v>
      </c>
      <c r="AW102" s="1">
        <f>MIN(6,SUMIFS($EY$3:EY101,$EX$3:EX101,"&gt;="&amp;MAX(1,EX102-Boss参数!$B$87+1),$EX$3:EX101,"&lt;="&amp;EX102))</f>
        <v>6</v>
      </c>
      <c r="AX102" s="1">
        <f>MIN(4,COUNTIFS($B$3:$B$101,"&gt;="&amp;MAX(1,$B102-2),$B$3:$B$101,"&lt;="&amp;$B102,$L$3:$L$101,"37_FOLLOW"))</f>
        <v>4</v>
      </c>
      <c r="AY102" s="1">
        <f>IF($E102="","",IF($E102="系统",0,ROUNDDOWN(INDEX(角色面板!$C$4:$C$7,MATCH($E102,角色面板!$A$4:$A$7,0))*(1+INDEX(角色面板!$C$11:$C$14,MATCH($E102,角色面板!$A$11:$A$14,0))+IF($E102="小瑞安侬",MAX(IF($B102&lt;=$AQ102,$AP102,0),IF(AND($L102="RHI_ATTACK",$EE102&gt;0),0.11+0.01*$G102,0)),0)+IF($E102="J",$AD102*Boss参数!$B$18,0))+IF(FD102&lt;=$AN102,MIN(Boss参数!$B$21,ROUNDDOWN(角色面板!$C$19*Boss参数!$B$20,0)),0)+IF(AND($B102&lt;=$AK102,$E102&lt;&gt;"小瑞安侬"),$DY102,0),0)))</f>
        <v>3017</v>
      </c>
      <c r="AZ102" s="1">
        <f>IF($E102="","",MAX(0,MIN(1,IFERROR(INDEX(角色面板!$G$18:$G$21,MATCH($E102,角色面板!$A$18:$A$21,0)),0)-FC102*Boss参数!$B$89-Boss参数!$E$4)))</f>
        <v>0.26</v>
      </c>
      <c r="BA102" s="1">
        <f>IF(E102="","",(IF($E102="","",IF($E102="红弩箭",Boss参数!$B$80,IF($E102="J",Boss参数!$B$81,IFERROR(INDEX(角色面板!$H$18:$H$21,MATCH($E102,角色面板!$A$18:$A$21,0)),0)))+IF($B102&lt;=$AI102,Boss参数!$B$13,0)+MIN(30,$AM102)*Boss参数!$B$17+IF(AND($L102="LILYA_ULT",$X102&gt;=6),1,0)+IF(AND($Y102=1,$L102="LILYA_INSIGHT"),IF(MOD($AA102+1,3)=0,Boss参数!$B$83,Boss参数!$B$82),IF(AND($Y102=1,$L102="LILYA_FINISH"),Boss参数!$B$84,0))))-FC102*Boss参数!$B$90)</f>
        <v>1.7780000000000002</v>
      </c>
      <c r="BB102" s="1">
        <f>IF($E102="","",IFERROR(INDEX(角色面板!$M$18:$M$21,MATCH($E102,角色面板!$A$18:$A$21,0)),0)+$AW102*Boss参数!$B$12+IF($B102&lt;=$AG102,$AF102,0)+$EI102+IF($L102="LILYA_DIVE",IF($U102=1,IF($G102=1,0.3,IF($G102=2,0.4,0.5)),IF($U102=2,IF($G102=1,0.6,IF($G102=2,0.8,1)),0)),0)+$R102+IF(AND($E102="J",OR($L102="J_COUNTER",$L102="J_HARD")),Boss参数!$B$79,0)+IF(AND(OR(L102="J_COUNTER",L102="J_HARD"),FA102&gt;=Boss参数!$B$59),FA102*Boss参数!$B$40,0))</f>
        <v>1.2949999999999999</v>
      </c>
      <c r="BC102" s="1">
        <f>IF($E102="","",IFERROR(INDEX(角色面板!$K$18:$K$21,MATCH($E102,角色面板!$A$18:$A$21,0)),0)+IF($B102&lt;=$AH102,Boss参数!$B$46,0)+IF($E102="红弩箭",IF($U102=1,0.6,IF($U102=2,1.2,0))+$W102*0.06,0))-DI102*Boss参数!$B$23</f>
        <v>-0.85000000000000009</v>
      </c>
      <c r="BD102" s="1">
        <f>IF($E102="","",IFERROR(INDEX(角色面板!$L$18:$L$21,MATCH($E102,角色面板!$A$18:$A$21,0)),0)+IF($B102&lt;=$AH102,Boss参数!$B$46,0)+IF($E102="J",$AL102*Boss参数!$B$16,0)+IF($E102="红弩箭",$X102*0.025,0)+IF(AND($L102="LILYA_ULT",$X102&gt;=6),1,0))-DI102*Boss参数!$B$23</f>
        <v>-0.45</v>
      </c>
      <c r="BE102" s="1">
        <f>IF($E102="","",IF($H102="洞知",IF($E102="红弩箭",$AO102*Boss参数!$B$15,0)+$AX102*Boss参数!$B$14,0))</f>
        <v>0</v>
      </c>
      <c r="BF102" s="1">
        <f t="shared" si="71"/>
        <v>0</v>
      </c>
      <c r="BG102" s="1">
        <f>IF($D102="",0,IF(AND($L102&lt;&gt;"LILYA_DIVE",$L102&lt;&gt;"LILYA_ULT",$L102&lt;&gt;"LILYA_INSIGHT",$L102&lt;&gt;"LILYA_FINISH",$L102&lt;&gt;"37_FOLLOW",$L102&lt;&gt;"RHI_ATTACK",$L102&lt;&gt;"RHI_BERRY",$L102&lt;&gt;"J_COUNTER",$L102&lt;&gt;"J_ULT"),$J102,0)+IF($L102="LILYA_DIVE",$J102+IF($U102=1,IF($G102=1,6,IF($G102=2,12,18)),IF($U102=2,IF($G102=1,12,IF($G102=2,24,36)),0)),0)+IF($L102="LILYA_ULT",$J102+IF($X102&gt;=6,18,0),0)+IF($L102="LILYA_INSIGHT",IF($Y102=1,IF(MOD($AA102+1,3)=0,32,15),0),0)+IF($L102="LILYA_FINISH",IF($Y102=1,50+2.5*$Z102,0),0)+IF($L102="37_FOLLOW",$J102,0)+IF($L102="RHI_ATTACK",$J102*IF($B102&lt;=$AJ102,2,1),0)+IF($L102="RHI_BERRY",15+1.5*$AV102,0)+IF($L102="J_COUNTER",$J102+$AD102*Boss参数!$B$39,0)+IF($L102="J_ULT",$J102+Boss参数!$B$45*MAX(0,$AE102+$AD102-Boss参数!$I$4),0)+$S102)</f>
        <v>3</v>
      </c>
      <c r="BH102" s="1">
        <f t="shared" si="72"/>
        <v>1</v>
      </c>
      <c r="BI102" s="1">
        <f>IF(E102="","",IF(DT102=1,1+Boss参数!$B$8+AV102*Boss参数!$B$19,1))</f>
        <v>1.5</v>
      </c>
      <c r="BJ102" s="1">
        <f>IF($I102="现实",Boss参数!$C$4,IF($I102="精神",Boss参数!$D$4,0))</f>
        <v>1000</v>
      </c>
      <c r="BK102" s="1">
        <f>IF($E102="","",MAX($AY102*Boss参数!$B$9,$AY102-$BJ102*(1-$BF102)))</f>
        <v>2017</v>
      </c>
      <c r="BL102" s="1">
        <f>MAX(0,Boss参数!$F$4+IF(DT102=0,Boss参数!$B$27,0)-EJ102)</f>
        <v>0.10000000000000003</v>
      </c>
      <c r="BM102" s="1">
        <f>Boss参数!$G$4+DU102-IF(Y102=1,Boss参数!$B$11,0)</f>
        <v>0.75</v>
      </c>
      <c r="BN102" s="1">
        <f>IF($E102="","",MAX(Boss参数!$B$10,1+IFERROR(INDEX(角色面板!$I$18:$I$21,MATCH($E102,角色面板!$A$18:$A$21,0)),0)+$BB102+Boss参数!$H$4-$BM102))</f>
        <v>1.5499999999999998</v>
      </c>
      <c r="BO102" s="1">
        <f>IF(E102="","",IF(OR(L102="J_COUNTER",L102="J_HARD"),MAX(0,1+INDEX(角色面板!$K$18:$K$21,MATCH(E102,角色面板!$A$18:$A$21,0))-DI102*Boss参数!$B$23+IF(OR(Boss参数!$B$43=1,L102="J_HARD"),IF(B102&lt;=AH102,Boss参数!$B$46,0),0)),MAX(0,IF(OR(H102="术法",L102="RHI_BERRY",AND(L102="37_FOLLOW",Boss参数!$B$31=1)),1+BC102,IF(H102="仪式",1+BD102,IF(H102="洞知",EK102,1))))))</f>
        <v>0.14999999999999991</v>
      </c>
      <c r="BP102" s="1">
        <f t="shared" si="73"/>
        <v>1.6780000000000002</v>
      </c>
      <c r="BQ102" s="1">
        <f t="shared" si="74"/>
        <v>2110.2862499999987</v>
      </c>
      <c r="BR102" s="1">
        <f t="shared" si="75"/>
        <v>3541.060327499998</v>
      </c>
      <c r="BS102" s="1">
        <f>IF(BH102=0,0,ROUNDDOWN(AY102*BH102,0)*DV102*IF(Boss参数!$B$29=1,BN102,1)*IF(Boss参数!$B$33=1,BO102,1)*IF(Boss参数!$B$76=1,1-ES102,1))</f>
        <v>1055.95</v>
      </c>
      <c r="BT102" s="1">
        <f t="shared" si="76"/>
        <v>1771.8841000000002</v>
      </c>
      <c r="BU102" s="1">
        <f>IF(D102="",0,MIN(IF(Boss参数!$B$77=1,Boss参数!$B$63*Boss参数!$B$62,Boss参数!$B$61*Boss参数!$B$62),DW102+ROUNDDOWN(BS102,0)+ROUNDDOWN(DW102*Q102,0)))</f>
        <v>1899</v>
      </c>
      <c r="BV102" s="1">
        <f>IF(D102="",0,MIN(IF(Boss参数!$B$77=1,Boss参数!$B$63*Boss参数!$B$62,Boss参数!$B$61*Boss参数!$B$62),DX102+ROUNDDOWN(BT102,0)+ROUNDDOWN(DX102*Q102,0)))</f>
        <v>3187</v>
      </c>
      <c r="BW102" s="1">
        <f t="shared" si="77"/>
        <v>2233</v>
      </c>
      <c r="BX102" s="1" t="str">
        <f t="shared" si="78"/>
        <v/>
      </c>
      <c r="BY102" s="1">
        <f t="shared" si="79"/>
        <v>2</v>
      </c>
      <c r="BZ102" s="1">
        <f t="shared" si="80"/>
        <v>2</v>
      </c>
      <c r="CA102" s="1">
        <f>MIN(10,W102+IF(AND(L102="LILYA_COBRA",COUNTIF($L$3:L102,"LILYA_COBRA")=1),5,0)+IF(AND(L102="LILYA_DIVE",U102=1,COUNTIFS($DG$3:DG102,DG102,$L$3:L102,"LILYA_DIVE")=1),2,0)+IF(AND(FE102=1,U102=1),3,0))</f>
        <v>10</v>
      </c>
      <c r="CB102" s="1">
        <f>MIN(20,MAX(0,X102+IF(L102="LILYA_COBRA",IF(COUNTIF($L$3:L102,"LILYA_COBRA")=1,6,IF(U102=1,MAX(1,G102),IF(U102=2,2*MAX(1,G102),0))),0)+IF(AND(Y102=1,E102="红弩箭",L102&lt;&gt;"ENTER_INSIGHT"),1,0)-IF(AND(L102="LILYA_ULT",X102&gt;=6),6,0)))</f>
        <v>8</v>
      </c>
      <c r="CC102" s="1">
        <f t="shared" si="81"/>
        <v>0</v>
      </c>
      <c r="CD102" s="1">
        <f t="shared" si="82"/>
        <v>0</v>
      </c>
      <c r="CE102" s="1">
        <f t="shared" si="83"/>
        <v>0</v>
      </c>
      <c r="CF102" s="1">
        <f t="shared" si="84"/>
        <v>0</v>
      </c>
      <c r="CG102" s="1">
        <f t="shared" si="85"/>
        <v>0</v>
      </c>
      <c r="CH102" s="1">
        <f>MIN(35,AD102+IF(L102="J_HARD",6,0)+IF(L102="J_COUNTER",Boss参数!$B$30,0))</f>
        <v>35</v>
      </c>
      <c r="CI102" s="1">
        <f>MIN(Boss参数!$I$4,AE102+IF(L102="J_HARD",6,0)+IF(L102="J_ULT",AD102,0)+IF(L102="J_COUNTER",Boss参数!$B$30,0))</f>
        <v>30</v>
      </c>
      <c r="CJ102" s="1">
        <f>IF(L102="J_ULT",AD102*Boss参数!$B$41,IF(B102&lt;=AG102,AF102,0))</f>
        <v>0.875</v>
      </c>
      <c r="CK102" s="1">
        <f t="shared" si="86"/>
        <v>8</v>
      </c>
      <c r="CL102" s="1">
        <f t="shared" si="87"/>
        <v>8</v>
      </c>
      <c r="CM102" s="1">
        <f t="shared" si="88"/>
        <v>8</v>
      </c>
      <c r="CN102" s="1">
        <f t="shared" si="89"/>
        <v>9</v>
      </c>
      <c r="CO102" s="1">
        <f t="shared" si="90"/>
        <v>8</v>
      </c>
      <c r="CP102" s="1">
        <f t="shared" si="91"/>
        <v>3</v>
      </c>
      <c r="CQ102" s="1">
        <f t="shared" si="92"/>
        <v>30</v>
      </c>
      <c r="CR102" s="1">
        <f t="shared" si="93"/>
        <v>6</v>
      </c>
      <c r="CS102" s="1">
        <f t="shared" si="94"/>
        <v>0</v>
      </c>
      <c r="CT102" s="1">
        <f t="shared" si="95"/>
        <v>0.12</v>
      </c>
      <c r="CU102" s="1">
        <f t="shared" si="96"/>
        <v>6</v>
      </c>
      <c r="CV102" s="1">
        <f t="shared" si="97"/>
        <v>0.3</v>
      </c>
      <c r="CW102" s="1">
        <f t="shared" si="98"/>
        <v>6</v>
      </c>
      <c r="CX102" s="1">
        <f t="shared" si="99"/>
        <v>0.3</v>
      </c>
      <c r="CY102" s="1">
        <f t="shared" si="100"/>
        <v>8</v>
      </c>
      <c r="CZ102" s="1"/>
      <c r="DA102" s="1"/>
      <c r="DB102" s="1"/>
      <c r="DC102" s="1"/>
      <c r="DD102" s="1"/>
      <c r="DE102" s="1"/>
      <c r="DF102" s="1"/>
      <c r="DG102" s="1">
        <f>IF(D102="","",行动模拟!B108)</f>
        <v>6</v>
      </c>
      <c r="DH102" s="1" t="str">
        <f>IF(L102="END_TURN","回合结束",IF(D102="","",IF(INDEX(回合状态!$C$7:$C$17,MATCH(DG102,回合状态!$A$7:$A$17,0))="洞穿","洞穿",IF(OR(L102="J_COUNTER",L102="BOSS_ACTION",L102="BOSS_CONSERVATIVE"),"敌方",IF(AND(L102="37_FOLLOW",DG102=DG101,DH101="敌方"),"敌方",IF(INDEX(回合状态!$C$7:$C$17,MATCH(DG102,回合状态!$A$7:$A$17,0))="普通","出牌",INDEX(回合状态!$C$7:$C$17,MATCH(DG102,回合状态!$A$7:$A$17,0))))))))</f>
        <v>敌方</v>
      </c>
      <c r="DI102" s="1">
        <f t="shared" si="101"/>
        <v>5</v>
      </c>
      <c r="DJ102" s="1">
        <f>IF(D102="",0,MIN(Boss参数!$B$25,IF(OR(AND(DH102="敌方",OR(DH101&lt;&gt;"敌方",DG102&lt;&gt;DG101)),AND(L102="END_TURN",DH102&lt;&gt;"洞穿"),AND(DG102&lt;&gt;DG101,DH101&lt;&gt;"洞穿",L101&lt;&gt;"END_TURN",COUNTIFS($DG$3:DG101,DG101,$DH$3:DH101,"敌方")=0)),EW102,DN101)))</f>
        <v>5</v>
      </c>
      <c r="DK102" s="1">
        <f>IF(D102="",0,MIN(Boss参数!$B$25,IF(OR(AND(DH102="敌方",OR(DH101&lt;&gt;"敌方",DG102&lt;&gt;DG101)),AND(L102="END_TURN",DH102&lt;&gt;"洞穿"),AND(DG102&lt;&gt;DG101,DH101&lt;&gt;"洞穿",L101&lt;&gt;"END_TURN",COUNTIFS($DG$3:DG101,DG101,$DH$3:DH101,"敌方")=0)),EW102,DO101)))</f>
        <v>5</v>
      </c>
      <c r="DL102" s="1">
        <f>IF(D102="",0,MIN(Boss参数!$B$25,IF(OR(AND(DH102="敌方",OR(DH101&lt;&gt;"敌方",DG102&lt;&gt;DG101)),AND(L102="END_TURN",DH102&lt;&gt;"洞穿"),AND(DG102&lt;&gt;DG101,DH101&lt;&gt;"洞穿",L101&lt;&gt;"END_TURN",COUNTIFS($DG$3:DG101,DG101,$DH$3:DH101,"敌方")=0)),EW102,DP101)))</f>
        <v>5</v>
      </c>
      <c r="DM102" s="1">
        <f>IF(D102="",0,MIN(Boss参数!$B$25,IF(OR(AND(DH102="敌方",OR(DH101&lt;&gt;"敌方",DG102&lt;&gt;DG101)),AND(L102="END_TURN",DH102&lt;&gt;"洞穿"),AND(DG102&lt;&gt;DG101,DH101&lt;&gt;"洞穿",L101&lt;&gt;"END_TURN",COUNTIFS($DG$3:DG101,DG101,$DH$3:DH101,"敌方")=0)),EW102,DQ101)))</f>
        <v>1</v>
      </c>
      <c r="DN102" s="1">
        <f>MAX(0,MIN(Boss参数!$B$25,DJ102+DR102)-IF(E102="红弩箭",2*DR102,0))</f>
        <v>5</v>
      </c>
      <c r="DO102" s="1">
        <f>MAX(0,MIN(Boss参数!$B$25,DK102+DR102)-IF(E102="37",2*DR102,0))</f>
        <v>3</v>
      </c>
      <c r="DP102" s="1">
        <f>MAX(0,MIN(Boss参数!$B$25,DL102+DR102)-IF(E102="小瑞安侬",2*DR102,0))</f>
        <v>5</v>
      </c>
      <c r="DQ102" s="1">
        <f>MAX(0,MIN(Boss参数!$B$25,DM102+DR102)-IF(E102="J",2*DR102,0))</f>
        <v>2</v>
      </c>
      <c r="DR102" s="1">
        <f t="shared" si="102"/>
        <v>1</v>
      </c>
      <c r="DS102" s="1">
        <f t="shared" si="103"/>
        <v>0</v>
      </c>
      <c r="DT102" s="1">
        <f>IF(OR(E102="",E102="系统"),0,IF(OR(AND(DS102=1,Boss参数!$B$32=1),L102="RHI_BERRY",OR(AND(INDEX(角色面板!$B$18:$B$21,MATCH(E102,角色面板!$A$18:$A$21,0))="星",Boss参数!$B$4="岩"),AND(INDEX(角色面板!$B$18:$B$21,MATCH(E102,角色面板!$A$18:$A$21,0))="岩",Boss参数!$B$4="兽"),AND(INDEX(角色面板!$B$18:$B$21,MATCH(E102,角色面板!$A$18:$A$21,0))="兽",Boss参数!$B$4="木"),AND(INDEX(角色面板!$B$18:$B$21,MATCH(E102,角色面板!$A$18:$A$21,0))="木",Boss参数!$B$4="星"),AND(INDEX(角色面板!$B$18:$B$21,MATCH(E102,角色面板!$A$18:$A$21,0))="智",Boss参数!$B$4="灵"),AND(INDEX(角色面板!$B$18:$B$21,MATCH(E102,角色面板!$A$18:$A$21,0))="灵",Boss参数!$B$4="智"))),1,0))</f>
        <v>1</v>
      </c>
      <c r="DU102" s="1">
        <f>IF(D102="",0,INDEX(回合状态!$E$7:$E$17,MATCH(DG102,回合状态!$A$7:$A$17,0))+IF(AND(DH102="敌方",OR(INDEX(回合状态!$C$7:$C$17,MATCH(DG102,回合状态!$A$7:$A$17,0))="普通",INDEX(回合状态!$C$7:$C$17,MATCH(DG102,回合状态!$A$7:$A$17,0))="额外")),0.05,0))</f>
        <v>0.35</v>
      </c>
      <c r="DV102" s="1">
        <f>MAX(Boss参数!$B$28,1+IF(AND(E102="37",AC102&gt;0,BH102&gt;0),Boss参数!$B$42,0)-DI102*Boss参数!$B$24+EA102-ER102)</f>
        <v>0.35</v>
      </c>
      <c r="DW102" s="1">
        <f>MIN(IF(Boss参数!$B$77=1,Boss参数!$B$63*Boss参数!$B$62,Boss参数!$B$61*Boss参数!$B$62),ROUNDDOWN(BQ102*(1-ES102),0))</f>
        <v>844</v>
      </c>
      <c r="DX102" s="1">
        <f>MIN(IF(Boss参数!$B$77=1,Boss参数!$B$63*Boss参数!$B$62,Boss参数!$B$61*Boss参数!$B$62),ROUNDDOWN(BR102*(1-ES102),0))</f>
        <v>1416</v>
      </c>
      <c r="DY102" s="1">
        <f t="shared" si="135"/>
        <v>250</v>
      </c>
      <c r="DZ102" s="1">
        <f>IF(L102="RHI_ULT",MIN(Boss参数!$B$48,ROUNDDOWN(AY102*Boss参数!$B$47,0)),DY102)</f>
        <v>250</v>
      </c>
      <c r="EA102" s="1">
        <v>0</v>
      </c>
      <c r="EB102" s="1">
        <f t="shared" si="104"/>
        <v>0</v>
      </c>
      <c r="EC102" s="1">
        <f>SUMIFS($EB$3:EB102,$B$3:B102,"&gt;="&amp;MAX(1,B102-2),$B$3:B102,"&lt;="&amp;B102)*Boss参数!$B$51</f>
        <v>12</v>
      </c>
      <c r="ED102" s="1">
        <f>IF(D102="",EG101,IF(AND(DG102&lt;&gt;DG101,DH102&lt;&gt;"洞穿"),MIN(Boss参数!$B$55,EG101+2),EG101))</f>
        <v>0</v>
      </c>
      <c r="EE102" s="1">
        <f t="shared" si="105"/>
        <v>0</v>
      </c>
      <c r="EF102" s="1">
        <f>IF(AND(OR(L102="END_TURN",AND(DH102="敌方",OR(DH101&lt;&gt;"敌方",DG102&lt;&gt;DG101))),SUMIFS($EF$3:EF101,$DG$3:DG101,DG102)=0),MIN(1,MAX(0,ED102-EE102)),0)</f>
        <v>0</v>
      </c>
      <c r="EG102" s="1">
        <f t="shared" si="106"/>
        <v>0</v>
      </c>
      <c r="EH102" s="1">
        <f>Boss参数!$B$53-IF(Y102=1,Boss参数!$B$54,0)</f>
        <v>0</v>
      </c>
      <c r="EI102" s="1">
        <f t="shared" si="107"/>
        <v>0.3</v>
      </c>
      <c r="EJ102" s="1">
        <f t="shared" si="108"/>
        <v>0.3</v>
      </c>
      <c r="EK102" s="1">
        <f t="shared" si="109"/>
        <v>1</v>
      </c>
      <c r="EL102" s="1">
        <f t="shared" si="136"/>
        <v>0</v>
      </c>
      <c r="EM102" s="1">
        <f>IF(AND(DG102&lt;&gt;DG101,DH102="洞穿"),0,IF(L102="ENTER_INSIGHT",Boss参数!$B$57,EO101))</f>
        <v>0</v>
      </c>
      <c r="EN102" s="1">
        <f>IF(AND(Y102=1,H102="洞知",EM102&gt;0),Boss参数!$B$56,0)</f>
        <v>0</v>
      </c>
      <c r="EO102" s="1">
        <f t="shared" si="110"/>
        <v>0</v>
      </c>
      <c r="EP102" s="1">
        <f t="shared" si="137"/>
        <v>15018449</v>
      </c>
      <c r="EQ102" s="1">
        <f>ROUNDDOWN(EP102/Boss参数!$B$62,0)</f>
        <v>150</v>
      </c>
      <c r="ER102" s="1">
        <f>IF(EQ102&gt;=Boss参数!$B$66,Boss参数!$B$69,IF(EQ102&gt;=Boss参数!$B$65,Boss参数!$B$68,IF(EQ102&gt;=Boss参数!$B$64,Boss参数!$B$67,0)))</f>
        <v>0.9</v>
      </c>
      <c r="ES102" s="1">
        <f>MIN(1,IF(EQ102&gt;=Boss参数!$B$66,Boss参数!$B$72+ROUNDDOWN((EQ102-Boss参数!$B$66)/Boss参数!$B$73,0)*Boss参数!$B$74,IF(EQ102&gt;=Boss参数!$B$65,Boss参数!$B$71,IF(EQ102&gt;=Boss参数!$B$64,Boss参数!$B$70,0))))</f>
        <v>0.6</v>
      </c>
      <c r="ET102" s="1">
        <f>MIN(Boss参数!$B$61*Boss参数!$B$62,EP102+IF(AND(Boss参数!$B$60=1,ISNUMBER(验证表!H108)),验证表!H108,EU102))</f>
        <v>15020348</v>
      </c>
      <c r="EU102" s="1">
        <f>IF(D102="",0,IF(验证表!G108="是",BV102,IF(验证表!G108="否",BU102,BW102)))</f>
        <v>1899</v>
      </c>
      <c r="EV102" s="1">
        <f>IF(EQ102&gt;=Boss参数!$B$66,2,IF(EQ102&gt;=Boss参数!$B$65,1,0))</f>
        <v>2</v>
      </c>
      <c r="EW102" s="1">
        <f t="shared" si="111"/>
        <v>3</v>
      </c>
      <c r="EX102" s="1">
        <f>IF(D102="",0,INDEX(回合状态!$D$7:$D$17,MATCH(DG102,回合状态!$A$7:$A$17,0)))</f>
        <v>6</v>
      </c>
      <c r="EY102" s="1">
        <f>IF(OR(L102="RHI_ATTACK",L102="RHI_BUFF"),1,IF(L102="RHI_ULT",Boss参数!$B$52,0))</f>
        <v>0</v>
      </c>
      <c r="EZ102" s="1">
        <f>MIN(6,SUMIFS($EY$3:EY102,$EX$3:EX102,"&gt;="&amp;MAX(1,EX102-Boss参数!$B$87+1),$EX$3:EX102,"&lt;="&amp;EX102))</f>
        <v>6</v>
      </c>
      <c r="FA102" s="1">
        <f t="shared" si="138"/>
        <v>35</v>
      </c>
      <c r="FB102" s="17">
        <f>IF(L102="BOSS_CONSERVATIVE",B102+Boss参数!$B$91,FB101)</f>
        <v>7</v>
      </c>
      <c r="FC102" s="17">
        <f t="shared" si="139"/>
        <v>1</v>
      </c>
      <c r="FD102" s="17">
        <f>IF(D102="",FD101,FD101+IF(AND(DG102&lt;&gt;DG101,INDEX(回合状态!$C$7:$C$17,MATCH(DG102,回合状态!$A$7:$A$17,0))&lt;&gt;"洞穿"),1,0))</f>
        <v>7</v>
      </c>
      <c r="FE102" s="17">
        <f>IF(D102="",0,IF(AND(OR(L102="END_TURN",DH102="敌方"),INDEX(回合状态!$C$7:$C$17,MATCH(DG102,回合状态!$A$7:$A$17,0))&lt;&gt;"洞穿",SUMIFS($FE$3:FE101,$DG$3:DG101,DG102)=0),1,0))</f>
        <v>0</v>
      </c>
    </row>
    <row r="103" spans="1:161" ht="84.95" customHeight="1">
      <c r="A103" s="1">
        <f>行动模拟!A109</f>
        <v>101</v>
      </c>
      <c r="B103" s="1">
        <f>IF(D103="",0,INDEX(回合状态!$B$7:$B$17,MATCH(DG103,回合状态!$A$7:$A$17,0)))</f>
        <v>6</v>
      </c>
      <c r="C103" s="1">
        <f>行动模拟!C109</f>
        <v>12</v>
      </c>
      <c r="D103" s="1" t="str">
        <f>IF(行动模拟!D109="","",行动模拟!D109)</f>
        <v>J｜高温回火</v>
      </c>
      <c r="E103" s="1" t="str">
        <f>IF($D103="","",IFERROR(INDEX(技能数据库!$B$4:$B$38,MATCH($D103,技能数据库!$A$4:$A$38,0)),""))</f>
        <v>J</v>
      </c>
      <c r="F103" s="1" t="str">
        <f>IF($D103="","",IFERROR(INDEX(技能数据库!$C$4:$C$38,MATCH($D103,技能数据库!$A$4:$A$38,0)),""))</f>
        <v>高温回火</v>
      </c>
      <c r="G103" s="1">
        <f>IF($D103="","",IFERROR(INDEX(技能数据库!$D$4:$D$38,MATCH($D103,技能数据库!$A$4:$A$38,0)),""))</f>
        <v>0</v>
      </c>
      <c r="H103" s="1" t="str">
        <f>IF($D103="","",IFERROR(INDEX(技能数据库!$E$4:$E$38,MATCH($D103,技能数据库!$A$4:$A$38,0)),""))</f>
        <v>反击</v>
      </c>
      <c r="I103" s="1" t="str">
        <f>IF($D103="","",IFERROR(INDEX(技能数据库!$F$4:$F$38,MATCH($D103,技能数据库!$A$4:$A$38,0)),""))</f>
        <v>现实</v>
      </c>
      <c r="J103" s="1">
        <f>IF($D103="","",IFERROR(INDEX(技能数据库!$G$4:$G$38,MATCH($D103,技能数据库!$A$4:$A$38,0)),""))</f>
        <v>3</v>
      </c>
      <c r="K103" s="1">
        <f>IF($D103="","",IFERROR(INDEX(技能数据库!$H$4:$H$38,MATCH($D103,技能数据库!$A$4:$A$38,0)),""))</f>
        <v>0</v>
      </c>
      <c r="L103" s="1" t="str">
        <f>IF($D103="","",IFERROR(INDEX(技能数据库!$I$4:$I$38,MATCH($D103,技能数据库!$A$4:$A$38,0)),""))</f>
        <v>J_COUNTER</v>
      </c>
      <c r="M103" s="1">
        <v>1</v>
      </c>
      <c r="N103" s="1"/>
      <c r="O103" s="1"/>
      <c r="P103" s="1"/>
      <c r="Q103" s="1">
        <f t="shared" si="70"/>
        <v>0</v>
      </c>
      <c r="R103" s="1">
        <v>0</v>
      </c>
      <c r="S103" s="1">
        <v>0</v>
      </c>
      <c r="T103" s="1">
        <f>行动模拟!I109</f>
        <v>0</v>
      </c>
      <c r="U103" s="1">
        <f>IF(FD103&lt;&gt;FD102,IF(BY102=1,IF(MIN(10,CA102+IF(AND(DG103&lt;&gt;DG102,DH102&lt;&gt;"洞穿",SUMIFS($FE$3:FE102,$DG$3:DG102,DG102)=0,BY102=1),3,0))&gt;=10,2,1),IF(BY102=2,IF(BZ102&lt;=1,0,2),0)),BY102)</f>
        <v>2</v>
      </c>
      <c r="V103" s="1">
        <f>IF(FD103&lt;&gt;FD102,IF(BY102=1,IF(MIN(10,CA102+IF(AND(DG103&lt;&gt;DG102,DH102&lt;&gt;"洞穿",SUMIFS($FE$3:FE102,$DG$3:DG102,DG102)=0,BY102=1),3,0))&gt;=10,2,0),IF(BY102=2,MAX(0,BZ102-1),0)),BZ102)</f>
        <v>2</v>
      </c>
      <c r="W103" s="1">
        <f>IF(AND(FD103&lt;&gt;FD102,BY102=2,BZ102&lt;=1),0,MIN(10,CA102+IF(AND(DG103&lt;&gt;DG102,DH102&lt;&gt;"洞穿",SUMIFS($FE$3:FE102,$DG$3:DG102,DG102)=0,BY102=1),3,0)))</f>
        <v>10</v>
      </c>
      <c r="X103" s="1">
        <f t="shared" si="112"/>
        <v>8</v>
      </c>
      <c r="Y103" s="1">
        <f t="shared" si="113"/>
        <v>0</v>
      </c>
      <c r="Z103" s="1">
        <f t="shared" si="114"/>
        <v>0</v>
      </c>
      <c r="AA103" s="1">
        <f t="shared" si="115"/>
        <v>0</v>
      </c>
      <c r="AB103" s="1">
        <f t="shared" si="116"/>
        <v>0</v>
      </c>
      <c r="AC103" s="1">
        <f t="shared" si="117"/>
        <v>0</v>
      </c>
      <c r="AD103" s="1">
        <f t="shared" si="118"/>
        <v>35</v>
      </c>
      <c r="AE103" s="1">
        <f>IF(D103="",0,IF(DG103&lt;&gt;DG102,IFERROR(INDEX(回合状态!$F$7:$F$17,MATCH(DG103,回合状态!$A$7:$A$17,0)),0),CI102))</f>
        <v>30</v>
      </c>
      <c r="AF103" s="1">
        <f t="shared" si="119"/>
        <v>0.875</v>
      </c>
      <c r="AG103" s="1">
        <f t="shared" si="120"/>
        <v>8</v>
      </c>
      <c r="AH103" s="1">
        <f t="shared" si="121"/>
        <v>8</v>
      </c>
      <c r="AI103" s="1">
        <f t="shared" si="122"/>
        <v>8</v>
      </c>
      <c r="AJ103" s="1">
        <f t="shared" si="123"/>
        <v>9</v>
      </c>
      <c r="AK103" s="1">
        <f t="shared" si="124"/>
        <v>8</v>
      </c>
      <c r="AL103" s="1">
        <f t="shared" si="125"/>
        <v>3</v>
      </c>
      <c r="AM103" s="1">
        <f t="shared" si="126"/>
        <v>30</v>
      </c>
      <c r="AN103" s="1">
        <f t="shared" si="127"/>
        <v>6</v>
      </c>
      <c r="AO103" s="1">
        <f t="shared" si="128"/>
        <v>0</v>
      </c>
      <c r="AP103" s="1">
        <f t="shared" si="129"/>
        <v>0.12</v>
      </c>
      <c r="AQ103" s="1">
        <f t="shared" si="130"/>
        <v>6</v>
      </c>
      <c r="AR103" s="1">
        <f t="shared" si="131"/>
        <v>0.3</v>
      </c>
      <c r="AS103" s="1">
        <f t="shared" si="132"/>
        <v>6</v>
      </c>
      <c r="AT103" s="1">
        <f t="shared" si="133"/>
        <v>0.3</v>
      </c>
      <c r="AU103" s="1">
        <f t="shared" si="134"/>
        <v>8</v>
      </c>
      <c r="AV103" s="1">
        <f>MIN(5,SUMIFS($EL$3:EL103,$B$3:B103,"&gt;="&amp;MAX(1,B103-2),$B$3:B103,"&lt;="&amp;B103)+EC103)</f>
        <v>5</v>
      </c>
      <c r="AW103" s="1">
        <f>MIN(6,SUMIFS($EY$3:EY102,$EX$3:EX102,"&gt;="&amp;MAX(1,EX103-Boss参数!$B$87+1),$EX$3:EX102,"&lt;="&amp;EX103))</f>
        <v>6</v>
      </c>
      <c r="AX103" s="1">
        <f>MIN(4,COUNTIFS($B$3:$B$102,"&gt;="&amp;MAX(1,$B103-2),$B$3:$B$102,"&lt;="&amp;$B103,$L$3:$L$102,"37_FOLLOW"))</f>
        <v>4</v>
      </c>
      <c r="AY103" s="1">
        <f>IF($E103="","",IF($E103="系统",0,ROUNDDOWN(INDEX(角色面板!$C$4:$C$7,MATCH($E103,角色面板!$A$4:$A$7,0))*(1+INDEX(角色面板!$C$11:$C$14,MATCH($E103,角色面板!$A$11:$A$14,0))+IF($E103="小瑞安侬",MAX(IF($B103&lt;=$AQ103,$AP103,0),IF(AND($L103="RHI_ATTACK",$EE103&gt;0),0.11+0.01*$G103,0)),0)+IF($E103="J",$AD103*Boss参数!$B$18,0))+IF(FD103&lt;=$AN103,MIN(Boss参数!$B$21,ROUNDDOWN(角色面板!$C$19*Boss参数!$B$20,0)),0)+IF(AND($B103&lt;=$AK103,$E103&lt;&gt;"小瑞安侬"),$DY103,0),0)))</f>
        <v>2823</v>
      </c>
      <c r="AZ103" s="1">
        <f>IF($E103="","",MAX(0,MIN(1,IFERROR(INDEX(角色面板!$G$18:$G$21,MATCH($E103,角色面板!$A$18:$A$21,0)),0)-FC103*Boss参数!$B$89-Boss参数!$E$4)))</f>
        <v>0.16700000000000004</v>
      </c>
      <c r="BA103" s="1">
        <f>IF(E103="","",(IF($E103="","",IF($E103="红弩箭",Boss参数!$B$80,IF($E103="J",Boss参数!$B$81,IFERROR(INDEX(角色面板!$H$18:$H$21,MATCH($E103,角色面板!$A$18:$A$21,0)),0)))+IF($B103&lt;=$AI103,Boss参数!$B$13,0)+MIN(30,$AM103)*Boss参数!$B$17+IF(AND($L103="LILYA_ULT",$X103&gt;=6),1,0)+IF(AND($Y103=1,$L103="LILYA_INSIGHT"),IF(MOD($AA103+1,3)=0,Boss参数!$B$83,Boss参数!$B$82),IF(AND($Y103=1,$L103="LILYA_FINISH"),Boss参数!$B$84,0))))-FC103*Boss参数!$B$90)</f>
        <v>1.2969999999999999</v>
      </c>
      <c r="BB103" s="1">
        <f>IF($E103="","",IFERROR(INDEX(角色面板!$M$18:$M$21,MATCH($E103,角色面板!$A$18:$A$21,0)),0)+$AW103*Boss参数!$B$12+IF($B103&lt;=$AG103,$AF103,0)+$EI103+IF($L103="LILYA_DIVE",IF($U103=1,IF($G103=1,0.3,IF($G103=2,0.4,0.5)),IF($U103=2,IF($G103=1,0.6,IF($G103=2,0.8,1)),0)),0)+$R103+IF(AND($E103="J",OR($L103="J_COUNTER",$L103="J_HARD")),Boss参数!$B$79,0)+IF(AND(OR(L103="J_COUNTER",L103="J_HARD"),FA103&gt;=Boss参数!$B$59),FA103*Boss参数!$B$40,0))</f>
        <v>1.8250000000000002</v>
      </c>
      <c r="BC103" s="1">
        <f>IF($E103="","",IFERROR(INDEX(角色面板!$K$18:$K$21,MATCH($E103,角色面板!$A$18:$A$21,0)),0)+IF($B103&lt;=$AH103,Boss参数!$B$46,0)+IF($E103="红弩箭",IF($U103=1,0.6,IF($U103=2,1.2,0))+$W103*0.06,0))-DI103*Boss参数!$B$23</f>
        <v>-0.4</v>
      </c>
      <c r="BD103" s="1">
        <f>IF($E103="","",IFERROR(INDEX(角色面板!$L$18:$L$21,MATCH($E103,角色面板!$A$18:$A$21,0)),0)+IF($B103&lt;=$AH103,Boss参数!$B$46,0)+IF($E103="J",$AL103*Boss参数!$B$16,0)+IF($E103="红弩箭",$X103*0.025,0)+IF(AND($L103="LILYA_ULT",$X103&gt;=6),1,0))-DI103*Boss参数!$B$23</f>
        <v>0.12</v>
      </c>
      <c r="BE103" s="1">
        <f>IF($E103="","",IF($H103="洞知",IF($E103="红弩箭",$AO103*Boss参数!$B$15,0)+$AX103*Boss参数!$B$14,0))</f>
        <v>0</v>
      </c>
      <c r="BF103" s="1">
        <f t="shared" si="71"/>
        <v>0</v>
      </c>
      <c r="BG103" s="1">
        <f>IF($D103="",0,IF(AND($L103&lt;&gt;"LILYA_DIVE",$L103&lt;&gt;"LILYA_ULT",$L103&lt;&gt;"LILYA_INSIGHT",$L103&lt;&gt;"LILYA_FINISH",$L103&lt;&gt;"37_FOLLOW",$L103&lt;&gt;"RHI_ATTACK",$L103&lt;&gt;"RHI_BERRY",$L103&lt;&gt;"J_COUNTER",$L103&lt;&gt;"J_ULT"),$J103,0)+IF($L103="LILYA_DIVE",$J103+IF($U103=1,IF($G103=1,6,IF($G103=2,12,18)),IF($U103=2,IF($G103=1,12,IF($G103=2,24,36)),0)),0)+IF($L103="LILYA_ULT",$J103+IF($X103&gt;=6,18,0),0)+IF($L103="LILYA_INSIGHT",IF($Y103=1,IF(MOD($AA103+1,3)=0,32,15),0),0)+IF($L103="LILYA_FINISH",IF($Y103=1,50+2.5*$Z103,0),0)+IF($L103="37_FOLLOW",$J103,0)+IF($L103="RHI_ATTACK",$J103*IF($B103&lt;=$AJ103,2,1),0)+IF($L103="RHI_BERRY",15+1.5*$AV103,0)+IF($L103="J_COUNTER",$J103+$AD103*Boss参数!$B$39,0)+IF($L103="J_ULT",$J103+Boss参数!$B$45*MAX(0,$AE103+$AD103-Boss参数!$I$4),0)+$S103)</f>
        <v>4.75</v>
      </c>
      <c r="BH103" s="1">
        <f t="shared" si="72"/>
        <v>0</v>
      </c>
      <c r="BI103" s="1">
        <f>IF(E103="","",IF(DT103=1,1+Boss参数!$B$8+AV103*Boss参数!$B$19,1))</f>
        <v>1</v>
      </c>
      <c r="BJ103" s="1">
        <f>IF($I103="现实",Boss参数!$C$4,IF($I103="精神",Boss参数!$D$4,0))</f>
        <v>1200</v>
      </c>
      <c r="BK103" s="1">
        <f>IF($E103="","",MAX($AY103*Boss参数!$B$9,$AY103-$BJ103*(1-$BF103)))</f>
        <v>1623</v>
      </c>
      <c r="BL103" s="1">
        <f>MAX(0,Boss参数!$F$4+IF(DT103=0,Boss参数!$B$27,0)-EJ103)</f>
        <v>1.0999999999999999</v>
      </c>
      <c r="BM103" s="1">
        <f>Boss参数!$G$4+DU103-IF(Y103=1,Boss参数!$B$11,0)</f>
        <v>0.75</v>
      </c>
      <c r="BN103" s="1">
        <f>IF($E103="","",MAX(Boss参数!$B$10,1+IFERROR(INDEX(角色面板!$I$18:$I$21,MATCH($E103,角色面板!$A$18:$A$21,0)),0)+$BB103+Boss参数!$H$4-$BM103))</f>
        <v>2.1</v>
      </c>
      <c r="BO103" s="1">
        <f>IF(E103="","",IF(OR(L103="J_COUNTER",L103="J_HARD"),MAX(0,1+INDEX(角色面板!$K$18:$K$21,MATCH(E103,角色面板!$A$18:$A$21,0))-DI103*Boss参数!$B$23+IF(OR(Boss参数!$B$43=1,L103="J_HARD"),IF(B103&lt;=AH103,Boss参数!$B$46,0),0)),MAX(0,IF(OR(H103="术法",L103="RHI_BERRY",AND(L103="37_FOLLOW",Boss参数!$B$31=1)),1+BC103,IF(H103="仪式",1+BD103,IF(H103="洞知",EK103,1))))))</f>
        <v>0.6</v>
      </c>
      <c r="BP103" s="1">
        <f t="shared" si="73"/>
        <v>1.1000000000000001</v>
      </c>
      <c r="BQ103" s="1">
        <f t="shared" si="74"/>
        <v>9713.6550000000007</v>
      </c>
      <c r="BR103" s="1">
        <f t="shared" si="75"/>
        <v>10685.020500000002</v>
      </c>
      <c r="BS103" s="1">
        <f>IF(BH103=0,0,ROUNDDOWN(AY103*BH103,0)*DV103*IF(Boss参数!$B$29=1,BN103,1)*IF(Boss参数!$B$33=1,BO103,1)*IF(Boss参数!$B$76=1,1-ES103,1))</f>
        <v>0</v>
      </c>
      <c r="BT103" s="1">
        <f t="shared" si="76"/>
        <v>0</v>
      </c>
      <c r="BU103" s="1">
        <f>IF(D103="",0,MIN(IF(Boss参数!$B$77=1,Boss参数!$B$63*Boss参数!$B$62,Boss参数!$B$61*Boss参数!$B$62),DW103+ROUNDDOWN(BS103,0)+ROUNDDOWN(DW103*Q103,0)))</f>
        <v>3885</v>
      </c>
      <c r="BV103" s="1">
        <f>IF(D103="",0,MIN(IF(Boss参数!$B$77=1,Boss参数!$B$63*Boss参数!$B$62,Boss参数!$B$61*Boss参数!$B$62),DX103+ROUNDDOWN(BT103,0)+ROUNDDOWN(DX103*Q103,0)))</f>
        <v>4274</v>
      </c>
      <c r="BW103" s="1">
        <f t="shared" si="77"/>
        <v>3949</v>
      </c>
      <c r="BX103" s="1" t="str">
        <f t="shared" si="78"/>
        <v/>
      </c>
      <c r="BY103" s="1">
        <f t="shared" si="79"/>
        <v>2</v>
      </c>
      <c r="BZ103" s="1">
        <f t="shared" si="80"/>
        <v>2</v>
      </c>
      <c r="CA103" s="1">
        <f>MIN(10,W103+IF(AND(L103="LILYA_COBRA",COUNTIF($L$3:L103,"LILYA_COBRA")=1),5,0)+IF(AND(L103="LILYA_DIVE",U103=1,COUNTIFS($DG$3:DG103,DG103,$L$3:L103,"LILYA_DIVE")=1),2,0)+IF(AND(FE103=1,U103=1),3,0))</f>
        <v>10</v>
      </c>
      <c r="CB103" s="1">
        <f>MIN(20,MAX(0,X103+IF(L103="LILYA_COBRA",IF(COUNTIF($L$3:L103,"LILYA_COBRA")=1,6,IF(U103=1,MAX(1,G103),IF(U103=2,2*MAX(1,G103),0))),0)+IF(AND(Y103=1,E103="红弩箭",L103&lt;&gt;"ENTER_INSIGHT"),1,0)-IF(AND(L103="LILYA_ULT",X103&gt;=6),6,0)))</f>
        <v>8</v>
      </c>
      <c r="CC103" s="1">
        <f t="shared" si="81"/>
        <v>0</v>
      </c>
      <c r="CD103" s="1">
        <f t="shared" si="82"/>
        <v>0</v>
      </c>
      <c r="CE103" s="1">
        <f t="shared" si="83"/>
        <v>0</v>
      </c>
      <c r="CF103" s="1">
        <f t="shared" si="84"/>
        <v>1</v>
      </c>
      <c r="CG103" s="1">
        <f t="shared" si="85"/>
        <v>0</v>
      </c>
      <c r="CH103" s="1">
        <f>MIN(35,AD103+IF(L103="J_HARD",6,0)+IF(L103="J_COUNTER",Boss参数!$B$30,0))</f>
        <v>35</v>
      </c>
      <c r="CI103" s="1">
        <f>MIN(Boss参数!$I$4,AE103+IF(L103="J_HARD",6,0)+IF(L103="J_ULT",AD103,0)+IF(L103="J_COUNTER",Boss参数!$B$30,0))</f>
        <v>30</v>
      </c>
      <c r="CJ103" s="1">
        <f>IF(L103="J_ULT",AD103*Boss参数!$B$41,IF(B103&lt;=AG103,AF103,0))</f>
        <v>0.875</v>
      </c>
      <c r="CK103" s="1">
        <f t="shared" si="86"/>
        <v>8</v>
      </c>
      <c r="CL103" s="1">
        <f t="shared" si="87"/>
        <v>8</v>
      </c>
      <c r="CM103" s="1">
        <f t="shared" si="88"/>
        <v>8</v>
      </c>
      <c r="CN103" s="1">
        <f t="shared" si="89"/>
        <v>9</v>
      </c>
      <c r="CO103" s="1">
        <f t="shared" si="90"/>
        <v>8</v>
      </c>
      <c r="CP103" s="1">
        <f t="shared" si="91"/>
        <v>3</v>
      </c>
      <c r="CQ103" s="1">
        <f t="shared" si="92"/>
        <v>30</v>
      </c>
      <c r="CR103" s="1">
        <f t="shared" si="93"/>
        <v>6</v>
      </c>
      <c r="CS103" s="1">
        <f t="shared" si="94"/>
        <v>0</v>
      </c>
      <c r="CT103" s="1">
        <f t="shared" si="95"/>
        <v>0.12</v>
      </c>
      <c r="CU103" s="1">
        <f t="shared" si="96"/>
        <v>6</v>
      </c>
      <c r="CV103" s="1">
        <f t="shared" si="97"/>
        <v>0.3</v>
      </c>
      <c r="CW103" s="1">
        <f t="shared" si="98"/>
        <v>6</v>
      </c>
      <c r="CX103" s="1">
        <f t="shared" si="99"/>
        <v>0.3</v>
      </c>
      <c r="CY103" s="1">
        <f t="shared" si="100"/>
        <v>8</v>
      </c>
      <c r="CZ103" s="1"/>
      <c r="DA103" s="1"/>
      <c r="DB103" s="1"/>
      <c r="DC103" s="1"/>
      <c r="DD103" s="1"/>
      <c r="DE103" s="1"/>
      <c r="DF103" s="1"/>
      <c r="DG103" s="1">
        <f>IF(D103="","",行动模拟!B109)</f>
        <v>6</v>
      </c>
      <c r="DH103" s="1" t="str">
        <f>IF(L103="END_TURN","回合结束",IF(D103="","",IF(INDEX(回合状态!$C$7:$C$17,MATCH(DG103,回合状态!$A$7:$A$17,0))="洞穿","洞穿",IF(OR(L103="J_COUNTER",L103="BOSS_ACTION",L103="BOSS_CONSERVATIVE"),"敌方",IF(AND(L103="37_FOLLOW",DG103=DG102,DH102="敌方"),"敌方",IF(INDEX(回合状态!$C$7:$C$17,MATCH(DG103,回合状态!$A$7:$A$17,0))="普通","出牌",INDEX(回合状态!$C$7:$C$17,MATCH(DG103,回合状态!$A$7:$A$17,0))))))))</f>
        <v>敌方</v>
      </c>
      <c r="DI103" s="1">
        <f t="shared" si="101"/>
        <v>2</v>
      </c>
      <c r="DJ103" s="1">
        <f>IF(D103="",0,MIN(Boss参数!$B$25,IF(OR(AND(DH103="敌方",OR(DH102&lt;&gt;"敌方",DG103&lt;&gt;DG102)),AND(L103="END_TURN",DH103&lt;&gt;"洞穿"),AND(DG103&lt;&gt;DG102,DH102&lt;&gt;"洞穿",L102&lt;&gt;"END_TURN",COUNTIFS($DG$3:DG102,DG102,$DH$3:DH102,"敌方")=0)),EW103,DN102)))</f>
        <v>5</v>
      </c>
      <c r="DK103" s="1">
        <f>IF(D103="",0,MIN(Boss参数!$B$25,IF(OR(AND(DH103="敌方",OR(DH102&lt;&gt;"敌方",DG103&lt;&gt;DG102)),AND(L103="END_TURN",DH103&lt;&gt;"洞穿"),AND(DG103&lt;&gt;DG102,DH102&lt;&gt;"洞穿",L102&lt;&gt;"END_TURN",COUNTIFS($DG$3:DG102,DG102,$DH$3:DH102,"敌方")=0)),EW103,DO102)))</f>
        <v>3</v>
      </c>
      <c r="DL103" s="1">
        <f>IF(D103="",0,MIN(Boss参数!$B$25,IF(OR(AND(DH103="敌方",OR(DH102&lt;&gt;"敌方",DG103&lt;&gt;DG102)),AND(L103="END_TURN",DH103&lt;&gt;"洞穿"),AND(DG103&lt;&gt;DG102,DH102&lt;&gt;"洞穿",L102&lt;&gt;"END_TURN",COUNTIFS($DG$3:DG102,DG102,$DH$3:DH102,"敌方")=0)),EW103,DP102)))</f>
        <v>5</v>
      </c>
      <c r="DM103" s="1">
        <f>IF(D103="",0,MIN(Boss参数!$B$25,IF(OR(AND(DH103="敌方",OR(DH102&lt;&gt;"敌方",DG103&lt;&gt;DG102)),AND(L103="END_TURN",DH103&lt;&gt;"洞穿"),AND(DG103&lt;&gt;DG102,DH102&lt;&gt;"洞穿",L102&lt;&gt;"END_TURN",COUNTIFS($DG$3:DG102,DG102,$DH$3:DH102,"敌方")=0)),EW103,DQ102)))</f>
        <v>2</v>
      </c>
      <c r="DN103" s="1">
        <f>MAX(0,MIN(Boss参数!$B$25,DJ103+DR103)-IF(E103="红弩箭",2*DR103,0))</f>
        <v>5</v>
      </c>
      <c r="DO103" s="1">
        <f>MAX(0,MIN(Boss参数!$B$25,DK103+DR103)-IF(E103="37",2*DR103,0))</f>
        <v>4</v>
      </c>
      <c r="DP103" s="1">
        <f>MAX(0,MIN(Boss参数!$B$25,DL103+DR103)-IF(E103="小瑞安侬",2*DR103,0))</f>
        <v>5</v>
      </c>
      <c r="DQ103" s="1">
        <f>MAX(0,MIN(Boss参数!$B$25,DM103+DR103)-IF(E103="J",2*DR103,0))</f>
        <v>1</v>
      </c>
      <c r="DR103" s="1">
        <f t="shared" si="102"/>
        <v>1</v>
      </c>
      <c r="DS103" s="1">
        <f t="shared" si="103"/>
        <v>0</v>
      </c>
      <c r="DT103" s="1">
        <f>IF(OR(E103="",E103="系统"),0,IF(OR(AND(DS103=1,Boss参数!$B$32=1),L103="RHI_BERRY",OR(AND(INDEX(角色面板!$B$18:$B$21,MATCH(E103,角色面板!$A$18:$A$21,0))="星",Boss参数!$B$4="岩"),AND(INDEX(角色面板!$B$18:$B$21,MATCH(E103,角色面板!$A$18:$A$21,0))="岩",Boss参数!$B$4="兽"),AND(INDEX(角色面板!$B$18:$B$21,MATCH(E103,角色面板!$A$18:$A$21,0))="兽",Boss参数!$B$4="木"),AND(INDEX(角色面板!$B$18:$B$21,MATCH(E103,角色面板!$A$18:$A$21,0))="木",Boss参数!$B$4="星"),AND(INDEX(角色面板!$B$18:$B$21,MATCH(E103,角色面板!$A$18:$A$21,0))="智",Boss参数!$B$4="灵"),AND(INDEX(角色面板!$B$18:$B$21,MATCH(E103,角色面板!$A$18:$A$21,0))="灵",Boss参数!$B$4="智"))),1,0))</f>
        <v>0</v>
      </c>
      <c r="DU103" s="1">
        <f>IF(D103="",0,INDEX(回合状态!$E$7:$E$17,MATCH(DG103,回合状态!$A$7:$A$17,0))+IF(AND(DH103="敌方",OR(INDEX(回合状态!$C$7:$C$17,MATCH(DG103,回合状态!$A$7:$A$17,0))="普通",INDEX(回合状态!$C$7:$C$17,MATCH(DG103,回合状态!$A$7:$A$17,0))="额外")),0.05,0))</f>
        <v>0.35</v>
      </c>
      <c r="DV103" s="1">
        <f>MAX(Boss参数!$B$28,1+IF(AND(E103="37",AC103&gt;0,BH103&gt;0),Boss参数!$B$42,0)-DI103*Boss参数!$B$24+EA103-ER103)</f>
        <v>0</v>
      </c>
      <c r="DW103" s="1">
        <f>MIN(IF(Boss参数!$B$77=1,Boss参数!$B$63*Boss参数!$B$62,Boss参数!$B$61*Boss参数!$B$62),ROUNDDOWN(BQ103*(1-ES103),0))</f>
        <v>3885</v>
      </c>
      <c r="DX103" s="1">
        <f>MIN(IF(Boss参数!$B$77=1,Boss参数!$B$63*Boss参数!$B$62,Boss参数!$B$61*Boss参数!$B$62),ROUNDDOWN(BR103*(1-ES103),0))</f>
        <v>4274</v>
      </c>
      <c r="DY103" s="1">
        <f t="shared" si="135"/>
        <v>250</v>
      </c>
      <c r="DZ103" s="1">
        <f>IF(L103="RHI_ULT",MIN(Boss参数!$B$48,ROUNDDOWN(AY103*Boss参数!$B$47,0)),DY103)</f>
        <v>250</v>
      </c>
      <c r="EA103" s="1">
        <v>0</v>
      </c>
      <c r="EB103" s="1">
        <f t="shared" si="104"/>
        <v>0</v>
      </c>
      <c r="EC103" s="1">
        <f>SUMIFS($EB$3:EB103,$B$3:B103,"&gt;="&amp;MAX(1,B103-2),$B$3:B103,"&lt;="&amp;B103)*Boss参数!$B$51</f>
        <v>12</v>
      </c>
      <c r="ED103" s="1">
        <f>IF(D103="",EG102,IF(AND(DG103&lt;&gt;DG102,DH103&lt;&gt;"洞穿"),MIN(Boss参数!$B$55,EG102+2),EG102))</f>
        <v>0</v>
      </c>
      <c r="EE103" s="1">
        <f t="shared" si="105"/>
        <v>0</v>
      </c>
      <c r="EF103" s="1">
        <f>IF(AND(OR(L103="END_TURN",AND(DH103="敌方",OR(DH102&lt;&gt;"敌方",DG103&lt;&gt;DG102))),SUMIFS($EF$3:EF102,$DG$3:DG102,DG103)=0),MIN(1,MAX(0,ED103-EE103)),0)</f>
        <v>0</v>
      </c>
      <c r="EG103" s="1">
        <f t="shared" si="106"/>
        <v>0</v>
      </c>
      <c r="EH103" s="1">
        <f>Boss参数!$B$53-IF(Y103=1,Boss参数!$B$54,0)</f>
        <v>0</v>
      </c>
      <c r="EI103" s="1">
        <f t="shared" si="107"/>
        <v>0.3</v>
      </c>
      <c r="EJ103" s="1">
        <f t="shared" si="108"/>
        <v>0.3</v>
      </c>
      <c r="EK103" s="1">
        <f t="shared" si="109"/>
        <v>1</v>
      </c>
      <c r="EL103" s="1">
        <f t="shared" si="136"/>
        <v>0</v>
      </c>
      <c r="EM103" s="1">
        <f>IF(AND(DG103&lt;&gt;DG102,DH103="洞穿"),0,IF(L103="ENTER_INSIGHT",Boss参数!$B$57,EO102))</f>
        <v>0</v>
      </c>
      <c r="EN103" s="1">
        <f>IF(AND(Y103=1,H103="洞知",EM103&gt;0),Boss参数!$B$56,0)</f>
        <v>0</v>
      </c>
      <c r="EO103" s="1">
        <f t="shared" si="110"/>
        <v>0</v>
      </c>
      <c r="EP103" s="1">
        <f t="shared" si="137"/>
        <v>15020348</v>
      </c>
      <c r="EQ103" s="1">
        <f>ROUNDDOWN(EP103/Boss参数!$B$62,0)</f>
        <v>150</v>
      </c>
      <c r="ER103" s="1">
        <f>IF(EQ103&gt;=Boss参数!$B$66,Boss参数!$B$69,IF(EQ103&gt;=Boss参数!$B$65,Boss参数!$B$68,IF(EQ103&gt;=Boss参数!$B$64,Boss参数!$B$67,0)))</f>
        <v>0.9</v>
      </c>
      <c r="ES103" s="1">
        <f>MIN(1,IF(EQ103&gt;=Boss参数!$B$66,Boss参数!$B$72+ROUNDDOWN((EQ103-Boss参数!$B$66)/Boss参数!$B$73,0)*Boss参数!$B$74,IF(EQ103&gt;=Boss参数!$B$65,Boss参数!$B$71,IF(EQ103&gt;=Boss参数!$B$64,Boss参数!$B$70,0))))</f>
        <v>0.6</v>
      </c>
      <c r="ET103" s="1">
        <f>MIN(Boss参数!$B$61*Boss参数!$B$62,EP103+IF(AND(Boss参数!$B$60=1,ISNUMBER(验证表!H109)),验证表!H109,EU103))</f>
        <v>15024233</v>
      </c>
      <c r="EU103" s="1">
        <f>IF(D103="",0,IF(验证表!G109="是",BV103,IF(验证表!G109="否",BU103,BW103)))</f>
        <v>3885</v>
      </c>
      <c r="EV103" s="1">
        <f>IF(EQ103&gt;=Boss参数!$B$66,2,IF(EQ103&gt;=Boss参数!$B$65,1,0))</f>
        <v>2</v>
      </c>
      <c r="EW103" s="1">
        <f t="shared" si="111"/>
        <v>3</v>
      </c>
      <c r="EX103" s="1">
        <f>IF(D103="",0,INDEX(回合状态!$D$7:$D$17,MATCH(DG103,回合状态!$A$7:$A$17,0)))</f>
        <v>6</v>
      </c>
      <c r="EY103" s="1">
        <f>IF(OR(L103="RHI_ATTACK",L103="RHI_BUFF"),1,IF(L103="RHI_ULT",Boss参数!$B$52,0))</f>
        <v>0</v>
      </c>
      <c r="EZ103" s="1">
        <f>MIN(6,SUMIFS($EY$3:EY103,$EX$3:EX103,"&gt;="&amp;MAX(1,EX103-Boss参数!$B$87+1),$EX$3:EX103,"&lt;="&amp;EX103))</f>
        <v>6</v>
      </c>
      <c r="FA103" s="1">
        <f t="shared" si="138"/>
        <v>35</v>
      </c>
      <c r="FB103" s="17">
        <f>IF(L103="BOSS_CONSERVATIVE",B103+Boss参数!$B$91,FB102)</f>
        <v>7</v>
      </c>
      <c r="FC103" s="17">
        <f t="shared" si="139"/>
        <v>1</v>
      </c>
      <c r="FD103" s="17">
        <f>IF(D103="",FD102,FD102+IF(AND(DG103&lt;&gt;DG102,INDEX(回合状态!$C$7:$C$17,MATCH(DG103,回合状态!$A$7:$A$17,0))&lt;&gt;"洞穿"),1,0))</f>
        <v>7</v>
      </c>
      <c r="FE103" s="17">
        <f>IF(D103="",0,IF(AND(OR(L103="END_TURN",DH103="敌方"),INDEX(回合状态!$C$7:$C$17,MATCH(DG103,回合状态!$A$7:$A$17,0))&lt;&gt;"洞穿",SUMIFS($FE$3:FE102,$DG$3:DG102,DG103)=0),1,0))</f>
        <v>0</v>
      </c>
    </row>
    <row r="104" spans="1:161" ht="84.95" customHeight="1">
      <c r="A104" s="1">
        <f>行动模拟!A110</f>
        <v>102</v>
      </c>
      <c r="B104" s="1">
        <f>IF(D104="",0,INDEX(回合状态!$B$7:$B$17,MATCH(DG104,回合状态!$A$7:$A$17,0)))</f>
        <v>6</v>
      </c>
      <c r="C104" s="1">
        <f>行动模拟!C110</f>
        <v>13</v>
      </c>
      <c r="D104" s="1" t="str">
        <f>IF(行动模拟!D110="","",行动模拟!D110)</f>
        <v>J｜高温回火</v>
      </c>
      <c r="E104" s="1" t="str">
        <f>IF($D104="","",IFERROR(INDEX(技能数据库!$B$4:$B$38,MATCH($D104,技能数据库!$A$4:$A$38,0)),""))</f>
        <v>J</v>
      </c>
      <c r="F104" s="1" t="str">
        <f>IF($D104="","",IFERROR(INDEX(技能数据库!$C$4:$C$38,MATCH($D104,技能数据库!$A$4:$A$38,0)),""))</f>
        <v>高温回火</v>
      </c>
      <c r="G104" s="1">
        <f>IF($D104="","",IFERROR(INDEX(技能数据库!$D$4:$D$38,MATCH($D104,技能数据库!$A$4:$A$38,0)),""))</f>
        <v>0</v>
      </c>
      <c r="H104" s="1" t="str">
        <f>IF($D104="","",IFERROR(INDEX(技能数据库!$E$4:$E$38,MATCH($D104,技能数据库!$A$4:$A$38,0)),""))</f>
        <v>反击</v>
      </c>
      <c r="I104" s="1" t="str">
        <f>IF($D104="","",IFERROR(INDEX(技能数据库!$F$4:$F$38,MATCH($D104,技能数据库!$A$4:$A$38,0)),""))</f>
        <v>现实</v>
      </c>
      <c r="J104" s="1">
        <f>IF($D104="","",IFERROR(INDEX(技能数据库!$G$4:$G$38,MATCH($D104,技能数据库!$A$4:$A$38,0)),""))</f>
        <v>3</v>
      </c>
      <c r="K104" s="1">
        <f>IF($D104="","",IFERROR(INDEX(技能数据库!$H$4:$H$38,MATCH($D104,技能数据库!$A$4:$A$38,0)),""))</f>
        <v>0</v>
      </c>
      <c r="L104" s="1" t="str">
        <f>IF($D104="","",IFERROR(INDEX(技能数据库!$I$4:$I$38,MATCH($D104,技能数据库!$A$4:$A$38,0)),""))</f>
        <v>J_COUNTER</v>
      </c>
      <c r="M104" s="1">
        <v>1</v>
      </c>
      <c r="N104" s="1"/>
      <c r="O104" s="1"/>
      <c r="P104" s="1"/>
      <c r="Q104" s="1">
        <f t="shared" si="70"/>
        <v>0</v>
      </c>
      <c r="R104" s="1">
        <v>0</v>
      </c>
      <c r="S104" s="1">
        <v>0</v>
      </c>
      <c r="T104" s="1">
        <f>行动模拟!I110</f>
        <v>0</v>
      </c>
      <c r="U104" s="1">
        <f>IF(FD104&lt;&gt;FD103,IF(BY103=1,IF(MIN(10,CA103+IF(AND(DG104&lt;&gt;DG103,DH103&lt;&gt;"洞穿",SUMIFS($FE$3:FE103,$DG$3:DG103,DG103)=0,BY103=1),3,0))&gt;=10,2,1),IF(BY103=2,IF(BZ103&lt;=1,0,2),0)),BY103)</f>
        <v>2</v>
      </c>
      <c r="V104" s="1">
        <f>IF(FD104&lt;&gt;FD103,IF(BY103=1,IF(MIN(10,CA103+IF(AND(DG104&lt;&gt;DG103,DH103&lt;&gt;"洞穿",SUMIFS($FE$3:FE103,$DG$3:DG103,DG103)=0,BY103=1),3,0))&gt;=10,2,0),IF(BY103=2,MAX(0,BZ103-1),0)),BZ103)</f>
        <v>2</v>
      </c>
      <c r="W104" s="1">
        <f>IF(AND(FD104&lt;&gt;FD103,BY103=2,BZ103&lt;=1),0,MIN(10,CA103+IF(AND(DG104&lt;&gt;DG103,DH103&lt;&gt;"洞穿",SUMIFS($FE$3:FE103,$DG$3:DG103,DG103)=0,BY103=1),3,0)))</f>
        <v>10</v>
      </c>
      <c r="X104" s="1">
        <f t="shared" si="112"/>
        <v>8</v>
      </c>
      <c r="Y104" s="1">
        <f t="shared" si="113"/>
        <v>0</v>
      </c>
      <c r="Z104" s="1">
        <f t="shared" si="114"/>
        <v>0</v>
      </c>
      <c r="AA104" s="1">
        <f t="shared" si="115"/>
        <v>0</v>
      </c>
      <c r="AB104" s="1">
        <f t="shared" si="116"/>
        <v>1</v>
      </c>
      <c r="AC104" s="1">
        <f t="shared" si="117"/>
        <v>0</v>
      </c>
      <c r="AD104" s="1">
        <f t="shared" si="118"/>
        <v>35</v>
      </c>
      <c r="AE104" s="1">
        <f>IF(D104="",0,IF(DG104&lt;&gt;DG103,IFERROR(INDEX(回合状态!$F$7:$F$17,MATCH(DG104,回合状态!$A$7:$A$17,0)),0),CI103))</f>
        <v>30</v>
      </c>
      <c r="AF104" s="1">
        <f t="shared" si="119"/>
        <v>0.875</v>
      </c>
      <c r="AG104" s="1">
        <f t="shared" si="120"/>
        <v>8</v>
      </c>
      <c r="AH104" s="1">
        <f t="shared" si="121"/>
        <v>8</v>
      </c>
      <c r="AI104" s="1">
        <f t="shared" si="122"/>
        <v>8</v>
      </c>
      <c r="AJ104" s="1">
        <f t="shared" si="123"/>
        <v>9</v>
      </c>
      <c r="AK104" s="1">
        <f t="shared" si="124"/>
        <v>8</v>
      </c>
      <c r="AL104" s="1">
        <f t="shared" si="125"/>
        <v>3</v>
      </c>
      <c r="AM104" s="1">
        <f t="shared" si="126"/>
        <v>30</v>
      </c>
      <c r="AN104" s="1">
        <f t="shared" si="127"/>
        <v>6</v>
      </c>
      <c r="AO104" s="1">
        <f t="shared" si="128"/>
        <v>0</v>
      </c>
      <c r="AP104" s="1">
        <f t="shared" si="129"/>
        <v>0.12</v>
      </c>
      <c r="AQ104" s="1">
        <f t="shared" si="130"/>
        <v>6</v>
      </c>
      <c r="AR104" s="1">
        <f t="shared" si="131"/>
        <v>0.3</v>
      </c>
      <c r="AS104" s="1">
        <f t="shared" si="132"/>
        <v>6</v>
      </c>
      <c r="AT104" s="1">
        <f t="shared" si="133"/>
        <v>0.3</v>
      </c>
      <c r="AU104" s="1">
        <f t="shared" si="134"/>
        <v>8</v>
      </c>
      <c r="AV104" s="1">
        <f>MIN(5,SUMIFS($EL$3:EL104,$B$3:B104,"&gt;="&amp;MAX(1,B104-2),$B$3:B104,"&lt;="&amp;B104)+EC104)</f>
        <v>5</v>
      </c>
      <c r="AW104" s="1">
        <f>MIN(6,SUMIFS($EY$3:EY103,$EX$3:EX103,"&gt;="&amp;MAX(1,EX104-Boss参数!$B$87+1),$EX$3:EX103,"&lt;="&amp;EX104))</f>
        <v>6</v>
      </c>
      <c r="AX104" s="1">
        <f>MIN(4,COUNTIFS($B$3:$B$103,"&gt;="&amp;MAX(1,$B104-2),$B$3:$B$103,"&lt;="&amp;$B104,$L$3:$L$103,"37_FOLLOW"))</f>
        <v>4</v>
      </c>
      <c r="AY104" s="1">
        <f>IF($E104="","",IF($E104="系统",0,ROUNDDOWN(INDEX(角色面板!$C$4:$C$7,MATCH($E104,角色面板!$A$4:$A$7,0))*(1+INDEX(角色面板!$C$11:$C$14,MATCH($E104,角色面板!$A$11:$A$14,0))+IF($E104="小瑞安侬",MAX(IF($B104&lt;=$AQ104,$AP104,0),IF(AND($L104="RHI_ATTACK",$EE104&gt;0),0.11+0.01*$G104,0)),0)+IF($E104="J",$AD104*Boss参数!$B$18,0))+IF(FD104&lt;=$AN104,MIN(Boss参数!$B$21,ROUNDDOWN(角色面板!$C$19*Boss参数!$B$20,0)),0)+IF(AND($B104&lt;=$AK104,$E104&lt;&gt;"小瑞安侬"),$DY104,0),0)))</f>
        <v>2823</v>
      </c>
      <c r="AZ104" s="1">
        <f>IF($E104="","",MAX(0,MIN(1,IFERROR(INDEX(角色面板!$G$18:$G$21,MATCH($E104,角色面板!$A$18:$A$21,0)),0)-FC104*Boss参数!$B$89-Boss参数!$E$4)))</f>
        <v>0.16700000000000004</v>
      </c>
      <c r="BA104" s="1">
        <f>IF(E104="","",(IF($E104="","",IF($E104="红弩箭",Boss参数!$B$80,IF($E104="J",Boss参数!$B$81,IFERROR(INDEX(角色面板!$H$18:$H$21,MATCH($E104,角色面板!$A$18:$A$21,0)),0)))+IF($B104&lt;=$AI104,Boss参数!$B$13,0)+MIN(30,$AM104)*Boss参数!$B$17+IF(AND($L104="LILYA_ULT",$X104&gt;=6),1,0)+IF(AND($Y104=1,$L104="LILYA_INSIGHT"),IF(MOD($AA104+1,3)=0,Boss参数!$B$83,Boss参数!$B$82),IF(AND($Y104=1,$L104="LILYA_FINISH"),Boss参数!$B$84,0))))-FC104*Boss参数!$B$90)</f>
        <v>1.2969999999999999</v>
      </c>
      <c r="BB104" s="1">
        <f>IF($E104="","",IFERROR(INDEX(角色面板!$M$18:$M$21,MATCH($E104,角色面板!$A$18:$A$21,0)),0)+$AW104*Boss参数!$B$12+IF($B104&lt;=$AG104,$AF104,0)+$EI104+IF($L104="LILYA_DIVE",IF($U104=1,IF($G104=1,0.3,IF($G104=2,0.4,0.5)),IF($U104=2,IF($G104=1,0.6,IF($G104=2,0.8,1)),0)),0)+$R104+IF(AND($E104="J",OR($L104="J_COUNTER",$L104="J_HARD")),Boss参数!$B$79,0)+IF(AND(OR(L104="J_COUNTER",L104="J_HARD"),FA104&gt;=Boss参数!$B$59),FA104*Boss参数!$B$40,0))</f>
        <v>1.8250000000000002</v>
      </c>
      <c r="BC104" s="1">
        <f>IF($E104="","",IFERROR(INDEX(角色面板!$K$18:$K$21,MATCH($E104,角色面板!$A$18:$A$21,0)),0)+IF($B104&lt;=$AH104,Boss参数!$B$46,0)+IF($E104="红弩箭",IF($U104=1,0.6,IF($U104=2,1.2,0))+$W104*0.06,0))-DI104*Boss参数!$B$23</f>
        <v>-0.25</v>
      </c>
      <c r="BD104" s="1">
        <f>IF($E104="","",IFERROR(INDEX(角色面板!$L$18:$L$21,MATCH($E104,角色面板!$A$18:$A$21,0)),0)+IF($B104&lt;=$AH104,Boss参数!$B$46,0)+IF($E104="J",$AL104*Boss参数!$B$16,0)+IF($E104="红弩箭",$X104*0.025,0)+IF(AND($L104="LILYA_ULT",$X104&gt;=6),1,0))-DI104*Boss参数!$B$23</f>
        <v>0.27</v>
      </c>
      <c r="BE104" s="1">
        <f>IF($E104="","",IF($H104="洞知",IF($E104="红弩箭",$AO104*Boss参数!$B$15,0)+$AX104*Boss参数!$B$14,0))</f>
        <v>0</v>
      </c>
      <c r="BF104" s="1">
        <f t="shared" si="71"/>
        <v>0</v>
      </c>
      <c r="BG104" s="1">
        <f>IF($D104="",0,IF(AND($L104&lt;&gt;"LILYA_DIVE",$L104&lt;&gt;"LILYA_ULT",$L104&lt;&gt;"LILYA_INSIGHT",$L104&lt;&gt;"LILYA_FINISH",$L104&lt;&gt;"37_FOLLOW",$L104&lt;&gt;"RHI_ATTACK",$L104&lt;&gt;"RHI_BERRY",$L104&lt;&gt;"J_COUNTER",$L104&lt;&gt;"J_ULT"),$J104,0)+IF($L104="LILYA_DIVE",$J104+IF($U104=1,IF($G104=1,6,IF($G104=2,12,18)),IF($U104=2,IF($G104=1,12,IF($G104=2,24,36)),0)),0)+IF($L104="LILYA_ULT",$J104+IF($X104&gt;=6,18,0),0)+IF($L104="LILYA_INSIGHT",IF($Y104=1,IF(MOD($AA104+1,3)=0,32,15),0),0)+IF($L104="LILYA_FINISH",IF($Y104=1,50+2.5*$Z104,0),0)+IF($L104="37_FOLLOW",$J104,0)+IF($L104="RHI_ATTACK",$J104*IF($B104&lt;=$AJ104,2,1),0)+IF($L104="RHI_BERRY",15+1.5*$AV104,0)+IF($L104="J_COUNTER",$J104+$AD104*Boss参数!$B$39,0)+IF($L104="J_ULT",$J104+Boss参数!$B$45*MAX(0,$AE104+$AD104-Boss参数!$I$4),0)+$S104)</f>
        <v>4.75</v>
      </c>
      <c r="BH104" s="1">
        <f t="shared" si="72"/>
        <v>0</v>
      </c>
      <c r="BI104" s="1">
        <f>IF(E104="","",IF(DT104=1,1+Boss参数!$B$8+AV104*Boss参数!$B$19,1))</f>
        <v>1</v>
      </c>
      <c r="BJ104" s="1">
        <f>IF($I104="现实",Boss参数!$C$4,IF($I104="精神",Boss参数!$D$4,0))</f>
        <v>1200</v>
      </c>
      <c r="BK104" s="1">
        <f>IF($E104="","",MAX($AY104*Boss参数!$B$9,$AY104-$BJ104*(1-$BF104)))</f>
        <v>1623</v>
      </c>
      <c r="BL104" s="1">
        <f>MAX(0,Boss参数!$F$4+IF(DT104=0,Boss参数!$B$27,0)-EJ104)</f>
        <v>1.0999999999999999</v>
      </c>
      <c r="BM104" s="1">
        <f>Boss参数!$G$4+DU104-IF(Y104=1,Boss参数!$B$11,0)</f>
        <v>0.75</v>
      </c>
      <c r="BN104" s="1">
        <f>IF($E104="","",MAX(Boss参数!$B$10,1+IFERROR(INDEX(角色面板!$I$18:$I$21,MATCH($E104,角色面板!$A$18:$A$21,0)),0)+$BB104+Boss参数!$H$4-$BM104))</f>
        <v>2.1</v>
      </c>
      <c r="BO104" s="1">
        <f>IF(E104="","",IF(OR(L104="J_COUNTER",L104="J_HARD"),MAX(0,1+INDEX(角色面板!$K$18:$K$21,MATCH(E104,角色面板!$A$18:$A$21,0))-DI104*Boss参数!$B$23+IF(OR(Boss参数!$B$43=1,L104="J_HARD"),IF(B104&lt;=AH104,Boss参数!$B$46,0),0)),MAX(0,IF(OR(H104="术法",L104="RHI_BERRY",AND(L104="37_FOLLOW",Boss参数!$B$31=1)),1+BC104,IF(H104="仪式",1+BD104,IF(H104="洞知",EK104,1))))))</f>
        <v>0.75</v>
      </c>
      <c r="BP104" s="1">
        <f t="shared" si="73"/>
        <v>1.1000000000000001</v>
      </c>
      <c r="BQ104" s="1">
        <f t="shared" si="74"/>
        <v>12142.06875</v>
      </c>
      <c r="BR104" s="1">
        <f t="shared" si="75"/>
        <v>13356.275625000002</v>
      </c>
      <c r="BS104" s="1">
        <f>IF(BH104=0,0,ROUNDDOWN(AY104*BH104,0)*DV104*IF(Boss参数!$B$29=1,BN104,1)*IF(Boss参数!$B$33=1,BO104,1)*IF(Boss参数!$B$76=1,1-ES104,1))</f>
        <v>0</v>
      </c>
      <c r="BT104" s="1">
        <f t="shared" si="76"/>
        <v>0</v>
      </c>
      <c r="BU104" s="1">
        <f>IF(D104="",0,MIN(IF(Boss参数!$B$77=1,Boss参数!$B$63*Boss参数!$B$62,Boss参数!$B$61*Boss参数!$B$62),DW104+ROUNDDOWN(BS104,0)+ROUNDDOWN(DW104*Q104,0)))</f>
        <v>4856</v>
      </c>
      <c r="BV104" s="1">
        <f>IF(D104="",0,MIN(IF(Boss参数!$B$77=1,Boss参数!$B$63*Boss参数!$B$62,Boss参数!$B$61*Boss参数!$B$62),DX104+ROUNDDOWN(BT104,0)+ROUNDDOWN(DX104*Q104,0)))</f>
        <v>5342</v>
      </c>
      <c r="BW104" s="1">
        <f t="shared" si="77"/>
        <v>4937</v>
      </c>
      <c r="BX104" s="1" t="str">
        <f t="shared" si="78"/>
        <v/>
      </c>
      <c r="BY104" s="1">
        <f t="shared" si="79"/>
        <v>2</v>
      </c>
      <c r="BZ104" s="1">
        <f t="shared" si="80"/>
        <v>2</v>
      </c>
      <c r="CA104" s="1">
        <f>MIN(10,W104+IF(AND(L104="LILYA_COBRA",COUNTIF($L$3:L104,"LILYA_COBRA")=1),5,0)+IF(AND(L104="LILYA_DIVE",U104=1,COUNTIFS($DG$3:DG104,DG104,$L$3:L104,"LILYA_DIVE")=1),2,0)+IF(AND(FE104=1,U104=1),3,0))</f>
        <v>10</v>
      </c>
      <c r="CB104" s="1">
        <f>MIN(20,MAX(0,X104+IF(L104="LILYA_COBRA",IF(COUNTIF($L$3:L104,"LILYA_COBRA")=1,6,IF(U104=1,MAX(1,G104),IF(U104=2,2*MAX(1,G104),0))),0)+IF(AND(Y104=1,E104="红弩箭",L104&lt;&gt;"ENTER_INSIGHT"),1,0)-IF(AND(L104="LILYA_ULT",X104&gt;=6),6,0)))</f>
        <v>8</v>
      </c>
      <c r="CC104" s="1">
        <f t="shared" si="81"/>
        <v>0</v>
      </c>
      <c r="CD104" s="1">
        <f t="shared" si="82"/>
        <v>0</v>
      </c>
      <c r="CE104" s="1">
        <f t="shared" si="83"/>
        <v>0</v>
      </c>
      <c r="CF104" s="1">
        <f t="shared" si="84"/>
        <v>2</v>
      </c>
      <c r="CG104" s="1">
        <f t="shared" si="85"/>
        <v>0</v>
      </c>
      <c r="CH104" s="1">
        <f>MIN(35,AD104+IF(L104="J_HARD",6,0)+IF(L104="J_COUNTER",Boss参数!$B$30,0))</f>
        <v>35</v>
      </c>
      <c r="CI104" s="1">
        <f>MIN(Boss参数!$I$4,AE104+IF(L104="J_HARD",6,0)+IF(L104="J_ULT",AD104,0)+IF(L104="J_COUNTER",Boss参数!$B$30,0))</f>
        <v>30</v>
      </c>
      <c r="CJ104" s="1">
        <f>IF(L104="J_ULT",AD104*Boss参数!$B$41,IF(B104&lt;=AG104,AF104,0))</f>
        <v>0.875</v>
      </c>
      <c r="CK104" s="1">
        <f t="shared" si="86"/>
        <v>8</v>
      </c>
      <c r="CL104" s="1">
        <f t="shared" si="87"/>
        <v>8</v>
      </c>
      <c r="CM104" s="1">
        <f t="shared" si="88"/>
        <v>8</v>
      </c>
      <c r="CN104" s="1">
        <f t="shared" si="89"/>
        <v>9</v>
      </c>
      <c r="CO104" s="1">
        <f t="shared" si="90"/>
        <v>8</v>
      </c>
      <c r="CP104" s="1">
        <f t="shared" si="91"/>
        <v>3</v>
      </c>
      <c r="CQ104" s="1">
        <f t="shared" si="92"/>
        <v>30</v>
      </c>
      <c r="CR104" s="1">
        <f t="shared" si="93"/>
        <v>6</v>
      </c>
      <c r="CS104" s="1">
        <f t="shared" si="94"/>
        <v>0</v>
      </c>
      <c r="CT104" s="1">
        <f t="shared" si="95"/>
        <v>0.12</v>
      </c>
      <c r="CU104" s="1">
        <f t="shared" si="96"/>
        <v>6</v>
      </c>
      <c r="CV104" s="1">
        <f t="shared" si="97"/>
        <v>0.3</v>
      </c>
      <c r="CW104" s="1">
        <f t="shared" si="98"/>
        <v>6</v>
      </c>
      <c r="CX104" s="1">
        <f t="shared" si="99"/>
        <v>0.3</v>
      </c>
      <c r="CY104" s="1">
        <f t="shared" si="100"/>
        <v>8</v>
      </c>
      <c r="CZ104" s="1"/>
      <c r="DA104" s="1"/>
      <c r="DB104" s="1"/>
      <c r="DC104" s="1"/>
      <c r="DD104" s="1"/>
      <c r="DE104" s="1"/>
      <c r="DF104" s="1"/>
      <c r="DG104" s="1">
        <f>IF(D104="","",行动模拟!B110)</f>
        <v>6</v>
      </c>
      <c r="DH104" s="1" t="str">
        <f>IF(L104="END_TURN","回合结束",IF(D104="","",IF(INDEX(回合状态!$C$7:$C$17,MATCH(DG104,回合状态!$A$7:$A$17,0))="洞穿","洞穿",IF(OR(L104="J_COUNTER",L104="BOSS_ACTION",L104="BOSS_CONSERVATIVE"),"敌方",IF(AND(L104="37_FOLLOW",DG104=DG103,DH103="敌方"),"敌方",IF(INDEX(回合状态!$C$7:$C$17,MATCH(DG104,回合状态!$A$7:$A$17,0))="普通","出牌",INDEX(回合状态!$C$7:$C$17,MATCH(DG104,回合状态!$A$7:$A$17,0))))))))</f>
        <v>敌方</v>
      </c>
      <c r="DI104" s="1">
        <f t="shared" si="101"/>
        <v>1</v>
      </c>
      <c r="DJ104" s="1">
        <f>IF(D104="",0,MIN(Boss参数!$B$25,IF(OR(AND(DH104="敌方",OR(DH103&lt;&gt;"敌方",DG104&lt;&gt;DG103)),AND(L104="END_TURN",DH104&lt;&gt;"洞穿"),AND(DG104&lt;&gt;DG103,DH103&lt;&gt;"洞穿",L103&lt;&gt;"END_TURN",COUNTIFS($DG$3:DG103,DG103,$DH$3:DH103,"敌方")=0)),EW104,DN103)))</f>
        <v>5</v>
      </c>
      <c r="DK104" s="1">
        <f>IF(D104="",0,MIN(Boss参数!$B$25,IF(OR(AND(DH104="敌方",OR(DH103&lt;&gt;"敌方",DG104&lt;&gt;DG103)),AND(L104="END_TURN",DH104&lt;&gt;"洞穿"),AND(DG104&lt;&gt;DG103,DH103&lt;&gt;"洞穿",L103&lt;&gt;"END_TURN",COUNTIFS($DG$3:DG103,DG103,$DH$3:DH103,"敌方")=0)),EW104,DO103)))</f>
        <v>4</v>
      </c>
      <c r="DL104" s="1">
        <f>IF(D104="",0,MIN(Boss参数!$B$25,IF(OR(AND(DH104="敌方",OR(DH103&lt;&gt;"敌方",DG104&lt;&gt;DG103)),AND(L104="END_TURN",DH104&lt;&gt;"洞穿"),AND(DG104&lt;&gt;DG103,DH103&lt;&gt;"洞穿",L103&lt;&gt;"END_TURN",COUNTIFS($DG$3:DG103,DG103,$DH$3:DH103,"敌方")=0)),EW104,DP103)))</f>
        <v>5</v>
      </c>
      <c r="DM104" s="1">
        <f>IF(D104="",0,MIN(Boss参数!$B$25,IF(OR(AND(DH104="敌方",OR(DH103&lt;&gt;"敌方",DG104&lt;&gt;DG103)),AND(L104="END_TURN",DH104&lt;&gt;"洞穿"),AND(DG104&lt;&gt;DG103,DH103&lt;&gt;"洞穿",L103&lt;&gt;"END_TURN",COUNTIFS($DG$3:DG103,DG103,$DH$3:DH103,"敌方")=0)),EW104,DQ103)))</f>
        <v>1</v>
      </c>
      <c r="DN104" s="1">
        <f>MAX(0,MIN(Boss参数!$B$25,DJ104+DR104)-IF(E104="红弩箭",2*DR104,0))</f>
        <v>5</v>
      </c>
      <c r="DO104" s="1">
        <f>MAX(0,MIN(Boss参数!$B$25,DK104+DR104)-IF(E104="37",2*DR104,0))</f>
        <v>5</v>
      </c>
      <c r="DP104" s="1">
        <f>MAX(0,MIN(Boss参数!$B$25,DL104+DR104)-IF(E104="小瑞安侬",2*DR104,0))</f>
        <v>5</v>
      </c>
      <c r="DQ104" s="1">
        <f>MAX(0,MIN(Boss参数!$B$25,DM104+DR104)-IF(E104="J",2*DR104,0))</f>
        <v>0</v>
      </c>
      <c r="DR104" s="1">
        <f t="shared" si="102"/>
        <v>1</v>
      </c>
      <c r="DS104" s="1">
        <f t="shared" si="103"/>
        <v>0</v>
      </c>
      <c r="DT104" s="1">
        <f>IF(OR(E104="",E104="系统"),0,IF(OR(AND(DS104=1,Boss参数!$B$32=1),L104="RHI_BERRY",OR(AND(INDEX(角色面板!$B$18:$B$21,MATCH(E104,角色面板!$A$18:$A$21,0))="星",Boss参数!$B$4="岩"),AND(INDEX(角色面板!$B$18:$B$21,MATCH(E104,角色面板!$A$18:$A$21,0))="岩",Boss参数!$B$4="兽"),AND(INDEX(角色面板!$B$18:$B$21,MATCH(E104,角色面板!$A$18:$A$21,0))="兽",Boss参数!$B$4="木"),AND(INDEX(角色面板!$B$18:$B$21,MATCH(E104,角色面板!$A$18:$A$21,0))="木",Boss参数!$B$4="星"),AND(INDEX(角色面板!$B$18:$B$21,MATCH(E104,角色面板!$A$18:$A$21,0))="智",Boss参数!$B$4="灵"),AND(INDEX(角色面板!$B$18:$B$21,MATCH(E104,角色面板!$A$18:$A$21,0))="灵",Boss参数!$B$4="智"))),1,0))</f>
        <v>0</v>
      </c>
      <c r="DU104" s="1">
        <f>IF(D104="",0,INDEX(回合状态!$E$7:$E$17,MATCH(DG104,回合状态!$A$7:$A$17,0))+IF(AND(DH104="敌方",OR(INDEX(回合状态!$C$7:$C$17,MATCH(DG104,回合状态!$A$7:$A$17,0))="普通",INDEX(回合状态!$C$7:$C$17,MATCH(DG104,回合状态!$A$7:$A$17,0))="额外")),0.05,0))</f>
        <v>0.35</v>
      </c>
      <c r="DV104" s="1">
        <f>MAX(Boss参数!$B$28,1+IF(AND(E104="37",AC104&gt;0,BH104&gt;0),Boss参数!$B$42,0)-DI104*Boss参数!$B$24+EA104-ER104)</f>
        <v>0</v>
      </c>
      <c r="DW104" s="1">
        <f>MIN(IF(Boss参数!$B$77=1,Boss参数!$B$63*Boss参数!$B$62,Boss参数!$B$61*Boss参数!$B$62),ROUNDDOWN(BQ104*(1-ES104),0))</f>
        <v>4856</v>
      </c>
      <c r="DX104" s="1">
        <f>MIN(IF(Boss参数!$B$77=1,Boss参数!$B$63*Boss参数!$B$62,Boss参数!$B$61*Boss参数!$B$62),ROUNDDOWN(BR104*(1-ES104),0))</f>
        <v>5342</v>
      </c>
      <c r="DY104" s="1">
        <f t="shared" si="135"/>
        <v>250</v>
      </c>
      <c r="DZ104" s="1">
        <f>IF(L104="RHI_ULT",MIN(Boss参数!$B$48,ROUNDDOWN(AY104*Boss参数!$B$47,0)),DY104)</f>
        <v>250</v>
      </c>
      <c r="EA104" s="1">
        <v>0</v>
      </c>
      <c r="EB104" s="1">
        <f t="shared" si="104"/>
        <v>0</v>
      </c>
      <c r="EC104" s="1">
        <f>SUMIFS($EB$3:EB104,$B$3:B104,"&gt;="&amp;MAX(1,B104-2),$B$3:B104,"&lt;="&amp;B104)*Boss参数!$B$51</f>
        <v>12</v>
      </c>
      <c r="ED104" s="1">
        <f>IF(D104="",EG103,IF(AND(DG104&lt;&gt;DG103,DH104&lt;&gt;"洞穿"),MIN(Boss参数!$B$55,EG103+2),EG103))</f>
        <v>0</v>
      </c>
      <c r="EE104" s="1">
        <f t="shared" si="105"/>
        <v>0</v>
      </c>
      <c r="EF104" s="1">
        <f>IF(AND(OR(L104="END_TURN",AND(DH104="敌方",OR(DH103&lt;&gt;"敌方",DG104&lt;&gt;DG103))),SUMIFS($EF$3:EF103,$DG$3:DG103,DG104)=0),MIN(1,MAX(0,ED104-EE104)),0)</f>
        <v>0</v>
      </c>
      <c r="EG104" s="1">
        <f t="shared" si="106"/>
        <v>0</v>
      </c>
      <c r="EH104" s="1">
        <f>Boss参数!$B$53-IF(Y104=1,Boss参数!$B$54,0)</f>
        <v>0</v>
      </c>
      <c r="EI104" s="1">
        <f t="shared" si="107"/>
        <v>0.3</v>
      </c>
      <c r="EJ104" s="1">
        <f t="shared" si="108"/>
        <v>0.3</v>
      </c>
      <c r="EK104" s="1">
        <f t="shared" si="109"/>
        <v>1</v>
      </c>
      <c r="EL104" s="1">
        <f t="shared" si="136"/>
        <v>0</v>
      </c>
      <c r="EM104" s="1">
        <f>IF(AND(DG104&lt;&gt;DG103,DH104="洞穿"),0,IF(L104="ENTER_INSIGHT",Boss参数!$B$57,EO103))</f>
        <v>0</v>
      </c>
      <c r="EN104" s="1">
        <f>IF(AND(Y104=1,H104="洞知",EM104&gt;0),Boss参数!$B$56,0)</f>
        <v>0</v>
      </c>
      <c r="EO104" s="1">
        <f t="shared" si="110"/>
        <v>0</v>
      </c>
      <c r="EP104" s="1">
        <f t="shared" si="137"/>
        <v>15024233</v>
      </c>
      <c r="EQ104" s="1">
        <f>ROUNDDOWN(EP104/Boss参数!$B$62,0)</f>
        <v>150</v>
      </c>
      <c r="ER104" s="1">
        <f>IF(EQ104&gt;=Boss参数!$B$66,Boss参数!$B$69,IF(EQ104&gt;=Boss参数!$B$65,Boss参数!$B$68,IF(EQ104&gt;=Boss参数!$B$64,Boss参数!$B$67,0)))</f>
        <v>0.9</v>
      </c>
      <c r="ES104" s="1">
        <f>MIN(1,IF(EQ104&gt;=Boss参数!$B$66,Boss参数!$B$72+ROUNDDOWN((EQ104-Boss参数!$B$66)/Boss参数!$B$73,0)*Boss参数!$B$74,IF(EQ104&gt;=Boss参数!$B$65,Boss参数!$B$71,IF(EQ104&gt;=Boss参数!$B$64,Boss参数!$B$70,0))))</f>
        <v>0.6</v>
      </c>
      <c r="ET104" s="1">
        <f>MIN(Boss参数!$B$61*Boss参数!$B$62,EP104+IF(AND(Boss参数!$B$60=1,ISNUMBER(验证表!H110)),验证表!H110,EU104))</f>
        <v>15029089</v>
      </c>
      <c r="EU104" s="1">
        <f>IF(D104="",0,IF(验证表!G110="是",BV104,IF(验证表!G110="否",BU104,BW104)))</f>
        <v>4856</v>
      </c>
      <c r="EV104" s="1">
        <f>IF(EQ104&gt;=Boss参数!$B$66,2,IF(EQ104&gt;=Boss参数!$B$65,1,0))</f>
        <v>2</v>
      </c>
      <c r="EW104" s="1">
        <f t="shared" si="111"/>
        <v>3</v>
      </c>
      <c r="EX104" s="1">
        <f>IF(D104="",0,INDEX(回合状态!$D$7:$D$17,MATCH(DG104,回合状态!$A$7:$A$17,0)))</f>
        <v>6</v>
      </c>
      <c r="EY104" s="1">
        <f>IF(OR(L104="RHI_ATTACK",L104="RHI_BUFF"),1,IF(L104="RHI_ULT",Boss参数!$B$52,0))</f>
        <v>0</v>
      </c>
      <c r="EZ104" s="1">
        <f>MIN(6,SUMIFS($EY$3:EY104,$EX$3:EX104,"&gt;="&amp;MAX(1,EX104-Boss参数!$B$87+1),$EX$3:EX104,"&lt;="&amp;EX104))</f>
        <v>6</v>
      </c>
      <c r="FA104" s="1">
        <f t="shared" si="138"/>
        <v>35</v>
      </c>
      <c r="FB104" s="17">
        <f>IF(L104="BOSS_CONSERVATIVE",B104+Boss参数!$B$91,FB103)</f>
        <v>7</v>
      </c>
      <c r="FC104" s="17">
        <f t="shared" si="139"/>
        <v>1</v>
      </c>
      <c r="FD104" s="17">
        <f>IF(D104="",FD103,FD103+IF(AND(DG104&lt;&gt;DG103,INDEX(回合状态!$C$7:$C$17,MATCH(DG104,回合状态!$A$7:$A$17,0))&lt;&gt;"洞穿"),1,0))</f>
        <v>7</v>
      </c>
      <c r="FE104" s="17">
        <f>IF(D104="",0,IF(AND(OR(L104="END_TURN",DH104="敌方"),INDEX(回合状态!$C$7:$C$17,MATCH(DG104,回合状态!$A$7:$A$17,0))&lt;&gt;"洞穿",SUMIFS($FE$3:FE103,$DG$3:DG103,DG104)=0),1,0))</f>
        <v>0</v>
      </c>
    </row>
    <row r="105" spans="1:161" ht="84.95" customHeight="1">
      <c r="A105" s="1">
        <f>行动模拟!A111</f>
        <v>103</v>
      </c>
      <c r="B105" s="1">
        <f>IF(D105="",0,INDEX(回合状态!$B$7:$B$17,MATCH(DG105,回合状态!$A$7:$A$17,0)))</f>
        <v>7</v>
      </c>
      <c r="C105" s="1">
        <f>行动模拟!C111</f>
        <v>1</v>
      </c>
      <c r="D105" s="1" t="str">
        <f>IF(行动模拟!D111="","",行动模拟!D111)</f>
        <v>小瑞安侬｜悄冥冥术阵</v>
      </c>
      <c r="E105" s="1" t="str">
        <f>IF($D105="","",IFERROR(INDEX(技能数据库!$B$4:$B$38,MATCH($D105,技能数据库!$A$4:$A$38,0)),""))</f>
        <v>小瑞安侬</v>
      </c>
      <c r="F105" s="1" t="str">
        <f>IF($D105="","",IFERROR(INDEX(技能数据库!$C$4:$C$38,MATCH($D105,技能数据库!$A$4:$A$38,0)),""))</f>
        <v>悄冥冥术阵</v>
      </c>
      <c r="G105" s="1">
        <f>IF($D105="","",IFERROR(INDEX(技能数据库!$D$4:$D$38,MATCH($D105,技能数据库!$A$4:$A$38,0)),""))</f>
        <v>0</v>
      </c>
      <c r="H105" s="1" t="str">
        <f>IF($D105="","",IFERROR(INDEX(技能数据库!$E$4:$E$38,MATCH($D105,技能数据库!$A$4:$A$38,0)),""))</f>
        <v>增益</v>
      </c>
      <c r="I105" s="1" t="str">
        <f>IF($D105="","",IFERROR(INDEX(技能数据库!$F$4:$F$38,MATCH($D105,技能数据库!$A$4:$A$38,0)),""))</f>
        <v>无</v>
      </c>
      <c r="J105" s="1">
        <f>IF($D105="","",IFERROR(INDEX(技能数据库!$G$4:$G$38,MATCH($D105,技能数据库!$A$4:$A$38,0)),""))</f>
        <v>0</v>
      </c>
      <c r="K105" s="1">
        <f>IF($D105="","",IFERROR(INDEX(技能数据库!$H$4:$H$38,MATCH($D105,技能数据库!$A$4:$A$38,0)),""))</f>
        <v>0</v>
      </c>
      <c r="L105" s="1" t="str">
        <f>IF($D105="","",IFERROR(INDEX(技能数据库!$I$4:$I$38,MATCH($D105,技能数据库!$A$4:$A$38,0)),""))</f>
        <v>RHI_BUFF</v>
      </c>
      <c r="M105" s="1">
        <v>1</v>
      </c>
      <c r="N105" s="1"/>
      <c r="O105" s="1"/>
      <c r="P105" s="1"/>
      <c r="Q105" s="1">
        <f t="shared" si="70"/>
        <v>0</v>
      </c>
      <c r="R105" s="1">
        <v>0</v>
      </c>
      <c r="S105" s="1">
        <v>0</v>
      </c>
      <c r="T105" s="1">
        <f>行动模拟!I111</f>
        <v>0</v>
      </c>
      <c r="U105" s="1">
        <f>IF(FD105&lt;&gt;FD104,IF(BY104=1,IF(MIN(10,CA104+IF(AND(DG105&lt;&gt;DG104,DH104&lt;&gt;"洞穿",SUMIFS($FE$3:FE104,$DG$3:DG104,DG104)=0,BY104=1),3,0))&gt;=10,2,1),IF(BY104=2,IF(BZ104&lt;=1,0,2),0)),BY104)</f>
        <v>2</v>
      </c>
      <c r="V105" s="1">
        <f>IF(FD105&lt;&gt;FD104,IF(BY104=1,IF(MIN(10,CA104+IF(AND(DG105&lt;&gt;DG104,DH104&lt;&gt;"洞穿",SUMIFS($FE$3:FE104,$DG$3:DG104,DG104)=0,BY104=1),3,0))&gt;=10,2,0),IF(BY104=2,MAX(0,BZ104-1),0)),BZ104)</f>
        <v>1</v>
      </c>
      <c r="W105" s="1">
        <f>IF(AND(FD105&lt;&gt;FD104,BY104=2,BZ104&lt;=1),0,MIN(10,CA104+IF(AND(DG105&lt;&gt;DG104,DH104&lt;&gt;"洞穿",SUMIFS($FE$3:FE104,$DG$3:DG104,DG104)=0,BY104=1),3,0)))</f>
        <v>10</v>
      </c>
      <c r="X105" s="1">
        <f t="shared" si="112"/>
        <v>8</v>
      </c>
      <c r="Y105" s="1">
        <f t="shared" si="113"/>
        <v>0</v>
      </c>
      <c r="Z105" s="1">
        <f t="shared" si="114"/>
        <v>0</v>
      </c>
      <c r="AA105" s="1">
        <f t="shared" si="115"/>
        <v>0</v>
      </c>
      <c r="AB105" s="1">
        <f t="shared" si="116"/>
        <v>2</v>
      </c>
      <c r="AC105" s="1">
        <f t="shared" si="117"/>
        <v>0</v>
      </c>
      <c r="AD105" s="1">
        <f t="shared" si="118"/>
        <v>35</v>
      </c>
      <c r="AE105" s="1">
        <f>IF(D105="",0,IF(DG105&lt;&gt;DG104,IFERROR(INDEX(回合状态!$F$7:$F$17,MATCH(DG105,回合状态!$A$7:$A$17,0)),0),CI104))</f>
        <v>15</v>
      </c>
      <c r="AF105" s="1">
        <f t="shared" si="119"/>
        <v>0.875</v>
      </c>
      <c r="AG105" s="1">
        <f t="shared" si="120"/>
        <v>8</v>
      </c>
      <c r="AH105" s="1">
        <f t="shared" si="121"/>
        <v>8</v>
      </c>
      <c r="AI105" s="1">
        <f t="shared" si="122"/>
        <v>8</v>
      </c>
      <c r="AJ105" s="1">
        <f t="shared" si="123"/>
        <v>9</v>
      </c>
      <c r="AK105" s="1">
        <f t="shared" si="124"/>
        <v>8</v>
      </c>
      <c r="AL105" s="1">
        <f t="shared" si="125"/>
        <v>3</v>
      </c>
      <c r="AM105" s="1">
        <f t="shared" si="126"/>
        <v>30</v>
      </c>
      <c r="AN105" s="1">
        <f t="shared" si="127"/>
        <v>6</v>
      </c>
      <c r="AO105" s="1">
        <f t="shared" si="128"/>
        <v>0</v>
      </c>
      <c r="AP105" s="1">
        <f t="shared" si="129"/>
        <v>0.12</v>
      </c>
      <c r="AQ105" s="1">
        <f t="shared" si="130"/>
        <v>6</v>
      </c>
      <c r="AR105" s="1">
        <f t="shared" si="131"/>
        <v>0.3</v>
      </c>
      <c r="AS105" s="1">
        <f t="shared" si="132"/>
        <v>6</v>
      </c>
      <c r="AT105" s="1">
        <f t="shared" si="133"/>
        <v>0.3</v>
      </c>
      <c r="AU105" s="1">
        <f t="shared" si="134"/>
        <v>8</v>
      </c>
      <c r="AV105" s="1">
        <f>MIN(5,SUMIFS($EL$3:EL105,$B$3:B105,"&gt;="&amp;MAX(1,B105-2),$B$3:B105,"&lt;="&amp;B105)+EC105)</f>
        <v>5</v>
      </c>
      <c r="AW105" s="1">
        <f>MIN(6,SUMIFS($EY$3:EY104,$EX$3:EX104,"&gt;="&amp;MAX(1,EX105-Boss参数!$B$87+1),$EX$3:EX104,"&lt;="&amp;EX105))</f>
        <v>3</v>
      </c>
      <c r="AX105" s="1">
        <f>MIN(4,COUNTIFS($B$3:$B$104,"&gt;="&amp;MAX(1,$B105-2),$B$3:$B$104,"&lt;="&amp;$B105,$L$3:$L$104,"37_FOLLOW"))</f>
        <v>4</v>
      </c>
      <c r="AY105" s="1">
        <f>IF($E105="","",IF($E105="系统",0,ROUNDDOWN(INDEX(角色面板!$C$4:$C$7,MATCH($E105,角色面板!$A$4:$A$7,0))*(1+INDEX(角色面板!$C$11:$C$14,MATCH($E105,角色面板!$A$11:$A$14,0))+IF($E105="小瑞安侬",MAX(IF($B105&lt;=$AQ105,$AP105,0),IF(AND($L105="RHI_ATTACK",$EE105&gt;0),0.11+0.01*$G105,0)),0)+IF($E105="J",$AD105*Boss参数!$B$18,0))+IF(FD105&lt;=$AN105,MIN(Boss参数!$B$21,ROUNDDOWN(角色面板!$C$19*Boss参数!$B$20,0)),0)+IF(AND($B105&lt;=$AK105,$E105&lt;&gt;"小瑞安侬"),$DY105,0),0)))</f>
        <v>2986</v>
      </c>
      <c r="AZ105" s="1">
        <f>IF($E105="","",MAX(0,MIN(1,IFERROR(INDEX(角色面板!$G$18:$G$21,MATCH($E105,角色面板!$A$18:$A$21,0)),0)-FC105*Boss参数!$B$89-Boss参数!$E$4)))</f>
        <v>0.55499999999999994</v>
      </c>
      <c r="BA105" s="1">
        <f>IF(E105="","",(IF($E105="","",IF($E105="红弩箭",Boss参数!$B$80,IF($E105="J",Boss参数!$B$81,IFERROR(INDEX(角色面板!$H$18:$H$21,MATCH($E105,角色面板!$A$18:$A$21,0)),0)))+IF($B105&lt;=$AI105,Boss参数!$B$13,0)+MIN(30,$AM105)*Boss参数!$B$17+IF(AND($L105="LILYA_ULT",$X105&gt;=6),1,0)+IF(AND($Y105=1,$L105="LILYA_INSIGHT"),IF(MOD($AA105+1,3)=0,Boss参数!$B$83,Boss参数!$B$82),IF(AND($Y105=1,$L105="LILYA_FINISH"),Boss参数!$B$84,0))))-FC105*Boss参数!$B$90)</f>
        <v>1.83</v>
      </c>
      <c r="BB105" s="1">
        <f>IF($E105="","",IFERROR(INDEX(角色面板!$M$18:$M$21,MATCH($E105,角色面板!$A$18:$A$21,0)),0)+$AW105*Boss参数!$B$12+IF($B105&lt;=$AG105,$AF105,0)+$EI105+IF($L105="LILYA_DIVE",IF($U105=1,IF($G105=1,0.3,IF($G105=2,0.4,0.5)),IF($U105=2,IF($G105=1,0.6,IF($G105=2,0.8,1)),0)),0)+$R105+IF(AND($E105="J",OR($L105="J_COUNTER",$L105="J_HARD")),Boss参数!$B$79,0)+IF(AND(OR(L105="J_COUNTER",L105="J_HARD"),FA105&gt;=Boss参数!$B$59),FA105*Boss参数!$B$40,0))</f>
        <v>1.2350000000000001</v>
      </c>
      <c r="BC105" s="1">
        <f>IF($E105="","",IFERROR(INDEX(角色面板!$K$18:$K$21,MATCH($E105,角色面板!$A$18:$A$21,0)),0)+IF($B105&lt;=$AH105,Boss参数!$B$46,0)+IF($E105="红弩箭",IF($U105=1,0.6,IF($U105=2,1.2,0))+$W105*0.06,0))-DI105*Boss参数!$B$23</f>
        <v>-0.85000000000000009</v>
      </c>
      <c r="BD105" s="1">
        <f>IF($E105="","",IFERROR(INDEX(角色面板!$L$18:$L$21,MATCH($E105,角色面板!$A$18:$A$21,0)),0)+IF($B105&lt;=$AH105,Boss参数!$B$46,0)+IF($E105="J",$AL105*Boss参数!$B$16,0)+IF($E105="红弩箭",$X105*0.025,0)+IF(AND($L105="LILYA_ULT",$X105&gt;=6),1,0))-DI105*Boss参数!$B$23</f>
        <v>-0.45</v>
      </c>
      <c r="BE105" s="1">
        <f>IF($E105="","",IF($H105="洞知",IF($E105="红弩箭",$AO105*Boss参数!$B$15,0)+$AX105*Boss参数!$B$14,0))</f>
        <v>0</v>
      </c>
      <c r="BF105" s="1">
        <f t="shared" si="71"/>
        <v>0</v>
      </c>
      <c r="BG105" s="1">
        <f>IF($D105="",0,IF(AND($L105&lt;&gt;"LILYA_DIVE",$L105&lt;&gt;"LILYA_ULT",$L105&lt;&gt;"LILYA_INSIGHT",$L105&lt;&gt;"LILYA_FINISH",$L105&lt;&gt;"37_FOLLOW",$L105&lt;&gt;"RHI_ATTACK",$L105&lt;&gt;"RHI_BERRY",$L105&lt;&gt;"J_COUNTER",$L105&lt;&gt;"J_ULT"),$J105,0)+IF($L105="LILYA_DIVE",$J105+IF($U105=1,IF($G105=1,6,IF($G105=2,12,18)),IF($U105=2,IF($G105=1,12,IF($G105=2,24,36)),0)),0)+IF($L105="LILYA_ULT",$J105+IF($X105&gt;=6,18,0),0)+IF($L105="LILYA_INSIGHT",IF($Y105=1,IF(MOD($AA105+1,3)=0,32,15),0),0)+IF($L105="LILYA_FINISH",IF($Y105=1,50+2.5*$Z105,0),0)+IF($L105="37_FOLLOW",$J105,0)+IF($L105="RHI_ATTACK",$J105*IF($B105&lt;=$AJ105,2,1),0)+IF($L105="RHI_BERRY",15+1.5*$AV105,0)+IF($L105="J_COUNTER",$J105+$AD105*Boss参数!$B$39,0)+IF($L105="J_ULT",$J105+Boss参数!$B$45*MAX(0,$AE105+$AD105-Boss参数!$I$4),0)+$S105)</f>
        <v>0</v>
      </c>
      <c r="BH105" s="1">
        <f t="shared" si="72"/>
        <v>0</v>
      </c>
      <c r="BI105" s="1">
        <f>IF(E105="","",IF(DT105=1,1+Boss参数!$B$8+AV105*Boss参数!$B$19,1))</f>
        <v>1</v>
      </c>
      <c r="BJ105" s="1">
        <f>IF($I105="现实",Boss参数!$C$4,IF($I105="精神",Boss参数!$D$4,0))</f>
        <v>0</v>
      </c>
      <c r="BK105" s="1">
        <f>IF($E105="","",MAX($AY105*Boss参数!$B$9,$AY105-$BJ105*(1-$BF105)))</f>
        <v>2986</v>
      </c>
      <c r="BL105" s="1">
        <f>MAX(0,Boss参数!$F$4+IF(DT105=0,Boss参数!$B$27,0)-EJ105)</f>
        <v>1.4</v>
      </c>
      <c r="BM105" s="1">
        <f>Boss参数!$G$4+DU105-IF(Y105=1,Boss参数!$B$11,0)</f>
        <v>0.75</v>
      </c>
      <c r="BN105" s="1">
        <f>IF($E105="","",MAX(Boss参数!$B$10,1+IFERROR(INDEX(角色面板!$I$18:$I$21,MATCH($E105,角色面板!$A$18:$A$21,0)),0)+$BB105+Boss参数!$H$4-$BM105))</f>
        <v>1.52</v>
      </c>
      <c r="BO105" s="1">
        <f>IF(E105="","",IF(OR(L105="J_COUNTER",L105="J_HARD"),MAX(0,1+INDEX(角色面板!$K$18:$K$21,MATCH(E105,角色面板!$A$18:$A$21,0))-DI105*Boss参数!$B$23+IF(OR(Boss参数!$B$43=1,L105="J_HARD"),IF(B105&lt;=AH105,Boss参数!$B$46,0),0)),MAX(0,IF(OR(H105="术法",L105="RHI_BERRY",AND(L105="37_FOLLOW",Boss参数!$B$31=1)),1+BC105,IF(H105="仪式",1+BD105,IF(H105="洞知",EK105,1))))))</f>
        <v>1</v>
      </c>
      <c r="BP105" s="1">
        <f t="shared" si="73"/>
        <v>1.1000000000000001</v>
      </c>
      <c r="BQ105" s="1">
        <f t="shared" si="74"/>
        <v>0</v>
      </c>
      <c r="BR105" s="1">
        <f t="shared" si="75"/>
        <v>0</v>
      </c>
      <c r="BS105" s="1">
        <f>IF(BH105=0,0,ROUNDDOWN(AY105*BH105,0)*DV105*IF(Boss参数!$B$29=1,BN105,1)*IF(Boss参数!$B$33=1,BO105,1)*IF(Boss参数!$B$76=1,1-ES105,1))</f>
        <v>0</v>
      </c>
      <c r="BT105" s="1">
        <f t="shared" si="76"/>
        <v>0</v>
      </c>
      <c r="BU105" s="1">
        <f>IF(D105="",0,MIN(IF(Boss参数!$B$77=1,Boss参数!$B$63*Boss参数!$B$62,Boss参数!$B$61*Boss参数!$B$62),DW105+ROUNDDOWN(BS105,0)+ROUNDDOWN(DW105*Q105,0)))</f>
        <v>0</v>
      </c>
      <c r="BV105" s="1">
        <f>IF(D105="",0,MIN(IF(Boss参数!$B$77=1,Boss参数!$B$63*Boss参数!$B$62,Boss参数!$B$61*Boss参数!$B$62),DX105+ROUNDDOWN(BT105,0)+ROUNDDOWN(DX105*Q105,0)))</f>
        <v>0</v>
      </c>
      <c r="BW105" s="1">
        <f t="shared" si="77"/>
        <v>0</v>
      </c>
      <c r="BX105" s="1" t="str">
        <f t="shared" si="78"/>
        <v/>
      </c>
      <c r="BY105" s="1">
        <f t="shared" si="79"/>
        <v>2</v>
      </c>
      <c r="BZ105" s="1">
        <f t="shared" si="80"/>
        <v>1</v>
      </c>
      <c r="CA105" s="1">
        <f>MIN(10,W105+IF(AND(L105="LILYA_COBRA",COUNTIF($L$3:L105,"LILYA_COBRA")=1),5,0)+IF(AND(L105="LILYA_DIVE",U105=1,COUNTIFS($DG$3:DG105,DG105,$L$3:L105,"LILYA_DIVE")=1),2,0)+IF(AND(FE105=1,U105=1),3,0))</f>
        <v>10</v>
      </c>
      <c r="CB105" s="1">
        <f>MIN(20,MAX(0,X105+IF(L105="LILYA_COBRA",IF(COUNTIF($L$3:L105,"LILYA_COBRA")=1,6,IF(U105=1,MAX(1,G105),IF(U105=2,2*MAX(1,G105),0))),0)+IF(AND(Y105=1,E105="红弩箭",L105&lt;&gt;"ENTER_INSIGHT"),1,0)-IF(AND(L105="LILYA_ULT",X105&gt;=6),6,0)))</f>
        <v>8</v>
      </c>
      <c r="CC105" s="1">
        <f t="shared" si="81"/>
        <v>0</v>
      </c>
      <c r="CD105" s="1">
        <f t="shared" si="82"/>
        <v>0</v>
      </c>
      <c r="CE105" s="1">
        <f t="shared" si="83"/>
        <v>0</v>
      </c>
      <c r="CF105" s="1">
        <f t="shared" si="84"/>
        <v>3</v>
      </c>
      <c r="CG105" s="1">
        <f t="shared" si="85"/>
        <v>0</v>
      </c>
      <c r="CH105" s="1">
        <f>MIN(35,AD105+IF(L105="J_HARD",6,0)+IF(L105="J_COUNTER",Boss参数!$B$30,0))</f>
        <v>35</v>
      </c>
      <c r="CI105" s="1">
        <f>MIN(Boss参数!$I$4,AE105+IF(L105="J_HARD",6,0)+IF(L105="J_ULT",AD105,0)+IF(L105="J_COUNTER",Boss参数!$B$30,0))</f>
        <v>15</v>
      </c>
      <c r="CJ105" s="1">
        <f>IF(L105="J_ULT",AD105*Boss参数!$B$41,IF(B105&lt;=AG105,AF105,0))</f>
        <v>0.875</v>
      </c>
      <c r="CK105" s="1">
        <f t="shared" si="86"/>
        <v>8</v>
      </c>
      <c r="CL105" s="1">
        <f t="shared" si="87"/>
        <v>9</v>
      </c>
      <c r="CM105" s="1">
        <f t="shared" si="88"/>
        <v>8</v>
      </c>
      <c r="CN105" s="1">
        <f t="shared" si="89"/>
        <v>9</v>
      </c>
      <c r="CO105" s="1">
        <f t="shared" si="90"/>
        <v>8</v>
      </c>
      <c r="CP105" s="1">
        <f t="shared" si="91"/>
        <v>3</v>
      </c>
      <c r="CQ105" s="1">
        <f t="shared" si="92"/>
        <v>30</v>
      </c>
      <c r="CR105" s="1">
        <f t="shared" si="93"/>
        <v>6</v>
      </c>
      <c r="CS105" s="1">
        <f t="shared" si="94"/>
        <v>0</v>
      </c>
      <c r="CT105" s="1">
        <f t="shared" si="95"/>
        <v>0</v>
      </c>
      <c r="CU105" s="1">
        <f t="shared" si="96"/>
        <v>6</v>
      </c>
      <c r="CV105" s="1">
        <f t="shared" si="97"/>
        <v>0</v>
      </c>
      <c r="CW105" s="1">
        <f t="shared" si="98"/>
        <v>6</v>
      </c>
      <c r="CX105" s="1">
        <f t="shared" si="99"/>
        <v>0.3</v>
      </c>
      <c r="CY105" s="1">
        <f t="shared" si="100"/>
        <v>9</v>
      </c>
      <c r="CZ105" s="1"/>
      <c r="DA105" s="1"/>
      <c r="DB105" s="1"/>
      <c r="DC105" s="1"/>
      <c r="DD105" s="1"/>
      <c r="DE105" s="1"/>
      <c r="DF105" s="1"/>
      <c r="DG105" s="1" t="str">
        <f>IF(D105="","",行动模拟!B111)</f>
        <v>7（目击）</v>
      </c>
      <c r="DH105" s="1" t="str">
        <f>IF(L105="END_TURN","回合结束",IF(D105="","",IF(INDEX(回合状态!$C$7:$C$17,MATCH(DG105,回合状态!$A$7:$A$17,0))="洞穿","洞穿",IF(OR(L105="J_COUNTER",L105="BOSS_ACTION",L105="BOSS_CONSERVATIVE"),"敌方",IF(AND(L105="37_FOLLOW",DG105=DG104,DH104="敌方"),"敌方",IF(INDEX(回合状态!$C$7:$C$17,MATCH(DG105,回合状态!$A$7:$A$17,0))="普通","出牌",INDEX(回合状态!$C$7:$C$17,MATCH(DG105,回合状态!$A$7:$A$17,0))))))))</f>
        <v>目击</v>
      </c>
      <c r="DI105" s="1">
        <f t="shared" si="101"/>
        <v>5</v>
      </c>
      <c r="DJ105" s="1">
        <f>IF(D105="",0,MIN(Boss参数!$B$25,IF(OR(AND(DH105="敌方",OR(DH104&lt;&gt;"敌方",DG105&lt;&gt;DG104)),AND(L105="END_TURN",DH105&lt;&gt;"洞穿"),AND(DG105&lt;&gt;DG104,DH104&lt;&gt;"洞穿",L104&lt;&gt;"END_TURN",COUNTIFS($DG$3:DG104,DG104,$DH$3:DH104,"敌方")=0)),EW105,DN104)))</f>
        <v>5</v>
      </c>
      <c r="DK105" s="1">
        <f>IF(D105="",0,MIN(Boss参数!$B$25,IF(OR(AND(DH105="敌方",OR(DH104&lt;&gt;"敌方",DG105&lt;&gt;DG104)),AND(L105="END_TURN",DH105&lt;&gt;"洞穿"),AND(DG105&lt;&gt;DG104,DH104&lt;&gt;"洞穿",L104&lt;&gt;"END_TURN",COUNTIFS($DG$3:DG104,DG104,$DH$3:DH104,"敌方")=0)),EW105,DO104)))</f>
        <v>5</v>
      </c>
      <c r="DL105" s="1">
        <f>IF(D105="",0,MIN(Boss参数!$B$25,IF(OR(AND(DH105="敌方",OR(DH104&lt;&gt;"敌方",DG105&lt;&gt;DG104)),AND(L105="END_TURN",DH105&lt;&gt;"洞穿"),AND(DG105&lt;&gt;DG104,DH104&lt;&gt;"洞穿",L104&lt;&gt;"END_TURN",COUNTIFS($DG$3:DG104,DG104,$DH$3:DH104,"敌方")=0)),EW105,DP104)))</f>
        <v>5</v>
      </c>
      <c r="DM105" s="1">
        <f>IF(D105="",0,MIN(Boss参数!$B$25,IF(OR(AND(DH105="敌方",OR(DH104&lt;&gt;"敌方",DG105&lt;&gt;DG104)),AND(L105="END_TURN",DH105&lt;&gt;"洞穿"),AND(DG105&lt;&gt;DG104,DH104&lt;&gt;"洞穿",L104&lt;&gt;"END_TURN",COUNTIFS($DG$3:DG104,DG104,$DH$3:DH104,"敌方")=0)),EW105,DQ104)))</f>
        <v>0</v>
      </c>
      <c r="DN105" s="1">
        <f>MAX(0,MIN(Boss参数!$B$25,DJ105+DR105)-IF(E105="红弩箭",2*DR105,0))</f>
        <v>5</v>
      </c>
      <c r="DO105" s="1">
        <f>MAX(0,MIN(Boss参数!$B$25,DK105+DR105)-IF(E105="37",2*DR105,0))</f>
        <v>5</v>
      </c>
      <c r="DP105" s="1">
        <f>MAX(0,MIN(Boss参数!$B$25,DL105+DR105)-IF(E105="小瑞安侬",2*DR105,0))</f>
        <v>5</v>
      </c>
      <c r="DQ105" s="1">
        <f>MAX(0,MIN(Boss参数!$B$25,DM105+DR105)-IF(E105="J",2*DR105,0))</f>
        <v>0</v>
      </c>
      <c r="DR105" s="1">
        <f t="shared" si="102"/>
        <v>0</v>
      </c>
      <c r="DS105" s="1">
        <f t="shared" si="103"/>
        <v>0</v>
      </c>
      <c r="DT105" s="1">
        <f>IF(OR(E105="",E105="系统"),0,IF(OR(AND(DS105=1,Boss参数!$B$32=1),L105="RHI_BERRY",OR(AND(INDEX(角色面板!$B$18:$B$21,MATCH(E105,角色面板!$A$18:$A$21,0))="星",Boss参数!$B$4="岩"),AND(INDEX(角色面板!$B$18:$B$21,MATCH(E105,角色面板!$A$18:$A$21,0))="岩",Boss参数!$B$4="兽"),AND(INDEX(角色面板!$B$18:$B$21,MATCH(E105,角色面板!$A$18:$A$21,0))="兽",Boss参数!$B$4="木"),AND(INDEX(角色面板!$B$18:$B$21,MATCH(E105,角色面板!$A$18:$A$21,0))="木",Boss参数!$B$4="星"),AND(INDEX(角色面板!$B$18:$B$21,MATCH(E105,角色面板!$A$18:$A$21,0))="智",Boss参数!$B$4="灵"),AND(INDEX(角色面板!$B$18:$B$21,MATCH(E105,角色面板!$A$18:$A$21,0))="灵",Boss参数!$B$4="智"))),1,0))</f>
        <v>0</v>
      </c>
      <c r="DU105" s="1">
        <f>IF(D105="",0,INDEX(回合状态!$E$7:$E$17,MATCH(DG105,回合状态!$A$7:$A$17,0))+IF(AND(DH105="敌方",OR(INDEX(回合状态!$C$7:$C$17,MATCH(DG105,回合状态!$A$7:$A$17,0))="普通",INDEX(回合状态!$C$7:$C$17,MATCH(DG105,回合状态!$A$7:$A$17,0))="额外")),0.05,0))</f>
        <v>0.35</v>
      </c>
      <c r="DV105" s="1">
        <f>MAX(Boss参数!$B$28,1+IF(AND(E105="37",AC105&gt;0,BH105&gt;0),Boss参数!$B$42,0)-DI105*Boss参数!$B$24+EA105-ER105)</f>
        <v>0</v>
      </c>
      <c r="DW105" s="1">
        <f>MIN(IF(Boss参数!$B$77=1,Boss参数!$B$63*Boss参数!$B$62,Boss参数!$B$61*Boss参数!$B$62),ROUNDDOWN(BQ105*(1-ES105),0))</f>
        <v>0</v>
      </c>
      <c r="DX105" s="1">
        <f>MIN(IF(Boss参数!$B$77=1,Boss参数!$B$63*Boss参数!$B$62,Boss参数!$B$61*Boss参数!$B$62),ROUNDDOWN(BR105*(1-ES105),0))</f>
        <v>0</v>
      </c>
      <c r="DY105" s="1">
        <f t="shared" si="135"/>
        <v>250</v>
      </c>
      <c r="DZ105" s="1">
        <f>IF(L105="RHI_ULT",MIN(Boss参数!$B$48,ROUNDDOWN(AY105*Boss参数!$B$47,0)),DY105)</f>
        <v>250</v>
      </c>
      <c r="EA105" s="1">
        <v>0</v>
      </c>
      <c r="EB105" s="1">
        <f t="shared" si="104"/>
        <v>1</v>
      </c>
      <c r="EC105" s="1">
        <f>SUMIFS($EB$3:EB105,$B$3:B105,"&gt;="&amp;MAX(1,B105-2),$B$3:B105,"&lt;="&amp;B105)*Boss参数!$B$51</f>
        <v>10</v>
      </c>
      <c r="ED105" s="1">
        <f>IF(D105="",EG104,IF(AND(DG105&lt;&gt;DG104,DH105&lt;&gt;"洞穿"),MIN(Boss参数!$B$55,EG104+2),EG104))</f>
        <v>2</v>
      </c>
      <c r="EE105" s="1">
        <f t="shared" si="105"/>
        <v>1</v>
      </c>
      <c r="EF105" s="1">
        <f>IF(AND(OR(L105="END_TURN",AND(DH105="敌方",OR(DH104&lt;&gt;"敌方",DG105&lt;&gt;DG104))),SUMIFS($EF$3:EF104,$DG$3:DG104,DG105)=0),MIN(1,MAX(0,ED105-EE105)),0)</f>
        <v>0</v>
      </c>
      <c r="EG105" s="1">
        <f t="shared" si="106"/>
        <v>1</v>
      </c>
      <c r="EH105" s="1">
        <f>Boss参数!$B$53-IF(Y105=1,Boss参数!$B$54,0)</f>
        <v>0</v>
      </c>
      <c r="EI105" s="1">
        <f t="shared" si="107"/>
        <v>0.3</v>
      </c>
      <c r="EJ105" s="1">
        <f t="shared" si="108"/>
        <v>0</v>
      </c>
      <c r="EK105" s="1">
        <f t="shared" si="109"/>
        <v>1</v>
      </c>
      <c r="EL105" s="1">
        <f t="shared" si="136"/>
        <v>1</v>
      </c>
      <c r="EM105" s="1">
        <f>IF(AND(DG105&lt;&gt;DG104,DH105="洞穿"),0,IF(L105="ENTER_INSIGHT",Boss参数!$B$57,EO104))</f>
        <v>0</v>
      </c>
      <c r="EN105" s="1">
        <f>IF(AND(Y105=1,H105="洞知",EM105&gt;0),Boss参数!$B$56,0)</f>
        <v>0</v>
      </c>
      <c r="EO105" s="1">
        <f t="shared" si="110"/>
        <v>0</v>
      </c>
      <c r="EP105" s="1">
        <f t="shared" si="137"/>
        <v>15029089</v>
      </c>
      <c r="EQ105" s="1">
        <f>ROUNDDOWN(EP105/Boss参数!$B$62,0)</f>
        <v>150</v>
      </c>
      <c r="ER105" s="1">
        <f>IF(EQ105&gt;=Boss参数!$B$66,Boss参数!$B$69,IF(EQ105&gt;=Boss参数!$B$65,Boss参数!$B$68,IF(EQ105&gt;=Boss参数!$B$64,Boss参数!$B$67,0)))</f>
        <v>0.9</v>
      </c>
      <c r="ES105" s="1">
        <f>MIN(1,IF(EQ105&gt;=Boss参数!$B$66,Boss参数!$B$72+ROUNDDOWN((EQ105-Boss参数!$B$66)/Boss参数!$B$73,0)*Boss参数!$B$74,IF(EQ105&gt;=Boss参数!$B$65,Boss参数!$B$71,IF(EQ105&gt;=Boss参数!$B$64,Boss参数!$B$70,0))))</f>
        <v>0.6</v>
      </c>
      <c r="ET105" s="1">
        <f>MIN(Boss参数!$B$61*Boss参数!$B$62,EP105+IF(AND(Boss参数!$B$60=1,ISNUMBER(验证表!H111)),验证表!H111,EU105))</f>
        <v>15029089</v>
      </c>
      <c r="EU105" s="1">
        <f>IF(D105="",0,IF(验证表!G111="是",BV105,IF(验证表!G111="否",BU105,BW105)))</f>
        <v>0</v>
      </c>
      <c r="EV105" s="1">
        <f>IF(EQ105&gt;=Boss参数!$B$66,2,IF(EQ105&gt;=Boss参数!$B$65,1,0))</f>
        <v>2</v>
      </c>
      <c r="EW105" s="1">
        <f t="shared" si="111"/>
        <v>3</v>
      </c>
      <c r="EX105" s="1">
        <f>IF(D105="",0,INDEX(回合状态!$D$7:$D$17,MATCH(DG105,回合状态!$A$7:$A$17,0)))</f>
        <v>7</v>
      </c>
      <c r="EY105" s="1">
        <f>IF(OR(L105="RHI_ATTACK",L105="RHI_BUFF"),1,IF(L105="RHI_ULT",Boss参数!$B$52,0))</f>
        <v>1</v>
      </c>
      <c r="EZ105" s="1">
        <f>MIN(6,SUMIFS($EY$3:EY105,$EX$3:EX105,"&gt;="&amp;MAX(1,EX105-Boss参数!$B$87+1),$EX$3:EX105,"&lt;="&amp;EX105))</f>
        <v>4</v>
      </c>
      <c r="FA105" s="1">
        <f t="shared" si="138"/>
        <v>35</v>
      </c>
      <c r="FB105" s="17">
        <f>IF(L105="BOSS_CONSERVATIVE",B105+Boss参数!$B$91,FB104)</f>
        <v>7</v>
      </c>
      <c r="FC105" s="17">
        <f t="shared" si="139"/>
        <v>0</v>
      </c>
      <c r="FD105" s="17">
        <f>IF(D105="",FD104,FD104+IF(AND(DG105&lt;&gt;DG104,INDEX(回合状态!$C$7:$C$17,MATCH(DG105,回合状态!$A$7:$A$17,0))&lt;&gt;"洞穿"),1,0))</f>
        <v>8</v>
      </c>
      <c r="FE105" s="17">
        <f>IF(D105="",0,IF(AND(OR(L105="END_TURN",DH105="敌方"),INDEX(回合状态!$C$7:$C$17,MATCH(DG105,回合状态!$A$7:$A$17,0))&lt;&gt;"洞穿",SUMIFS($FE$3:FE104,$DG$3:DG104,DG105)=0),1,0))</f>
        <v>0</v>
      </c>
    </row>
    <row r="106" spans="1:161" ht="84.95" customHeight="1">
      <c r="A106" s="1">
        <f>行动模拟!A112</f>
        <v>104</v>
      </c>
      <c r="B106" s="1">
        <f>IF(D106="",0,INDEX(回合状态!$B$7:$B$17,MATCH(DG106,回合状态!$A$7:$A$17,0)))</f>
        <v>7</v>
      </c>
      <c r="C106" s="1">
        <f>行动模拟!C112</f>
        <v>2</v>
      </c>
      <c r="D106" s="1" t="str">
        <f>IF(行动模拟!D112="","",行动模拟!D112)</f>
        <v>小瑞安侬｜囫囵囵咒Ⅰ</v>
      </c>
      <c r="E106" s="1" t="str">
        <f>IF($D106="","",IFERROR(INDEX(技能数据库!$B$4:$B$38,MATCH($D106,技能数据库!$A$4:$A$38,0)),""))</f>
        <v>小瑞安侬</v>
      </c>
      <c r="F106" s="1" t="str">
        <f>IF($D106="","",IFERROR(INDEX(技能数据库!$C$4:$C$38,MATCH($D106,技能数据库!$A$4:$A$38,0)),""))</f>
        <v>囫囵囵咒</v>
      </c>
      <c r="G106" s="1">
        <f>IF($D106="","",IFERROR(INDEX(技能数据库!$D$4:$D$38,MATCH($D106,技能数据库!$A$4:$A$38,0)),""))</f>
        <v>1</v>
      </c>
      <c r="H106" s="1" t="str">
        <f>IF($D106="","",IFERROR(INDEX(技能数据库!$E$4:$E$38,MATCH($D106,技能数据库!$A$4:$A$38,0)),""))</f>
        <v>术法</v>
      </c>
      <c r="I106" s="1" t="str">
        <f>IF($D106="","",IFERROR(INDEX(技能数据库!$F$4:$F$38,MATCH($D106,技能数据库!$A$4:$A$38,0)),""))</f>
        <v>精神</v>
      </c>
      <c r="J106" s="1">
        <f>IF($D106="","",IFERROR(INDEX(技能数据库!$G$4:$G$38,MATCH($D106,技能数据库!$A$4:$A$38,0)),""))</f>
        <v>2</v>
      </c>
      <c r="K106" s="1">
        <f>IF($D106="","",IFERROR(INDEX(技能数据库!$H$4:$H$38,MATCH($D106,技能数据库!$A$4:$A$38,0)),""))</f>
        <v>0</v>
      </c>
      <c r="L106" s="1" t="str">
        <f>IF($D106="","",IFERROR(INDEX(技能数据库!$I$4:$I$38,MATCH($D106,技能数据库!$A$4:$A$38,0)),""))</f>
        <v>RHI_ATTACK</v>
      </c>
      <c r="M106" s="1">
        <v>1</v>
      </c>
      <c r="N106" s="1"/>
      <c r="O106" s="1"/>
      <c r="P106" s="1"/>
      <c r="Q106" s="1">
        <f t="shared" si="70"/>
        <v>0</v>
      </c>
      <c r="R106" s="1">
        <v>0</v>
      </c>
      <c r="S106" s="1">
        <v>0</v>
      </c>
      <c r="T106" s="1">
        <f>行动模拟!I112</f>
        <v>0</v>
      </c>
      <c r="U106" s="1">
        <f>IF(FD106&lt;&gt;FD105,IF(BY105=1,IF(MIN(10,CA105+IF(AND(DG106&lt;&gt;DG105,DH105&lt;&gt;"洞穿",SUMIFS($FE$3:FE105,$DG$3:DG105,DG105)=0,BY105=1),3,0))&gt;=10,2,1),IF(BY105=2,IF(BZ105&lt;=1,0,2),0)),BY105)</f>
        <v>2</v>
      </c>
      <c r="V106" s="1">
        <f>IF(FD106&lt;&gt;FD105,IF(BY105=1,IF(MIN(10,CA105+IF(AND(DG106&lt;&gt;DG105,DH105&lt;&gt;"洞穿",SUMIFS($FE$3:FE105,$DG$3:DG105,DG105)=0,BY105=1),3,0))&gt;=10,2,0),IF(BY105=2,MAX(0,BZ105-1),0)),BZ105)</f>
        <v>1</v>
      </c>
      <c r="W106" s="1">
        <f>IF(AND(FD106&lt;&gt;FD105,BY105=2,BZ105&lt;=1),0,MIN(10,CA105+IF(AND(DG106&lt;&gt;DG105,DH105&lt;&gt;"洞穿",SUMIFS($FE$3:FE105,$DG$3:DG105,DG105)=0,BY105=1),3,0)))</f>
        <v>10</v>
      </c>
      <c r="X106" s="1">
        <f t="shared" si="112"/>
        <v>8</v>
      </c>
      <c r="Y106" s="1">
        <f t="shared" si="113"/>
        <v>0</v>
      </c>
      <c r="Z106" s="1">
        <f t="shared" si="114"/>
        <v>0</v>
      </c>
      <c r="AA106" s="1">
        <f t="shared" si="115"/>
        <v>0</v>
      </c>
      <c r="AB106" s="1">
        <f t="shared" si="116"/>
        <v>3</v>
      </c>
      <c r="AC106" s="1">
        <f t="shared" si="117"/>
        <v>0</v>
      </c>
      <c r="AD106" s="1">
        <f t="shared" si="118"/>
        <v>35</v>
      </c>
      <c r="AE106" s="1">
        <f>IF(D106="",0,IF(DG106&lt;&gt;DG105,IFERROR(INDEX(回合状态!$F$7:$F$17,MATCH(DG106,回合状态!$A$7:$A$17,0)),0),CI105))</f>
        <v>15</v>
      </c>
      <c r="AF106" s="1">
        <f t="shared" si="119"/>
        <v>0.875</v>
      </c>
      <c r="AG106" s="1">
        <f t="shared" si="120"/>
        <v>8</v>
      </c>
      <c r="AH106" s="1">
        <f t="shared" si="121"/>
        <v>9</v>
      </c>
      <c r="AI106" s="1">
        <f t="shared" si="122"/>
        <v>8</v>
      </c>
      <c r="AJ106" s="1">
        <f t="shared" si="123"/>
        <v>9</v>
      </c>
      <c r="AK106" s="1">
        <f t="shared" si="124"/>
        <v>8</v>
      </c>
      <c r="AL106" s="1">
        <f t="shared" si="125"/>
        <v>3</v>
      </c>
      <c r="AM106" s="1">
        <f t="shared" si="126"/>
        <v>30</v>
      </c>
      <c r="AN106" s="1">
        <f t="shared" si="127"/>
        <v>6</v>
      </c>
      <c r="AO106" s="1">
        <f t="shared" si="128"/>
        <v>0</v>
      </c>
      <c r="AP106" s="1">
        <f t="shared" si="129"/>
        <v>0</v>
      </c>
      <c r="AQ106" s="1">
        <f t="shared" si="130"/>
        <v>6</v>
      </c>
      <c r="AR106" s="1">
        <f t="shared" si="131"/>
        <v>0</v>
      </c>
      <c r="AS106" s="1">
        <f t="shared" si="132"/>
        <v>6</v>
      </c>
      <c r="AT106" s="1">
        <f t="shared" si="133"/>
        <v>0.3</v>
      </c>
      <c r="AU106" s="1">
        <f t="shared" si="134"/>
        <v>9</v>
      </c>
      <c r="AV106" s="1">
        <f>MIN(5,SUMIFS($EL$3:EL106,$B$3:B106,"&gt;="&amp;MAX(1,B106-2),$B$3:B106,"&lt;="&amp;B106)+EC106)</f>
        <v>5</v>
      </c>
      <c r="AW106" s="1">
        <f>MIN(6,SUMIFS($EY$3:EY105,$EX$3:EX105,"&gt;="&amp;MAX(1,EX106-Boss参数!$B$87+1),$EX$3:EX105,"&lt;="&amp;EX106))</f>
        <v>4</v>
      </c>
      <c r="AX106" s="1">
        <f>MIN(4,COUNTIFS($B$3:$B$105,"&gt;="&amp;MAX(1,$B106-2),$B$3:$B$105,"&lt;="&amp;$B106,$L$3:$L$105,"37_FOLLOW"))</f>
        <v>4</v>
      </c>
      <c r="AY106" s="1">
        <f>IF($E106="","",IF($E106="系统",0,ROUNDDOWN(INDEX(角色面板!$C$4:$C$7,MATCH($E106,角色面板!$A$4:$A$7,0))*(1+INDEX(角色面板!$C$11:$C$14,MATCH($E106,角色面板!$A$11:$A$14,0))+IF($E106="小瑞安侬",MAX(IF($B106&lt;=$AQ106,$AP106,0),IF(AND($L106="RHI_ATTACK",$EE106&gt;0),0.11+0.01*$G106,0)),0)+IF($E106="J",$AD106*Boss参数!$B$18,0))+IF(FD106&lt;=$AN106,MIN(Boss参数!$B$21,ROUNDDOWN(角色面板!$C$19*Boss参数!$B$20,0)),0)+IF(AND($B106&lt;=$AK106,$E106&lt;&gt;"小瑞安侬"),$DY106,0),0)))</f>
        <v>3298</v>
      </c>
      <c r="AZ106" s="1">
        <f>IF($E106="","",MAX(0,MIN(1,IFERROR(INDEX(角色面板!$G$18:$G$21,MATCH($E106,角色面板!$A$18:$A$21,0)),0)-FC106*Boss参数!$B$89-Boss参数!$E$4)))</f>
        <v>0.55499999999999994</v>
      </c>
      <c r="BA106" s="1">
        <f>IF(E106="","",(IF($E106="","",IF($E106="红弩箭",Boss参数!$B$80,IF($E106="J",Boss参数!$B$81,IFERROR(INDEX(角色面板!$H$18:$H$21,MATCH($E106,角色面板!$A$18:$A$21,0)),0)))+IF($B106&lt;=$AI106,Boss参数!$B$13,0)+MIN(30,$AM106)*Boss参数!$B$17+IF(AND($L106="LILYA_ULT",$X106&gt;=6),1,0)+IF(AND($Y106=1,$L106="LILYA_INSIGHT"),IF(MOD($AA106+1,3)=0,Boss参数!$B$83,Boss参数!$B$82),IF(AND($Y106=1,$L106="LILYA_FINISH"),Boss参数!$B$84,0))))-FC106*Boss参数!$B$90)</f>
        <v>1.83</v>
      </c>
      <c r="BB106" s="1">
        <f>IF($E106="","",IFERROR(INDEX(角色面板!$M$18:$M$21,MATCH($E106,角色面板!$A$18:$A$21,0)),0)+$AW106*Boss参数!$B$12+IF($B106&lt;=$AG106,$AF106,0)+$EI106+IF($L106="LILYA_DIVE",IF($U106=1,IF($G106=1,0.3,IF($G106=2,0.4,0.5)),IF($U106=2,IF($G106=1,0.6,IF($G106=2,0.8,1)),0)),0)+$R106+IF(AND($E106="J",OR($L106="J_COUNTER",$L106="J_HARD")),Boss参数!$B$79,0)+IF(AND(OR(L106="J_COUNTER",L106="J_HARD"),FA106&gt;=Boss参数!$B$59),FA106*Boss参数!$B$40,0))</f>
        <v>1.2549999999999999</v>
      </c>
      <c r="BC106" s="1">
        <f>IF($E106="","",IFERROR(INDEX(角色面板!$K$18:$K$21,MATCH($E106,角色面板!$A$18:$A$21,0)),0)+IF($B106&lt;=$AH106,Boss参数!$B$46,0)+IF($E106="红弩箭",IF($U106=1,0.6,IF($U106=2,1.2,0))+$W106*0.06,0))-DI106*Boss参数!$B$23</f>
        <v>-0.85000000000000009</v>
      </c>
      <c r="BD106" s="1">
        <f>IF($E106="","",IFERROR(INDEX(角色面板!$L$18:$L$21,MATCH($E106,角色面板!$A$18:$A$21,0)),0)+IF($B106&lt;=$AH106,Boss参数!$B$46,0)+IF($E106="J",$AL106*Boss参数!$B$16,0)+IF($E106="红弩箭",$X106*0.025,0)+IF(AND($L106="LILYA_ULT",$X106&gt;=6),1,0))-DI106*Boss参数!$B$23</f>
        <v>-0.45</v>
      </c>
      <c r="BE106" s="1">
        <f>IF($E106="","",IF($H106="洞知",IF($E106="红弩箭",$AO106*Boss参数!$B$15,0)+$AX106*Boss参数!$B$14,0))</f>
        <v>0</v>
      </c>
      <c r="BF106" s="1">
        <f t="shared" si="71"/>
        <v>0</v>
      </c>
      <c r="BG106" s="1">
        <f>IF($D106="",0,IF(AND($L106&lt;&gt;"LILYA_DIVE",$L106&lt;&gt;"LILYA_ULT",$L106&lt;&gt;"LILYA_INSIGHT",$L106&lt;&gt;"LILYA_FINISH",$L106&lt;&gt;"37_FOLLOW",$L106&lt;&gt;"RHI_ATTACK",$L106&lt;&gt;"RHI_BERRY",$L106&lt;&gt;"J_COUNTER",$L106&lt;&gt;"J_ULT"),$J106,0)+IF($L106="LILYA_DIVE",$J106+IF($U106=1,IF($G106=1,6,IF($G106=2,12,18)),IF($U106=2,IF($G106=1,12,IF($G106=2,24,36)),0)),0)+IF($L106="LILYA_ULT",$J106+IF($X106&gt;=6,18,0),0)+IF($L106="LILYA_INSIGHT",IF($Y106=1,IF(MOD($AA106+1,3)=0,32,15),0),0)+IF($L106="LILYA_FINISH",IF($Y106=1,50+2.5*$Z106,0),0)+IF($L106="37_FOLLOW",$J106,0)+IF($L106="RHI_ATTACK",$J106*IF($B106&lt;=$AJ106,2,1),0)+IF($L106="RHI_BERRY",15+1.5*$AV106,0)+IF($L106="J_COUNTER",$J106+$AD106*Boss参数!$B$39,0)+IF($L106="J_ULT",$J106+Boss参数!$B$45*MAX(0,$AE106+$AD106-Boss参数!$I$4),0)+$S106)</f>
        <v>4</v>
      </c>
      <c r="BH106" s="1">
        <f t="shared" si="72"/>
        <v>0</v>
      </c>
      <c r="BI106" s="1">
        <f>IF(E106="","",IF(DT106=1,1+Boss参数!$B$8+AV106*Boss参数!$B$19,1))</f>
        <v>1.5</v>
      </c>
      <c r="BJ106" s="1">
        <f>IF($I106="现实",Boss参数!$C$4,IF($I106="精神",Boss参数!$D$4,0))</f>
        <v>1000</v>
      </c>
      <c r="BK106" s="1">
        <f>IF($E106="","",MAX($AY106*Boss参数!$B$9,$AY106-$BJ106*(1-$BF106)))</f>
        <v>2298</v>
      </c>
      <c r="BL106" s="1">
        <f>MAX(0,Boss参数!$F$4+IF(DT106=0,Boss参数!$B$27,0)-EJ106)</f>
        <v>0.4</v>
      </c>
      <c r="BM106" s="1">
        <f>Boss参数!$G$4+DU106-IF(Y106=1,Boss参数!$B$11,0)</f>
        <v>0.75</v>
      </c>
      <c r="BN106" s="1">
        <f>IF($E106="","",MAX(Boss参数!$B$10,1+IFERROR(INDEX(角色面板!$I$18:$I$21,MATCH($E106,角色面板!$A$18:$A$21,0)),0)+$BB106+Boss参数!$H$4-$BM106))</f>
        <v>1.54</v>
      </c>
      <c r="BO106" s="1">
        <f>IF(E106="","",IF(OR(L106="J_COUNTER",L106="J_HARD"),MAX(0,1+INDEX(角色面板!$K$18:$K$21,MATCH(E106,角色面板!$A$18:$A$21,0))-DI106*Boss参数!$B$23+IF(OR(Boss参数!$B$43=1,L106="J_HARD"),IF(B106&lt;=AH106,Boss参数!$B$46,0),0)),MAX(0,IF(OR(H106="术法",L106="RHI_BERRY",AND(L106="37_FOLLOW",Boss参数!$B$31=1)),1+BC106,IF(H106="仪式",1+BD106,IF(H106="洞知",EK106,1))))))</f>
        <v>0.14999999999999991</v>
      </c>
      <c r="BP106" s="1">
        <f t="shared" si="73"/>
        <v>1.4300000000000002</v>
      </c>
      <c r="BQ106" s="1">
        <f t="shared" si="74"/>
        <v>3185.0279999999984</v>
      </c>
      <c r="BR106" s="1">
        <f t="shared" si="75"/>
        <v>4554.5900399999982</v>
      </c>
      <c r="BS106" s="1">
        <f>IF(BH106=0,0,ROUNDDOWN(AY106*BH106,0)*DV106*IF(Boss参数!$B$29=1,BN106,1)*IF(Boss参数!$B$33=1,BO106,1)*IF(Boss参数!$B$76=1,1-ES106,1))</f>
        <v>0</v>
      </c>
      <c r="BT106" s="1">
        <f t="shared" si="76"/>
        <v>0</v>
      </c>
      <c r="BU106" s="1">
        <f>IF(D106="",0,MIN(IF(Boss参数!$B$77=1,Boss参数!$B$63*Boss参数!$B$62,Boss参数!$B$61*Boss参数!$B$62),DW106+ROUNDDOWN(BS106,0)+ROUNDDOWN(DW106*Q106,0)))</f>
        <v>1274</v>
      </c>
      <c r="BV106" s="1">
        <f>IF(D106="",0,MIN(IF(Boss参数!$B$77=1,Boss参数!$B$63*Boss参数!$B$62,Boss参数!$B$61*Boss参数!$B$62),DX106+ROUNDDOWN(BT106,0)+ROUNDDOWN(DX106*Q106,0)))</f>
        <v>1821</v>
      </c>
      <c r="BW106" s="1">
        <f t="shared" si="77"/>
        <v>1577</v>
      </c>
      <c r="BX106" s="1" t="str">
        <f t="shared" si="78"/>
        <v/>
      </c>
      <c r="BY106" s="1">
        <f t="shared" si="79"/>
        <v>2</v>
      </c>
      <c r="BZ106" s="1">
        <f t="shared" si="80"/>
        <v>1</v>
      </c>
      <c r="CA106" s="1">
        <f>MIN(10,W106+IF(AND(L106="LILYA_COBRA",COUNTIF($L$3:L106,"LILYA_COBRA")=1),5,0)+IF(AND(L106="LILYA_DIVE",U106=1,COUNTIFS($DG$3:DG106,DG106,$L$3:L106,"LILYA_DIVE")=1),2,0)+IF(AND(FE106=1,U106=1),3,0))</f>
        <v>10</v>
      </c>
      <c r="CB106" s="1">
        <f>MIN(20,MAX(0,X106+IF(L106="LILYA_COBRA",IF(COUNTIF($L$3:L106,"LILYA_COBRA")=1,6,IF(U106=1,MAX(1,G106),IF(U106=2,2*MAX(1,G106),0))),0)+IF(AND(Y106=1,E106="红弩箭",L106&lt;&gt;"ENTER_INSIGHT"),1,0)-IF(AND(L106="LILYA_ULT",X106&gt;=6),6,0)))</f>
        <v>8</v>
      </c>
      <c r="CC106" s="1">
        <f t="shared" si="81"/>
        <v>0</v>
      </c>
      <c r="CD106" s="1">
        <f t="shared" si="82"/>
        <v>0</v>
      </c>
      <c r="CE106" s="1">
        <f t="shared" si="83"/>
        <v>0</v>
      </c>
      <c r="CF106" s="1">
        <f t="shared" si="84"/>
        <v>4</v>
      </c>
      <c r="CG106" s="1">
        <f t="shared" si="85"/>
        <v>0</v>
      </c>
      <c r="CH106" s="1">
        <f>MIN(35,AD106+IF(L106="J_HARD",6,0)+IF(L106="J_COUNTER",Boss参数!$B$30,0))</f>
        <v>35</v>
      </c>
      <c r="CI106" s="1">
        <f>MIN(Boss参数!$I$4,AE106+IF(L106="J_HARD",6,0)+IF(L106="J_ULT",AD106,0)+IF(L106="J_COUNTER",Boss参数!$B$30,0))</f>
        <v>15</v>
      </c>
      <c r="CJ106" s="1">
        <f>IF(L106="J_ULT",AD106*Boss参数!$B$41,IF(B106&lt;=AG106,AF106,0))</f>
        <v>0.875</v>
      </c>
      <c r="CK106" s="1">
        <f t="shared" si="86"/>
        <v>8</v>
      </c>
      <c r="CL106" s="1">
        <f t="shared" si="87"/>
        <v>9</v>
      </c>
      <c r="CM106" s="1">
        <f t="shared" si="88"/>
        <v>8</v>
      </c>
      <c r="CN106" s="1">
        <f t="shared" si="89"/>
        <v>9</v>
      </c>
      <c r="CO106" s="1">
        <f t="shared" si="90"/>
        <v>8</v>
      </c>
      <c r="CP106" s="1">
        <f t="shared" si="91"/>
        <v>3</v>
      </c>
      <c r="CQ106" s="1">
        <f t="shared" si="92"/>
        <v>30</v>
      </c>
      <c r="CR106" s="1">
        <f t="shared" si="93"/>
        <v>6</v>
      </c>
      <c r="CS106" s="1">
        <f t="shared" si="94"/>
        <v>0</v>
      </c>
      <c r="CT106" s="1">
        <f t="shared" si="95"/>
        <v>0.12</v>
      </c>
      <c r="CU106" s="1">
        <f t="shared" si="96"/>
        <v>9</v>
      </c>
      <c r="CV106" s="1">
        <f t="shared" si="97"/>
        <v>0.3</v>
      </c>
      <c r="CW106" s="1">
        <f t="shared" si="98"/>
        <v>9</v>
      </c>
      <c r="CX106" s="1">
        <f t="shared" si="99"/>
        <v>0.3</v>
      </c>
      <c r="CY106" s="1">
        <f t="shared" si="100"/>
        <v>9</v>
      </c>
      <c r="CZ106" s="1"/>
      <c r="DA106" s="1"/>
      <c r="DB106" s="1"/>
      <c r="DC106" s="1"/>
      <c r="DD106" s="1"/>
      <c r="DE106" s="1"/>
      <c r="DF106" s="1"/>
      <c r="DG106" s="1" t="str">
        <f>IF(D106="","",行动模拟!B112)</f>
        <v>7（目击）</v>
      </c>
      <c r="DH106" s="1" t="str">
        <f>IF(L106="END_TURN","回合结束",IF(D106="","",IF(INDEX(回合状态!$C$7:$C$17,MATCH(DG106,回合状态!$A$7:$A$17,0))="洞穿","洞穿",IF(OR(L106="J_COUNTER",L106="BOSS_ACTION",L106="BOSS_CONSERVATIVE"),"敌方",IF(AND(L106="37_FOLLOW",DG106=DG105,DH105="敌方"),"敌方",IF(INDEX(回合状态!$C$7:$C$17,MATCH(DG106,回合状态!$A$7:$A$17,0))="普通","出牌",INDEX(回合状态!$C$7:$C$17,MATCH(DG106,回合状态!$A$7:$A$17,0))))))))</f>
        <v>目击</v>
      </c>
      <c r="DI106" s="1">
        <f t="shared" si="101"/>
        <v>5</v>
      </c>
      <c r="DJ106" s="1">
        <f>IF(D106="",0,MIN(Boss参数!$B$25,IF(OR(AND(DH106="敌方",OR(DH105&lt;&gt;"敌方",DG106&lt;&gt;DG105)),AND(L106="END_TURN",DH106&lt;&gt;"洞穿"),AND(DG106&lt;&gt;DG105,DH105&lt;&gt;"洞穿",L105&lt;&gt;"END_TURN",COUNTIFS($DG$3:DG105,DG105,$DH$3:DH105,"敌方")=0)),EW106,DN105)))</f>
        <v>5</v>
      </c>
      <c r="DK106" s="1">
        <f>IF(D106="",0,MIN(Boss参数!$B$25,IF(OR(AND(DH106="敌方",OR(DH105&lt;&gt;"敌方",DG106&lt;&gt;DG105)),AND(L106="END_TURN",DH106&lt;&gt;"洞穿"),AND(DG106&lt;&gt;DG105,DH105&lt;&gt;"洞穿",L105&lt;&gt;"END_TURN",COUNTIFS($DG$3:DG105,DG105,$DH$3:DH105,"敌方")=0)),EW106,DO105)))</f>
        <v>5</v>
      </c>
      <c r="DL106" s="1">
        <f>IF(D106="",0,MIN(Boss参数!$B$25,IF(OR(AND(DH106="敌方",OR(DH105&lt;&gt;"敌方",DG106&lt;&gt;DG105)),AND(L106="END_TURN",DH106&lt;&gt;"洞穿"),AND(DG106&lt;&gt;DG105,DH105&lt;&gt;"洞穿",L105&lt;&gt;"END_TURN",COUNTIFS($DG$3:DG105,DG105,$DH$3:DH105,"敌方")=0)),EW106,DP105)))</f>
        <v>5</v>
      </c>
      <c r="DM106" s="1">
        <f>IF(D106="",0,MIN(Boss参数!$B$25,IF(OR(AND(DH106="敌方",OR(DH105&lt;&gt;"敌方",DG106&lt;&gt;DG105)),AND(L106="END_TURN",DH106&lt;&gt;"洞穿"),AND(DG106&lt;&gt;DG105,DH105&lt;&gt;"洞穿",L105&lt;&gt;"END_TURN",COUNTIFS($DG$3:DG105,DG105,$DH$3:DH105,"敌方")=0)),EW106,DQ105)))</f>
        <v>0</v>
      </c>
      <c r="DN106" s="1">
        <f>MAX(0,MIN(Boss参数!$B$25,DJ106+DR106)-IF(E106="红弩箭",2*DR106,0))</f>
        <v>5</v>
      </c>
      <c r="DO106" s="1">
        <f>MAX(0,MIN(Boss参数!$B$25,DK106+DR106)-IF(E106="37",2*DR106,0))</f>
        <v>5</v>
      </c>
      <c r="DP106" s="1">
        <f>MAX(0,MIN(Boss参数!$B$25,DL106+DR106)-IF(E106="小瑞安侬",2*DR106,0))</f>
        <v>3</v>
      </c>
      <c r="DQ106" s="1">
        <f>MAX(0,MIN(Boss参数!$B$25,DM106+DR106)-IF(E106="J",2*DR106,0))</f>
        <v>1</v>
      </c>
      <c r="DR106" s="1">
        <f t="shared" si="102"/>
        <v>1</v>
      </c>
      <c r="DS106" s="1">
        <f t="shared" si="103"/>
        <v>1</v>
      </c>
      <c r="DT106" s="1">
        <f>IF(OR(E106="",E106="系统"),0,IF(OR(AND(DS106=1,Boss参数!$B$32=1),L106="RHI_BERRY",OR(AND(INDEX(角色面板!$B$18:$B$21,MATCH(E106,角色面板!$A$18:$A$21,0))="星",Boss参数!$B$4="岩"),AND(INDEX(角色面板!$B$18:$B$21,MATCH(E106,角色面板!$A$18:$A$21,0))="岩",Boss参数!$B$4="兽"),AND(INDEX(角色面板!$B$18:$B$21,MATCH(E106,角色面板!$A$18:$A$21,0))="兽",Boss参数!$B$4="木"),AND(INDEX(角色面板!$B$18:$B$21,MATCH(E106,角色面板!$A$18:$A$21,0))="木",Boss参数!$B$4="星"),AND(INDEX(角色面板!$B$18:$B$21,MATCH(E106,角色面板!$A$18:$A$21,0))="智",Boss参数!$B$4="灵"),AND(INDEX(角色面板!$B$18:$B$21,MATCH(E106,角色面板!$A$18:$A$21,0))="灵",Boss参数!$B$4="智"))),1,0))</f>
        <v>1</v>
      </c>
      <c r="DU106" s="1">
        <f>IF(D106="",0,INDEX(回合状态!$E$7:$E$17,MATCH(DG106,回合状态!$A$7:$A$17,0))+IF(AND(DH106="敌方",OR(INDEX(回合状态!$C$7:$C$17,MATCH(DG106,回合状态!$A$7:$A$17,0))="普通",INDEX(回合状态!$C$7:$C$17,MATCH(DG106,回合状态!$A$7:$A$17,0))="额外")),0.05,0))</f>
        <v>0.35</v>
      </c>
      <c r="DV106" s="1">
        <f>MAX(Boss参数!$B$28,1+IF(AND(E106="37",AC106&gt;0,BH106&gt;0),Boss参数!$B$42,0)-DI106*Boss参数!$B$24+EA106-ER106)</f>
        <v>0</v>
      </c>
      <c r="DW106" s="1">
        <f>MIN(IF(Boss参数!$B$77=1,Boss参数!$B$63*Boss参数!$B$62,Boss参数!$B$61*Boss参数!$B$62),ROUNDDOWN(BQ106*(1-ES106),0))</f>
        <v>1274</v>
      </c>
      <c r="DX106" s="1">
        <f>MIN(IF(Boss参数!$B$77=1,Boss参数!$B$63*Boss参数!$B$62,Boss参数!$B$61*Boss参数!$B$62),ROUNDDOWN(BR106*(1-ES106),0))</f>
        <v>1821</v>
      </c>
      <c r="DY106" s="1">
        <f t="shared" si="135"/>
        <v>250</v>
      </c>
      <c r="DZ106" s="1">
        <f>IF(L106="RHI_ULT",MIN(Boss参数!$B$48,ROUNDDOWN(AY106*Boss参数!$B$47,0)),DY106)</f>
        <v>250</v>
      </c>
      <c r="EA106" s="1">
        <v>0</v>
      </c>
      <c r="EB106" s="1">
        <f t="shared" si="104"/>
        <v>1</v>
      </c>
      <c r="EC106" s="1">
        <f>SUMIFS($EB$3:EB106,$B$3:B106,"&gt;="&amp;MAX(1,B106-2),$B$3:B106,"&lt;="&amp;B106)*Boss参数!$B$51</f>
        <v>12</v>
      </c>
      <c r="ED106" s="1">
        <f>IF(D106="",EG105,IF(AND(DG106&lt;&gt;DG105,DH106&lt;&gt;"洞穿"),MIN(Boss参数!$B$55,EG105+2),EG105))</f>
        <v>1</v>
      </c>
      <c r="EE106" s="1">
        <f t="shared" si="105"/>
        <v>1</v>
      </c>
      <c r="EF106" s="1">
        <f>IF(AND(OR(L106="END_TURN",AND(DH106="敌方",OR(DH105&lt;&gt;"敌方",DG106&lt;&gt;DG105))),SUMIFS($EF$3:EF105,$DG$3:DG105,DG106)=0),MIN(1,MAX(0,ED106-EE106)),0)</f>
        <v>0</v>
      </c>
      <c r="EG106" s="1">
        <f t="shared" si="106"/>
        <v>0</v>
      </c>
      <c r="EH106" s="1">
        <f>Boss参数!$B$53-IF(Y106=1,Boss参数!$B$54,0)</f>
        <v>0</v>
      </c>
      <c r="EI106" s="1">
        <f t="shared" si="107"/>
        <v>0.3</v>
      </c>
      <c r="EJ106" s="1">
        <f t="shared" si="108"/>
        <v>0</v>
      </c>
      <c r="EK106" s="1">
        <f t="shared" si="109"/>
        <v>1</v>
      </c>
      <c r="EL106" s="1">
        <f t="shared" si="136"/>
        <v>0</v>
      </c>
      <c r="EM106" s="1">
        <f>IF(AND(DG106&lt;&gt;DG105,DH106="洞穿"),0,IF(L106="ENTER_INSIGHT",Boss参数!$B$57,EO105))</f>
        <v>0</v>
      </c>
      <c r="EN106" s="1">
        <f>IF(AND(Y106=1,H106="洞知",EM106&gt;0),Boss参数!$B$56,0)</f>
        <v>0</v>
      </c>
      <c r="EO106" s="1">
        <f t="shared" si="110"/>
        <v>0</v>
      </c>
      <c r="EP106" s="1">
        <f t="shared" si="137"/>
        <v>15029089</v>
      </c>
      <c r="EQ106" s="1">
        <f>ROUNDDOWN(EP106/Boss参数!$B$62,0)</f>
        <v>150</v>
      </c>
      <c r="ER106" s="1">
        <f>IF(EQ106&gt;=Boss参数!$B$66,Boss参数!$B$69,IF(EQ106&gt;=Boss参数!$B$65,Boss参数!$B$68,IF(EQ106&gt;=Boss参数!$B$64,Boss参数!$B$67,0)))</f>
        <v>0.9</v>
      </c>
      <c r="ES106" s="1">
        <f>MIN(1,IF(EQ106&gt;=Boss参数!$B$66,Boss参数!$B$72+ROUNDDOWN((EQ106-Boss参数!$B$66)/Boss参数!$B$73,0)*Boss参数!$B$74,IF(EQ106&gt;=Boss参数!$B$65,Boss参数!$B$71,IF(EQ106&gt;=Boss参数!$B$64,Boss参数!$B$70,0))))</f>
        <v>0.6</v>
      </c>
      <c r="ET106" s="1">
        <f>MIN(Boss参数!$B$61*Boss参数!$B$62,EP106+IF(AND(Boss参数!$B$60=1,ISNUMBER(验证表!H112)),验证表!H112,EU106))</f>
        <v>15030910</v>
      </c>
      <c r="EU106" s="1">
        <f>IF(D106="",0,IF(验证表!G112="是",BV106,IF(验证表!G112="否",BU106,BW106)))</f>
        <v>1821</v>
      </c>
      <c r="EV106" s="1">
        <f>IF(EQ106&gt;=Boss参数!$B$66,2,IF(EQ106&gt;=Boss参数!$B$65,1,0))</f>
        <v>2</v>
      </c>
      <c r="EW106" s="1">
        <f t="shared" si="111"/>
        <v>3</v>
      </c>
      <c r="EX106" s="1">
        <f>IF(D106="",0,INDEX(回合状态!$D$7:$D$17,MATCH(DG106,回合状态!$A$7:$A$17,0)))</f>
        <v>7</v>
      </c>
      <c r="EY106" s="1">
        <f>IF(OR(L106="RHI_ATTACK",L106="RHI_BUFF"),1,IF(L106="RHI_ULT",Boss参数!$B$52,0))</f>
        <v>1</v>
      </c>
      <c r="EZ106" s="1">
        <f>MIN(6,SUMIFS($EY$3:EY106,$EX$3:EX106,"&gt;="&amp;MAX(1,EX106-Boss参数!$B$87+1),$EX$3:EX106,"&lt;="&amp;EX106))</f>
        <v>5</v>
      </c>
      <c r="FA106" s="1">
        <f t="shared" si="138"/>
        <v>35</v>
      </c>
      <c r="FB106" s="17">
        <f>IF(L106="BOSS_CONSERVATIVE",B106+Boss参数!$B$91,FB105)</f>
        <v>7</v>
      </c>
      <c r="FC106" s="17">
        <f t="shared" si="139"/>
        <v>0</v>
      </c>
      <c r="FD106" s="17">
        <f>IF(D106="",FD105,FD105+IF(AND(DG106&lt;&gt;DG105,INDEX(回合状态!$C$7:$C$17,MATCH(DG106,回合状态!$A$7:$A$17,0))&lt;&gt;"洞穿"),1,0))</f>
        <v>8</v>
      </c>
      <c r="FE106" s="17">
        <f>IF(D106="",0,IF(AND(OR(L106="END_TURN",DH106="敌方"),INDEX(回合状态!$C$7:$C$17,MATCH(DG106,回合状态!$A$7:$A$17,0))&lt;&gt;"洞穿",SUMIFS($FE$3:FE105,$DG$3:DG105,DG106)=0),1,0))</f>
        <v>0</v>
      </c>
    </row>
    <row r="107" spans="1:161" ht="84.95" customHeight="1">
      <c r="A107" s="1">
        <f>行动模拟!A113</f>
        <v>105</v>
      </c>
      <c r="B107" s="1">
        <f>IF(D107="",0,INDEX(回合状态!$B$7:$B$17,MATCH(DG107,回合状态!$A$7:$A$17,0)))</f>
        <v>7</v>
      </c>
      <c r="C107" s="1">
        <f>行动模拟!C113</f>
        <v>3</v>
      </c>
      <c r="D107" s="1" t="str">
        <f>IF(行动模拟!D113="","",行动模拟!D113)</f>
        <v>J｜飞跃海特街</v>
      </c>
      <c r="E107" s="1" t="str">
        <f>IF($D107="","",IFERROR(INDEX(技能数据库!$B$4:$B$38,MATCH($D107,技能数据库!$A$4:$A$38,0)),""))</f>
        <v>J</v>
      </c>
      <c r="F107" s="1" t="str">
        <f>IF($D107="","",IFERROR(INDEX(技能数据库!$C$4:$C$38,MATCH($D107,技能数据库!$A$4:$A$38,0)),""))</f>
        <v>飞跃海特街</v>
      </c>
      <c r="G107" s="1">
        <f>IF($D107="","",IFERROR(INDEX(技能数据库!$D$4:$D$38,MATCH($D107,技能数据库!$A$4:$A$38,0)),""))</f>
        <v>0</v>
      </c>
      <c r="H107" s="1" t="str">
        <f>IF($D107="","",IFERROR(INDEX(技能数据库!$E$4:$E$38,MATCH($D107,技能数据库!$A$4:$A$38,0)),""))</f>
        <v>仪式</v>
      </c>
      <c r="I107" s="1" t="str">
        <f>IF($D107="","",IFERROR(INDEX(技能数据库!$F$4:$F$38,MATCH($D107,技能数据库!$A$4:$A$38,0)),""))</f>
        <v>现实</v>
      </c>
      <c r="J107" s="1">
        <f>IF($D107="","",IFERROR(INDEX(技能数据库!$G$4:$G$38,MATCH($D107,技能数据库!$A$4:$A$38,0)),""))</f>
        <v>7</v>
      </c>
      <c r="K107" s="1">
        <f>IF($D107="","",IFERROR(INDEX(技能数据库!$H$4:$H$38,MATCH($D107,技能数据库!$A$4:$A$38,0)),""))</f>
        <v>0</v>
      </c>
      <c r="L107" s="1" t="str">
        <f>IF($D107="","",IFERROR(INDEX(技能数据库!$I$4:$I$38,MATCH($D107,技能数据库!$A$4:$A$38,0)),""))</f>
        <v>J_ULT</v>
      </c>
      <c r="M107" s="1">
        <v>1</v>
      </c>
      <c r="N107" s="1"/>
      <c r="O107" s="1"/>
      <c r="P107" s="1"/>
      <c r="Q107" s="1">
        <f t="shared" si="70"/>
        <v>0</v>
      </c>
      <c r="R107" s="1">
        <v>0</v>
      </c>
      <c r="S107" s="1">
        <v>0</v>
      </c>
      <c r="T107" s="1">
        <f>行动模拟!I113</f>
        <v>0</v>
      </c>
      <c r="U107" s="1">
        <f>IF(FD107&lt;&gt;FD106,IF(BY106=1,IF(MIN(10,CA106+IF(AND(DG107&lt;&gt;DG106,DH106&lt;&gt;"洞穿",SUMIFS($FE$3:FE106,$DG$3:DG106,DG106)=0,BY106=1),3,0))&gt;=10,2,1),IF(BY106=2,IF(BZ106&lt;=1,0,2),0)),BY106)</f>
        <v>2</v>
      </c>
      <c r="V107" s="1">
        <f>IF(FD107&lt;&gt;FD106,IF(BY106=1,IF(MIN(10,CA106+IF(AND(DG107&lt;&gt;DG106,DH106&lt;&gt;"洞穿",SUMIFS($FE$3:FE106,$DG$3:DG106,DG106)=0,BY106=1),3,0))&gt;=10,2,0),IF(BY106=2,MAX(0,BZ106-1),0)),BZ106)</f>
        <v>1</v>
      </c>
      <c r="W107" s="1">
        <f>IF(AND(FD107&lt;&gt;FD106,BY106=2,BZ106&lt;=1),0,MIN(10,CA106+IF(AND(DG107&lt;&gt;DG106,DH106&lt;&gt;"洞穿",SUMIFS($FE$3:FE106,$DG$3:DG106,DG106)=0,BY106=1),3,0)))</f>
        <v>10</v>
      </c>
      <c r="X107" s="1">
        <f t="shared" si="112"/>
        <v>8</v>
      </c>
      <c r="Y107" s="1">
        <f t="shared" si="113"/>
        <v>0</v>
      </c>
      <c r="Z107" s="1">
        <f t="shared" si="114"/>
        <v>0</v>
      </c>
      <c r="AA107" s="1">
        <f t="shared" si="115"/>
        <v>0</v>
      </c>
      <c r="AB107" s="1">
        <f t="shared" si="116"/>
        <v>4</v>
      </c>
      <c r="AC107" s="1">
        <f t="shared" si="117"/>
        <v>0</v>
      </c>
      <c r="AD107" s="1">
        <f t="shared" si="118"/>
        <v>35</v>
      </c>
      <c r="AE107" s="1">
        <f>IF(D107="",0,IF(DG107&lt;&gt;DG106,IFERROR(INDEX(回合状态!$F$7:$F$17,MATCH(DG107,回合状态!$A$7:$A$17,0)),0),CI106))</f>
        <v>15</v>
      </c>
      <c r="AF107" s="1">
        <f t="shared" si="119"/>
        <v>0.875</v>
      </c>
      <c r="AG107" s="1">
        <f t="shared" si="120"/>
        <v>8</v>
      </c>
      <c r="AH107" s="1">
        <f t="shared" si="121"/>
        <v>9</v>
      </c>
      <c r="AI107" s="1">
        <f t="shared" si="122"/>
        <v>8</v>
      </c>
      <c r="AJ107" s="1">
        <f t="shared" si="123"/>
        <v>9</v>
      </c>
      <c r="AK107" s="1">
        <f t="shared" si="124"/>
        <v>8</v>
      </c>
      <c r="AL107" s="1">
        <f t="shared" si="125"/>
        <v>3</v>
      </c>
      <c r="AM107" s="1">
        <f t="shared" si="126"/>
        <v>30</v>
      </c>
      <c r="AN107" s="1">
        <f t="shared" si="127"/>
        <v>6</v>
      </c>
      <c r="AO107" s="1">
        <f t="shared" si="128"/>
        <v>0</v>
      </c>
      <c r="AP107" s="1">
        <f t="shared" si="129"/>
        <v>0.12</v>
      </c>
      <c r="AQ107" s="1">
        <f t="shared" si="130"/>
        <v>9</v>
      </c>
      <c r="AR107" s="1">
        <f t="shared" si="131"/>
        <v>0.3</v>
      </c>
      <c r="AS107" s="1">
        <f t="shared" si="132"/>
        <v>9</v>
      </c>
      <c r="AT107" s="1">
        <f t="shared" si="133"/>
        <v>0.3</v>
      </c>
      <c r="AU107" s="1">
        <f t="shared" si="134"/>
        <v>9</v>
      </c>
      <c r="AV107" s="1">
        <f>MIN(5,SUMIFS($EL$3:EL107,$B$3:B107,"&gt;="&amp;MAX(1,B107-2),$B$3:B107,"&lt;="&amp;B107)+EC107)</f>
        <v>5</v>
      </c>
      <c r="AW107" s="1">
        <f>MIN(6,SUMIFS($EY$3:EY106,$EX$3:EX106,"&gt;="&amp;MAX(1,EX107-Boss参数!$B$87+1),$EX$3:EX106,"&lt;="&amp;EX107))</f>
        <v>5</v>
      </c>
      <c r="AX107" s="1">
        <f>MIN(4,COUNTIFS($B$3:$B$106,"&gt;="&amp;MAX(1,$B107-2),$B$3:$B$106,"&lt;="&amp;$B107,$L$3:$L$106,"37_FOLLOW"))</f>
        <v>4</v>
      </c>
      <c r="AY107" s="1">
        <f>IF($E107="","",IF($E107="系统",0,ROUNDDOWN(INDEX(角色面板!$C$4:$C$7,MATCH($E107,角色面板!$A$4:$A$7,0))*(1+INDEX(角色面板!$C$11:$C$14,MATCH($E107,角色面板!$A$11:$A$14,0))+IF($E107="小瑞安侬",MAX(IF($B107&lt;=$AQ107,$AP107,0),IF(AND($L107="RHI_ATTACK",$EE107&gt;0),0.11+0.01*$G107,0)),0)+IF($E107="J",$AD107*Boss参数!$B$18,0))+IF(FD107&lt;=$AN107,MIN(Boss参数!$B$21,ROUNDDOWN(角色面板!$C$19*Boss参数!$B$20,0)),0)+IF(AND($B107&lt;=$AK107,$E107&lt;&gt;"小瑞安侬"),$DY107,0),0)))</f>
        <v>2823</v>
      </c>
      <c r="AZ107" s="1">
        <f>IF($E107="","",MAX(0,MIN(1,IFERROR(INDEX(角色面板!$G$18:$G$21,MATCH($E107,角色面板!$A$18:$A$21,0)),0)-FC107*Boss参数!$B$89-Boss参数!$E$4)))</f>
        <v>0.66700000000000004</v>
      </c>
      <c r="BA107" s="1">
        <f>IF(E107="","",(IF($E107="","",IF($E107="红弩箭",Boss参数!$B$80,IF($E107="J",Boss参数!$B$81,IFERROR(INDEX(角色面板!$H$18:$H$21,MATCH($E107,角色面板!$A$18:$A$21,0)),0)))+IF($B107&lt;=$AI107,Boss参数!$B$13,0)+MIN(30,$AM107)*Boss参数!$B$17+IF(AND($L107="LILYA_ULT",$X107&gt;=6),1,0)+IF(AND($Y107=1,$L107="LILYA_INSIGHT"),IF(MOD($AA107+1,3)=0,Boss参数!$B$83,Boss参数!$B$82),IF(AND($Y107=1,$L107="LILYA_FINISH"),Boss参数!$B$84,0))))-FC107*Boss参数!$B$90)</f>
        <v>1.9969999999999999</v>
      </c>
      <c r="BB107" s="1">
        <f>IF($E107="","",IFERROR(INDEX(角色面板!$M$18:$M$21,MATCH($E107,角色面板!$A$18:$A$21,0)),0)+$AW107*Boss参数!$B$12+IF($B107&lt;=$AG107,$AF107,0)+$EI107+IF($L107="LILYA_DIVE",IF($U107=1,IF($G107=1,0.3,IF($G107=2,0.4,0.5)),IF($U107=2,IF($G107=1,0.6,IF($G107=2,0.8,1)),0)),0)+$R107+IF(AND($E107="J",OR($L107="J_COUNTER",$L107="J_HARD")),Boss参数!$B$79,0)+IF(AND(OR(L107="J_COUNTER",L107="J_HARD"),FA107&gt;=Boss参数!$B$59),FA107*Boss参数!$B$40,0))</f>
        <v>1.355</v>
      </c>
      <c r="BC107" s="1">
        <f>IF($E107="","",IFERROR(INDEX(角色面板!$K$18:$K$21,MATCH($E107,角色面板!$A$18:$A$21,0)),0)+IF($B107&lt;=$AH107,Boss参数!$B$46,0)+IF($E107="红弩箭",IF($U107=1,0.6,IF($U107=2,1.2,0))+$W107*0.06,0))-DI107*Boss参数!$B$23</f>
        <v>-0.25</v>
      </c>
      <c r="BD107" s="1">
        <f>IF($E107="","",IFERROR(INDEX(角色面板!$L$18:$L$21,MATCH($E107,角色面板!$A$18:$A$21,0)),0)+IF($B107&lt;=$AH107,Boss参数!$B$46,0)+IF($E107="J",$AL107*Boss参数!$B$16,0)+IF($E107="红弩箭",$X107*0.025,0)+IF(AND($L107="LILYA_ULT",$X107&gt;=6),1,0))-DI107*Boss参数!$B$23</f>
        <v>0.27</v>
      </c>
      <c r="BE107" s="1">
        <f>IF($E107="","",IF($H107="洞知",IF($E107="红弩箭",$AO107*Boss参数!$B$15,0)+$AX107*Boss参数!$B$14,0))</f>
        <v>0</v>
      </c>
      <c r="BF107" s="1">
        <f t="shared" si="71"/>
        <v>0</v>
      </c>
      <c r="BG107" s="1">
        <f>IF($D107="",0,IF(AND($L107&lt;&gt;"LILYA_DIVE",$L107&lt;&gt;"LILYA_ULT",$L107&lt;&gt;"LILYA_INSIGHT",$L107&lt;&gt;"LILYA_FINISH",$L107&lt;&gt;"37_FOLLOW",$L107&lt;&gt;"RHI_ATTACK",$L107&lt;&gt;"RHI_BERRY",$L107&lt;&gt;"J_COUNTER",$L107&lt;&gt;"J_ULT"),$J107,0)+IF($L107="LILYA_DIVE",$J107+IF($U107=1,IF($G107=1,6,IF($G107=2,12,18)),IF($U107=2,IF($G107=1,12,IF($G107=2,24,36)),0)),0)+IF($L107="LILYA_ULT",$J107+IF($X107&gt;=6,18,0),0)+IF($L107="LILYA_INSIGHT",IF($Y107=1,IF(MOD($AA107+1,3)=0,32,15),0),0)+IF($L107="LILYA_FINISH",IF($Y107=1,50+2.5*$Z107,0),0)+IF($L107="37_FOLLOW",$J107,0)+IF($L107="RHI_ATTACK",$J107*IF($B107&lt;=$AJ107,2,1),0)+IF($L107="RHI_BERRY",15+1.5*$AV107,0)+IF($L107="J_COUNTER",$J107+$AD107*Boss参数!$B$39,0)+IF($L107="J_ULT",$J107+Boss参数!$B$45*MAX(0,$AE107+$AD107-Boss参数!$I$4),0)+$S107)</f>
        <v>27</v>
      </c>
      <c r="BH107" s="1">
        <f t="shared" si="72"/>
        <v>0</v>
      </c>
      <c r="BI107" s="1">
        <f>IF(E107="","",IF(DT107=1,1+Boss参数!$B$8+AV107*Boss参数!$B$19,1))</f>
        <v>1.5</v>
      </c>
      <c r="BJ107" s="1">
        <f>IF($I107="现实",Boss参数!$C$4,IF($I107="精神",Boss参数!$D$4,0))</f>
        <v>1200</v>
      </c>
      <c r="BK107" s="1">
        <f>IF($E107="","",MAX($AY107*Boss参数!$B$9,$AY107-$BJ107*(1-$BF107)))</f>
        <v>1623</v>
      </c>
      <c r="BL107" s="1">
        <f>MAX(0,Boss参数!$F$4+IF(DT107=0,Boss参数!$B$27,0)-EJ107)</f>
        <v>0.10000000000000003</v>
      </c>
      <c r="BM107" s="1">
        <f>Boss参数!$G$4+DU107-IF(Y107=1,Boss参数!$B$11,0)</f>
        <v>0.75</v>
      </c>
      <c r="BN107" s="1">
        <f>IF($E107="","",MAX(Boss参数!$B$10,1+IFERROR(INDEX(角色面板!$I$18:$I$21,MATCH($E107,角色面板!$A$18:$A$21,0)),0)+$BB107+Boss参数!$H$4-$BM107))</f>
        <v>1.63</v>
      </c>
      <c r="BO107" s="1">
        <f>IF(E107="","",IF(OR(L107="J_COUNTER",L107="J_HARD"),MAX(0,1+INDEX(角色面板!$K$18:$K$21,MATCH(E107,角色面板!$A$18:$A$21,0))-DI107*Boss参数!$B$23+IF(OR(Boss参数!$B$43=1,L107="J_HARD"),IF(B107&lt;=AH107,Boss参数!$B$46,0),0)),MAX(0,IF(OR(H107="术法",L107="RHI_BERRY",AND(L107="37_FOLLOW",Boss参数!$B$31=1)),1+BC107,IF(H107="仪式",1+BD107,IF(H107="洞知",EK107,1))))))</f>
        <v>1.27</v>
      </c>
      <c r="BP107" s="1">
        <f t="shared" si="73"/>
        <v>1.8969999999999998</v>
      </c>
      <c r="BQ107" s="1">
        <f t="shared" si="74"/>
        <v>136070.77814999997</v>
      </c>
      <c r="BR107" s="1">
        <f t="shared" si="75"/>
        <v>258126.26615054993</v>
      </c>
      <c r="BS107" s="1">
        <f>IF(BH107=0,0,ROUNDDOWN(AY107*BH107,0)*DV107*IF(Boss参数!$B$29=1,BN107,1)*IF(Boss参数!$B$33=1,BO107,1)*IF(Boss参数!$B$76=1,1-ES107,1))</f>
        <v>0</v>
      </c>
      <c r="BT107" s="1">
        <f t="shared" si="76"/>
        <v>0</v>
      </c>
      <c r="BU107" s="1">
        <f>IF(D107="",0,MIN(IF(Boss参数!$B$77=1,Boss参数!$B$63*Boss参数!$B$62,Boss参数!$B$61*Boss参数!$B$62),DW107+ROUNDDOWN(BS107,0)+ROUNDDOWN(DW107*Q107,0)))</f>
        <v>54428</v>
      </c>
      <c r="BV107" s="1">
        <f>IF(D107="",0,MIN(IF(Boss参数!$B$77=1,Boss参数!$B$63*Boss参数!$B$62,Boss参数!$B$61*Boss参数!$B$62),DX107+ROUNDDOWN(BT107,0)+ROUNDDOWN(DX107*Q107,0)))</f>
        <v>103250</v>
      </c>
      <c r="BW107" s="1">
        <f t="shared" si="77"/>
        <v>86992</v>
      </c>
      <c r="BX107" s="1" t="str">
        <f t="shared" si="78"/>
        <v/>
      </c>
      <c r="BY107" s="1">
        <f t="shared" si="79"/>
        <v>2</v>
      </c>
      <c r="BZ107" s="1">
        <f t="shared" si="80"/>
        <v>1</v>
      </c>
      <c r="CA107" s="1">
        <f>MIN(10,W107+IF(AND(L107="LILYA_COBRA",COUNTIF($L$3:L107,"LILYA_COBRA")=1),5,0)+IF(AND(L107="LILYA_DIVE",U107=1,COUNTIFS($DG$3:DG107,DG107,$L$3:L107,"LILYA_DIVE")=1),2,0)+IF(AND(FE107=1,U107=1),3,0))</f>
        <v>10</v>
      </c>
      <c r="CB107" s="1">
        <f>MIN(20,MAX(0,X107+IF(L107="LILYA_COBRA",IF(COUNTIF($L$3:L107,"LILYA_COBRA")=1,6,IF(U107=1,MAX(1,G107),IF(U107=2,2*MAX(1,G107),0))),0)+IF(AND(Y107=1,E107="红弩箭",L107&lt;&gt;"ENTER_INSIGHT"),1,0)-IF(AND(L107="LILYA_ULT",X107&gt;=6),6,0)))</f>
        <v>8</v>
      </c>
      <c r="CC107" s="1">
        <f t="shared" si="81"/>
        <v>0</v>
      </c>
      <c r="CD107" s="1">
        <f t="shared" si="82"/>
        <v>0</v>
      </c>
      <c r="CE107" s="1">
        <f t="shared" si="83"/>
        <v>0</v>
      </c>
      <c r="CF107" s="1">
        <f t="shared" si="84"/>
        <v>5</v>
      </c>
      <c r="CG107" s="1">
        <f t="shared" si="85"/>
        <v>0</v>
      </c>
      <c r="CH107" s="1">
        <f>MIN(35,AD107+IF(L107="J_HARD",6,0)+IF(L107="J_COUNTER",Boss参数!$B$30,0))</f>
        <v>35</v>
      </c>
      <c r="CI107" s="1">
        <f>MIN(Boss参数!$I$4,AE107+IF(L107="J_HARD",6,0)+IF(L107="J_ULT",AD107,0)+IF(L107="J_COUNTER",Boss参数!$B$30,0))</f>
        <v>30</v>
      </c>
      <c r="CJ107" s="1">
        <f>IF(L107="J_ULT",AD107*Boss参数!$B$41,IF(B107&lt;=AG107,AF107,0))</f>
        <v>0.875</v>
      </c>
      <c r="CK107" s="1">
        <f t="shared" si="86"/>
        <v>9</v>
      </c>
      <c r="CL107" s="1">
        <f t="shared" si="87"/>
        <v>9</v>
      </c>
      <c r="CM107" s="1">
        <f t="shared" si="88"/>
        <v>8</v>
      </c>
      <c r="CN107" s="1">
        <f t="shared" si="89"/>
        <v>9</v>
      </c>
      <c r="CO107" s="1">
        <f t="shared" si="90"/>
        <v>8</v>
      </c>
      <c r="CP107" s="1">
        <f t="shared" si="91"/>
        <v>3</v>
      </c>
      <c r="CQ107" s="1">
        <f t="shared" si="92"/>
        <v>30</v>
      </c>
      <c r="CR107" s="1">
        <f t="shared" si="93"/>
        <v>6</v>
      </c>
      <c r="CS107" s="1">
        <f t="shared" si="94"/>
        <v>0</v>
      </c>
      <c r="CT107" s="1">
        <f t="shared" si="95"/>
        <v>0.12</v>
      </c>
      <c r="CU107" s="1">
        <f t="shared" si="96"/>
        <v>9</v>
      </c>
      <c r="CV107" s="1">
        <f t="shared" si="97"/>
        <v>0.3</v>
      </c>
      <c r="CW107" s="1">
        <f t="shared" si="98"/>
        <v>9</v>
      </c>
      <c r="CX107" s="1">
        <f t="shared" si="99"/>
        <v>0.3</v>
      </c>
      <c r="CY107" s="1">
        <f t="shared" si="100"/>
        <v>9</v>
      </c>
      <c r="CZ107" s="1"/>
      <c r="DA107" s="1"/>
      <c r="DB107" s="1"/>
      <c r="DC107" s="1"/>
      <c r="DD107" s="1"/>
      <c r="DE107" s="1"/>
      <c r="DF107" s="1"/>
      <c r="DG107" s="1" t="str">
        <f>IF(D107="","",行动模拟!B113)</f>
        <v>7（目击）</v>
      </c>
      <c r="DH107" s="1" t="str">
        <f>IF(L107="END_TURN","回合结束",IF(D107="","",IF(INDEX(回合状态!$C$7:$C$17,MATCH(DG107,回合状态!$A$7:$A$17,0))="洞穿","洞穿",IF(OR(L107="J_COUNTER",L107="BOSS_ACTION",L107="BOSS_CONSERVATIVE"),"敌方",IF(AND(L107="37_FOLLOW",DG107=DG106,DH106="敌方"),"敌方",IF(INDEX(回合状态!$C$7:$C$17,MATCH(DG107,回合状态!$A$7:$A$17,0))="普通","出牌",INDEX(回合状态!$C$7:$C$17,MATCH(DG107,回合状态!$A$7:$A$17,0))))))))</f>
        <v>目击</v>
      </c>
      <c r="DI107" s="1">
        <f t="shared" si="101"/>
        <v>1</v>
      </c>
      <c r="DJ107" s="1">
        <f>IF(D107="",0,MIN(Boss参数!$B$25,IF(OR(AND(DH107="敌方",OR(DH106&lt;&gt;"敌方",DG107&lt;&gt;DG106)),AND(L107="END_TURN",DH107&lt;&gt;"洞穿"),AND(DG107&lt;&gt;DG106,DH106&lt;&gt;"洞穿",L106&lt;&gt;"END_TURN",COUNTIFS($DG$3:DG106,DG106,$DH$3:DH106,"敌方")=0)),EW107,DN106)))</f>
        <v>5</v>
      </c>
      <c r="DK107" s="1">
        <f>IF(D107="",0,MIN(Boss参数!$B$25,IF(OR(AND(DH107="敌方",OR(DH106&lt;&gt;"敌方",DG107&lt;&gt;DG106)),AND(L107="END_TURN",DH107&lt;&gt;"洞穿"),AND(DG107&lt;&gt;DG106,DH106&lt;&gt;"洞穿",L106&lt;&gt;"END_TURN",COUNTIFS($DG$3:DG106,DG106,$DH$3:DH106,"敌方")=0)),EW107,DO106)))</f>
        <v>5</v>
      </c>
      <c r="DL107" s="1">
        <f>IF(D107="",0,MIN(Boss参数!$B$25,IF(OR(AND(DH107="敌方",OR(DH106&lt;&gt;"敌方",DG107&lt;&gt;DG106)),AND(L107="END_TURN",DH107&lt;&gt;"洞穿"),AND(DG107&lt;&gt;DG106,DH106&lt;&gt;"洞穿",L106&lt;&gt;"END_TURN",COUNTIFS($DG$3:DG106,DG106,$DH$3:DH106,"敌方")=0)),EW107,DP106)))</f>
        <v>3</v>
      </c>
      <c r="DM107" s="1">
        <f>IF(D107="",0,MIN(Boss参数!$B$25,IF(OR(AND(DH107="敌方",OR(DH106&lt;&gt;"敌方",DG107&lt;&gt;DG106)),AND(L107="END_TURN",DH107&lt;&gt;"洞穿"),AND(DG107&lt;&gt;DG106,DH106&lt;&gt;"洞穿",L106&lt;&gt;"END_TURN",COUNTIFS($DG$3:DG106,DG106,$DH$3:DH106,"敌方")=0)),EW107,DQ106)))</f>
        <v>1</v>
      </c>
      <c r="DN107" s="1">
        <f>MAX(0,MIN(Boss参数!$B$25,DJ107+DR107)-IF(E107="红弩箭",2*DR107,0))</f>
        <v>5</v>
      </c>
      <c r="DO107" s="1">
        <f>MAX(0,MIN(Boss参数!$B$25,DK107+DR107)-IF(E107="37",2*DR107,0))</f>
        <v>5</v>
      </c>
      <c r="DP107" s="1">
        <f>MAX(0,MIN(Boss参数!$B$25,DL107+DR107)-IF(E107="小瑞安侬",2*DR107,0))</f>
        <v>4</v>
      </c>
      <c r="DQ107" s="1">
        <f>MAX(0,MIN(Boss参数!$B$25,DM107+DR107)-IF(E107="J",2*DR107,0))</f>
        <v>0</v>
      </c>
      <c r="DR107" s="1">
        <f t="shared" si="102"/>
        <v>1</v>
      </c>
      <c r="DS107" s="1">
        <f t="shared" si="103"/>
        <v>1</v>
      </c>
      <c r="DT107" s="1">
        <f>IF(OR(E107="",E107="系统"),0,IF(OR(AND(DS107=1,Boss参数!$B$32=1),L107="RHI_BERRY",OR(AND(INDEX(角色面板!$B$18:$B$21,MATCH(E107,角色面板!$A$18:$A$21,0))="星",Boss参数!$B$4="岩"),AND(INDEX(角色面板!$B$18:$B$21,MATCH(E107,角色面板!$A$18:$A$21,0))="岩",Boss参数!$B$4="兽"),AND(INDEX(角色面板!$B$18:$B$21,MATCH(E107,角色面板!$A$18:$A$21,0))="兽",Boss参数!$B$4="木"),AND(INDEX(角色面板!$B$18:$B$21,MATCH(E107,角色面板!$A$18:$A$21,0))="木",Boss参数!$B$4="星"),AND(INDEX(角色面板!$B$18:$B$21,MATCH(E107,角色面板!$A$18:$A$21,0))="智",Boss参数!$B$4="灵"),AND(INDEX(角色面板!$B$18:$B$21,MATCH(E107,角色面板!$A$18:$A$21,0))="灵",Boss参数!$B$4="智"))),1,0))</f>
        <v>1</v>
      </c>
      <c r="DU107" s="1">
        <f>IF(D107="",0,INDEX(回合状态!$E$7:$E$17,MATCH(DG107,回合状态!$A$7:$A$17,0))+IF(AND(DH107="敌方",OR(INDEX(回合状态!$C$7:$C$17,MATCH(DG107,回合状态!$A$7:$A$17,0))="普通",INDEX(回合状态!$C$7:$C$17,MATCH(DG107,回合状态!$A$7:$A$17,0))="额外")),0.05,0))</f>
        <v>0.35</v>
      </c>
      <c r="DV107" s="1">
        <f>MAX(Boss参数!$B$28,1+IF(AND(E107="37",AC107&gt;0,BH107&gt;0),Boss参数!$B$42,0)-DI107*Boss参数!$B$24+EA107-ER107)</f>
        <v>0</v>
      </c>
      <c r="DW107" s="1">
        <f>MIN(IF(Boss参数!$B$77=1,Boss参数!$B$63*Boss参数!$B$62,Boss参数!$B$61*Boss参数!$B$62),ROUNDDOWN(BQ107*(1-ES107),0))</f>
        <v>54428</v>
      </c>
      <c r="DX107" s="1">
        <f>MIN(IF(Boss参数!$B$77=1,Boss参数!$B$63*Boss参数!$B$62,Boss参数!$B$61*Boss参数!$B$62),ROUNDDOWN(BR107*(1-ES107),0))</f>
        <v>103250</v>
      </c>
      <c r="DY107" s="1">
        <f t="shared" si="135"/>
        <v>250</v>
      </c>
      <c r="DZ107" s="1">
        <f>IF(L107="RHI_ULT",MIN(Boss参数!$B$48,ROUNDDOWN(AY107*Boss参数!$B$47,0)),DY107)</f>
        <v>250</v>
      </c>
      <c r="EA107" s="1">
        <v>0</v>
      </c>
      <c r="EB107" s="1">
        <f t="shared" si="104"/>
        <v>0</v>
      </c>
      <c r="EC107" s="1">
        <f>SUMIFS($EB$3:EB107,$B$3:B107,"&gt;="&amp;MAX(1,B107-2),$B$3:B107,"&lt;="&amp;B107)*Boss参数!$B$51</f>
        <v>12</v>
      </c>
      <c r="ED107" s="1">
        <f>IF(D107="",EG106,IF(AND(DG107&lt;&gt;DG106,DH107&lt;&gt;"洞穿"),MIN(Boss参数!$B$55,EG106+2),EG106))</f>
        <v>0</v>
      </c>
      <c r="EE107" s="1">
        <f t="shared" si="105"/>
        <v>0</v>
      </c>
      <c r="EF107" s="1">
        <f>IF(AND(OR(L107="END_TURN",AND(DH107="敌方",OR(DH106&lt;&gt;"敌方",DG107&lt;&gt;DG106))),SUMIFS($EF$3:EF106,$DG$3:DG106,DG107)=0),MIN(1,MAX(0,ED107-EE107)),0)</f>
        <v>0</v>
      </c>
      <c r="EG107" s="1">
        <f t="shared" si="106"/>
        <v>0</v>
      </c>
      <c r="EH107" s="1">
        <f>Boss参数!$B$53-IF(Y107=1,Boss参数!$B$54,0)</f>
        <v>0</v>
      </c>
      <c r="EI107" s="1">
        <f t="shared" si="107"/>
        <v>0.3</v>
      </c>
      <c r="EJ107" s="1">
        <f t="shared" si="108"/>
        <v>0.3</v>
      </c>
      <c r="EK107" s="1">
        <f t="shared" si="109"/>
        <v>1</v>
      </c>
      <c r="EL107" s="1">
        <f t="shared" si="136"/>
        <v>0</v>
      </c>
      <c r="EM107" s="1">
        <f>IF(AND(DG107&lt;&gt;DG106,DH107="洞穿"),0,IF(L107="ENTER_INSIGHT",Boss参数!$B$57,EO106))</f>
        <v>0</v>
      </c>
      <c r="EN107" s="1">
        <f>IF(AND(Y107=1,H107="洞知",EM107&gt;0),Boss参数!$B$56,0)</f>
        <v>0</v>
      </c>
      <c r="EO107" s="1">
        <f t="shared" si="110"/>
        <v>0</v>
      </c>
      <c r="EP107" s="1">
        <f t="shared" si="137"/>
        <v>15030910</v>
      </c>
      <c r="EQ107" s="1">
        <f>ROUNDDOWN(EP107/Boss参数!$B$62,0)</f>
        <v>150</v>
      </c>
      <c r="ER107" s="1">
        <f>IF(EQ107&gt;=Boss参数!$B$66,Boss参数!$B$69,IF(EQ107&gt;=Boss参数!$B$65,Boss参数!$B$68,IF(EQ107&gt;=Boss参数!$B$64,Boss参数!$B$67,0)))</f>
        <v>0.9</v>
      </c>
      <c r="ES107" s="1">
        <f>MIN(1,IF(EQ107&gt;=Boss参数!$B$66,Boss参数!$B$72+ROUNDDOWN((EQ107-Boss参数!$B$66)/Boss参数!$B$73,0)*Boss参数!$B$74,IF(EQ107&gt;=Boss参数!$B$65,Boss参数!$B$71,IF(EQ107&gt;=Boss参数!$B$64,Boss参数!$B$70,0))))</f>
        <v>0.6</v>
      </c>
      <c r="ET107" s="1">
        <f>MIN(Boss参数!$B$61*Boss参数!$B$62,EP107+IF(AND(Boss参数!$B$60=1,ISNUMBER(验证表!H113)),验证表!H113,EU107))</f>
        <v>15134160</v>
      </c>
      <c r="EU107" s="1">
        <f>IF(D107="",0,IF(验证表!G113="是",BV107,IF(验证表!G113="否",BU107,BW107)))</f>
        <v>103250</v>
      </c>
      <c r="EV107" s="1">
        <f>IF(EQ107&gt;=Boss参数!$B$66,2,IF(EQ107&gt;=Boss参数!$B$65,1,0))</f>
        <v>2</v>
      </c>
      <c r="EW107" s="1">
        <f t="shared" si="111"/>
        <v>3</v>
      </c>
      <c r="EX107" s="1">
        <f>IF(D107="",0,INDEX(回合状态!$D$7:$D$17,MATCH(DG107,回合状态!$A$7:$A$17,0)))</f>
        <v>7</v>
      </c>
      <c r="EY107" s="1">
        <f>IF(OR(L107="RHI_ATTACK",L107="RHI_BUFF"),1,IF(L107="RHI_ULT",Boss参数!$B$52,0))</f>
        <v>0</v>
      </c>
      <c r="EZ107" s="1">
        <f>MIN(6,SUMIFS($EY$3:EY107,$EX$3:EX107,"&gt;="&amp;MAX(1,EX107-Boss参数!$B$87+1),$EX$3:EX107,"&lt;="&amp;EX107))</f>
        <v>5</v>
      </c>
      <c r="FA107" s="1">
        <f t="shared" si="138"/>
        <v>35</v>
      </c>
      <c r="FB107" s="17">
        <f>IF(L107="BOSS_CONSERVATIVE",B107+Boss参数!$B$91,FB106)</f>
        <v>7</v>
      </c>
      <c r="FC107" s="17">
        <f t="shared" si="139"/>
        <v>0</v>
      </c>
      <c r="FD107" s="17">
        <f>IF(D107="",FD106,FD106+IF(AND(DG107&lt;&gt;DG106,INDEX(回合状态!$C$7:$C$17,MATCH(DG107,回合状态!$A$7:$A$17,0))&lt;&gt;"洞穿"),1,0))</f>
        <v>8</v>
      </c>
      <c r="FE107" s="17">
        <f>IF(D107="",0,IF(AND(OR(L107="END_TURN",DH107="敌方"),INDEX(回合状态!$C$7:$C$17,MATCH(DG107,回合状态!$A$7:$A$17,0))&lt;&gt;"洞穿",SUMIFS($FE$3:FE106,$DG$3:DG106,DG107)=0),1,0))</f>
        <v>0</v>
      </c>
    </row>
    <row r="108" spans="1:161" ht="84.95" customHeight="1">
      <c r="A108" s="1">
        <f>行动模拟!A114</f>
        <v>106</v>
      </c>
      <c r="B108" s="1">
        <f>IF(D108="",0,INDEX(回合状态!$B$7:$B$17,MATCH(DG108,回合状态!$A$7:$A$17,0)))</f>
        <v>7</v>
      </c>
      <c r="C108" s="1">
        <f>行动模拟!C114</f>
        <v>4</v>
      </c>
      <c r="D108" s="1" t="str">
        <f>IF(行动模拟!D114="","",行动模拟!D114)</f>
        <v>37｜补充算式</v>
      </c>
      <c r="E108" s="1" t="str">
        <f>IF($D108="","",IFERROR(INDEX(技能数据库!$B$4:$B$38,MATCH($D108,技能数据库!$A$4:$A$38,0)),""))</f>
        <v>37</v>
      </c>
      <c r="F108" s="1" t="str">
        <f>IF($D108="","",IFERROR(INDEX(技能数据库!$C$4:$C$38,MATCH($D108,技能数据库!$A$4:$A$38,0)),""))</f>
        <v>补充算式</v>
      </c>
      <c r="G108" s="1">
        <f>IF($D108="","",IFERROR(INDEX(技能数据库!$D$4:$D$38,MATCH($D108,技能数据库!$A$4:$A$38,0)),""))</f>
        <v>0</v>
      </c>
      <c r="H108" s="1" t="str">
        <f>IF($D108="","",IFERROR(INDEX(技能数据库!$E$4:$E$38,MATCH($D108,技能数据库!$A$4:$A$38,0)),""))</f>
        <v>额外行动</v>
      </c>
      <c r="I108" s="1" t="str">
        <f>IF($D108="","",IFERROR(INDEX(技能数据库!$F$4:$F$38,MATCH($D108,技能数据库!$A$4:$A$38,0)),""))</f>
        <v>精神</v>
      </c>
      <c r="J108" s="1">
        <f>IF($D108="","",IFERROR(INDEX(技能数据库!$G$4:$G$38,MATCH($D108,技能数据库!$A$4:$A$38,0)),""))</f>
        <v>3</v>
      </c>
      <c r="K108" s="1">
        <f>IF($D108="","",IFERROR(INDEX(技能数据库!$H$4:$H$38,MATCH($D108,技能数据库!$A$4:$A$38,0)),""))</f>
        <v>1</v>
      </c>
      <c r="L108" s="1" t="str">
        <f>IF($D108="","",IFERROR(INDEX(技能数据库!$I$4:$I$38,MATCH($D108,技能数据库!$A$4:$A$38,0)),""))</f>
        <v>37_FOLLOW</v>
      </c>
      <c r="M108" s="1">
        <v>1</v>
      </c>
      <c r="N108" s="1"/>
      <c r="O108" s="1"/>
      <c r="P108" s="1"/>
      <c r="Q108" s="1">
        <f t="shared" si="70"/>
        <v>0</v>
      </c>
      <c r="R108" s="1">
        <v>0</v>
      </c>
      <c r="S108" s="1">
        <v>0</v>
      </c>
      <c r="T108" s="1">
        <f>行动模拟!I114</f>
        <v>0</v>
      </c>
      <c r="U108" s="1">
        <f>IF(FD108&lt;&gt;FD107,IF(BY107=1,IF(MIN(10,CA107+IF(AND(DG108&lt;&gt;DG107,DH107&lt;&gt;"洞穿",SUMIFS($FE$3:FE107,$DG$3:DG107,DG107)=0,BY107=1),3,0))&gt;=10,2,1),IF(BY107=2,IF(BZ107&lt;=1,0,2),0)),BY107)</f>
        <v>2</v>
      </c>
      <c r="V108" s="1">
        <f>IF(FD108&lt;&gt;FD107,IF(BY107=1,IF(MIN(10,CA107+IF(AND(DG108&lt;&gt;DG107,DH107&lt;&gt;"洞穿",SUMIFS($FE$3:FE107,$DG$3:DG107,DG107)=0,BY107=1),3,0))&gt;=10,2,0),IF(BY107=2,MAX(0,BZ107-1),0)),BZ107)</f>
        <v>1</v>
      </c>
      <c r="W108" s="1">
        <f>IF(AND(FD108&lt;&gt;FD107,BY107=2,BZ107&lt;=1),0,MIN(10,CA107+IF(AND(DG108&lt;&gt;DG107,DH107&lt;&gt;"洞穿",SUMIFS($FE$3:FE107,$DG$3:DG107,DG107)=0,BY107=1),3,0)))</f>
        <v>10</v>
      </c>
      <c r="X108" s="1">
        <f t="shared" si="112"/>
        <v>8</v>
      </c>
      <c r="Y108" s="1">
        <f t="shared" si="113"/>
        <v>0</v>
      </c>
      <c r="Z108" s="1">
        <f t="shared" si="114"/>
        <v>0</v>
      </c>
      <c r="AA108" s="1">
        <f t="shared" si="115"/>
        <v>0</v>
      </c>
      <c r="AB108" s="1">
        <f t="shared" si="116"/>
        <v>5</v>
      </c>
      <c r="AC108" s="1">
        <f t="shared" si="117"/>
        <v>0</v>
      </c>
      <c r="AD108" s="1">
        <f t="shared" si="118"/>
        <v>35</v>
      </c>
      <c r="AE108" s="1">
        <f>IF(D108="",0,IF(DG108&lt;&gt;DG107,IFERROR(INDEX(回合状态!$F$7:$F$17,MATCH(DG108,回合状态!$A$7:$A$17,0)),0),CI107))</f>
        <v>30</v>
      </c>
      <c r="AF108" s="1">
        <f t="shared" si="119"/>
        <v>0.875</v>
      </c>
      <c r="AG108" s="1">
        <f t="shared" si="120"/>
        <v>9</v>
      </c>
      <c r="AH108" s="1">
        <f t="shared" si="121"/>
        <v>9</v>
      </c>
      <c r="AI108" s="1">
        <f t="shared" si="122"/>
        <v>8</v>
      </c>
      <c r="AJ108" s="1">
        <f t="shared" si="123"/>
        <v>9</v>
      </c>
      <c r="AK108" s="1">
        <f t="shared" si="124"/>
        <v>8</v>
      </c>
      <c r="AL108" s="1">
        <f t="shared" si="125"/>
        <v>3</v>
      </c>
      <c r="AM108" s="1">
        <f t="shared" si="126"/>
        <v>30</v>
      </c>
      <c r="AN108" s="1">
        <f t="shared" si="127"/>
        <v>6</v>
      </c>
      <c r="AO108" s="1">
        <f t="shared" si="128"/>
        <v>0</v>
      </c>
      <c r="AP108" s="1">
        <f t="shared" si="129"/>
        <v>0.12</v>
      </c>
      <c r="AQ108" s="1">
        <f t="shared" si="130"/>
        <v>9</v>
      </c>
      <c r="AR108" s="1">
        <f t="shared" si="131"/>
        <v>0.3</v>
      </c>
      <c r="AS108" s="1">
        <f t="shared" si="132"/>
        <v>9</v>
      </c>
      <c r="AT108" s="1">
        <f t="shared" si="133"/>
        <v>0.3</v>
      </c>
      <c r="AU108" s="1">
        <f t="shared" si="134"/>
        <v>9</v>
      </c>
      <c r="AV108" s="1">
        <f>MIN(5,SUMIFS($EL$3:EL108,$B$3:B108,"&gt;="&amp;MAX(1,B108-2),$B$3:B108,"&lt;="&amp;B108)+EC108)</f>
        <v>5</v>
      </c>
      <c r="AW108" s="1">
        <f>MIN(6,SUMIFS($EY$3:EY107,$EX$3:EX107,"&gt;="&amp;MAX(1,EX108-Boss参数!$B$87+1),$EX$3:EX107,"&lt;="&amp;EX108))</f>
        <v>5</v>
      </c>
      <c r="AX108" s="1">
        <f>MIN(4,COUNTIFS($B$3:$B$107,"&gt;="&amp;MAX(1,$B108-2),$B$3:$B$107,"&lt;="&amp;$B108,$L$3:$L$107,"37_FOLLOW"))</f>
        <v>4</v>
      </c>
      <c r="AY108" s="1">
        <f>IF($E108="","",IF($E108="系统",0,ROUNDDOWN(INDEX(角色面板!$C$4:$C$7,MATCH($E108,角色面板!$A$4:$A$7,0))*(1+INDEX(角色面板!$C$11:$C$14,MATCH($E108,角色面板!$A$11:$A$14,0))+IF($E108="小瑞安侬",MAX(IF($B108&lt;=$AQ108,$AP108,0),IF(AND($L108="RHI_ATTACK",$EE108&gt;0),0.11+0.01*$G108,0)),0)+IF($E108="J",$AD108*Boss参数!$B$18,0))+IF(FD108&lt;=$AN108,MIN(Boss参数!$B$21,ROUNDDOWN(角色面板!$C$19*Boss参数!$B$20,0)),0)+IF(AND($B108&lt;=$AK108,$E108&lt;&gt;"小瑞安侬"),$DY108,0),0)))</f>
        <v>3017</v>
      </c>
      <c r="AZ108" s="1">
        <f>IF($E108="","",MAX(0,MIN(1,IFERROR(INDEX(角色面板!$G$18:$G$21,MATCH($E108,角色面板!$A$18:$A$21,0)),0)-FC108*Boss参数!$B$89-Boss参数!$E$4)))</f>
        <v>0.26</v>
      </c>
      <c r="BA108" s="1">
        <f>IF(E108="","",(IF($E108="","",IF($E108="红弩箭",Boss参数!$B$80,IF($E108="J",Boss参数!$B$81,IFERROR(INDEX(角色面板!$H$18:$H$21,MATCH($E108,角色面板!$A$18:$A$21,0)),0)))+IF($B108&lt;=$AI108,Boss参数!$B$13,0)+MIN(30,$AM108)*Boss参数!$B$17+IF(AND($L108="LILYA_ULT",$X108&gt;=6),1,0)+IF(AND($Y108=1,$L108="LILYA_INSIGHT"),IF(MOD($AA108+1,3)=0,Boss参数!$B$83,Boss参数!$B$82),IF(AND($Y108=1,$L108="LILYA_FINISH"),Boss参数!$B$84,0))))-FC108*Boss参数!$B$90)</f>
        <v>1.7780000000000002</v>
      </c>
      <c r="BB108" s="1">
        <f>IF($E108="","",IFERROR(INDEX(角色面板!$M$18:$M$21,MATCH($E108,角色面板!$A$18:$A$21,0)),0)+$AW108*Boss参数!$B$12+IF($B108&lt;=$AG108,$AF108,0)+$EI108+IF($L108="LILYA_DIVE",IF($U108=1,IF($G108=1,0.3,IF($G108=2,0.4,0.5)),IF($U108=2,IF($G108=1,0.6,IF($G108=2,0.8,1)),0)),0)+$R108+IF(AND($E108="J",OR($L108="J_COUNTER",$L108="J_HARD")),Boss参数!$B$79,0)+IF(AND(OR(L108="J_COUNTER",L108="J_HARD"),FA108&gt;=Boss参数!$B$59),FA108*Boss参数!$B$40,0))</f>
        <v>1.2749999999999999</v>
      </c>
      <c r="BC108" s="1">
        <f>IF($E108="","",IFERROR(INDEX(角色面板!$K$18:$K$21,MATCH($E108,角色面板!$A$18:$A$21,0)),0)+IF($B108&lt;=$AH108,Boss参数!$B$46,0)+IF($E108="红弩箭",IF($U108=1,0.6,IF($U108=2,1.2,0))+$W108*0.06,0))-DI108*Boss参数!$B$23</f>
        <v>-0.85000000000000009</v>
      </c>
      <c r="BD108" s="1">
        <f>IF($E108="","",IFERROR(INDEX(角色面板!$L$18:$L$21,MATCH($E108,角色面板!$A$18:$A$21,0)),0)+IF($B108&lt;=$AH108,Boss参数!$B$46,0)+IF($E108="J",$AL108*Boss参数!$B$16,0)+IF($E108="红弩箭",$X108*0.025,0)+IF(AND($L108="LILYA_ULT",$X108&gt;=6),1,0))-DI108*Boss参数!$B$23</f>
        <v>-0.45</v>
      </c>
      <c r="BE108" s="1">
        <f>IF($E108="","",IF($H108="洞知",IF($E108="红弩箭",$AO108*Boss参数!$B$15,0)+$AX108*Boss参数!$B$14,0))</f>
        <v>0</v>
      </c>
      <c r="BF108" s="1">
        <f t="shared" si="71"/>
        <v>0</v>
      </c>
      <c r="BG108" s="1">
        <f>IF($D108="",0,IF(AND($L108&lt;&gt;"LILYA_DIVE",$L108&lt;&gt;"LILYA_ULT",$L108&lt;&gt;"LILYA_INSIGHT",$L108&lt;&gt;"LILYA_FINISH",$L108&lt;&gt;"37_FOLLOW",$L108&lt;&gt;"RHI_ATTACK",$L108&lt;&gt;"RHI_BERRY",$L108&lt;&gt;"J_COUNTER",$L108&lt;&gt;"J_ULT"),$J108,0)+IF($L108="LILYA_DIVE",$J108+IF($U108=1,IF($G108=1,6,IF($G108=2,12,18)),IF($U108=2,IF($G108=1,12,IF($G108=2,24,36)),0)),0)+IF($L108="LILYA_ULT",$J108+IF($X108&gt;=6,18,0),0)+IF($L108="LILYA_INSIGHT",IF($Y108=1,IF(MOD($AA108+1,3)=0,32,15),0),0)+IF($L108="LILYA_FINISH",IF($Y108=1,50+2.5*$Z108,0),0)+IF($L108="37_FOLLOW",$J108,0)+IF($L108="RHI_ATTACK",$J108*IF($B108&lt;=$AJ108,2,1),0)+IF($L108="RHI_BERRY",15+1.5*$AV108,0)+IF($L108="J_COUNTER",$J108+$AD108*Boss参数!$B$39,0)+IF($L108="J_ULT",$J108+Boss参数!$B$45*MAX(0,$AE108+$AD108-Boss参数!$I$4),0)+$S108)</f>
        <v>3</v>
      </c>
      <c r="BH108" s="1">
        <f t="shared" si="72"/>
        <v>1</v>
      </c>
      <c r="BI108" s="1">
        <f>IF(E108="","",IF(DT108=1,1+Boss参数!$B$8+AV108*Boss参数!$B$19,1))</f>
        <v>1.5</v>
      </c>
      <c r="BJ108" s="1">
        <f>IF($I108="现实",Boss参数!$C$4,IF($I108="精神",Boss参数!$D$4,0))</f>
        <v>1000</v>
      </c>
      <c r="BK108" s="1">
        <f>IF($E108="","",MAX($AY108*Boss参数!$B$9,$AY108-$BJ108*(1-$BF108)))</f>
        <v>2017</v>
      </c>
      <c r="BL108" s="1">
        <f>MAX(0,Boss参数!$F$4+IF(DT108=0,Boss参数!$B$27,0)-EJ108)</f>
        <v>0.10000000000000003</v>
      </c>
      <c r="BM108" s="1">
        <f>Boss参数!$G$4+DU108-IF(Y108=1,Boss参数!$B$11,0)</f>
        <v>0.75</v>
      </c>
      <c r="BN108" s="1">
        <f>IF($E108="","",MAX(Boss参数!$B$10,1+IFERROR(INDEX(角色面板!$I$18:$I$21,MATCH($E108,角色面板!$A$18:$A$21,0)),0)+$BB108+Boss参数!$H$4-$BM108))</f>
        <v>1.5299999999999998</v>
      </c>
      <c r="BO108" s="1">
        <f>IF(E108="","",IF(OR(L108="J_COUNTER",L108="J_HARD"),MAX(0,1+INDEX(角色面板!$K$18:$K$21,MATCH(E108,角色面板!$A$18:$A$21,0))-DI108*Boss参数!$B$23+IF(OR(Boss参数!$B$43=1,L108="J_HARD"),IF(B108&lt;=AH108,Boss参数!$B$46,0),0)),MAX(0,IF(OR(H108="术法",L108="RHI_BERRY",AND(L108="37_FOLLOW",Boss参数!$B$31=1)),1+BC108,IF(H108="仪式",1+BD108,IF(H108="洞知",EK108,1))))))</f>
        <v>0.14999999999999991</v>
      </c>
      <c r="BP108" s="1">
        <f t="shared" si="73"/>
        <v>1.6780000000000002</v>
      </c>
      <c r="BQ108" s="1">
        <f t="shared" si="74"/>
        <v>2083.0567499999984</v>
      </c>
      <c r="BR108" s="1">
        <f t="shared" si="75"/>
        <v>3495.3692264999977</v>
      </c>
      <c r="BS108" s="1">
        <f>IF(BH108=0,0,ROUNDDOWN(AY108*BH108,0)*DV108*IF(Boss参数!$B$29=1,BN108,1)*IF(Boss参数!$B$33=1,BO108,1)*IF(Boss参数!$B$76=1,1-ES108,1))</f>
        <v>0</v>
      </c>
      <c r="BT108" s="1">
        <f t="shared" si="76"/>
        <v>0</v>
      </c>
      <c r="BU108" s="1">
        <f>IF(D108="",0,MIN(IF(Boss参数!$B$77=1,Boss参数!$B$63*Boss参数!$B$62,Boss参数!$B$61*Boss参数!$B$62),DW108+ROUNDDOWN(BS108,0)+ROUNDDOWN(DW108*Q108,0)))</f>
        <v>833</v>
      </c>
      <c r="BV108" s="1">
        <f>IF(D108="",0,MIN(IF(Boss参数!$B$77=1,Boss参数!$B$63*Boss参数!$B$62,Boss参数!$B$61*Boss参数!$B$62),DX108+ROUNDDOWN(BT108,0)+ROUNDDOWN(DX108*Q108,0)))</f>
        <v>1398</v>
      </c>
      <c r="BW108" s="1">
        <f t="shared" si="77"/>
        <v>979</v>
      </c>
      <c r="BX108" s="1" t="str">
        <f t="shared" si="78"/>
        <v/>
      </c>
      <c r="BY108" s="1">
        <f t="shared" si="79"/>
        <v>2</v>
      </c>
      <c r="BZ108" s="1">
        <f t="shared" si="80"/>
        <v>1</v>
      </c>
      <c r="CA108" s="1">
        <f>MIN(10,W108+IF(AND(L108="LILYA_COBRA",COUNTIF($L$3:L108,"LILYA_COBRA")=1),5,0)+IF(AND(L108="LILYA_DIVE",U108=1,COUNTIFS($DG$3:DG108,DG108,$L$3:L108,"LILYA_DIVE")=1),2,0)+IF(AND(FE108=1,U108=1),3,0))</f>
        <v>10</v>
      </c>
      <c r="CB108" s="1">
        <f>MIN(20,MAX(0,X108+IF(L108="LILYA_COBRA",IF(COUNTIF($L$3:L108,"LILYA_COBRA")=1,6,IF(U108=1,MAX(1,G108),IF(U108=2,2*MAX(1,G108),0))),0)+IF(AND(Y108=1,E108="红弩箭",L108&lt;&gt;"ENTER_INSIGHT"),1,0)-IF(AND(L108="LILYA_ULT",X108&gt;=6),6,0)))</f>
        <v>8</v>
      </c>
      <c r="CC108" s="1">
        <f t="shared" si="81"/>
        <v>0</v>
      </c>
      <c r="CD108" s="1">
        <f t="shared" si="82"/>
        <v>0</v>
      </c>
      <c r="CE108" s="1">
        <f t="shared" si="83"/>
        <v>0</v>
      </c>
      <c r="CF108" s="1">
        <f t="shared" si="84"/>
        <v>0</v>
      </c>
      <c r="CG108" s="1">
        <f t="shared" si="85"/>
        <v>0</v>
      </c>
      <c r="CH108" s="1">
        <f>MIN(35,AD108+IF(L108="J_HARD",6,0)+IF(L108="J_COUNTER",Boss参数!$B$30,0))</f>
        <v>35</v>
      </c>
      <c r="CI108" s="1">
        <f>MIN(Boss参数!$I$4,AE108+IF(L108="J_HARD",6,0)+IF(L108="J_ULT",AD108,0)+IF(L108="J_COUNTER",Boss参数!$B$30,0))</f>
        <v>30</v>
      </c>
      <c r="CJ108" s="1">
        <f>IF(L108="J_ULT",AD108*Boss参数!$B$41,IF(B108&lt;=AG108,AF108,0))</f>
        <v>0.875</v>
      </c>
      <c r="CK108" s="1">
        <f t="shared" si="86"/>
        <v>9</v>
      </c>
      <c r="CL108" s="1">
        <f t="shared" si="87"/>
        <v>9</v>
      </c>
      <c r="CM108" s="1">
        <f t="shared" si="88"/>
        <v>8</v>
      </c>
      <c r="CN108" s="1">
        <f t="shared" si="89"/>
        <v>9</v>
      </c>
      <c r="CO108" s="1">
        <f t="shared" si="90"/>
        <v>8</v>
      </c>
      <c r="CP108" s="1">
        <f t="shared" si="91"/>
        <v>3</v>
      </c>
      <c r="CQ108" s="1">
        <f t="shared" si="92"/>
        <v>30</v>
      </c>
      <c r="CR108" s="1">
        <f t="shared" si="93"/>
        <v>6</v>
      </c>
      <c r="CS108" s="1">
        <f t="shared" si="94"/>
        <v>0</v>
      </c>
      <c r="CT108" s="1">
        <f t="shared" si="95"/>
        <v>0.12</v>
      </c>
      <c r="CU108" s="1">
        <f t="shared" si="96"/>
        <v>9</v>
      </c>
      <c r="CV108" s="1">
        <f t="shared" si="97"/>
        <v>0.3</v>
      </c>
      <c r="CW108" s="1">
        <f t="shared" si="98"/>
        <v>9</v>
      </c>
      <c r="CX108" s="1">
        <f t="shared" si="99"/>
        <v>0.3</v>
      </c>
      <c r="CY108" s="1">
        <f t="shared" si="100"/>
        <v>9</v>
      </c>
      <c r="CZ108" s="1"/>
      <c r="DA108" s="1"/>
      <c r="DB108" s="1"/>
      <c r="DC108" s="1"/>
      <c r="DD108" s="1"/>
      <c r="DE108" s="1"/>
      <c r="DF108" s="1"/>
      <c r="DG108" s="1" t="str">
        <f>IF(D108="","",行动模拟!B114)</f>
        <v>7（目击）</v>
      </c>
      <c r="DH108" s="1" t="str">
        <f>IF(L108="END_TURN","回合结束",IF(D108="","",IF(INDEX(回合状态!$C$7:$C$17,MATCH(DG108,回合状态!$A$7:$A$17,0))="洞穿","洞穿",IF(OR(L108="J_COUNTER",L108="BOSS_ACTION",L108="BOSS_CONSERVATIVE"),"敌方",IF(AND(L108="37_FOLLOW",DG108=DG107,DH107="敌方"),"敌方",IF(INDEX(回合状态!$C$7:$C$17,MATCH(DG108,回合状态!$A$7:$A$17,0))="普通","出牌",INDEX(回合状态!$C$7:$C$17,MATCH(DG108,回合状态!$A$7:$A$17,0))))))))</f>
        <v>目击</v>
      </c>
      <c r="DI108" s="1">
        <f t="shared" si="101"/>
        <v>5</v>
      </c>
      <c r="DJ108" s="1">
        <f>IF(D108="",0,MIN(Boss参数!$B$25,IF(OR(AND(DH108="敌方",OR(DH107&lt;&gt;"敌方",DG108&lt;&gt;DG107)),AND(L108="END_TURN",DH108&lt;&gt;"洞穿"),AND(DG108&lt;&gt;DG107,DH107&lt;&gt;"洞穿",L107&lt;&gt;"END_TURN",COUNTIFS($DG$3:DG107,DG107,$DH$3:DH107,"敌方")=0)),EW108,DN107)))</f>
        <v>5</v>
      </c>
      <c r="DK108" s="1">
        <f>IF(D108="",0,MIN(Boss参数!$B$25,IF(OR(AND(DH108="敌方",OR(DH107&lt;&gt;"敌方",DG108&lt;&gt;DG107)),AND(L108="END_TURN",DH108&lt;&gt;"洞穿"),AND(DG108&lt;&gt;DG107,DH107&lt;&gt;"洞穿",L107&lt;&gt;"END_TURN",COUNTIFS($DG$3:DG107,DG107,$DH$3:DH107,"敌方")=0)),EW108,DO107)))</f>
        <v>5</v>
      </c>
      <c r="DL108" s="1">
        <f>IF(D108="",0,MIN(Boss参数!$B$25,IF(OR(AND(DH108="敌方",OR(DH107&lt;&gt;"敌方",DG108&lt;&gt;DG107)),AND(L108="END_TURN",DH108&lt;&gt;"洞穿"),AND(DG108&lt;&gt;DG107,DH107&lt;&gt;"洞穿",L107&lt;&gt;"END_TURN",COUNTIFS($DG$3:DG107,DG107,$DH$3:DH107,"敌方")=0)),EW108,DP107)))</f>
        <v>4</v>
      </c>
      <c r="DM108" s="1">
        <f>IF(D108="",0,MIN(Boss参数!$B$25,IF(OR(AND(DH108="敌方",OR(DH107&lt;&gt;"敌方",DG108&lt;&gt;DG107)),AND(L108="END_TURN",DH108&lt;&gt;"洞穿"),AND(DG108&lt;&gt;DG107,DH107&lt;&gt;"洞穿",L107&lt;&gt;"END_TURN",COUNTIFS($DG$3:DG107,DG107,$DH$3:DH107,"敌方")=0)),EW108,DQ107)))</f>
        <v>0</v>
      </c>
      <c r="DN108" s="1">
        <f>MAX(0,MIN(Boss参数!$B$25,DJ108+DR108)-IF(E108="红弩箭",2*DR108,0))</f>
        <v>5</v>
      </c>
      <c r="DO108" s="1">
        <f>MAX(0,MIN(Boss参数!$B$25,DK108+DR108)-IF(E108="37",2*DR108,0))</f>
        <v>3</v>
      </c>
      <c r="DP108" s="1">
        <f>MAX(0,MIN(Boss参数!$B$25,DL108+DR108)-IF(E108="小瑞安侬",2*DR108,0))</f>
        <v>5</v>
      </c>
      <c r="DQ108" s="1">
        <f>MAX(0,MIN(Boss参数!$B$25,DM108+DR108)-IF(E108="J",2*DR108,0))</f>
        <v>1</v>
      </c>
      <c r="DR108" s="1">
        <f t="shared" si="102"/>
        <v>1</v>
      </c>
      <c r="DS108" s="1">
        <f t="shared" si="103"/>
        <v>0</v>
      </c>
      <c r="DT108" s="1">
        <f>IF(OR(E108="",E108="系统"),0,IF(OR(AND(DS108=1,Boss参数!$B$32=1),L108="RHI_BERRY",OR(AND(INDEX(角色面板!$B$18:$B$21,MATCH(E108,角色面板!$A$18:$A$21,0))="星",Boss参数!$B$4="岩"),AND(INDEX(角色面板!$B$18:$B$21,MATCH(E108,角色面板!$A$18:$A$21,0))="岩",Boss参数!$B$4="兽"),AND(INDEX(角色面板!$B$18:$B$21,MATCH(E108,角色面板!$A$18:$A$21,0))="兽",Boss参数!$B$4="木"),AND(INDEX(角色面板!$B$18:$B$21,MATCH(E108,角色面板!$A$18:$A$21,0))="木",Boss参数!$B$4="星"),AND(INDEX(角色面板!$B$18:$B$21,MATCH(E108,角色面板!$A$18:$A$21,0))="智",Boss参数!$B$4="灵"),AND(INDEX(角色面板!$B$18:$B$21,MATCH(E108,角色面板!$A$18:$A$21,0))="灵",Boss参数!$B$4="智"))),1,0))</f>
        <v>1</v>
      </c>
      <c r="DU108" s="1">
        <f>IF(D108="",0,INDEX(回合状态!$E$7:$E$17,MATCH(DG108,回合状态!$A$7:$A$17,0))+IF(AND(DH108="敌方",OR(INDEX(回合状态!$C$7:$C$17,MATCH(DG108,回合状态!$A$7:$A$17,0))="普通",INDEX(回合状态!$C$7:$C$17,MATCH(DG108,回合状态!$A$7:$A$17,0))="额外")),0.05,0))</f>
        <v>0.35</v>
      </c>
      <c r="DV108" s="1">
        <f>MAX(Boss参数!$B$28,1+IF(AND(E108="37",AC108&gt;0,BH108&gt;0),Boss参数!$B$42,0)-DI108*Boss参数!$B$24+EA108-ER108)</f>
        <v>0</v>
      </c>
      <c r="DW108" s="1">
        <f>MIN(IF(Boss参数!$B$77=1,Boss参数!$B$63*Boss参数!$B$62,Boss参数!$B$61*Boss参数!$B$62),ROUNDDOWN(BQ108*(1-ES108),0))</f>
        <v>833</v>
      </c>
      <c r="DX108" s="1">
        <f>MIN(IF(Boss参数!$B$77=1,Boss参数!$B$63*Boss参数!$B$62,Boss参数!$B$61*Boss参数!$B$62),ROUNDDOWN(BR108*(1-ES108),0))</f>
        <v>1398</v>
      </c>
      <c r="DY108" s="1">
        <f t="shared" si="135"/>
        <v>250</v>
      </c>
      <c r="DZ108" s="1">
        <f>IF(L108="RHI_ULT",MIN(Boss参数!$B$48,ROUNDDOWN(AY108*Boss参数!$B$47,0)),DY108)</f>
        <v>250</v>
      </c>
      <c r="EA108" s="1">
        <v>0</v>
      </c>
      <c r="EB108" s="1">
        <f t="shared" si="104"/>
        <v>0</v>
      </c>
      <c r="EC108" s="1">
        <f>SUMIFS($EB$3:EB108,$B$3:B108,"&gt;="&amp;MAX(1,B108-2),$B$3:B108,"&lt;="&amp;B108)*Boss参数!$B$51</f>
        <v>12</v>
      </c>
      <c r="ED108" s="1">
        <f>IF(D108="",EG107,IF(AND(DG108&lt;&gt;DG107,DH108&lt;&gt;"洞穿"),MIN(Boss参数!$B$55,EG107+2),EG107))</f>
        <v>0</v>
      </c>
      <c r="EE108" s="1">
        <f t="shared" si="105"/>
        <v>0</v>
      </c>
      <c r="EF108" s="1">
        <f>IF(AND(OR(L108="END_TURN",AND(DH108="敌方",OR(DH107&lt;&gt;"敌方",DG108&lt;&gt;DG107))),SUMIFS($EF$3:EF107,$DG$3:DG107,DG108)=0),MIN(1,MAX(0,ED108-EE108)),0)</f>
        <v>0</v>
      </c>
      <c r="EG108" s="1">
        <f t="shared" si="106"/>
        <v>0</v>
      </c>
      <c r="EH108" s="1">
        <f>Boss参数!$B$53-IF(Y108=1,Boss参数!$B$54,0)</f>
        <v>0</v>
      </c>
      <c r="EI108" s="1">
        <f t="shared" si="107"/>
        <v>0.3</v>
      </c>
      <c r="EJ108" s="1">
        <f t="shared" si="108"/>
        <v>0.3</v>
      </c>
      <c r="EK108" s="1">
        <f t="shared" si="109"/>
        <v>1</v>
      </c>
      <c r="EL108" s="1">
        <f t="shared" si="136"/>
        <v>0</v>
      </c>
      <c r="EM108" s="1">
        <f>IF(AND(DG108&lt;&gt;DG107,DH108="洞穿"),0,IF(L108="ENTER_INSIGHT",Boss参数!$B$57,EO107))</f>
        <v>0</v>
      </c>
      <c r="EN108" s="1">
        <f>IF(AND(Y108=1,H108="洞知",EM108&gt;0),Boss参数!$B$56,0)</f>
        <v>0</v>
      </c>
      <c r="EO108" s="1">
        <f t="shared" si="110"/>
        <v>0</v>
      </c>
      <c r="EP108" s="1">
        <f t="shared" si="137"/>
        <v>15134160</v>
      </c>
      <c r="EQ108" s="1">
        <f>ROUNDDOWN(EP108/Boss参数!$B$62,0)</f>
        <v>151</v>
      </c>
      <c r="ER108" s="1">
        <f>IF(EQ108&gt;=Boss参数!$B$66,Boss参数!$B$69,IF(EQ108&gt;=Boss参数!$B$65,Boss参数!$B$68,IF(EQ108&gt;=Boss参数!$B$64,Boss参数!$B$67,0)))</f>
        <v>0.9</v>
      </c>
      <c r="ES108" s="1">
        <f>MIN(1,IF(EQ108&gt;=Boss参数!$B$66,Boss参数!$B$72+ROUNDDOWN((EQ108-Boss参数!$B$66)/Boss参数!$B$73,0)*Boss参数!$B$74,IF(EQ108&gt;=Boss参数!$B$65,Boss参数!$B$71,IF(EQ108&gt;=Boss参数!$B$64,Boss参数!$B$70,0))))</f>
        <v>0.6</v>
      </c>
      <c r="ET108" s="1">
        <f>MIN(Boss参数!$B$61*Boss参数!$B$62,EP108+IF(AND(Boss参数!$B$60=1,ISNUMBER(验证表!H114)),验证表!H114,EU108))</f>
        <v>15135558</v>
      </c>
      <c r="EU108" s="1">
        <f>IF(D108="",0,IF(验证表!G114="是",BV108,IF(验证表!G114="否",BU108,BW108)))</f>
        <v>1398</v>
      </c>
      <c r="EV108" s="1">
        <f>IF(EQ108&gt;=Boss参数!$B$66,2,IF(EQ108&gt;=Boss参数!$B$65,1,0))</f>
        <v>2</v>
      </c>
      <c r="EW108" s="1">
        <f t="shared" si="111"/>
        <v>3</v>
      </c>
      <c r="EX108" s="1">
        <f>IF(D108="",0,INDEX(回合状态!$D$7:$D$17,MATCH(DG108,回合状态!$A$7:$A$17,0)))</f>
        <v>7</v>
      </c>
      <c r="EY108" s="1">
        <f>IF(OR(L108="RHI_ATTACK",L108="RHI_BUFF"),1,IF(L108="RHI_ULT",Boss参数!$B$52,0))</f>
        <v>0</v>
      </c>
      <c r="EZ108" s="1">
        <f>MIN(6,SUMIFS($EY$3:EY108,$EX$3:EX108,"&gt;="&amp;MAX(1,EX108-Boss参数!$B$87+1),$EX$3:EX108,"&lt;="&amp;EX108))</f>
        <v>5</v>
      </c>
      <c r="FA108" s="1">
        <f t="shared" si="138"/>
        <v>35</v>
      </c>
      <c r="FB108" s="17">
        <f>IF(L108="BOSS_CONSERVATIVE",B108+Boss参数!$B$91,FB107)</f>
        <v>7</v>
      </c>
      <c r="FC108" s="17">
        <f t="shared" si="139"/>
        <v>1</v>
      </c>
      <c r="FD108" s="17">
        <f>IF(D108="",FD107,FD107+IF(AND(DG108&lt;&gt;DG107,INDEX(回合状态!$C$7:$C$17,MATCH(DG108,回合状态!$A$7:$A$17,0))&lt;&gt;"洞穿"),1,0))</f>
        <v>8</v>
      </c>
      <c r="FE108" s="17">
        <f>IF(D108="",0,IF(AND(OR(L108="END_TURN",DH108="敌方"),INDEX(回合状态!$C$7:$C$17,MATCH(DG108,回合状态!$A$7:$A$17,0))&lt;&gt;"洞穿",SUMIFS($FE$3:FE107,$DG$3:DG107,DG108)=0),1,0))</f>
        <v>0</v>
      </c>
    </row>
    <row r="109" spans="1:161" ht="84.95" customHeight="1">
      <c r="A109" s="1">
        <f>行动模拟!A115</f>
        <v>107</v>
      </c>
      <c r="B109" s="1">
        <f>IF(D109="",0,INDEX(回合状态!$B$7:$B$17,MATCH(DG109,回合状态!$A$7:$A$17,0)))</f>
        <v>7</v>
      </c>
      <c r="C109" s="1">
        <f>行动模拟!C115</f>
        <v>5</v>
      </c>
      <c r="D109" s="1" t="str">
        <f>IF(行动模拟!D115="","",行动模拟!D115)</f>
        <v>J｜硬度测试Ⅱ</v>
      </c>
      <c r="E109" s="1" t="str">
        <f>IF($D109="","",IFERROR(INDEX(技能数据库!$B$4:$B$38,MATCH($D109,技能数据库!$A$4:$A$38,0)),""))</f>
        <v>J</v>
      </c>
      <c r="F109" s="1" t="str">
        <f>IF($D109="","",IFERROR(INDEX(技能数据库!$C$4:$C$38,MATCH($D109,技能数据库!$A$4:$A$38,0)),""))</f>
        <v>硬度测试</v>
      </c>
      <c r="G109" s="1">
        <f>IF($D109="","",IFERROR(INDEX(技能数据库!$D$4:$D$38,MATCH($D109,技能数据库!$A$4:$A$38,0)),""))</f>
        <v>2</v>
      </c>
      <c r="H109" s="1" t="str">
        <f>IF($D109="","",IFERROR(INDEX(技能数据库!$E$4:$E$38,MATCH($D109,技能数据库!$A$4:$A$38,0)),""))</f>
        <v>术法</v>
      </c>
      <c r="I109" s="1" t="str">
        <f>IF($D109="","",IFERROR(INDEX(技能数据库!$F$4:$F$38,MATCH($D109,技能数据库!$A$4:$A$38,0)),""))</f>
        <v>现实</v>
      </c>
      <c r="J109" s="1">
        <f>IF($D109="","",IFERROR(INDEX(技能数据库!$G$4:$G$38,MATCH($D109,技能数据库!$A$4:$A$38,0)),""))</f>
        <v>5.4</v>
      </c>
      <c r="K109" s="1">
        <f>IF($D109="","",IFERROR(INDEX(技能数据库!$H$4:$H$38,MATCH($D109,技能数据库!$A$4:$A$38,0)),""))</f>
        <v>0</v>
      </c>
      <c r="L109" s="1" t="str">
        <f>IF($D109="","",IFERROR(INDEX(技能数据库!$I$4:$I$38,MATCH($D109,技能数据库!$A$4:$A$38,0)),""))</f>
        <v>J_HARD</v>
      </c>
      <c r="M109" s="1">
        <v>1</v>
      </c>
      <c r="N109" s="1"/>
      <c r="O109" s="1"/>
      <c r="P109" s="1"/>
      <c r="Q109" s="1">
        <f t="shared" si="70"/>
        <v>0</v>
      </c>
      <c r="R109" s="1">
        <v>0</v>
      </c>
      <c r="S109" s="1">
        <v>0</v>
      </c>
      <c r="T109" s="1">
        <f>行动模拟!I115</f>
        <v>0</v>
      </c>
      <c r="U109" s="1">
        <f>IF(FD109&lt;&gt;FD108,IF(BY108=1,IF(MIN(10,CA108+IF(AND(DG109&lt;&gt;DG108,DH108&lt;&gt;"洞穿",SUMIFS($FE$3:FE108,$DG$3:DG108,DG108)=0,BY108=1),3,0))&gt;=10,2,1),IF(BY108=2,IF(BZ108&lt;=1,0,2),0)),BY108)</f>
        <v>2</v>
      </c>
      <c r="V109" s="1">
        <f>IF(FD109&lt;&gt;FD108,IF(BY108=1,IF(MIN(10,CA108+IF(AND(DG109&lt;&gt;DG108,DH108&lt;&gt;"洞穿",SUMIFS($FE$3:FE108,$DG$3:DG108,DG108)=0,BY108=1),3,0))&gt;=10,2,0),IF(BY108=2,MAX(0,BZ108-1),0)),BZ108)</f>
        <v>1</v>
      </c>
      <c r="W109" s="1">
        <f>IF(AND(FD109&lt;&gt;FD108,BY108=2,BZ108&lt;=1),0,MIN(10,CA108+IF(AND(DG109&lt;&gt;DG108,DH108&lt;&gt;"洞穿",SUMIFS($FE$3:FE108,$DG$3:DG108,DG108)=0,BY108=1),3,0)))</f>
        <v>10</v>
      </c>
      <c r="X109" s="1">
        <f t="shared" si="112"/>
        <v>8</v>
      </c>
      <c r="Y109" s="1">
        <f t="shared" si="113"/>
        <v>0</v>
      </c>
      <c r="Z109" s="1">
        <f t="shared" si="114"/>
        <v>0</v>
      </c>
      <c r="AA109" s="1">
        <f t="shared" si="115"/>
        <v>0</v>
      </c>
      <c r="AB109" s="1">
        <f t="shared" si="116"/>
        <v>0</v>
      </c>
      <c r="AC109" s="1">
        <f t="shared" si="117"/>
        <v>0</v>
      </c>
      <c r="AD109" s="1">
        <f t="shared" si="118"/>
        <v>35</v>
      </c>
      <c r="AE109" s="1">
        <f>IF(D109="",0,IF(DG109&lt;&gt;DG108,IFERROR(INDEX(回合状态!$F$7:$F$17,MATCH(DG109,回合状态!$A$7:$A$17,0)),0),CI108))</f>
        <v>30</v>
      </c>
      <c r="AF109" s="1">
        <f t="shared" si="119"/>
        <v>0.875</v>
      </c>
      <c r="AG109" s="1">
        <f t="shared" si="120"/>
        <v>9</v>
      </c>
      <c r="AH109" s="1">
        <f t="shared" si="121"/>
        <v>9</v>
      </c>
      <c r="AI109" s="1">
        <f t="shared" si="122"/>
        <v>8</v>
      </c>
      <c r="AJ109" s="1">
        <f t="shared" si="123"/>
        <v>9</v>
      </c>
      <c r="AK109" s="1">
        <f t="shared" si="124"/>
        <v>8</v>
      </c>
      <c r="AL109" s="1">
        <f t="shared" si="125"/>
        <v>3</v>
      </c>
      <c r="AM109" s="1">
        <f t="shared" si="126"/>
        <v>30</v>
      </c>
      <c r="AN109" s="1">
        <f t="shared" si="127"/>
        <v>6</v>
      </c>
      <c r="AO109" s="1">
        <f t="shared" si="128"/>
        <v>0</v>
      </c>
      <c r="AP109" s="1">
        <f t="shared" si="129"/>
        <v>0.12</v>
      </c>
      <c r="AQ109" s="1">
        <f t="shared" si="130"/>
        <v>9</v>
      </c>
      <c r="AR109" s="1">
        <f t="shared" si="131"/>
        <v>0.3</v>
      </c>
      <c r="AS109" s="1">
        <f t="shared" si="132"/>
        <v>9</v>
      </c>
      <c r="AT109" s="1">
        <f t="shared" si="133"/>
        <v>0.3</v>
      </c>
      <c r="AU109" s="1">
        <f t="shared" si="134"/>
        <v>9</v>
      </c>
      <c r="AV109" s="1">
        <f>MIN(5,SUMIFS($EL$3:EL109,$B$3:B109,"&gt;="&amp;MAX(1,B109-2),$B$3:B109,"&lt;="&amp;B109)+EC109)</f>
        <v>5</v>
      </c>
      <c r="AW109" s="1">
        <f>MIN(6,SUMIFS($EY$3:EY108,$EX$3:EX108,"&gt;="&amp;MAX(1,EX109-Boss参数!$B$87+1),$EX$3:EX108,"&lt;="&amp;EX109))</f>
        <v>5</v>
      </c>
      <c r="AX109" s="1">
        <f>MIN(4,COUNTIFS($B$3:$B$108,"&gt;="&amp;MAX(1,$B109-2),$B$3:$B$108,"&lt;="&amp;$B109,$L$3:$L$108,"37_FOLLOW"))</f>
        <v>4</v>
      </c>
      <c r="AY109" s="1">
        <f>IF($E109="","",IF($E109="系统",0,ROUNDDOWN(INDEX(角色面板!$C$4:$C$7,MATCH($E109,角色面板!$A$4:$A$7,0))*(1+INDEX(角色面板!$C$11:$C$14,MATCH($E109,角色面板!$A$11:$A$14,0))+IF($E109="小瑞安侬",MAX(IF($B109&lt;=$AQ109,$AP109,0),IF(AND($L109="RHI_ATTACK",$EE109&gt;0),0.11+0.01*$G109,0)),0)+IF($E109="J",$AD109*Boss参数!$B$18,0))+IF(FD109&lt;=$AN109,MIN(Boss参数!$B$21,ROUNDDOWN(角色面板!$C$19*Boss参数!$B$20,0)),0)+IF(AND($B109&lt;=$AK109,$E109&lt;&gt;"小瑞安侬"),$DY109,0),0)))</f>
        <v>2823</v>
      </c>
      <c r="AZ109" s="1">
        <f>IF($E109="","",MAX(0,MIN(1,IFERROR(INDEX(角色面板!$G$18:$G$21,MATCH($E109,角色面板!$A$18:$A$21,0)),0)-FC109*Boss参数!$B$89-Boss参数!$E$4)))</f>
        <v>0.66700000000000004</v>
      </c>
      <c r="BA109" s="1">
        <f>IF(E109="","",(IF($E109="","",IF($E109="红弩箭",Boss参数!$B$80,IF($E109="J",Boss参数!$B$81,IFERROR(INDEX(角色面板!$H$18:$H$21,MATCH($E109,角色面板!$A$18:$A$21,0)),0)))+IF($B109&lt;=$AI109,Boss参数!$B$13,0)+MIN(30,$AM109)*Boss参数!$B$17+IF(AND($L109="LILYA_ULT",$X109&gt;=6),1,0)+IF(AND($Y109=1,$L109="LILYA_INSIGHT"),IF(MOD($AA109+1,3)=0,Boss参数!$B$83,Boss参数!$B$82),IF(AND($Y109=1,$L109="LILYA_FINISH"),Boss参数!$B$84,0))))-FC109*Boss参数!$B$90)</f>
        <v>1.9969999999999999</v>
      </c>
      <c r="BB109" s="1">
        <f>IF($E109="","",IFERROR(INDEX(角色面板!$M$18:$M$21,MATCH($E109,角色面板!$A$18:$A$21,0)),0)+$AW109*Boss参数!$B$12+IF($B109&lt;=$AG109,$AF109,0)+$EI109+IF($L109="LILYA_DIVE",IF($U109=1,IF($G109=1,0.3,IF($G109=2,0.4,0.5)),IF($U109=2,IF($G109=1,0.6,IF($G109=2,0.8,1)),0)),0)+$R109+IF(AND($E109="J",OR($L109="J_COUNTER",$L109="J_HARD")),Boss参数!$B$79,0)+IF(AND(OR(L109="J_COUNTER",L109="J_HARD"),FA109&gt;=Boss参数!$B$59),FA109*Boss参数!$B$40,0))</f>
        <v>1.8050000000000002</v>
      </c>
      <c r="BC109" s="1">
        <f>IF($E109="","",IFERROR(INDEX(角色面板!$K$18:$K$21,MATCH($E109,角色面板!$A$18:$A$21,0)),0)+IF($B109&lt;=$AH109,Boss参数!$B$46,0)+IF($E109="红弩箭",IF($U109=1,0.6,IF($U109=2,1.2,0))+$W109*0.06,0))-DI109*Boss参数!$B$23</f>
        <v>-0.25</v>
      </c>
      <c r="BD109" s="1">
        <f>IF($E109="","",IFERROR(INDEX(角色面板!$L$18:$L$21,MATCH($E109,角色面板!$A$18:$A$21,0)),0)+IF($B109&lt;=$AH109,Boss参数!$B$46,0)+IF($E109="J",$AL109*Boss参数!$B$16,0)+IF($E109="红弩箭",$X109*0.025,0)+IF(AND($L109="LILYA_ULT",$X109&gt;=6),1,0))-DI109*Boss参数!$B$23</f>
        <v>0.27</v>
      </c>
      <c r="BE109" s="1">
        <f>IF($E109="","",IF($H109="洞知",IF($E109="红弩箭",$AO109*Boss参数!$B$15,0)+$AX109*Boss参数!$B$14,0))</f>
        <v>0</v>
      </c>
      <c r="BF109" s="1">
        <f t="shared" si="71"/>
        <v>0</v>
      </c>
      <c r="BG109" s="1">
        <f>IF($D109="",0,IF(AND($L109&lt;&gt;"LILYA_DIVE",$L109&lt;&gt;"LILYA_ULT",$L109&lt;&gt;"LILYA_INSIGHT",$L109&lt;&gt;"LILYA_FINISH",$L109&lt;&gt;"37_FOLLOW",$L109&lt;&gt;"RHI_ATTACK",$L109&lt;&gt;"RHI_BERRY",$L109&lt;&gt;"J_COUNTER",$L109&lt;&gt;"J_ULT"),$J109,0)+IF($L109="LILYA_DIVE",$J109+IF($U109=1,IF($G109=1,6,IF($G109=2,12,18)),IF($U109=2,IF($G109=1,12,IF($G109=2,24,36)),0)),0)+IF($L109="LILYA_ULT",$J109+IF($X109&gt;=6,18,0),0)+IF($L109="LILYA_INSIGHT",IF($Y109=1,IF(MOD($AA109+1,3)=0,32,15),0),0)+IF($L109="LILYA_FINISH",IF($Y109=1,50+2.5*$Z109,0),0)+IF($L109="37_FOLLOW",$J109,0)+IF($L109="RHI_ATTACK",$J109*IF($B109&lt;=$AJ109,2,1),0)+IF($L109="RHI_BERRY",15+1.5*$AV109,0)+IF($L109="J_COUNTER",$J109+$AD109*Boss参数!$B$39,0)+IF($L109="J_ULT",$J109+Boss参数!$B$45*MAX(0,$AE109+$AD109-Boss参数!$I$4),0)+$S109)</f>
        <v>5.4</v>
      </c>
      <c r="BH109" s="1">
        <f t="shared" si="72"/>
        <v>0</v>
      </c>
      <c r="BI109" s="1">
        <f>IF(E109="","",IF(DT109=1,1+Boss参数!$B$8+AV109*Boss参数!$B$19,1))</f>
        <v>1.5</v>
      </c>
      <c r="BJ109" s="1">
        <f>IF($I109="现实",Boss参数!$C$4,IF($I109="精神",Boss参数!$D$4,0))</f>
        <v>1200</v>
      </c>
      <c r="BK109" s="1">
        <f>IF($E109="","",MAX($AY109*Boss参数!$B$9,$AY109-$BJ109*(1-$BF109)))</f>
        <v>1623</v>
      </c>
      <c r="BL109" s="1">
        <f>MAX(0,Boss参数!$F$4+IF(DT109=0,Boss参数!$B$27,0)-EJ109)</f>
        <v>0.10000000000000003</v>
      </c>
      <c r="BM109" s="1">
        <f>Boss参数!$G$4+DU109-IF(Y109=1,Boss参数!$B$11,0)</f>
        <v>0.75</v>
      </c>
      <c r="BN109" s="1">
        <f>IF($E109="","",MAX(Boss参数!$B$10,1+IFERROR(INDEX(角色面板!$I$18:$I$21,MATCH($E109,角色面板!$A$18:$A$21,0)),0)+$BB109+Boss参数!$H$4-$BM109))</f>
        <v>2.08</v>
      </c>
      <c r="BO109" s="1">
        <f>IF(E109="","",IF(OR(L109="J_COUNTER",L109="J_HARD"),MAX(0,1+INDEX(角色面板!$K$18:$K$21,MATCH(E109,角色面板!$A$18:$A$21,0))-DI109*Boss参数!$B$23+IF(OR(Boss参数!$B$43=1,L109="J_HARD"),IF(B109&lt;=AH109,Boss参数!$B$46,0),0)),MAX(0,IF(OR(H109="术法",L109="RHI_BERRY",AND(L109="37_FOLLOW",Boss参数!$B$31=1)),1+BC109,IF(H109="仪式",1+BD109,IF(H109="洞知",EK109,1))))))</f>
        <v>0.75</v>
      </c>
      <c r="BP109" s="1">
        <f t="shared" si="73"/>
        <v>1.8969999999999998</v>
      </c>
      <c r="BQ109" s="1">
        <f t="shared" si="74"/>
        <v>20508.228000000003</v>
      </c>
      <c r="BR109" s="1">
        <f t="shared" si="75"/>
        <v>38904.108516</v>
      </c>
      <c r="BS109" s="1">
        <f>IF(BH109=0,0,ROUNDDOWN(AY109*BH109,0)*DV109*IF(Boss参数!$B$29=1,BN109,1)*IF(Boss参数!$B$33=1,BO109,1)*IF(Boss参数!$B$76=1,1-ES109,1))</f>
        <v>0</v>
      </c>
      <c r="BT109" s="1">
        <f t="shared" si="76"/>
        <v>0</v>
      </c>
      <c r="BU109" s="1">
        <f>IF(D109="",0,MIN(IF(Boss参数!$B$77=1,Boss参数!$B$63*Boss参数!$B$62,Boss参数!$B$61*Boss参数!$B$62),DW109+ROUNDDOWN(BS109,0)+ROUNDDOWN(DW109*Q109,0)))</f>
        <v>8203</v>
      </c>
      <c r="BV109" s="1">
        <f>IF(D109="",0,MIN(IF(Boss参数!$B$77=1,Boss参数!$B$63*Boss参数!$B$62,Boss参数!$B$61*Boss参数!$B$62),DX109+ROUNDDOWN(BT109,0)+ROUNDDOWN(DX109*Q109,0)))</f>
        <v>15561</v>
      </c>
      <c r="BW109" s="1">
        <f t="shared" si="77"/>
        <v>13110</v>
      </c>
      <c r="BX109" s="1" t="str">
        <f t="shared" si="78"/>
        <v/>
      </c>
      <c r="BY109" s="1">
        <f t="shared" si="79"/>
        <v>2</v>
      </c>
      <c r="BZ109" s="1">
        <f t="shared" si="80"/>
        <v>1</v>
      </c>
      <c r="CA109" s="1">
        <f>MIN(10,W109+IF(AND(L109="LILYA_COBRA",COUNTIF($L$3:L109,"LILYA_COBRA")=1),5,0)+IF(AND(L109="LILYA_DIVE",U109=1,COUNTIFS($DG$3:DG109,DG109,$L$3:L109,"LILYA_DIVE")=1),2,0)+IF(AND(FE109=1,U109=1),3,0))</f>
        <v>10</v>
      </c>
      <c r="CB109" s="1">
        <f>MIN(20,MAX(0,X109+IF(L109="LILYA_COBRA",IF(COUNTIF($L$3:L109,"LILYA_COBRA")=1,6,IF(U109=1,MAX(1,G109),IF(U109=2,2*MAX(1,G109),0))),0)+IF(AND(Y109=1,E109="红弩箭",L109&lt;&gt;"ENTER_INSIGHT"),1,0)-IF(AND(L109="LILYA_ULT",X109&gt;=6),6,0)))</f>
        <v>8</v>
      </c>
      <c r="CC109" s="1">
        <f t="shared" si="81"/>
        <v>0</v>
      </c>
      <c r="CD109" s="1">
        <f t="shared" si="82"/>
        <v>0</v>
      </c>
      <c r="CE109" s="1">
        <f t="shared" si="83"/>
        <v>0</v>
      </c>
      <c r="CF109" s="1">
        <f t="shared" si="84"/>
        <v>1</v>
      </c>
      <c r="CG109" s="1">
        <f t="shared" si="85"/>
        <v>0</v>
      </c>
      <c r="CH109" s="1">
        <f>MIN(35,AD109+IF(L109="J_HARD",6,0)+IF(L109="J_COUNTER",Boss参数!$B$30,0))</f>
        <v>35</v>
      </c>
      <c r="CI109" s="1">
        <f>MIN(Boss参数!$I$4,AE109+IF(L109="J_HARD",6,0)+IF(L109="J_ULT",AD109,0)+IF(L109="J_COUNTER",Boss参数!$B$30,0))</f>
        <v>30</v>
      </c>
      <c r="CJ109" s="1">
        <f>IF(L109="J_ULT",AD109*Boss参数!$B$41,IF(B109&lt;=AG109,AF109,0))</f>
        <v>0.875</v>
      </c>
      <c r="CK109" s="1">
        <f t="shared" si="86"/>
        <v>9</v>
      </c>
      <c r="CL109" s="1">
        <f t="shared" si="87"/>
        <v>9</v>
      </c>
      <c r="CM109" s="1">
        <f t="shared" si="88"/>
        <v>8</v>
      </c>
      <c r="CN109" s="1">
        <f t="shared" si="89"/>
        <v>9</v>
      </c>
      <c r="CO109" s="1">
        <f t="shared" si="90"/>
        <v>8</v>
      </c>
      <c r="CP109" s="1">
        <f t="shared" si="91"/>
        <v>3</v>
      </c>
      <c r="CQ109" s="1">
        <f t="shared" si="92"/>
        <v>30</v>
      </c>
      <c r="CR109" s="1">
        <f t="shared" si="93"/>
        <v>6</v>
      </c>
      <c r="CS109" s="1">
        <f t="shared" si="94"/>
        <v>0</v>
      </c>
      <c r="CT109" s="1">
        <f t="shared" si="95"/>
        <v>0.12</v>
      </c>
      <c r="CU109" s="1">
        <f t="shared" si="96"/>
        <v>9</v>
      </c>
      <c r="CV109" s="1">
        <f t="shared" si="97"/>
        <v>0.3</v>
      </c>
      <c r="CW109" s="1">
        <f t="shared" si="98"/>
        <v>9</v>
      </c>
      <c r="CX109" s="1">
        <f t="shared" si="99"/>
        <v>0.3</v>
      </c>
      <c r="CY109" s="1">
        <f t="shared" si="100"/>
        <v>9</v>
      </c>
      <c r="CZ109" s="1"/>
      <c r="DA109" s="1"/>
      <c r="DB109" s="1"/>
      <c r="DC109" s="1"/>
      <c r="DD109" s="1"/>
      <c r="DE109" s="1"/>
      <c r="DF109" s="1"/>
      <c r="DG109" s="1" t="str">
        <f>IF(D109="","",行动模拟!B115)</f>
        <v>7（目击）</v>
      </c>
      <c r="DH109" s="1" t="str">
        <f>IF(L109="END_TURN","回合结束",IF(D109="","",IF(INDEX(回合状态!$C$7:$C$17,MATCH(DG109,回合状态!$A$7:$A$17,0))="洞穿","洞穿",IF(OR(L109="J_COUNTER",L109="BOSS_ACTION",L109="BOSS_CONSERVATIVE"),"敌方",IF(AND(L109="37_FOLLOW",DG109=DG108,DH108="敌方"),"敌方",IF(INDEX(回合状态!$C$7:$C$17,MATCH(DG109,回合状态!$A$7:$A$17,0))="普通","出牌",INDEX(回合状态!$C$7:$C$17,MATCH(DG109,回合状态!$A$7:$A$17,0))))))))</f>
        <v>目击</v>
      </c>
      <c r="DI109" s="1">
        <f t="shared" si="101"/>
        <v>1</v>
      </c>
      <c r="DJ109" s="1">
        <f>IF(D109="",0,MIN(Boss参数!$B$25,IF(OR(AND(DH109="敌方",OR(DH108&lt;&gt;"敌方",DG109&lt;&gt;DG108)),AND(L109="END_TURN",DH109&lt;&gt;"洞穿"),AND(DG109&lt;&gt;DG108,DH108&lt;&gt;"洞穿",L108&lt;&gt;"END_TURN",COUNTIFS($DG$3:DG108,DG108,$DH$3:DH108,"敌方")=0)),EW109,DN108)))</f>
        <v>5</v>
      </c>
      <c r="DK109" s="1">
        <f>IF(D109="",0,MIN(Boss参数!$B$25,IF(OR(AND(DH109="敌方",OR(DH108&lt;&gt;"敌方",DG109&lt;&gt;DG108)),AND(L109="END_TURN",DH109&lt;&gt;"洞穿"),AND(DG109&lt;&gt;DG108,DH108&lt;&gt;"洞穿",L108&lt;&gt;"END_TURN",COUNTIFS($DG$3:DG108,DG108,$DH$3:DH108,"敌方")=0)),EW109,DO108)))</f>
        <v>3</v>
      </c>
      <c r="DL109" s="1">
        <f>IF(D109="",0,MIN(Boss参数!$B$25,IF(OR(AND(DH109="敌方",OR(DH108&lt;&gt;"敌方",DG109&lt;&gt;DG108)),AND(L109="END_TURN",DH109&lt;&gt;"洞穿"),AND(DG109&lt;&gt;DG108,DH108&lt;&gt;"洞穿",L108&lt;&gt;"END_TURN",COUNTIFS($DG$3:DG108,DG108,$DH$3:DH108,"敌方")=0)),EW109,DP108)))</f>
        <v>5</v>
      </c>
      <c r="DM109" s="1">
        <f>IF(D109="",0,MIN(Boss参数!$B$25,IF(OR(AND(DH109="敌方",OR(DH108&lt;&gt;"敌方",DG109&lt;&gt;DG108)),AND(L109="END_TURN",DH109&lt;&gt;"洞穿"),AND(DG109&lt;&gt;DG108,DH108&lt;&gt;"洞穿",L108&lt;&gt;"END_TURN",COUNTIFS($DG$3:DG108,DG108,$DH$3:DH108,"敌方")=0)),EW109,DQ108)))</f>
        <v>1</v>
      </c>
      <c r="DN109" s="1">
        <f>MAX(0,MIN(Boss参数!$B$25,DJ109+DR109)-IF(E109="红弩箭",2*DR109,0))</f>
        <v>5</v>
      </c>
      <c r="DO109" s="1">
        <f>MAX(0,MIN(Boss参数!$B$25,DK109+DR109)-IF(E109="37",2*DR109,0))</f>
        <v>4</v>
      </c>
      <c r="DP109" s="1">
        <f>MAX(0,MIN(Boss参数!$B$25,DL109+DR109)-IF(E109="小瑞安侬",2*DR109,0))</f>
        <v>5</v>
      </c>
      <c r="DQ109" s="1">
        <f>MAX(0,MIN(Boss参数!$B$25,DM109+DR109)-IF(E109="J",2*DR109,0))</f>
        <v>0</v>
      </c>
      <c r="DR109" s="1">
        <f t="shared" si="102"/>
        <v>1</v>
      </c>
      <c r="DS109" s="1">
        <f t="shared" si="103"/>
        <v>1</v>
      </c>
      <c r="DT109" s="1">
        <f>IF(OR(E109="",E109="系统"),0,IF(OR(AND(DS109=1,Boss参数!$B$32=1),L109="RHI_BERRY",OR(AND(INDEX(角色面板!$B$18:$B$21,MATCH(E109,角色面板!$A$18:$A$21,0))="星",Boss参数!$B$4="岩"),AND(INDEX(角色面板!$B$18:$B$21,MATCH(E109,角色面板!$A$18:$A$21,0))="岩",Boss参数!$B$4="兽"),AND(INDEX(角色面板!$B$18:$B$21,MATCH(E109,角色面板!$A$18:$A$21,0))="兽",Boss参数!$B$4="木"),AND(INDEX(角色面板!$B$18:$B$21,MATCH(E109,角色面板!$A$18:$A$21,0))="木",Boss参数!$B$4="星"),AND(INDEX(角色面板!$B$18:$B$21,MATCH(E109,角色面板!$A$18:$A$21,0))="智",Boss参数!$B$4="灵"),AND(INDEX(角色面板!$B$18:$B$21,MATCH(E109,角色面板!$A$18:$A$21,0))="灵",Boss参数!$B$4="智"))),1,0))</f>
        <v>1</v>
      </c>
      <c r="DU109" s="1">
        <f>IF(D109="",0,INDEX(回合状态!$E$7:$E$17,MATCH(DG109,回合状态!$A$7:$A$17,0))+IF(AND(DH109="敌方",OR(INDEX(回合状态!$C$7:$C$17,MATCH(DG109,回合状态!$A$7:$A$17,0))="普通",INDEX(回合状态!$C$7:$C$17,MATCH(DG109,回合状态!$A$7:$A$17,0))="额外")),0.05,0))</f>
        <v>0.35</v>
      </c>
      <c r="DV109" s="1">
        <f>MAX(Boss参数!$B$28,1+IF(AND(E109="37",AC109&gt;0,BH109&gt;0),Boss参数!$B$42,0)-DI109*Boss参数!$B$24+EA109-ER109)</f>
        <v>0</v>
      </c>
      <c r="DW109" s="1">
        <f>MIN(IF(Boss参数!$B$77=1,Boss参数!$B$63*Boss参数!$B$62,Boss参数!$B$61*Boss参数!$B$62),ROUNDDOWN(BQ109*(1-ES109),0))</f>
        <v>8203</v>
      </c>
      <c r="DX109" s="1">
        <f>MIN(IF(Boss参数!$B$77=1,Boss参数!$B$63*Boss参数!$B$62,Boss参数!$B$61*Boss参数!$B$62),ROUNDDOWN(BR109*(1-ES109),0))</f>
        <v>15561</v>
      </c>
      <c r="DY109" s="1">
        <f t="shared" si="135"/>
        <v>250</v>
      </c>
      <c r="DZ109" s="1">
        <f>IF(L109="RHI_ULT",MIN(Boss参数!$B$48,ROUNDDOWN(AY109*Boss参数!$B$47,0)),DY109)</f>
        <v>250</v>
      </c>
      <c r="EA109" s="1">
        <v>0</v>
      </c>
      <c r="EB109" s="1">
        <f t="shared" si="104"/>
        <v>0</v>
      </c>
      <c r="EC109" s="1">
        <f>SUMIFS($EB$3:EB109,$B$3:B109,"&gt;="&amp;MAX(1,B109-2),$B$3:B109,"&lt;="&amp;B109)*Boss参数!$B$51</f>
        <v>12</v>
      </c>
      <c r="ED109" s="1">
        <f>IF(D109="",EG108,IF(AND(DG109&lt;&gt;DG108,DH109&lt;&gt;"洞穿"),MIN(Boss参数!$B$55,EG108+2),EG108))</f>
        <v>0</v>
      </c>
      <c r="EE109" s="1">
        <f t="shared" si="105"/>
        <v>0</v>
      </c>
      <c r="EF109" s="1">
        <f>IF(AND(OR(L109="END_TURN",AND(DH109="敌方",OR(DH108&lt;&gt;"敌方",DG109&lt;&gt;DG108))),SUMIFS($EF$3:EF108,$DG$3:DG108,DG109)=0),MIN(1,MAX(0,ED109-EE109)),0)</f>
        <v>0</v>
      </c>
      <c r="EG109" s="1">
        <f t="shared" si="106"/>
        <v>0</v>
      </c>
      <c r="EH109" s="1">
        <f>Boss参数!$B$53-IF(Y109=1,Boss参数!$B$54,0)</f>
        <v>0</v>
      </c>
      <c r="EI109" s="1">
        <f t="shared" si="107"/>
        <v>0.3</v>
      </c>
      <c r="EJ109" s="1">
        <f t="shared" si="108"/>
        <v>0.3</v>
      </c>
      <c r="EK109" s="1">
        <f t="shared" si="109"/>
        <v>1</v>
      </c>
      <c r="EL109" s="1">
        <f t="shared" si="136"/>
        <v>0</v>
      </c>
      <c r="EM109" s="1">
        <f>IF(AND(DG109&lt;&gt;DG108,DH109="洞穿"),0,IF(L109="ENTER_INSIGHT",Boss参数!$B$57,EO108))</f>
        <v>0</v>
      </c>
      <c r="EN109" s="1">
        <f>IF(AND(Y109=1,H109="洞知",EM109&gt;0),Boss参数!$B$56,0)</f>
        <v>0</v>
      </c>
      <c r="EO109" s="1">
        <f t="shared" si="110"/>
        <v>0</v>
      </c>
      <c r="EP109" s="1">
        <f t="shared" si="137"/>
        <v>15135558</v>
      </c>
      <c r="EQ109" s="1">
        <f>ROUNDDOWN(EP109/Boss参数!$B$62,0)</f>
        <v>151</v>
      </c>
      <c r="ER109" s="1">
        <f>IF(EQ109&gt;=Boss参数!$B$66,Boss参数!$B$69,IF(EQ109&gt;=Boss参数!$B$65,Boss参数!$B$68,IF(EQ109&gt;=Boss参数!$B$64,Boss参数!$B$67,0)))</f>
        <v>0.9</v>
      </c>
      <c r="ES109" s="1">
        <f>MIN(1,IF(EQ109&gt;=Boss参数!$B$66,Boss参数!$B$72+ROUNDDOWN((EQ109-Boss参数!$B$66)/Boss参数!$B$73,0)*Boss参数!$B$74,IF(EQ109&gt;=Boss参数!$B$65,Boss参数!$B$71,IF(EQ109&gt;=Boss参数!$B$64,Boss参数!$B$70,0))))</f>
        <v>0.6</v>
      </c>
      <c r="ET109" s="1">
        <f>MIN(Boss参数!$B$61*Boss参数!$B$62,EP109+IF(AND(Boss参数!$B$60=1,ISNUMBER(验证表!H115)),验证表!H115,EU109))</f>
        <v>15143761</v>
      </c>
      <c r="EU109" s="1">
        <f>IF(D109="",0,IF(验证表!G115="是",BV109,IF(验证表!G115="否",BU109,BW109)))</f>
        <v>8203</v>
      </c>
      <c r="EV109" s="1">
        <f>IF(EQ109&gt;=Boss参数!$B$66,2,IF(EQ109&gt;=Boss参数!$B$65,1,0))</f>
        <v>2</v>
      </c>
      <c r="EW109" s="1">
        <f t="shared" si="111"/>
        <v>3</v>
      </c>
      <c r="EX109" s="1">
        <f>IF(D109="",0,INDEX(回合状态!$D$7:$D$17,MATCH(DG109,回合状态!$A$7:$A$17,0)))</f>
        <v>7</v>
      </c>
      <c r="EY109" s="1">
        <f>IF(OR(L109="RHI_ATTACK",L109="RHI_BUFF"),1,IF(L109="RHI_ULT",Boss参数!$B$52,0))</f>
        <v>0</v>
      </c>
      <c r="EZ109" s="1">
        <f>MIN(6,SUMIFS($EY$3:EY109,$EX$3:EX109,"&gt;="&amp;MAX(1,EX109-Boss参数!$B$87+1),$EX$3:EX109,"&lt;="&amp;EX109))</f>
        <v>5</v>
      </c>
      <c r="FA109" s="1">
        <f t="shared" si="138"/>
        <v>35</v>
      </c>
      <c r="FB109" s="17">
        <f>IF(L109="BOSS_CONSERVATIVE",B109+Boss参数!$B$91,FB108)</f>
        <v>7</v>
      </c>
      <c r="FC109" s="17">
        <f t="shared" si="139"/>
        <v>0</v>
      </c>
      <c r="FD109" s="17">
        <f>IF(D109="",FD108,FD108+IF(AND(DG109&lt;&gt;DG108,INDEX(回合状态!$C$7:$C$17,MATCH(DG109,回合状态!$A$7:$A$17,0))&lt;&gt;"洞穿"),1,0))</f>
        <v>8</v>
      </c>
      <c r="FE109" s="17">
        <f>IF(D109="",0,IF(AND(OR(L109="END_TURN",DH109="敌方"),INDEX(回合状态!$C$7:$C$17,MATCH(DG109,回合状态!$A$7:$A$17,0))&lt;&gt;"洞穿",SUMIFS($FE$3:FE108,$DG$3:DG108,DG109)=0),1,0))</f>
        <v>0</v>
      </c>
    </row>
    <row r="110" spans="1:161" ht="84.95" customHeight="1">
      <c r="A110" s="1">
        <f>行动模拟!A116</f>
        <v>108</v>
      </c>
      <c r="B110" s="1">
        <f>IF(D110="",0,INDEX(回合状态!$B$7:$B$17,MATCH(DG110,回合状态!$A$7:$A$17,0)))</f>
        <v>7</v>
      </c>
      <c r="C110" s="1">
        <f>行动模拟!C116</f>
        <v>6</v>
      </c>
      <c r="D110" s="1" t="str">
        <f>IF(行动模拟!D116="","",行动模拟!D116)</f>
        <v>37｜数与几何的王国</v>
      </c>
      <c r="E110" s="1" t="str">
        <f>IF($D110="","",IFERROR(INDEX(技能数据库!$B$4:$B$38,MATCH($D110,技能数据库!$A$4:$A$38,0)),""))</f>
        <v>37</v>
      </c>
      <c r="F110" s="1" t="str">
        <f>IF($D110="","",IFERROR(INDEX(技能数据库!$C$4:$C$38,MATCH($D110,技能数据库!$A$4:$A$38,0)),""))</f>
        <v>数与几何的王国</v>
      </c>
      <c r="G110" s="1">
        <f>IF($D110="","",IFERROR(INDEX(技能数据库!$D$4:$D$38,MATCH($D110,技能数据库!$A$4:$A$38,0)),""))</f>
        <v>0</v>
      </c>
      <c r="H110" s="1" t="str">
        <f>IF($D110="","",IFERROR(INDEX(技能数据库!$E$4:$E$38,MATCH($D110,技能数据库!$A$4:$A$38,0)),""))</f>
        <v>仪式</v>
      </c>
      <c r="I110" s="1" t="str">
        <f>IF($D110="","",IFERROR(INDEX(技能数据库!$F$4:$F$38,MATCH($D110,技能数据库!$A$4:$A$38,0)),""))</f>
        <v>无</v>
      </c>
      <c r="J110" s="1">
        <f>IF($D110="","",IFERROR(INDEX(技能数据库!$G$4:$G$38,MATCH($D110,技能数据库!$A$4:$A$38,0)),""))</f>
        <v>0</v>
      </c>
      <c r="K110" s="1">
        <f>IF($D110="","",IFERROR(INDEX(技能数据库!$H$4:$H$38,MATCH($D110,技能数据库!$A$4:$A$38,0)),""))</f>
        <v>0</v>
      </c>
      <c r="L110" s="1" t="str">
        <f>IF($D110="","",IFERROR(INDEX(技能数据库!$I$4:$I$38,MATCH($D110,技能数据库!$A$4:$A$38,0)),""))</f>
        <v>37_ULT</v>
      </c>
      <c r="M110" s="1">
        <v>1</v>
      </c>
      <c r="N110" s="1"/>
      <c r="O110" s="1"/>
      <c r="P110" s="1"/>
      <c r="Q110" s="1">
        <f t="shared" si="70"/>
        <v>0</v>
      </c>
      <c r="R110" s="1">
        <v>0</v>
      </c>
      <c r="S110" s="1">
        <v>0</v>
      </c>
      <c r="T110" s="1">
        <f>行动模拟!I116</f>
        <v>0</v>
      </c>
      <c r="U110" s="1">
        <f>IF(FD110&lt;&gt;FD109,IF(BY109=1,IF(MIN(10,CA109+IF(AND(DG110&lt;&gt;DG109,DH109&lt;&gt;"洞穿",SUMIFS($FE$3:FE109,$DG$3:DG109,DG109)=0,BY109=1),3,0))&gt;=10,2,1),IF(BY109=2,IF(BZ109&lt;=1,0,2),0)),BY109)</f>
        <v>2</v>
      </c>
      <c r="V110" s="1">
        <f>IF(FD110&lt;&gt;FD109,IF(BY109=1,IF(MIN(10,CA109+IF(AND(DG110&lt;&gt;DG109,DH109&lt;&gt;"洞穿",SUMIFS($FE$3:FE109,$DG$3:DG109,DG109)=0,BY109=1),3,0))&gt;=10,2,0),IF(BY109=2,MAX(0,BZ109-1),0)),BZ109)</f>
        <v>1</v>
      </c>
      <c r="W110" s="1">
        <f>IF(AND(FD110&lt;&gt;FD109,BY109=2,BZ109&lt;=1),0,MIN(10,CA109+IF(AND(DG110&lt;&gt;DG109,DH109&lt;&gt;"洞穿",SUMIFS($FE$3:FE109,$DG$3:DG109,DG109)=0,BY109=1),3,0)))</f>
        <v>10</v>
      </c>
      <c r="X110" s="1">
        <f t="shared" si="112"/>
        <v>8</v>
      </c>
      <c r="Y110" s="1">
        <f t="shared" si="113"/>
        <v>0</v>
      </c>
      <c r="Z110" s="1">
        <f t="shared" si="114"/>
        <v>0</v>
      </c>
      <c r="AA110" s="1">
        <f t="shared" si="115"/>
        <v>0</v>
      </c>
      <c r="AB110" s="1">
        <f t="shared" si="116"/>
        <v>1</v>
      </c>
      <c r="AC110" s="1">
        <f t="shared" si="117"/>
        <v>0</v>
      </c>
      <c r="AD110" s="1">
        <f t="shared" si="118"/>
        <v>35</v>
      </c>
      <c r="AE110" s="1">
        <f>IF(D110="",0,IF(DG110&lt;&gt;DG109,IFERROR(INDEX(回合状态!$F$7:$F$17,MATCH(DG110,回合状态!$A$7:$A$17,0)),0),CI109))</f>
        <v>30</v>
      </c>
      <c r="AF110" s="1">
        <f t="shared" si="119"/>
        <v>0.875</v>
      </c>
      <c r="AG110" s="1">
        <f t="shared" si="120"/>
        <v>9</v>
      </c>
      <c r="AH110" s="1">
        <f t="shared" si="121"/>
        <v>9</v>
      </c>
      <c r="AI110" s="1">
        <f t="shared" si="122"/>
        <v>8</v>
      </c>
      <c r="AJ110" s="1">
        <f t="shared" si="123"/>
        <v>9</v>
      </c>
      <c r="AK110" s="1">
        <f t="shared" si="124"/>
        <v>8</v>
      </c>
      <c r="AL110" s="1">
        <f t="shared" si="125"/>
        <v>3</v>
      </c>
      <c r="AM110" s="1">
        <f t="shared" si="126"/>
        <v>30</v>
      </c>
      <c r="AN110" s="1">
        <f t="shared" si="127"/>
        <v>6</v>
      </c>
      <c r="AO110" s="1">
        <f t="shared" si="128"/>
        <v>0</v>
      </c>
      <c r="AP110" s="1">
        <f t="shared" si="129"/>
        <v>0.12</v>
      </c>
      <c r="AQ110" s="1">
        <f t="shared" si="130"/>
        <v>9</v>
      </c>
      <c r="AR110" s="1">
        <f t="shared" si="131"/>
        <v>0.3</v>
      </c>
      <c r="AS110" s="1">
        <f t="shared" si="132"/>
        <v>9</v>
      </c>
      <c r="AT110" s="1">
        <f t="shared" si="133"/>
        <v>0.3</v>
      </c>
      <c r="AU110" s="1">
        <f t="shared" si="134"/>
        <v>9</v>
      </c>
      <c r="AV110" s="1">
        <f>MIN(5,SUMIFS($EL$3:EL110,$B$3:B110,"&gt;="&amp;MAX(1,B110-2),$B$3:B110,"&lt;="&amp;B110)+EC110)</f>
        <v>5</v>
      </c>
      <c r="AW110" s="1">
        <f>MIN(6,SUMIFS($EY$3:EY109,$EX$3:EX109,"&gt;="&amp;MAX(1,EX110-Boss参数!$B$87+1),$EX$3:EX109,"&lt;="&amp;EX110))</f>
        <v>5</v>
      </c>
      <c r="AX110" s="1">
        <f>MIN(4,COUNTIFS($B$3:$B$109,"&gt;="&amp;MAX(1,$B110-2),$B$3:$B$109,"&lt;="&amp;$B110,$L$3:$L$109,"37_FOLLOW"))</f>
        <v>4</v>
      </c>
      <c r="AY110" s="1">
        <f>IF($E110="","",IF($E110="系统",0,ROUNDDOWN(INDEX(角色面板!$C$4:$C$7,MATCH($E110,角色面板!$A$4:$A$7,0))*(1+INDEX(角色面板!$C$11:$C$14,MATCH($E110,角色面板!$A$11:$A$14,0))+IF($E110="小瑞安侬",MAX(IF($B110&lt;=$AQ110,$AP110,0),IF(AND($L110="RHI_ATTACK",$EE110&gt;0),0.11+0.01*$G110,0)),0)+IF($E110="J",$AD110*Boss参数!$B$18,0))+IF(FD110&lt;=$AN110,MIN(Boss参数!$B$21,ROUNDDOWN(角色面板!$C$19*Boss参数!$B$20,0)),0)+IF(AND($B110&lt;=$AK110,$E110&lt;&gt;"小瑞安侬"),$DY110,0),0)))</f>
        <v>3017</v>
      </c>
      <c r="AZ110" s="1">
        <f>IF($E110="","",MAX(0,MIN(1,IFERROR(INDEX(角色面板!$G$18:$G$21,MATCH($E110,角色面板!$A$18:$A$21,0)),0)-FC110*Boss参数!$B$89-Boss参数!$E$4)))</f>
        <v>0.76</v>
      </c>
      <c r="BA110" s="1">
        <f>IF(E110="","",(IF($E110="","",IF($E110="红弩箭",Boss参数!$B$80,IF($E110="J",Boss参数!$B$81,IFERROR(INDEX(角色面板!$H$18:$H$21,MATCH($E110,角色面板!$A$18:$A$21,0)),0)))+IF($B110&lt;=$AI110,Boss参数!$B$13,0)+MIN(30,$AM110)*Boss参数!$B$17+IF(AND($L110="LILYA_ULT",$X110&gt;=6),1,0)+IF(AND($Y110=1,$L110="LILYA_INSIGHT"),IF(MOD($AA110+1,3)=0,Boss参数!$B$83,Boss参数!$B$82),IF(AND($Y110=1,$L110="LILYA_FINISH"),Boss参数!$B$84,0))))-FC110*Boss参数!$B$90)</f>
        <v>2.4780000000000002</v>
      </c>
      <c r="BB110" s="1">
        <f>IF($E110="","",IFERROR(INDEX(角色面板!$M$18:$M$21,MATCH($E110,角色面板!$A$18:$A$21,0)),0)+$AW110*Boss参数!$B$12+IF($B110&lt;=$AG110,$AF110,0)+$EI110+IF($L110="LILYA_DIVE",IF($U110=1,IF($G110=1,0.3,IF($G110=2,0.4,0.5)),IF($U110=2,IF($G110=1,0.6,IF($G110=2,0.8,1)),0)),0)+$R110+IF(AND($E110="J",OR($L110="J_COUNTER",$L110="J_HARD")),Boss参数!$B$79,0)+IF(AND(OR(L110="J_COUNTER",L110="J_HARD"),FA110&gt;=Boss参数!$B$59),FA110*Boss参数!$B$40,0))</f>
        <v>1.2749999999999999</v>
      </c>
      <c r="BC110" s="1">
        <f>IF($E110="","",IFERROR(INDEX(角色面板!$K$18:$K$21,MATCH($E110,角色面板!$A$18:$A$21,0)),0)+IF($B110&lt;=$AH110,Boss参数!$B$46,0)+IF($E110="红弩箭",IF($U110=1,0.6,IF($U110=2,1.2,0))+$W110*0.06,0))-DI110*Boss参数!$B$23</f>
        <v>-0.7</v>
      </c>
      <c r="BD110" s="1">
        <f>IF($E110="","",IFERROR(INDEX(角色面板!$L$18:$L$21,MATCH($E110,角色面板!$A$18:$A$21,0)),0)+IF($B110&lt;=$AH110,Boss参数!$B$46,0)+IF($E110="J",$AL110*Boss参数!$B$16,0)+IF($E110="红弩箭",$X110*0.025,0)+IF(AND($L110="LILYA_ULT",$X110&gt;=6),1,0))-DI110*Boss参数!$B$23</f>
        <v>-0.3</v>
      </c>
      <c r="BE110" s="1">
        <f>IF($E110="","",IF($H110="洞知",IF($E110="红弩箭",$AO110*Boss参数!$B$15,0)+$AX110*Boss参数!$B$14,0))</f>
        <v>0</v>
      </c>
      <c r="BF110" s="1">
        <f t="shared" si="71"/>
        <v>0</v>
      </c>
      <c r="BG110" s="1">
        <f>IF($D110="",0,IF(AND($L110&lt;&gt;"LILYA_DIVE",$L110&lt;&gt;"LILYA_ULT",$L110&lt;&gt;"LILYA_INSIGHT",$L110&lt;&gt;"LILYA_FINISH",$L110&lt;&gt;"37_FOLLOW",$L110&lt;&gt;"RHI_ATTACK",$L110&lt;&gt;"RHI_BERRY",$L110&lt;&gt;"J_COUNTER",$L110&lt;&gt;"J_ULT"),$J110,0)+IF($L110="LILYA_DIVE",$J110+IF($U110=1,IF($G110=1,6,IF($G110=2,12,18)),IF($U110=2,IF($G110=1,12,IF($G110=2,24,36)),0)),0)+IF($L110="LILYA_ULT",$J110+IF($X110&gt;=6,18,0),0)+IF($L110="LILYA_INSIGHT",IF($Y110=1,IF(MOD($AA110+1,3)=0,32,15),0),0)+IF($L110="LILYA_FINISH",IF($Y110=1,50+2.5*$Z110,0),0)+IF($L110="37_FOLLOW",$J110,0)+IF($L110="RHI_ATTACK",$J110*IF($B110&lt;=$AJ110,2,1),0)+IF($L110="RHI_BERRY",15+1.5*$AV110,0)+IF($L110="J_COUNTER",$J110+$AD110*Boss参数!$B$39,0)+IF($L110="J_ULT",$J110+Boss参数!$B$45*MAX(0,$AE110+$AD110-Boss参数!$I$4),0)+$S110)</f>
        <v>0</v>
      </c>
      <c r="BH110" s="1">
        <f t="shared" si="72"/>
        <v>0</v>
      </c>
      <c r="BI110" s="1">
        <f>IF(E110="","",IF(DT110=1,1+Boss参数!$B$8+AV110*Boss参数!$B$19,1))</f>
        <v>1.5</v>
      </c>
      <c r="BJ110" s="1">
        <f>IF($I110="现实",Boss参数!$C$4,IF($I110="精神",Boss参数!$D$4,0))</f>
        <v>0</v>
      </c>
      <c r="BK110" s="1">
        <f>IF($E110="","",MAX($AY110*Boss参数!$B$9,$AY110-$BJ110*(1-$BF110)))</f>
        <v>3017</v>
      </c>
      <c r="BL110" s="1">
        <f>MAX(0,Boss参数!$F$4+IF(DT110=0,Boss参数!$B$27,0)-EJ110)</f>
        <v>0.10000000000000003</v>
      </c>
      <c r="BM110" s="1">
        <f>Boss参数!$G$4+DU110-IF(Y110=1,Boss参数!$B$11,0)</f>
        <v>0.75</v>
      </c>
      <c r="BN110" s="1">
        <f>IF($E110="","",MAX(Boss参数!$B$10,1+IFERROR(INDEX(角色面板!$I$18:$I$21,MATCH($E110,角色面板!$A$18:$A$21,0)),0)+$BB110+Boss参数!$H$4-$BM110))</f>
        <v>1.5299999999999998</v>
      </c>
      <c r="BO110" s="1">
        <f>IF(E110="","",IF(OR(L110="J_COUNTER",L110="J_HARD"),MAX(0,1+INDEX(角色面板!$K$18:$K$21,MATCH(E110,角色面板!$A$18:$A$21,0))-DI110*Boss参数!$B$23+IF(OR(Boss参数!$B$43=1,L110="J_HARD"),IF(B110&lt;=AH110,Boss参数!$B$46,0),0)),MAX(0,IF(OR(H110="术法",L110="RHI_BERRY",AND(L110="37_FOLLOW",Boss参数!$B$31=1)),1+BC110,IF(H110="仪式",1+BD110,IF(H110="洞知",EK110,1))))))</f>
        <v>0.7</v>
      </c>
      <c r="BP110" s="1">
        <f t="shared" si="73"/>
        <v>2.3780000000000001</v>
      </c>
      <c r="BQ110" s="1">
        <f t="shared" si="74"/>
        <v>0</v>
      </c>
      <c r="BR110" s="1">
        <f t="shared" si="75"/>
        <v>0</v>
      </c>
      <c r="BS110" s="1">
        <f>IF(BH110=0,0,ROUNDDOWN(AY110*BH110,0)*DV110*IF(Boss参数!$B$29=1,BN110,1)*IF(Boss参数!$B$33=1,BO110,1)*IF(Boss参数!$B$76=1,1-ES110,1))</f>
        <v>0</v>
      </c>
      <c r="BT110" s="1">
        <f t="shared" si="76"/>
        <v>0</v>
      </c>
      <c r="BU110" s="1">
        <f>IF(D110="",0,MIN(IF(Boss参数!$B$77=1,Boss参数!$B$63*Boss参数!$B$62,Boss参数!$B$61*Boss参数!$B$62),DW110+ROUNDDOWN(BS110,0)+ROUNDDOWN(DW110*Q110,0)))</f>
        <v>0</v>
      </c>
      <c r="BV110" s="1">
        <f>IF(D110="",0,MIN(IF(Boss参数!$B$77=1,Boss参数!$B$63*Boss参数!$B$62,Boss参数!$B$61*Boss参数!$B$62),DX110+ROUNDDOWN(BT110,0)+ROUNDDOWN(DX110*Q110,0)))</f>
        <v>0</v>
      </c>
      <c r="BW110" s="1">
        <f t="shared" si="77"/>
        <v>0</v>
      </c>
      <c r="BX110" s="1" t="str">
        <f t="shared" si="78"/>
        <v/>
      </c>
      <c r="BY110" s="1">
        <f t="shared" si="79"/>
        <v>2</v>
      </c>
      <c r="BZ110" s="1">
        <f t="shared" si="80"/>
        <v>1</v>
      </c>
      <c r="CA110" s="1">
        <f>MIN(10,W110+IF(AND(L110="LILYA_COBRA",COUNTIF($L$3:L110,"LILYA_COBRA")=1),5,0)+IF(AND(L110="LILYA_DIVE",U110=1,COUNTIFS($DG$3:DG110,DG110,$L$3:L110,"LILYA_DIVE")=1),2,0)+IF(AND(FE110=1,U110=1),3,0))</f>
        <v>10</v>
      </c>
      <c r="CB110" s="1">
        <f>MIN(20,MAX(0,X110+IF(L110="LILYA_COBRA",IF(COUNTIF($L$3:L110,"LILYA_COBRA")=1,6,IF(U110=1,MAX(1,G110),IF(U110=2,2*MAX(1,G110),0))),0)+IF(AND(Y110=1,E110="红弩箭",L110&lt;&gt;"ENTER_INSIGHT"),1,0)-IF(AND(L110="LILYA_ULT",X110&gt;=6),6,0)))</f>
        <v>8</v>
      </c>
      <c r="CC110" s="1">
        <f t="shared" si="81"/>
        <v>0</v>
      </c>
      <c r="CD110" s="1">
        <f t="shared" si="82"/>
        <v>0</v>
      </c>
      <c r="CE110" s="1">
        <f t="shared" si="83"/>
        <v>0</v>
      </c>
      <c r="CF110" s="1">
        <f t="shared" si="84"/>
        <v>4</v>
      </c>
      <c r="CG110" s="1">
        <f t="shared" si="85"/>
        <v>2</v>
      </c>
      <c r="CH110" s="1">
        <f>MIN(35,AD110+IF(L110="J_HARD",6,0)+IF(L110="J_COUNTER",Boss参数!$B$30,0))</f>
        <v>35</v>
      </c>
      <c r="CI110" s="1">
        <f>MIN(Boss参数!$I$4,AE110+IF(L110="J_HARD",6,0)+IF(L110="J_ULT",AD110,0)+IF(L110="J_COUNTER",Boss参数!$B$30,0))</f>
        <v>30</v>
      </c>
      <c r="CJ110" s="1">
        <f>IF(L110="J_ULT",AD110*Boss参数!$B$41,IF(B110&lt;=AG110,AF110,0))</f>
        <v>0.875</v>
      </c>
      <c r="CK110" s="1">
        <f t="shared" si="86"/>
        <v>9</v>
      </c>
      <c r="CL110" s="1">
        <f t="shared" si="87"/>
        <v>9</v>
      </c>
      <c r="CM110" s="1">
        <f t="shared" si="88"/>
        <v>8</v>
      </c>
      <c r="CN110" s="1">
        <f t="shared" si="89"/>
        <v>9</v>
      </c>
      <c r="CO110" s="1">
        <f t="shared" si="90"/>
        <v>8</v>
      </c>
      <c r="CP110" s="1">
        <f t="shared" si="91"/>
        <v>3</v>
      </c>
      <c r="CQ110" s="1">
        <f t="shared" si="92"/>
        <v>30</v>
      </c>
      <c r="CR110" s="1">
        <f t="shared" si="93"/>
        <v>9</v>
      </c>
      <c r="CS110" s="1">
        <f t="shared" si="94"/>
        <v>0</v>
      </c>
      <c r="CT110" s="1">
        <f t="shared" si="95"/>
        <v>0.12</v>
      </c>
      <c r="CU110" s="1">
        <f t="shared" si="96"/>
        <v>9</v>
      </c>
      <c r="CV110" s="1">
        <f t="shared" si="97"/>
        <v>0.3</v>
      </c>
      <c r="CW110" s="1">
        <f t="shared" si="98"/>
        <v>9</v>
      </c>
      <c r="CX110" s="1">
        <f t="shared" si="99"/>
        <v>0.3</v>
      </c>
      <c r="CY110" s="1">
        <f t="shared" si="100"/>
        <v>9</v>
      </c>
      <c r="CZ110" s="1"/>
      <c r="DA110" s="1"/>
      <c r="DB110" s="1"/>
      <c r="DC110" s="1"/>
      <c r="DD110" s="1"/>
      <c r="DE110" s="1"/>
      <c r="DF110" s="1"/>
      <c r="DG110" s="1" t="str">
        <f>IF(D110="","",行动模拟!B116)</f>
        <v>7（目击）</v>
      </c>
      <c r="DH110" s="1" t="str">
        <f>IF(L110="END_TURN","回合结束",IF(D110="","",IF(INDEX(回合状态!$C$7:$C$17,MATCH(DG110,回合状态!$A$7:$A$17,0))="洞穿","洞穿",IF(OR(L110="J_COUNTER",L110="BOSS_ACTION",L110="BOSS_CONSERVATIVE"),"敌方",IF(AND(L110="37_FOLLOW",DG110=DG109,DH109="敌方"),"敌方",IF(INDEX(回合状态!$C$7:$C$17,MATCH(DG110,回合状态!$A$7:$A$17,0))="普通","出牌",INDEX(回合状态!$C$7:$C$17,MATCH(DG110,回合状态!$A$7:$A$17,0))))))))</f>
        <v>目击</v>
      </c>
      <c r="DI110" s="1">
        <f t="shared" si="101"/>
        <v>4</v>
      </c>
      <c r="DJ110" s="1">
        <f>IF(D110="",0,MIN(Boss参数!$B$25,IF(OR(AND(DH110="敌方",OR(DH109&lt;&gt;"敌方",DG110&lt;&gt;DG109)),AND(L110="END_TURN",DH110&lt;&gt;"洞穿"),AND(DG110&lt;&gt;DG109,DH109&lt;&gt;"洞穿",L109&lt;&gt;"END_TURN",COUNTIFS($DG$3:DG109,DG109,$DH$3:DH109,"敌方")=0)),EW110,DN109)))</f>
        <v>5</v>
      </c>
      <c r="DK110" s="1">
        <f>IF(D110="",0,MIN(Boss参数!$B$25,IF(OR(AND(DH110="敌方",OR(DH109&lt;&gt;"敌方",DG110&lt;&gt;DG109)),AND(L110="END_TURN",DH110&lt;&gt;"洞穿"),AND(DG110&lt;&gt;DG109,DH109&lt;&gt;"洞穿",L109&lt;&gt;"END_TURN",COUNTIFS($DG$3:DG109,DG109,$DH$3:DH109,"敌方")=0)),EW110,DO109)))</f>
        <v>4</v>
      </c>
      <c r="DL110" s="1">
        <f>IF(D110="",0,MIN(Boss参数!$B$25,IF(OR(AND(DH110="敌方",OR(DH109&lt;&gt;"敌方",DG110&lt;&gt;DG109)),AND(L110="END_TURN",DH110&lt;&gt;"洞穿"),AND(DG110&lt;&gt;DG109,DH109&lt;&gt;"洞穿",L109&lt;&gt;"END_TURN",COUNTIFS($DG$3:DG109,DG109,$DH$3:DH109,"敌方")=0)),EW110,DP109)))</f>
        <v>5</v>
      </c>
      <c r="DM110" s="1">
        <f>IF(D110="",0,MIN(Boss参数!$B$25,IF(OR(AND(DH110="敌方",OR(DH109&lt;&gt;"敌方",DG110&lt;&gt;DG109)),AND(L110="END_TURN",DH110&lt;&gt;"洞穿"),AND(DG110&lt;&gt;DG109,DH109&lt;&gt;"洞穿",L109&lt;&gt;"END_TURN",COUNTIFS($DG$3:DG109,DG109,$DH$3:DH109,"敌方")=0)),EW110,DQ109)))</f>
        <v>0</v>
      </c>
      <c r="DN110" s="1">
        <f>MAX(0,MIN(Boss参数!$B$25,DJ110+DR110)-IF(E110="红弩箭",2*DR110,0))</f>
        <v>5</v>
      </c>
      <c r="DO110" s="1">
        <f>MAX(0,MIN(Boss参数!$B$25,DK110+DR110)-IF(E110="37",2*DR110,0))</f>
        <v>4</v>
      </c>
      <c r="DP110" s="1">
        <f>MAX(0,MIN(Boss参数!$B$25,DL110+DR110)-IF(E110="小瑞安侬",2*DR110,0))</f>
        <v>5</v>
      </c>
      <c r="DQ110" s="1">
        <f>MAX(0,MIN(Boss参数!$B$25,DM110+DR110)-IF(E110="J",2*DR110,0))</f>
        <v>0</v>
      </c>
      <c r="DR110" s="1">
        <f t="shared" si="102"/>
        <v>0</v>
      </c>
      <c r="DS110" s="1">
        <f t="shared" si="103"/>
        <v>0</v>
      </c>
      <c r="DT110" s="1">
        <f>IF(OR(E110="",E110="系统"),0,IF(OR(AND(DS110=1,Boss参数!$B$32=1),L110="RHI_BERRY",OR(AND(INDEX(角色面板!$B$18:$B$21,MATCH(E110,角色面板!$A$18:$A$21,0))="星",Boss参数!$B$4="岩"),AND(INDEX(角色面板!$B$18:$B$21,MATCH(E110,角色面板!$A$18:$A$21,0))="岩",Boss参数!$B$4="兽"),AND(INDEX(角色面板!$B$18:$B$21,MATCH(E110,角色面板!$A$18:$A$21,0))="兽",Boss参数!$B$4="木"),AND(INDEX(角色面板!$B$18:$B$21,MATCH(E110,角色面板!$A$18:$A$21,0))="木",Boss参数!$B$4="星"),AND(INDEX(角色面板!$B$18:$B$21,MATCH(E110,角色面板!$A$18:$A$21,0))="智",Boss参数!$B$4="灵"),AND(INDEX(角色面板!$B$18:$B$21,MATCH(E110,角色面板!$A$18:$A$21,0))="灵",Boss参数!$B$4="智"))),1,0))</f>
        <v>1</v>
      </c>
      <c r="DU110" s="1">
        <f>IF(D110="",0,INDEX(回合状态!$E$7:$E$17,MATCH(DG110,回合状态!$A$7:$A$17,0))+IF(AND(DH110="敌方",OR(INDEX(回合状态!$C$7:$C$17,MATCH(DG110,回合状态!$A$7:$A$17,0))="普通",INDEX(回合状态!$C$7:$C$17,MATCH(DG110,回合状态!$A$7:$A$17,0))="额外")),0.05,0))</f>
        <v>0.35</v>
      </c>
      <c r="DV110" s="1">
        <f>MAX(Boss参数!$B$28,1+IF(AND(E110="37",AC110&gt;0,BH110&gt;0),Boss参数!$B$42,0)-DI110*Boss参数!$B$24+EA110-ER110)</f>
        <v>0</v>
      </c>
      <c r="DW110" s="1">
        <f>MIN(IF(Boss参数!$B$77=1,Boss参数!$B$63*Boss参数!$B$62,Boss参数!$B$61*Boss参数!$B$62),ROUNDDOWN(BQ110*(1-ES110),0))</f>
        <v>0</v>
      </c>
      <c r="DX110" s="1">
        <f>MIN(IF(Boss参数!$B$77=1,Boss参数!$B$63*Boss参数!$B$62,Boss参数!$B$61*Boss参数!$B$62),ROUNDDOWN(BR110*(1-ES110),0))</f>
        <v>0</v>
      </c>
      <c r="DY110" s="1">
        <f t="shared" si="135"/>
        <v>250</v>
      </c>
      <c r="DZ110" s="1">
        <f>IF(L110="RHI_ULT",MIN(Boss参数!$B$48,ROUNDDOWN(AY110*Boss参数!$B$47,0)),DY110)</f>
        <v>250</v>
      </c>
      <c r="EA110" s="1">
        <v>0</v>
      </c>
      <c r="EB110" s="1">
        <f t="shared" si="104"/>
        <v>0</v>
      </c>
      <c r="EC110" s="1">
        <f>SUMIFS($EB$3:EB110,$B$3:B110,"&gt;="&amp;MAX(1,B110-2),$B$3:B110,"&lt;="&amp;B110)*Boss参数!$B$51</f>
        <v>12</v>
      </c>
      <c r="ED110" s="1">
        <f>IF(D110="",EG109,IF(AND(DG110&lt;&gt;DG109,DH110&lt;&gt;"洞穿"),MIN(Boss参数!$B$55,EG109+2),EG109))</f>
        <v>0</v>
      </c>
      <c r="EE110" s="1">
        <f t="shared" si="105"/>
        <v>0</v>
      </c>
      <c r="EF110" s="1">
        <f>IF(AND(OR(L110="END_TURN",AND(DH110="敌方",OR(DH109&lt;&gt;"敌方",DG110&lt;&gt;DG109))),SUMIFS($EF$3:EF109,$DG$3:DG109,DG110)=0),MIN(1,MAX(0,ED110-EE110)),0)</f>
        <v>0</v>
      </c>
      <c r="EG110" s="1">
        <f t="shared" si="106"/>
        <v>0</v>
      </c>
      <c r="EH110" s="1">
        <f>Boss参数!$B$53-IF(Y110=1,Boss参数!$B$54,0)</f>
        <v>0</v>
      </c>
      <c r="EI110" s="1">
        <f t="shared" si="107"/>
        <v>0.3</v>
      </c>
      <c r="EJ110" s="1">
        <f t="shared" si="108"/>
        <v>0.3</v>
      </c>
      <c r="EK110" s="1">
        <f t="shared" si="109"/>
        <v>1</v>
      </c>
      <c r="EL110" s="1">
        <f t="shared" si="136"/>
        <v>0</v>
      </c>
      <c r="EM110" s="1">
        <f>IF(AND(DG110&lt;&gt;DG109,DH110="洞穿"),0,IF(L110="ENTER_INSIGHT",Boss参数!$B$57,EO109))</f>
        <v>0</v>
      </c>
      <c r="EN110" s="1">
        <f>IF(AND(Y110=1,H110="洞知",EM110&gt;0),Boss参数!$B$56,0)</f>
        <v>0</v>
      </c>
      <c r="EO110" s="1">
        <f t="shared" si="110"/>
        <v>0</v>
      </c>
      <c r="EP110" s="1">
        <f t="shared" si="137"/>
        <v>15143761</v>
      </c>
      <c r="EQ110" s="1">
        <f>ROUNDDOWN(EP110/Boss参数!$B$62,0)</f>
        <v>151</v>
      </c>
      <c r="ER110" s="1">
        <f>IF(EQ110&gt;=Boss参数!$B$66,Boss参数!$B$69,IF(EQ110&gt;=Boss参数!$B$65,Boss参数!$B$68,IF(EQ110&gt;=Boss参数!$B$64,Boss参数!$B$67,0)))</f>
        <v>0.9</v>
      </c>
      <c r="ES110" s="1">
        <f>MIN(1,IF(EQ110&gt;=Boss参数!$B$66,Boss参数!$B$72+ROUNDDOWN((EQ110-Boss参数!$B$66)/Boss参数!$B$73,0)*Boss参数!$B$74,IF(EQ110&gt;=Boss参数!$B$65,Boss参数!$B$71,IF(EQ110&gt;=Boss参数!$B$64,Boss参数!$B$70,0))))</f>
        <v>0.6</v>
      </c>
      <c r="ET110" s="1">
        <f>MIN(Boss参数!$B$61*Boss参数!$B$62,EP110+IF(AND(Boss参数!$B$60=1,ISNUMBER(验证表!H116)),验证表!H116,EU110))</f>
        <v>15143761</v>
      </c>
      <c r="EU110" s="1">
        <f>IF(D110="",0,IF(验证表!G116="是",BV110,IF(验证表!G116="否",BU110,BW110)))</f>
        <v>0</v>
      </c>
      <c r="EV110" s="1">
        <f>IF(EQ110&gt;=Boss参数!$B$66,2,IF(EQ110&gt;=Boss参数!$B$65,1,0))</f>
        <v>2</v>
      </c>
      <c r="EW110" s="1">
        <f t="shared" si="111"/>
        <v>3</v>
      </c>
      <c r="EX110" s="1">
        <f>IF(D110="",0,INDEX(回合状态!$D$7:$D$17,MATCH(DG110,回合状态!$A$7:$A$17,0)))</f>
        <v>7</v>
      </c>
      <c r="EY110" s="1">
        <f>IF(OR(L110="RHI_ATTACK",L110="RHI_BUFF"),1,IF(L110="RHI_ULT",Boss参数!$B$52,0))</f>
        <v>0</v>
      </c>
      <c r="EZ110" s="1">
        <f>MIN(6,SUMIFS($EY$3:EY110,$EX$3:EX110,"&gt;="&amp;MAX(1,EX110-Boss参数!$B$87+1),$EX$3:EX110,"&lt;="&amp;EX110))</f>
        <v>5</v>
      </c>
      <c r="FA110" s="1">
        <f t="shared" si="138"/>
        <v>35</v>
      </c>
      <c r="FB110" s="17">
        <f>IF(L110="BOSS_CONSERVATIVE",B110+Boss参数!$B$91,FB109)</f>
        <v>7</v>
      </c>
      <c r="FC110" s="17">
        <f t="shared" si="139"/>
        <v>0</v>
      </c>
      <c r="FD110" s="17">
        <f>IF(D110="",FD109,FD109+IF(AND(DG110&lt;&gt;DG109,INDEX(回合状态!$C$7:$C$17,MATCH(DG110,回合状态!$A$7:$A$17,0))&lt;&gt;"洞穿"),1,0))</f>
        <v>8</v>
      </c>
      <c r="FE110" s="17">
        <f>IF(D110="",0,IF(AND(OR(L110="END_TURN",DH110="敌方"),INDEX(回合状态!$C$7:$C$17,MATCH(DG110,回合状态!$A$7:$A$17,0))&lt;&gt;"洞穿",SUMIFS($FE$3:FE109,$DG$3:DG109,DG110)=0),1,0))</f>
        <v>0</v>
      </c>
    </row>
    <row r="111" spans="1:161" ht="84.95" customHeight="1">
      <c r="A111" s="1">
        <f>行动模拟!A117</f>
        <v>109</v>
      </c>
      <c r="B111" s="1">
        <f>IF(D111="",0,INDEX(回合状态!$B$7:$B$17,MATCH(DG111,回合状态!$A$7:$A$17,0)))</f>
        <v>7</v>
      </c>
      <c r="C111" s="1">
        <f>行动模拟!C117</f>
        <v>7</v>
      </c>
      <c r="D111" s="1" t="str">
        <f>IF(行动模拟!D117="","",行动模拟!D117)</f>
        <v>红弩箭｜试试杀手锏</v>
      </c>
      <c r="E111" s="1" t="str">
        <f>IF($D111="","",IFERROR(INDEX(技能数据库!$B$4:$B$38,MATCH($D111,技能数据库!$A$4:$A$38,0)),""))</f>
        <v>红弩箭</v>
      </c>
      <c r="F111" s="1" t="str">
        <f>IF($D111="","",IFERROR(INDEX(技能数据库!$C$4:$C$38,MATCH($D111,技能数据库!$A$4:$A$38,0)),""))</f>
        <v>试试杀手锏</v>
      </c>
      <c r="G111" s="1">
        <f>IF($D111="","",IFERROR(INDEX(技能数据库!$D$4:$D$38,MATCH($D111,技能数据库!$A$4:$A$38,0)),""))</f>
        <v>0</v>
      </c>
      <c r="H111" s="1" t="str">
        <f>IF($D111="","",IFERROR(INDEX(技能数据库!$E$4:$E$38,MATCH($D111,技能数据库!$A$4:$A$38,0)),""))</f>
        <v>仪式</v>
      </c>
      <c r="I111" s="1" t="str">
        <f>IF($D111="","",IFERROR(INDEX(技能数据库!$F$4:$F$38,MATCH($D111,技能数据库!$A$4:$A$38,0)),""))</f>
        <v>现实</v>
      </c>
      <c r="J111" s="1">
        <f>IF($D111="","",IFERROR(INDEX(技能数据库!$G$4:$G$38,MATCH($D111,技能数据库!$A$4:$A$38,0)),""))</f>
        <v>18</v>
      </c>
      <c r="K111" s="1">
        <f>IF($D111="","",IFERROR(INDEX(技能数据库!$H$4:$H$38,MATCH($D111,技能数据库!$A$4:$A$38,0)),""))</f>
        <v>0</v>
      </c>
      <c r="L111" s="1" t="str">
        <f>IF($D111="","",IFERROR(INDEX(技能数据库!$I$4:$I$38,MATCH($D111,技能数据库!$A$4:$A$38,0)),""))</f>
        <v>LILYA_ULT</v>
      </c>
      <c r="M111" s="1">
        <v>1</v>
      </c>
      <c r="N111" s="1"/>
      <c r="O111" s="1"/>
      <c r="P111" s="1"/>
      <c r="Q111" s="1">
        <f t="shared" si="70"/>
        <v>0</v>
      </c>
      <c r="R111" s="1">
        <v>0</v>
      </c>
      <c r="S111" s="1">
        <v>0</v>
      </c>
      <c r="T111" s="1">
        <f>行动模拟!I117</f>
        <v>0</v>
      </c>
      <c r="U111" s="1">
        <f>IF(FD111&lt;&gt;FD110,IF(BY110=1,IF(MIN(10,CA110+IF(AND(DG111&lt;&gt;DG110,DH110&lt;&gt;"洞穿",SUMIFS($FE$3:FE110,$DG$3:DG110,DG110)=0,BY110=1),3,0))&gt;=10,2,1),IF(BY110=2,IF(BZ110&lt;=1,0,2),0)),BY110)</f>
        <v>2</v>
      </c>
      <c r="V111" s="1">
        <f>IF(FD111&lt;&gt;FD110,IF(BY110=1,IF(MIN(10,CA110+IF(AND(DG111&lt;&gt;DG110,DH110&lt;&gt;"洞穿",SUMIFS($FE$3:FE110,$DG$3:DG110,DG110)=0,BY110=1),3,0))&gt;=10,2,0),IF(BY110=2,MAX(0,BZ110-1),0)),BZ110)</f>
        <v>1</v>
      </c>
      <c r="W111" s="1">
        <f>IF(AND(FD111&lt;&gt;FD110,BY110=2,BZ110&lt;=1),0,MIN(10,CA110+IF(AND(DG111&lt;&gt;DG110,DH110&lt;&gt;"洞穿",SUMIFS($FE$3:FE110,$DG$3:DG110,DG110)=0,BY110=1),3,0)))</f>
        <v>10</v>
      </c>
      <c r="X111" s="1">
        <f t="shared" si="112"/>
        <v>8</v>
      </c>
      <c r="Y111" s="1">
        <f t="shared" si="113"/>
        <v>0</v>
      </c>
      <c r="Z111" s="1">
        <f t="shared" si="114"/>
        <v>0</v>
      </c>
      <c r="AA111" s="1">
        <f t="shared" si="115"/>
        <v>0</v>
      </c>
      <c r="AB111" s="1">
        <f t="shared" si="116"/>
        <v>4</v>
      </c>
      <c r="AC111" s="1">
        <f t="shared" si="117"/>
        <v>2</v>
      </c>
      <c r="AD111" s="1">
        <f t="shared" si="118"/>
        <v>35</v>
      </c>
      <c r="AE111" s="1">
        <f>IF(D111="",0,IF(DG111&lt;&gt;DG110,IFERROR(INDEX(回合状态!$F$7:$F$17,MATCH(DG111,回合状态!$A$7:$A$17,0)),0),CI110))</f>
        <v>30</v>
      </c>
      <c r="AF111" s="1">
        <f t="shared" si="119"/>
        <v>0.875</v>
      </c>
      <c r="AG111" s="1">
        <f t="shared" si="120"/>
        <v>9</v>
      </c>
      <c r="AH111" s="1">
        <f t="shared" si="121"/>
        <v>9</v>
      </c>
      <c r="AI111" s="1">
        <f t="shared" si="122"/>
        <v>8</v>
      </c>
      <c r="AJ111" s="1">
        <f t="shared" si="123"/>
        <v>9</v>
      </c>
      <c r="AK111" s="1">
        <f t="shared" si="124"/>
        <v>8</v>
      </c>
      <c r="AL111" s="1">
        <f t="shared" si="125"/>
        <v>3</v>
      </c>
      <c r="AM111" s="1">
        <f t="shared" si="126"/>
        <v>30</v>
      </c>
      <c r="AN111" s="1">
        <f t="shared" si="127"/>
        <v>9</v>
      </c>
      <c r="AO111" s="1">
        <f t="shared" si="128"/>
        <v>0</v>
      </c>
      <c r="AP111" s="1">
        <f t="shared" si="129"/>
        <v>0.12</v>
      </c>
      <c r="AQ111" s="1">
        <f t="shared" si="130"/>
        <v>9</v>
      </c>
      <c r="AR111" s="1">
        <f t="shared" si="131"/>
        <v>0.3</v>
      </c>
      <c r="AS111" s="1">
        <f t="shared" si="132"/>
        <v>9</v>
      </c>
      <c r="AT111" s="1">
        <f t="shared" si="133"/>
        <v>0.3</v>
      </c>
      <c r="AU111" s="1">
        <f t="shared" si="134"/>
        <v>9</v>
      </c>
      <c r="AV111" s="1">
        <f>MIN(5,SUMIFS($EL$3:EL111,$B$3:B111,"&gt;="&amp;MAX(1,B111-2),$B$3:B111,"&lt;="&amp;B111)+EC111)</f>
        <v>5</v>
      </c>
      <c r="AW111" s="1">
        <f>MIN(6,SUMIFS($EY$3:EY110,$EX$3:EX110,"&gt;="&amp;MAX(1,EX111-Boss参数!$B$87+1),$EX$3:EX110,"&lt;="&amp;EX111))</f>
        <v>5</v>
      </c>
      <c r="AX111" s="1">
        <f>MIN(4,COUNTIFS($B$3:$B$110,"&gt;="&amp;MAX(1,$B111-2),$B$3:$B$110,"&lt;="&amp;$B111,$L$3:$L$110,"37_FOLLOW"))</f>
        <v>4</v>
      </c>
      <c r="AY111" s="1">
        <f>IF($E111="","",IF($E111="系统",0,ROUNDDOWN(INDEX(角色面板!$C$4:$C$7,MATCH($E111,角色面板!$A$4:$A$7,0))*(1+INDEX(角色面板!$C$11:$C$14,MATCH($E111,角色面板!$A$11:$A$14,0))+IF($E111="小瑞安侬",MAX(IF($B111&lt;=$AQ111,$AP111,0),IF(AND($L111="RHI_ATTACK",$EE111&gt;0),0.11+0.01*$G111,0)),0)+IF($E111="J",$AD111*Boss参数!$B$18,0))+IF(FD111&lt;=$AN111,MIN(Boss参数!$B$21,ROUNDDOWN(角色面板!$C$19*Boss参数!$B$20,0)),0)+IF(AND($B111&lt;=$AK111,$E111&lt;&gt;"小瑞安侬"),$DY111,0),0)))</f>
        <v>3505</v>
      </c>
      <c r="AZ111" s="1">
        <f>IF($E111="","",MAX(0,MIN(1,IFERROR(INDEX(角色面板!$G$18:$G$21,MATCH($E111,角色面板!$A$18:$A$21,0)),0)-FC111*Boss参数!$B$89-Boss参数!$E$4)))</f>
        <v>1</v>
      </c>
      <c r="BA111" s="1">
        <f>IF(E111="","",(IF($E111="","",IF($E111="红弩箭",Boss参数!$B$80,IF($E111="J",Boss参数!$B$81,IFERROR(INDEX(角色面板!$H$18:$H$21,MATCH($E111,角色面板!$A$18:$A$21,0)),0)))+IF($B111&lt;=$AI111,Boss参数!$B$13,0)+MIN(30,$AM111)*Boss参数!$B$17+IF(AND($L111="LILYA_ULT",$X111&gt;=6),1,0)+IF(AND($Y111=1,$L111="LILYA_INSIGHT"),IF(MOD($AA111+1,3)=0,Boss参数!$B$83,Boss参数!$B$82),IF(AND($Y111=1,$L111="LILYA_FINISH"),Boss参数!$B$84,0))))-FC111*Boss参数!$B$90)</f>
        <v>3.3050000000000002</v>
      </c>
      <c r="BB111" s="1">
        <f>IF($E111="","",IFERROR(INDEX(角色面板!$M$18:$M$21,MATCH($E111,角色面板!$A$18:$A$21,0)),0)+$AW111*Boss参数!$B$12+IF($B111&lt;=$AG111,$AF111,0)+$EI111+IF($L111="LILYA_DIVE",IF($U111=1,IF($G111=1,0.3,IF($G111=2,0.4,0.5)),IF($U111=2,IF($G111=1,0.6,IF($G111=2,0.8,1)),0)),0)+$R111+IF(AND($E111="J",OR($L111="J_COUNTER",$L111="J_HARD")),Boss参数!$B$79,0)+IF(AND(OR(L111="J_COUNTER",L111="J_HARD"),FA111&gt;=Boss参数!$B$59),FA111*Boss参数!$B$40,0))</f>
        <v>1.5149999999999999</v>
      </c>
      <c r="BC111" s="1">
        <f>IF($E111="","",IFERROR(INDEX(角色面板!$K$18:$K$21,MATCH($E111,角色面板!$A$18:$A$21,0)),0)+IF($B111&lt;=$AH111,Boss参数!$B$46,0)+IF($E111="红弩箭",IF($U111=1,0.6,IF($U111=2,1.2,0))+$W111*0.06,0))-DI111*Boss参数!$B$23</f>
        <v>0.94999999999999973</v>
      </c>
      <c r="BD111" s="1">
        <f>IF($E111="","",IFERROR(INDEX(角色面板!$L$18:$L$21,MATCH($E111,角色面板!$A$18:$A$21,0)),0)+IF($B111&lt;=$AH111,Boss参数!$B$46,0)+IF($E111="J",$AL111*Boss参数!$B$16,0)+IF($E111="红弩箭",$X111*0.025,0)+IF(AND($L111="LILYA_ULT",$X111&gt;=6),1,0))-DI111*Boss参数!$B$23</f>
        <v>0.75</v>
      </c>
      <c r="BE111" s="1">
        <f>IF($E111="","",IF($H111="洞知",IF($E111="红弩箭",$AO111*Boss参数!$B$15,0)+$AX111*Boss参数!$B$14,0))</f>
        <v>0</v>
      </c>
      <c r="BF111" s="1">
        <f t="shared" si="71"/>
        <v>0.2</v>
      </c>
      <c r="BG111" s="1">
        <f>IF($D111="",0,IF(AND($L111&lt;&gt;"LILYA_DIVE",$L111&lt;&gt;"LILYA_ULT",$L111&lt;&gt;"LILYA_INSIGHT",$L111&lt;&gt;"LILYA_FINISH",$L111&lt;&gt;"37_FOLLOW",$L111&lt;&gt;"RHI_ATTACK",$L111&lt;&gt;"RHI_BERRY",$L111&lt;&gt;"J_COUNTER",$L111&lt;&gt;"J_ULT"),$J111,0)+IF($L111="LILYA_DIVE",$J111+IF($U111=1,IF($G111=1,6,IF($G111=2,12,18)),IF($U111=2,IF($G111=1,12,IF($G111=2,24,36)),0)),0)+IF($L111="LILYA_ULT",$J111+IF($X111&gt;=6,18,0),0)+IF($L111="LILYA_INSIGHT",IF($Y111=1,IF(MOD($AA111+1,3)=0,32,15),0),0)+IF($L111="LILYA_FINISH",IF($Y111=1,50+2.5*$Z111,0),0)+IF($L111="37_FOLLOW",$J111,0)+IF($L111="RHI_ATTACK",$J111*IF($B111&lt;=$AJ111,2,1),0)+IF($L111="RHI_BERRY",15+1.5*$AV111,0)+IF($L111="J_COUNTER",$J111+$AD111*Boss参数!$B$39,0)+IF($L111="J_ULT",$J111+Boss参数!$B$45*MAX(0,$AE111+$AD111-Boss参数!$I$4),0)+$S111)</f>
        <v>36</v>
      </c>
      <c r="BH111" s="1">
        <f t="shared" si="72"/>
        <v>0</v>
      </c>
      <c r="BI111" s="1">
        <f>IF(E111="","",IF(DT111=1,1+Boss参数!$B$8+AV111*Boss参数!$B$19,1))</f>
        <v>1.5</v>
      </c>
      <c r="BJ111" s="1">
        <f>IF($I111="现实",Boss参数!$C$4,IF($I111="精神",Boss参数!$D$4,0))</f>
        <v>1200</v>
      </c>
      <c r="BK111" s="1">
        <f>IF($E111="","",MAX($AY111*Boss参数!$B$9,$AY111-$BJ111*(1-$BF111)))</f>
        <v>2545</v>
      </c>
      <c r="BL111" s="1">
        <f>MAX(0,Boss参数!$F$4+IF(DT111=0,Boss参数!$B$27,0)-EJ111)</f>
        <v>0.10000000000000003</v>
      </c>
      <c r="BM111" s="1">
        <f>Boss参数!$G$4+DU111-IF(Y111=1,Boss参数!$B$11,0)</f>
        <v>0.75</v>
      </c>
      <c r="BN111" s="1">
        <f>IF($E111="","",MAX(Boss参数!$B$10,1+IFERROR(INDEX(角色面板!$I$18:$I$21,MATCH($E111,角色面板!$A$18:$A$21,0)),0)+$BB111+Boss参数!$H$4-$BM111))</f>
        <v>1.8650000000000002</v>
      </c>
      <c r="BO111" s="1">
        <f>IF(E111="","",IF(OR(L111="J_COUNTER",L111="J_HARD"),MAX(0,1+INDEX(角色面板!$K$18:$K$21,MATCH(E111,角色面板!$A$18:$A$21,0))-DI111*Boss参数!$B$23+IF(OR(Boss参数!$B$43=1,L111="J_HARD"),IF(B111&lt;=AH111,Boss参数!$B$46,0),0)),MAX(0,IF(OR(H111="术法",L111="RHI_BERRY",AND(L111="37_FOLLOW",Boss参数!$B$31=1)),1+BC111,IF(H111="仪式",1+BD111,IF(H111="洞知",EK111,1))))))</f>
        <v>1.75</v>
      </c>
      <c r="BP111" s="1">
        <f t="shared" si="73"/>
        <v>3.2050000000000001</v>
      </c>
      <c r="BQ111" s="1">
        <f t="shared" si="74"/>
        <v>448537.16250000003</v>
      </c>
      <c r="BR111" s="1">
        <f t="shared" si="75"/>
        <v>1437561.6058125002</v>
      </c>
      <c r="BS111" s="1">
        <f>IF(BH111=0,0,ROUNDDOWN(AY111*BH111,0)*DV111*IF(Boss参数!$B$29=1,BN111,1)*IF(Boss参数!$B$33=1,BO111,1)*IF(Boss参数!$B$76=1,1-ES111,1))</f>
        <v>0</v>
      </c>
      <c r="BT111" s="1">
        <f t="shared" si="76"/>
        <v>0</v>
      </c>
      <c r="BU111" s="1">
        <f>IF(D111="",0,MIN(IF(Boss参数!$B$77=1,Boss参数!$B$63*Boss参数!$B$62,Boss参数!$B$61*Boss参数!$B$62),DW111+ROUNDDOWN(BS111,0)+ROUNDDOWN(DW111*Q111,0)))</f>
        <v>179414</v>
      </c>
      <c r="BV111" s="1">
        <f>IF(D111="",0,MIN(IF(Boss参数!$B$77=1,Boss参数!$B$63*Boss参数!$B$62,Boss参数!$B$61*Boss参数!$B$62),DX111+ROUNDDOWN(BT111,0)+ROUNDDOWN(DX111*Q111,0)))</f>
        <v>575024</v>
      </c>
      <c r="BW111" s="1">
        <f t="shared" si="77"/>
        <v>575024</v>
      </c>
      <c r="BX111" s="1" t="str">
        <f t="shared" si="78"/>
        <v/>
      </c>
      <c r="BY111" s="1">
        <f t="shared" si="79"/>
        <v>2</v>
      </c>
      <c r="BZ111" s="1">
        <f t="shared" si="80"/>
        <v>1</v>
      </c>
      <c r="CA111" s="1">
        <f>MIN(10,W111+IF(AND(L111="LILYA_COBRA",COUNTIF($L$3:L111,"LILYA_COBRA")=1),5,0)+IF(AND(L111="LILYA_DIVE",U111=1,COUNTIFS($DG$3:DG111,DG111,$L$3:L111,"LILYA_DIVE")=1),2,0)+IF(AND(FE111=1,U111=1),3,0))</f>
        <v>10</v>
      </c>
      <c r="CB111" s="1">
        <f>MIN(20,MAX(0,X111+IF(L111="LILYA_COBRA",IF(COUNTIF($L$3:L111,"LILYA_COBRA")=1,6,IF(U111=1,MAX(1,G111),IF(U111=2,2*MAX(1,G111),0))),0)+IF(AND(Y111=1,E111="红弩箭",L111&lt;&gt;"ENTER_INSIGHT"),1,0)-IF(AND(L111="LILYA_ULT",X111&gt;=6),6,0)))</f>
        <v>2</v>
      </c>
      <c r="CC111" s="1">
        <f t="shared" si="81"/>
        <v>0</v>
      </c>
      <c r="CD111" s="1">
        <f t="shared" si="82"/>
        <v>0</v>
      </c>
      <c r="CE111" s="1">
        <f t="shared" si="83"/>
        <v>0</v>
      </c>
      <c r="CF111" s="1">
        <f t="shared" si="84"/>
        <v>5</v>
      </c>
      <c r="CG111" s="1">
        <f t="shared" si="85"/>
        <v>2</v>
      </c>
      <c r="CH111" s="1">
        <f>MIN(35,AD111+IF(L111="J_HARD",6,0)+IF(L111="J_COUNTER",Boss参数!$B$30,0))</f>
        <v>35</v>
      </c>
      <c r="CI111" s="1">
        <f>MIN(Boss参数!$I$4,AE111+IF(L111="J_HARD",6,0)+IF(L111="J_ULT",AD111,0)+IF(L111="J_COUNTER",Boss参数!$B$30,0))</f>
        <v>30</v>
      </c>
      <c r="CJ111" s="1">
        <f>IF(L111="J_ULT",AD111*Boss参数!$B$41,IF(B111&lt;=AG111,AF111,0))</f>
        <v>0.875</v>
      </c>
      <c r="CK111" s="1">
        <f t="shared" si="86"/>
        <v>9</v>
      </c>
      <c r="CL111" s="1">
        <f t="shared" si="87"/>
        <v>9</v>
      </c>
      <c r="CM111" s="1">
        <f t="shared" si="88"/>
        <v>8</v>
      </c>
      <c r="CN111" s="1">
        <f t="shared" si="89"/>
        <v>9</v>
      </c>
      <c r="CO111" s="1">
        <f t="shared" si="90"/>
        <v>8</v>
      </c>
      <c r="CP111" s="1">
        <f t="shared" si="91"/>
        <v>3</v>
      </c>
      <c r="CQ111" s="1">
        <f t="shared" si="92"/>
        <v>30</v>
      </c>
      <c r="CR111" s="1">
        <f t="shared" si="93"/>
        <v>9</v>
      </c>
      <c r="CS111" s="1">
        <f t="shared" si="94"/>
        <v>0</v>
      </c>
      <c r="CT111" s="1">
        <f t="shared" si="95"/>
        <v>0.12</v>
      </c>
      <c r="CU111" s="1">
        <f t="shared" si="96"/>
        <v>9</v>
      </c>
      <c r="CV111" s="1">
        <f t="shared" si="97"/>
        <v>0.3</v>
      </c>
      <c r="CW111" s="1">
        <f t="shared" si="98"/>
        <v>9</v>
      </c>
      <c r="CX111" s="1">
        <f t="shared" si="99"/>
        <v>0.3</v>
      </c>
      <c r="CY111" s="1">
        <f t="shared" si="100"/>
        <v>9</v>
      </c>
      <c r="CZ111" s="1"/>
      <c r="DA111" s="1"/>
      <c r="DB111" s="1"/>
      <c r="DC111" s="1"/>
      <c r="DD111" s="1"/>
      <c r="DE111" s="1"/>
      <c r="DF111" s="1"/>
      <c r="DG111" s="1" t="str">
        <f>IF(D111="","",行动模拟!B117)</f>
        <v>7（目击）</v>
      </c>
      <c r="DH111" s="1" t="str">
        <f>IF(L111="END_TURN","回合结束",IF(D111="","",IF(INDEX(回合状态!$C$7:$C$17,MATCH(DG111,回合状态!$A$7:$A$17,0))="洞穿","洞穿",IF(OR(L111="J_COUNTER",L111="BOSS_ACTION",L111="BOSS_CONSERVATIVE"),"敌方",IF(AND(L111="37_FOLLOW",DG111=DG110,DH110="敌方"),"敌方",IF(INDEX(回合状态!$C$7:$C$17,MATCH(DG111,回合状态!$A$7:$A$17,0))="普通","出牌",INDEX(回合状态!$C$7:$C$17,MATCH(DG111,回合状态!$A$7:$A$17,0))))))))</f>
        <v>目击</v>
      </c>
      <c r="DI111" s="1">
        <f t="shared" si="101"/>
        <v>5</v>
      </c>
      <c r="DJ111" s="1">
        <f>IF(D111="",0,MIN(Boss参数!$B$25,IF(OR(AND(DH111="敌方",OR(DH110&lt;&gt;"敌方",DG111&lt;&gt;DG110)),AND(L111="END_TURN",DH111&lt;&gt;"洞穿"),AND(DG111&lt;&gt;DG110,DH110&lt;&gt;"洞穿",L110&lt;&gt;"END_TURN",COUNTIFS($DG$3:DG110,DG110,$DH$3:DH110,"敌方")=0)),EW111,DN110)))</f>
        <v>5</v>
      </c>
      <c r="DK111" s="1">
        <f>IF(D111="",0,MIN(Boss参数!$B$25,IF(OR(AND(DH111="敌方",OR(DH110&lt;&gt;"敌方",DG111&lt;&gt;DG110)),AND(L111="END_TURN",DH111&lt;&gt;"洞穿"),AND(DG111&lt;&gt;DG110,DH110&lt;&gt;"洞穿",L110&lt;&gt;"END_TURN",COUNTIFS($DG$3:DG110,DG110,$DH$3:DH110,"敌方")=0)),EW111,DO110)))</f>
        <v>4</v>
      </c>
      <c r="DL111" s="1">
        <f>IF(D111="",0,MIN(Boss参数!$B$25,IF(OR(AND(DH111="敌方",OR(DH110&lt;&gt;"敌方",DG111&lt;&gt;DG110)),AND(L111="END_TURN",DH111&lt;&gt;"洞穿"),AND(DG111&lt;&gt;DG110,DH110&lt;&gt;"洞穿",L110&lt;&gt;"END_TURN",COUNTIFS($DG$3:DG110,DG110,$DH$3:DH110,"敌方")=0)),EW111,DP110)))</f>
        <v>5</v>
      </c>
      <c r="DM111" s="1">
        <f>IF(D111="",0,MIN(Boss参数!$B$25,IF(OR(AND(DH111="敌方",OR(DH110&lt;&gt;"敌方",DG111&lt;&gt;DG110)),AND(L111="END_TURN",DH111&lt;&gt;"洞穿"),AND(DG111&lt;&gt;DG110,DH110&lt;&gt;"洞穿",L110&lt;&gt;"END_TURN",COUNTIFS($DG$3:DG110,DG110,$DH$3:DH110,"敌方")=0)),EW111,DQ110)))</f>
        <v>0</v>
      </c>
      <c r="DN111" s="1">
        <f>MAX(0,MIN(Boss参数!$B$25,DJ111+DR111)-IF(E111="红弩箭",2*DR111,0))</f>
        <v>3</v>
      </c>
      <c r="DO111" s="1">
        <f>MAX(0,MIN(Boss参数!$B$25,DK111+DR111)-IF(E111="37",2*DR111,0))</f>
        <v>5</v>
      </c>
      <c r="DP111" s="1">
        <f>MAX(0,MIN(Boss参数!$B$25,DL111+DR111)-IF(E111="小瑞安侬",2*DR111,0))</f>
        <v>5</v>
      </c>
      <c r="DQ111" s="1">
        <f>MAX(0,MIN(Boss参数!$B$25,DM111+DR111)-IF(E111="J",2*DR111,0))</f>
        <v>1</v>
      </c>
      <c r="DR111" s="1">
        <f t="shared" si="102"/>
        <v>1</v>
      </c>
      <c r="DS111" s="1">
        <f t="shared" si="103"/>
        <v>1</v>
      </c>
      <c r="DT111" s="1">
        <f>IF(OR(E111="",E111="系统"),0,IF(OR(AND(DS111=1,Boss参数!$B$32=1),L111="RHI_BERRY",OR(AND(INDEX(角色面板!$B$18:$B$21,MATCH(E111,角色面板!$A$18:$A$21,0))="星",Boss参数!$B$4="岩"),AND(INDEX(角色面板!$B$18:$B$21,MATCH(E111,角色面板!$A$18:$A$21,0))="岩",Boss参数!$B$4="兽"),AND(INDEX(角色面板!$B$18:$B$21,MATCH(E111,角色面板!$A$18:$A$21,0))="兽",Boss参数!$B$4="木"),AND(INDEX(角色面板!$B$18:$B$21,MATCH(E111,角色面板!$A$18:$A$21,0))="木",Boss参数!$B$4="星"),AND(INDEX(角色面板!$B$18:$B$21,MATCH(E111,角色面板!$A$18:$A$21,0))="智",Boss参数!$B$4="灵"),AND(INDEX(角色面板!$B$18:$B$21,MATCH(E111,角色面板!$A$18:$A$21,0))="灵",Boss参数!$B$4="智"))),1,0))</f>
        <v>1</v>
      </c>
      <c r="DU111" s="1">
        <f>IF(D111="",0,INDEX(回合状态!$E$7:$E$17,MATCH(DG111,回合状态!$A$7:$A$17,0))+IF(AND(DH111="敌方",OR(INDEX(回合状态!$C$7:$C$17,MATCH(DG111,回合状态!$A$7:$A$17,0))="普通",INDEX(回合状态!$C$7:$C$17,MATCH(DG111,回合状态!$A$7:$A$17,0))="额外")),0.05,0))</f>
        <v>0.35</v>
      </c>
      <c r="DV111" s="1">
        <f>MAX(Boss参数!$B$28,1+IF(AND(E111="37",AC111&gt;0,BH111&gt;0),Boss参数!$B$42,0)-DI111*Boss参数!$B$24+EA111-ER111)</f>
        <v>0</v>
      </c>
      <c r="DW111" s="1">
        <f>MIN(IF(Boss参数!$B$77=1,Boss参数!$B$63*Boss参数!$B$62,Boss参数!$B$61*Boss参数!$B$62),ROUNDDOWN(BQ111*(1-ES111),0))</f>
        <v>179414</v>
      </c>
      <c r="DX111" s="1">
        <f>MIN(IF(Boss参数!$B$77=1,Boss参数!$B$63*Boss参数!$B$62,Boss参数!$B$61*Boss参数!$B$62),ROUNDDOWN(BR111*(1-ES111),0))</f>
        <v>575024</v>
      </c>
      <c r="DY111" s="1">
        <f t="shared" si="135"/>
        <v>250</v>
      </c>
      <c r="DZ111" s="1">
        <f>IF(L111="RHI_ULT",MIN(Boss参数!$B$48,ROUNDDOWN(AY111*Boss参数!$B$47,0)),DY111)</f>
        <v>250</v>
      </c>
      <c r="EA111" s="1">
        <v>0</v>
      </c>
      <c r="EB111" s="1">
        <f t="shared" si="104"/>
        <v>0</v>
      </c>
      <c r="EC111" s="1">
        <f>SUMIFS($EB$3:EB111,$B$3:B111,"&gt;="&amp;MAX(1,B111-2),$B$3:B111,"&lt;="&amp;B111)*Boss参数!$B$51</f>
        <v>12</v>
      </c>
      <c r="ED111" s="1">
        <f>IF(D111="",EG110,IF(AND(DG111&lt;&gt;DG110,DH111&lt;&gt;"洞穿"),MIN(Boss参数!$B$55,EG110+2),EG110))</f>
        <v>0</v>
      </c>
      <c r="EE111" s="1">
        <f t="shared" si="105"/>
        <v>0</v>
      </c>
      <c r="EF111" s="1">
        <f>IF(AND(OR(L111="END_TURN",AND(DH111="敌方",OR(DH110&lt;&gt;"敌方",DG111&lt;&gt;DG110))),SUMIFS($EF$3:EF110,$DG$3:DG110,DG111)=0),MIN(1,MAX(0,ED111-EE111)),0)</f>
        <v>0</v>
      </c>
      <c r="EG111" s="1">
        <f t="shared" si="106"/>
        <v>0</v>
      </c>
      <c r="EH111" s="1">
        <f>Boss参数!$B$53-IF(Y111=1,Boss参数!$B$54,0)</f>
        <v>0</v>
      </c>
      <c r="EI111" s="1">
        <f t="shared" si="107"/>
        <v>0.3</v>
      </c>
      <c r="EJ111" s="1">
        <f t="shared" si="108"/>
        <v>0.3</v>
      </c>
      <c r="EK111" s="1">
        <f t="shared" si="109"/>
        <v>1</v>
      </c>
      <c r="EL111" s="1">
        <f t="shared" si="136"/>
        <v>0</v>
      </c>
      <c r="EM111" s="1">
        <f>IF(AND(DG111&lt;&gt;DG110,DH111="洞穿"),0,IF(L111="ENTER_INSIGHT",Boss参数!$B$57,EO110))</f>
        <v>0</v>
      </c>
      <c r="EN111" s="1">
        <f>IF(AND(Y111=1,H111="洞知",EM111&gt;0),Boss参数!$B$56,0)</f>
        <v>0</v>
      </c>
      <c r="EO111" s="1">
        <f t="shared" si="110"/>
        <v>0</v>
      </c>
      <c r="EP111" s="1">
        <f t="shared" si="137"/>
        <v>15143761</v>
      </c>
      <c r="EQ111" s="1">
        <f>ROUNDDOWN(EP111/Boss参数!$B$62,0)</f>
        <v>151</v>
      </c>
      <c r="ER111" s="1">
        <f>IF(EQ111&gt;=Boss参数!$B$66,Boss参数!$B$69,IF(EQ111&gt;=Boss参数!$B$65,Boss参数!$B$68,IF(EQ111&gt;=Boss参数!$B$64,Boss参数!$B$67,0)))</f>
        <v>0.9</v>
      </c>
      <c r="ES111" s="1">
        <f>MIN(1,IF(EQ111&gt;=Boss参数!$B$66,Boss参数!$B$72+ROUNDDOWN((EQ111-Boss参数!$B$66)/Boss参数!$B$73,0)*Boss参数!$B$74,IF(EQ111&gt;=Boss参数!$B$65,Boss参数!$B$71,IF(EQ111&gt;=Boss参数!$B$64,Boss参数!$B$70,0))))</f>
        <v>0.6</v>
      </c>
      <c r="ET111" s="1">
        <f>MIN(Boss参数!$B$61*Boss参数!$B$62,EP111+IF(AND(Boss参数!$B$60=1,ISNUMBER(验证表!H117)),验证表!H117,EU111))</f>
        <v>15718785</v>
      </c>
      <c r="EU111" s="1">
        <f>IF(D111="",0,IF(验证表!G117="是",BV111,IF(验证表!G117="否",BU111,BW111)))</f>
        <v>575024</v>
      </c>
      <c r="EV111" s="1">
        <f>IF(EQ111&gt;=Boss参数!$B$66,2,IF(EQ111&gt;=Boss参数!$B$65,1,0))</f>
        <v>2</v>
      </c>
      <c r="EW111" s="1">
        <f t="shared" si="111"/>
        <v>3</v>
      </c>
      <c r="EX111" s="1">
        <f>IF(D111="",0,INDEX(回合状态!$D$7:$D$17,MATCH(DG111,回合状态!$A$7:$A$17,0)))</f>
        <v>7</v>
      </c>
      <c r="EY111" s="1">
        <f>IF(OR(L111="RHI_ATTACK",L111="RHI_BUFF"),1,IF(L111="RHI_ULT",Boss参数!$B$52,0))</f>
        <v>0</v>
      </c>
      <c r="EZ111" s="1">
        <f>MIN(6,SUMIFS($EY$3:EY111,$EX$3:EX111,"&gt;="&amp;MAX(1,EX111-Boss参数!$B$87+1),$EX$3:EX111,"&lt;="&amp;EX111))</f>
        <v>5</v>
      </c>
      <c r="FA111" s="1">
        <f t="shared" si="138"/>
        <v>35</v>
      </c>
      <c r="FB111" s="17">
        <f>IF(L111="BOSS_CONSERVATIVE",B111+Boss参数!$B$91,FB110)</f>
        <v>7</v>
      </c>
      <c r="FC111" s="17">
        <f t="shared" si="139"/>
        <v>0</v>
      </c>
      <c r="FD111" s="17">
        <f>IF(D111="",FD110,FD110+IF(AND(DG111&lt;&gt;DG110,INDEX(回合状态!$C$7:$C$17,MATCH(DG111,回合状态!$A$7:$A$17,0))&lt;&gt;"洞穿"),1,0))</f>
        <v>8</v>
      </c>
      <c r="FE111" s="17">
        <f>IF(D111="",0,IF(AND(OR(L111="END_TURN",DH111="敌方"),INDEX(回合状态!$C$7:$C$17,MATCH(DG111,回合状态!$A$7:$A$17,0))&lt;&gt;"洞穿",SUMIFS($FE$3:FE110,$DG$3:DG110,DG111)=0),1,0))</f>
        <v>0</v>
      </c>
    </row>
    <row r="112" spans="1:161" ht="84.95" customHeight="1">
      <c r="A112" s="1">
        <f>行动模拟!A118</f>
        <v>110</v>
      </c>
      <c r="B112" s="1">
        <f>IF(D112="",0,INDEX(回合状态!$B$7:$B$17,MATCH(DG112,回合状态!$A$7:$A$17,0)))</f>
        <v>7</v>
      </c>
      <c r="C112" s="1">
        <f>行动模拟!C118</f>
        <v>8</v>
      </c>
      <c r="D112" s="1" t="str">
        <f>IF(行动模拟!D118="","",行动模拟!D118)</f>
        <v>37｜补充算式</v>
      </c>
      <c r="E112" s="1" t="str">
        <f>IF($D112="","",IFERROR(INDEX(技能数据库!$B$4:$B$38,MATCH($D112,技能数据库!$A$4:$A$38,0)),""))</f>
        <v>37</v>
      </c>
      <c r="F112" s="1" t="str">
        <f>IF($D112="","",IFERROR(INDEX(技能数据库!$C$4:$C$38,MATCH($D112,技能数据库!$A$4:$A$38,0)),""))</f>
        <v>补充算式</v>
      </c>
      <c r="G112" s="1">
        <f>IF($D112="","",IFERROR(INDEX(技能数据库!$D$4:$D$38,MATCH($D112,技能数据库!$A$4:$A$38,0)),""))</f>
        <v>0</v>
      </c>
      <c r="H112" s="1" t="str">
        <f>IF($D112="","",IFERROR(INDEX(技能数据库!$E$4:$E$38,MATCH($D112,技能数据库!$A$4:$A$38,0)),""))</f>
        <v>额外行动</v>
      </c>
      <c r="I112" s="1" t="str">
        <f>IF($D112="","",IFERROR(INDEX(技能数据库!$F$4:$F$38,MATCH($D112,技能数据库!$A$4:$A$38,0)),""))</f>
        <v>精神</v>
      </c>
      <c r="J112" s="1">
        <f>IF($D112="","",IFERROR(INDEX(技能数据库!$G$4:$G$38,MATCH($D112,技能数据库!$A$4:$A$38,0)),""))</f>
        <v>3</v>
      </c>
      <c r="K112" s="1">
        <f>IF($D112="","",IFERROR(INDEX(技能数据库!$H$4:$H$38,MATCH($D112,技能数据库!$A$4:$A$38,0)),""))</f>
        <v>1</v>
      </c>
      <c r="L112" s="1" t="str">
        <f>IF($D112="","",IFERROR(INDEX(技能数据库!$I$4:$I$38,MATCH($D112,技能数据库!$A$4:$A$38,0)),""))</f>
        <v>37_FOLLOW</v>
      </c>
      <c r="M112" s="1">
        <v>1</v>
      </c>
      <c r="N112" s="1"/>
      <c r="O112" s="1"/>
      <c r="P112" s="1"/>
      <c r="Q112" s="1">
        <f t="shared" si="70"/>
        <v>0</v>
      </c>
      <c r="R112" s="1">
        <v>0</v>
      </c>
      <c r="S112" s="1">
        <v>0</v>
      </c>
      <c r="T112" s="1">
        <f>行动模拟!I118</f>
        <v>0</v>
      </c>
      <c r="U112" s="1">
        <f>IF(FD112&lt;&gt;FD111,IF(BY111=1,IF(MIN(10,CA111+IF(AND(DG112&lt;&gt;DG111,DH111&lt;&gt;"洞穿",SUMIFS($FE$3:FE111,$DG$3:DG111,DG111)=0,BY111=1),3,0))&gt;=10,2,1),IF(BY111=2,IF(BZ111&lt;=1,0,2),0)),BY111)</f>
        <v>2</v>
      </c>
      <c r="V112" s="1">
        <f>IF(FD112&lt;&gt;FD111,IF(BY111=1,IF(MIN(10,CA111+IF(AND(DG112&lt;&gt;DG111,DH111&lt;&gt;"洞穿",SUMIFS($FE$3:FE111,$DG$3:DG111,DG111)=0,BY111=1),3,0))&gt;=10,2,0),IF(BY111=2,MAX(0,BZ111-1),0)),BZ111)</f>
        <v>1</v>
      </c>
      <c r="W112" s="1">
        <f>IF(AND(FD112&lt;&gt;FD111,BY111=2,BZ111&lt;=1),0,MIN(10,CA111+IF(AND(DG112&lt;&gt;DG111,DH111&lt;&gt;"洞穿",SUMIFS($FE$3:FE111,$DG$3:DG111,DG111)=0,BY111=1),3,0)))</f>
        <v>10</v>
      </c>
      <c r="X112" s="1">
        <f t="shared" si="112"/>
        <v>2</v>
      </c>
      <c r="Y112" s="1">
        <f t="shared" si="113"/>
        <v>0</v>
      </c>
      <c r="Z112" s="1">
        <f t="shared" si="114"/>
        <v>0</v>
      </c>
      <c r="AA112" s="1">
        <f t="shared" si="115"/>
        <v>0</v>
      </c>
      <c r="AB112" s="1">
        <f t="shared" si="116"/>
        <v>5</v>
      </c>
      <c r="AC112" s="1">
        <f t="shared" si="117"/>
        <v>2</v>
      </c>
      <c r="AD112" s="1">
        <f t="shared" si="118"/>
        <v>35</v>
      </c>
      <c r="AE112" s="1">
        <f>IF(D112="",0,IF(DG112&lt;&gt;DG111,IFERROR(INDEX(回合状态!$F$7:$F$17,MATCH(DG112,回合状态!$A$7:$A$17,0)),0),CI111))</f>
        <v>30</v>
      </c>
      <c r="AF112" s="1">
        <f t="shared" si="119"/>
        <v>0.875</v>
      </c>
      <c r="AG112" s="1">
        <f t="shared" si="120"/>
        <v>9</v>
      </c>
      <c r="AH112" s="1">
        <f t="shared" si="121"/>
        <v>9</v>
      </c>
      <c r="AI112" s="1">
        <f t="shared" si="122"/>
        <v>8</v>
      </c>
      <c r="AJ112" s="1">
        <f t="shared" si="123"/>
        <v>9</v>
      </c>
      <c r="AK112" s="1">
        <f t="shared" si="124"/>
        <v>8</v>
      </c>
      <c r="AL112" s="1">
        <f t="shared" si="125"/>
        <v>3</v>
      </c>
      <c r="AM112" s="1">
        <f t="shared" si="126"/>
        <v>30</v>
      </c>
      <c r="AN112" s="1">
        <f t="shared" si="127"/>
        <v>9</v>
      </c>
      <c r="AO112" s="1">
        <f t="shared" si="128"/>
        <v>0</v>
      </c>
      <c r="AP112" s="1">
        <f t="shared" si="129"/>
        <v>0.12</v>
      </c>
      <c r="AQ112" s="1">
        <f t="shared" si="130"/>
        <v>9</v>
      </c>
      <c r="AR112" s="1">
        <f t="shared" si="131"/>
        <v>0.3</v>
      </c>
      <c r="AS112" s="1">
        <f t="shared" si="132"/>
        <v>9</v>
      </c>
      <c r="AT112" s="1">
        <f t="shared" si="133"/>
        <v>0.3</v>
      </c>
      <c r="AU112" s="1">
        <f t="shared" si="134"/>
        <v>9</v>
      </c>
      <c r="AV112" s="1">
        <f>MIN(5,SUMIFS($EL$3:EL112,$B$3:B112,"&gt;="&amp;MAX(1,B112-2),$B$3:B112,"&lt;="&amp;B112)+EC112)</f>
        <v>5</v>
      </c>
      <c r="AW112" s="1">
        <f>MIN(6,SUMIFS($EY$3:EY111,$EX$3:EX111,"&gt;="&amp;MAX(1,EX112-Boss参数!$B$87+1),$EX$3:EX111,"&lt;="&amp;EX112))</f>
        <v>5</v>
      </c>
      <c r="AX112" s="1">
        <f>MIN(4,COUNTIFS($B$3:$B$111,"&gt;="&amp;MAX(1,$B112-2),$B$3:$B$111,"&lt;="&amp;$B112,$L$3:$L$111,"37_FOLLOW"))</f>
        <v>4</v>
      </c>
      <c r="AY112" s="1">
        <f>IF($E112="","",IF($E112="系统",0,ROUNDDOWN(INDEX(角色面板!$C$4:$C$7,MATCH($E112,角色面板!$A$4:$A$7,0))*(1+INDEX(角色面板!$C$11:$C$14,MATCH($E112,角色面板!$A$11:$A$14,0))+IF($E112="小瑞安侬",MAX(IF($B112&lt;=$AQ112,$AP112,0),IF(AND($L112="RHI_ATTACK",$EE112&gt;0),0.11+0.01*$G112,0)),0)+IF($E112="J",$AD112*Boss参数!$B$18,0))+IF(FD112&lt;=$AN112,MIN(Boss参数!$B$21,ROUNDDOWN(角色面板!$C$19*Boss参数!$B$20,0)),0)+IF(AND($B112&lt;=$AK112,$E112&lt;&gt;"小瑞安侬"),$DY112,0),0)))</f>
        <v>3517</v>
      </c>
      <c r="AZ112" s="1">
        <f>IF($E112="","",MAX(0,MIN(1,IFERROR(INDEX(角色面板!$G$18:$G$21,MATCH($E112,角色面板!$A$18:$A$21,0)),0)-FC112*Boss参数!$B$89-Boss参数!$E$4)))</f>
        <v>0.26</v>
      </c>
      <c r="BA112" s="1">
        <f>IF(E112="","",(IF($E112="","",IF($E112="红弩箭",Boss参数!$B$80,IF($E112="J",Boss参数!$B$81,IFERROR(INDEX(角色面板!$H$18:$H$21,MATCH($E112,角色面板!$A$18:$A$21,0)),0)))+IF($B112&lt;=$AI112,Boss参数!$B$13,0)+MIN(30,$AM112)*Boss参数!$B$17+IF(AND($L112="LILYA_ULT",$X112&gt;=6),1,0)+IF(AND($Y112=1,$L112="LILYA_INSIGHT"),IF(MOD($AA112+1,3)=0,Boss参数!$B$83,Boss参数!$B$82),IF(AND($Y112=1,$L112="LILYA_FINISH"),Boss参数!$B$84,0))))-FC112*Boss参数!$B$90)</f>
        <v>1.7780000000000002</v>
      </c>
      <c r="BB112" s="1">
        <f>IF($E112="","",IFERROR(INDEX(角色面板!$M$18:$M$21,MATCH($E112,角色面板!$A$18:$A$21,0)),0)+$AW112*Boss参数!$B$12+IF($B112&lt;=$AG112,$AF112,0)+$EI112+IF($L112="LILYA_DIVE",IF($U112=1,IF($G112=1,0.3,IF($G112=2,0.4,0.5)),IF($U112=2,IF($G112=1,0.6,IF($G112=2,0.8,1)),0)),0)+$R112+IF(AND($E112="J",OR($L112="J_COUNTER",$L112="J_HARD")),Boss参数!$B$79,0)+IF(AND(OR(L112="J_COUNTER",L112="J_HARD"),FA112&gt;=Boss参数!$B$59),FA112*Boss参数!$B$40,0))</f>
        <v>1.2749999999999999</v>
      </c>
      <c r="BC112" s="1">
        <f>IF($E112="","",IFERROR(INDEX(角色面板!$K$18:$K$21,MATCH($E112,角色面板!$A$18:$A$21,0)),0)+IF($B112&lt;=$AH112,Boss参数!$B$46,0)+IF($E112="红弩箭",IF($U112=1,0.6,IF($U112=2,1.2,0))+$W112*0.06,0))-DI112*Boss参数!$B$23</f>
        <v>-0.85000000000000009</v>
      </c>
      <c r="BD112" s="1">
        <f>IF($E112="","",IFERROR(INDEX(角色面板!$L$18:$L$21,MATCH($E112,角色面板!$A$18:$A$21,0)),0)+IF($B112&lt;=$AH112,Boss参数!$B$46,0)+IF($E112="J",$AL112*Boss参数!$B$16,0)+IF($E112="红弩箭",$X112*0.025,0)+IF(AND($L112="LILYA_ULT",$X112&gt;=6),1,0))-DI112*Boss参数!$B$23</f>
        <v>-0.45</v>
      </c>
      <c r="BE112" s="1">
        <f>IF($E112="","",IF($H112="洞知",IF($E112="红弩箭",$AO112*Boss参数!$B$15,0)+$AX112*Boss参数!$B$14,0))</f>
        <v>0</v>
      </c>
      <c r="BF112" s="1">
        <f t="shared" si="71"/>
        <v>0</v>
      </c>
      <c r="BG112" s="1">
        <f>IF($D112="",0,IF(AND($L112&lt;&gt;"LILYA_DIVE",$L112&lt;&gt;"LILYA_ULT",$L112&lt;&gt;"LILYA_INSIGHT",$L112&lt;&gt;"LILYA_FINISH",$L112&lt;&gt;"37_FOLLOW",$L112&lt;&gt;"RHI_ATTACK",$L112&lt;&gt;"RHI_BERRY",$L112&lt;&gt;"J_COUNTER",$L112&lt;&gt;"J_ULT"),$J112,0)+IF($L112="LILYA_DIVE",$J112+IF($U112=1,IF($G112=1,6,IF($G112=2,12,18)),IF($U112=2,IF($G112=1,12,IF($G112=2,24,36)),0)),0)+IF($L112="LILYA_ULT",$J112+IF($X112&gt;=6,18,0),0)+IF($L112="LILYA_INSIGHT",IF($Y112=1,IF(MOD($AA112+1,3)=0,32,15),0),0)+IF($L112="LILYA_FINISH",IF($Y112=1,50+2.5*$Z112,0),0)+IF($L112="37_FOLLOW",$J112,0)+IF($L112="RHI_ATTACK",$J112*IF($B112&lt;=$AJ112,2,1),0)+IF($L112="RHI_BERRY",15+1.5*$AV112,0)+IF($L112="J_COUNTER",$J112+$AD112*Boss参数!$B$39,0)+IF($L112="J_ULT",$J112+Boss参数!$B$45*MAX(0,$AE112+$AD112-Boss参数!$I$4),0)+$S112)</f>
        <v>3</v>
      </c>
      <c r="BH112" s="1">
        <f t="shared" si="72"/>
        <v>1</v>
      </c>
      <c r="BI112" s="1">
        <f>IF(E112="","",IF(DT112=1,1+Boss参数!$B$8+AV112*Boss参数!$B$19,1))</f>
        <v>1.5</v>
      </c>
      <c r="BJ112" s="1">
        <f>IF($I112="现实",Boss参数!$C$4,IF($I112="精神",Boss参数!$D$4,0))</f>
        <v>1000</v>
      </c>
      <c r="BK112" s="1">
        <f>IF($E112="","",MAX($AY112*Boss参数!$B$9,$AY112-$BJ112*(1-$BF112)))</f>
        <v>2517</v>
      </c>
      <c r="BL112" s="1">
        <f>MAX(0,Boss参数!$F$4+IF(DT112=0,Boss参数!$B$27,0)-EJ112)</f>
        <v>0.10000000000000003</v>
      </c>
      <c r="BM112" s="1">
        <f>Boss参数!$G$4+DU112-IF(Y112=1,Boss参数!$B$11,0)</f>
        <v>0.75</v>
      </c>
      <c r="BN112" s="1">
        <f>IF($E112="","",MAX(Boss参数!$B$10,1+IFERROR(INDEX(角色面板!$I$18:$I$21,MATCH($E112,角色面板!$A$18:$A$21,0)),0)+$BB112+Boss参数!$H$4-$BM112))</f>
        <v>1.5299999999999998</v>
      </c>
      <c r="BO112" s="1">
        <f>IF(E112="","",IF(OR(L112="J_COUNTER",L112="J_HARD"),MAX(0,1+INDEX(角色面板!$K$18:$K$21,MATCH(E112,角色面板!$A$18:$A$21,0))-DI112*Boss参数!$B$23+IF(OR(Boss参数!$B$43=1,L112="J_HARD"),IF(B112&lt;=AH112,Boss参数!$B$46,0),0)),MAX(0,IF(OR(H112="术法",L112="RHI_BERRY",AND(L112="37_FOLLOW",Boss参数!$B$31=1)),1+BC112,IF(H112="仪式",1+BD112,IF(H112="洞知",EK112,1))))))</f>
        <v>0.14999999999999991</v>
      </c>
      <c r="BP112" s="1">
        <f t="shared" si="73"/>
        <v>1.6780000000000002</v>
      </c>
      <c r="BQ112" s="1">
        <f t="shared" si="74"/>
        <v>2599.4317499999979</v>
      </c>
      <c r="BR112" s="1">
        <f t="shared" si="75"/>
        <v>4361.8464764999972</v>
      </c>
      <c r="BS112" s="1">
        <f>IF(BH112=0,0,ROUNDDOWN(AY112*BH112,0)*DV112*IF(Boss参数!$B$29=1,BN112,1)*IF(Boss参数!$B$33=1,BO112,1)*IF(Boss参数!$B$76=1,1-ES112,1))</f>
        <v>1230.9499999999998</v>
      </c>
      <c r="BT112" s="1">
        <f t="shared" si="76"/>
        <v>2065.5340999999999</v>
      </c>
      <c r="BU112" s="1">
        <f>IF(D112="",0,MIN(IF(Boss参数!$B$77=1,Boss参数!$B$63*Boss参数!$B$62,Boss参数!$B$61*Boss参数!$B$62),DW112+ROUNDDOWN(BS112,0)+ROUNDDOWN(DW112*Q112,0)))</f>
        <v>2269</v>
      </c>
      <c r="BV112" s="1">
        <f>IF(D112="",0,MIN(IF(Boss参数!$B$77=1,Boss参数!$B$63*Boss参数!$B$62,Boss参数!$B$61*Boss参数!$B$62),DX112+ROUNDDOWN(BT112,0)+ROUNDDOWN(DX112*Q112,0)))</f>
        <v>3809</v>
      </c>
      <c r="BW112" s="1">
        <f t="shared" si="77"/>
        <v>2669</v>
      </c>
      <c r="BX112" s="1" t="str">
        <f t="shared" si="78"/>
        <v/>
      </c>
      <c r="BY112" s="1">
        <f t="shared" si="79"/>
        <v>2</v>
      </c>
      <c r="BZ112" s="1">
        <f t="shared" si="80"/>
        <v>1</v>
      </c>
      <c r="CA112" s="1">
        <f>MIN(10,W112+IF(AND(L112="LILYA_COBRA",COUNTIF($L$3:L112,"LILYA_COBRA")=1),5,0)+IF(AND(L112="LILYA_DIVE",U112=1,COUNTIFS($DG$3:DG112,DG112,$L$3:L112,"LILYA_DIVE")=1),2,0)+IF(AND(FE112=1,U112=1),3,0))</f>
        <v>10</v>
      </c>
      <c r="CB112" s="1">
        <f>MIN(20,MAX(0,X112+IF(L112="LILYA_COBRA",IF(COUNTIF($L$3:L112,"LILYA_COBRA")=1,6,IF(U112=1,MAX(1,G112),IF(U112=2,2*MAX(1,G112),0))),0)+IF(AND(Y112=1,E112="红弩箭",L112&lt;&gt;"ENTER_INSIGHT"),1,0)-IF(AND(L112="LILYA_ULT",X112&gt;=6),6,0)))</f>
        <v>2</v>
      </c>
      <c r="CC112" s="1">
        <f t="shared" si="81"/>
        <v>0</v>
      </c>
      <c r="CD112" s="1">
        <f t="shared" si="82"/>
        <v>0</v>
      </c>
      <c r="CE112" s="1">
        <f t="shared" si="83"/>
        <v>0</v>
      </c>
      <c r="CF112" s="1">
        <f t="shared" si="84"/>
        <v>0</v>
      </c>
      <c r="CG112" s="1">
        <f t="shared" si="85"/>
        <v>1</v>
      </c>
      <c r="CH112" s="1">
        <f>MIN(35,AD112+IF(L112="J_HARD",6,0)+IF(L112="J_COUNTER",Boss参数!$B$30,0))</f>
        <v>35</v>
      </c>
      <c r="CI112" s="1">
        <f>MIN(Boss参数!$I$4,AE112+IF(L112="J_HARD",6,0)+IF(L112="J_ULT",AD112,0)+IF(L112="J_COUNTER",Boss参数!$B$30,0))</f>
        <v>30</v>
      </c>
      <c r="CJ112" s="1">
        <f>IF(L112="J_ULT",AD112*Boss参数!$B$41,IF(B112&lt;=AG112,AF112,0))</f>
        <v>0.875</v>
      </c>
      <c r="CK112" s="1">
        <f t="shared" si="86"/>
        <v>9</v>
      </c>
      <c r="CL112" s="1">
        <f t="shared" si="87"/>
        <v>9</v>
      </c>
      <c r="CM112" s="1">
        <f t="shared" si="88"/>
        <v>8</v>
      </c>
      <c r="CN112" s="1">
        <f t="shared" si="89"/>
        <v>9</v>
      </c>
      <c r="CO112" s="1">
        <f t="shared" si="90"/>
        <v>8</v>
      </c>
      <c r="CP112" s="1">
        <f t="shared" si="91"/>
        <v>3</v>
      </c>
      <c r="CQ112" s="1">
        <f t="shared" si="92"/>
        <v>30</v>
      </c>
      <c r="CR112" s="1">
        <f t="shared" si="93"/>
        <v>9</v>
      </c>
      <c r="CS112" s="1">
        <f t="shared" si="94"/>
        <v>0</v>
      </c>
      <c r="CT112" s="1">
        <f t="shared" si="95"/>
        <v>0.12</v>
      </c>
      <c r="CU112" s="1">
        <f t="shared" si="96"/>
        <v>9</v>
      </c>
      <c r="CV112" s="1">
        <f t="shared" si="97"/>
        <v>0.3</v>
      </c>
      <c r="CW112" s="1">
        <f t="shared" si="98"/>
        <v>9</v>
      </c>
      <c r="CX112" s="1">
        <f t="shared" si="99"/>
        <v>0.3</v>
      </c>
      <c r="CY112" s="1">
        <f t="shared" si="100"/>
        <v>9</v>
      </c>
      <c r="CZ112" s="1"/>
      <c r="DA112" s="1"/>
      <c r="DB112" s="1"/>
      <c r="DC112" s="1"/>
      <c r="DD112" s="1"/>
      <c r="DE112" s="1"/>
      <c r="DF112" s="1"/>
      <c r="DG112" s="1" t="str">
        <f>IF(D112="","",行动模拟!B118)</f>
        <v>7（目击）</v>
      </c>
      <c r="DH112" s="1" t="str">
        <f>IF(L112="END_TURN","回合结束",IF(D112="","",IF(INDEX(回合状态!$C$7:$C$17,MATCH(DG112,回合状态!$A$7:$A$17,0))="洞穿","洞穿",IF(OR(L112="J_COUNTER",L112="BOSS_ACTION",L112="BOSS_CONSERVATIVE"),"敌方",IF(AND(L112="37_FOLLOW",DG112=DG111,DH111="敌方"),"敌方",IF(INDEX(回合状态!$C$7:$C$17,MATCH(DG112,回合状态!$A$7:$A$17,0))="普通","出牌",INDEX(回合状态!$C$7:$C$17,MATCH(DG112,回合状态!$A$7:$A$17,0))))))))</f>
        <v>目击</v>
      </c>
      <c r="DI112" s="1">
        <f t="shared" si="101"/>
        <v>5</v>
      </c>
      <c r="DJ112" s="1">
        <f>IF(D112="",0,MIN(Boss参数!$B$25,IF(OR(AND(DH112="敌方",OR(DH111&lt;&gt;"敌方",DG112&lt;&gt;DG111)),AND(L112="END_TURN",DH112&lt;&gt;"洞穿"),AND(DG112&lt;&gt;DG111,DH111&lt;&gt;"洞穿",L111&lt;&gt;"END_TURN",COUNTIFS($DG$3:DG111,DG111,$DH$3:DH111,"敌方")=0)),EW112,DN111)))</f>
        <v>3</v>
      </c>
      <c r="DK112" s="1">
        <f>IF(D112="",0,MIN(Boss参数!$B$25,IF(OR(AND(DH112="敌方",OR(DH111&lt;&gt;"敌方",DG112&lt;&gt;DG111)),AND(L112="END_TURN",DH112&lt;&gt;"洞穿"),AND(DG112&lt;&gt;DG111,DH111&lt;&gt;"洞穿",L111&lt;&gt;"END_TURN",COUNTIFS($DG$3:DG111,DG111,$DH$3:DH111,"敌方")=0)),EW112,DO111)))</f>
        <v>5</v>
      </c>
      <c r="DL112" s="1">
        <f>IF(D112="",0,MIN(Boss参数!$B$25,IF(OR(AND(DH112="敌方",OR(DH111&lt;&gt;"敌方",DG112&lt;&gt;DG111)),AND(L112="END_TURN",DH112&lt;&gt;"洞穿"),AND(DG112&lt;&gt;DG111,DH111&lt;&gt;"洞穿",L111&lt;&gt;"END_TURN",COUNTIFS($DG$3:DG111,DG111,$DH$3:DH111,"敌方")=0)),EW112,DP111)))</f>
        <v>5</v>
      </c>
      <c r="DM112" s="1">
        <f>IF(D112="",0,MIN(Boss参数!$B$25,IF(OR(AND(DH112="敌方",OR(DH111&lt;&gt;"敌方",DG112&lt;&gt;DG111)),AND(L112="END_TURN",DH112&lt;&gt;"洞穿"),AND(DG112&lt;&gt;DG111,DH111&lt;&gt;"洞穿",L111&lt;&gt;"END_TURN",COUNTIFS($DG$3:DG111,DG111,$DH$3:DH111,"敌方")=0)),EW112,DQ111)))</f>
        <v>1</v>
      </c>
      <c r="DN112" s="1">
        <f>MAX(0,MIN(Boss参数!$B$25,DJ112+DR112)-IF(E112="红弩箭",2*DR112,0))</f>
        <v>4</v>
      </c>
      <c r="DO112" s="1">
        <f>MAX(0,MIN(Boss参数!$B$25,DK112+DR112)-IF(E112="37",2*DR112,0))</f>
        <v>3</v>
      </c>
      <c r="DP112" s="1">
        <f>MAX(0,MIN(Boss参数!$B$25,DL112+DR112)-IF(E112="小瑞安侬",2*DR112,0))</f>
        <v>5</v>
      </c>
      <c r="DQ112" s="1">
        <f>MAX(0,MIN(Boss参数!$B$25,DM112+DR112)-IF(E112="J",2*DR112,0))</f>
        <v>2</v>
      </c>
      <c r="DR112" s="1">
        <f t="shared" si="102"/>
        <v>1</v>
      </c>
      <c r="DS112" s="1">
        <f t="shared" si="103"/>
        <v>0</v>
      </c>
      <c r="DT112" s="1">
        <f>IF(OR(E112="",E112="系统"),0,IF(OR(AND(DS112=1,Boss参数!$B$32=1),L112="RHI_BERRY",OR(AND(INDEX(角色面板!$B$18:$B$21,MATCH(E112,角色面板!$A$18:$A$21,0))="星",Boss参数!$B$4="岩"),AND(INDEX(角色面板!$B$18:$B$21,MATCH(E112,角色面板!$A$18:$A$21,0))="岩",Boss参数!$B$4="兽"),AND(INDEX(角色面板!$B$18:$B$21,MATCH(E112,角色面板!$A$18:$A$21,0))="兽",Boss参数!$B$4="木"),AND(INDEX(角色面板!$B$18:$B$21,MATCH(E112,角色面板!$A$18:$A$21,0))="木",Boss参数!$B$4="星"),AND(INDEX(角色面板!$B$18:$B$21,MATCH(E112,角色面板!$A$18:$A$21,0))="智",Boss参数!$B$4="灵"),AND(INDEX(角色面板!$B$18:$B$21,MATCH(E112,角色面板!$A$18:$A$21,0))="灵",Boss参数!$B$4="智"))),1,0))</f>
        <v>1</v>
      </c>
      <c r="DU112" s="1">
        <f>IF(D112="",0,INDEX(回合状态!$E$7:$E$17,MATCH(DG112,回合状态!$A$7:$A$17,0))+IF(AND(DH112="敌方",OR(INDEX(回合状态!$C$7:$C$17,MATCH(DG112,回合状态!$A$7:$A$17,0))="普通",INDEX(回合状态!$C$7:$C$17,MATCH(DG112,回合状态!$A$7:$A$17,0))="额外")),0.05,0))</f>
        <v>0.35</v>
      </c>
      <c r="DV112" s="1">
        <f>MAX(Boss参数!$B$28,1+IF(AND(E112="37",AC112&gt;0,BH112&gt;0),Boss参数!$B$42,0)-DI112*Boss参数!$B$24+EA112-ER112)</f>
        <v>0.35</v>
      </c>
      <c r="DW112" s="1">
        <f>MIN(IF(Boss参数!$B$77=1,Boss参数!$B$63*Boss参数!$B$62,Boss参数!$B$61*Boss参数!$B$62),ROUNDDOWN(BQ112*(1-ES112),0))</f>
        <v>1039</v>
      </c>
      <c r="DX112" s="1">
        <f>MIN(IF(Boss参数!$B$77=1,Boss参数!$B$63*Boss参数!$B$62,Boss参数!$B$61*Boss参数!$B$62),ROUNDDOWN(BR112*(1-ES112),0))</f>
        <v>1744</v>
      </c>
      <c r="DY112" s="1">
        <f t="shared" si="135"/>
        <v>250</v>
      </c>
      <c r="DZ112" s="1">
        <f>IF(L112="RHI_ULT",MIN(Boss参数!$B$48,ROUNDDOWN(AY112*Boss参数!$B$47,0)),DY112)</f>
        <v>250</v>
      </c>
      <c r="EA112" s="1">
        <v>0</v>
      </c>
      <c r="EB112" s="1">
        <f t="shared" si="104"/>
        <v>0</v>
      </c>
      <c r="EC112" s="1">
        <f>SUMIFS($EB$3:EB112,$B$3:B112,"&gt;="&amp;MAX(1,B112-2),$B$3:B112,"&lt;="&amp;B112)*Boss参数!$B$51</f>
        <v>12</v>
      </c>
      <c r="ED112" s="1">
        <f>IF(D112="",EG111,IF(AND(DG112&lt;&gt;DG111,DH112&lt;&gt;"洞穿"),MIN(Boss参数!$B$55,EG111+2),EG111))</f>
        <v>0</v>
      </c>
      <c r="EE112" s="1">
        <f t="shared" si="105"/>
        <v>0</v>
      </c>
      <c r="EF112" s="1">
        <f>IF(AND(OR(L112="END_TURN",AND(DH112="敌方",OR(DH111&lt;&gt;"敌方",DG112&lt;&gt;DG111))),SUMIFS($EF$3:EF111,$DG$3:DG111,DG112)=0),MIN(1,MAX(0,ED112-EE112)),0)</f>
        <v>0</v>
      </c>
      <c r="EG112" s="1">
        <f t="shared" si="106"/>
        <v>0</v>
      </c>
      <c r="EH112" s="1">
        <f>Boss参数!$B$53-IF(Y112=1,Boss参数!$B$54,0)</f>
        <v>0</v>
      </c>
      <c r="EI112" s="1">
        <f t="shared" si="107"/>
        <v>0.3</v>
      </c>
      <c r="EJ112" s="1">
        <f t="shared" si="108"/>
        <v>0.3</v>
      </c>
      <c r="EK112" s="1">
        <f t="shared" si="109"/>
        <v>1</v>
      </c>
      <c r="EL112" s="1">
        <f t="shared" si="136"/>
        <v>0</v>
      </c>
      <c r="EM112" s="1">
        <f>IF(AND(DG112&lt;&gt;DG111,DH112="洞穿"),0,IF(L112="ENTER_INSIGHT",Boss参数!$B$57,EO111))</f>
        <v>0</v>
      </c>
      <c r="EN112" s="1">
        <f>IF(AND(Y112=1,H112="洞知",EM112&gt;0),Boss参数!$B$56,0)</f>
        <v>0</v>
      </c>
      <c r="EO112" s="1">
        <f t="shared" si="110"/>
        <v>0</v>
      </c>
      <c r="EP112" s="1">
        <f t="shared" si="137"/>
        <v>15718785</v>
      </c>
      <c r="EQ112" s="1">
        <f>ROUNDDOWN(EP112/Boss参数!$B$62,0)</f>
        <v>157</v>
      </c>
      <c r="ER112" s="1">
        <f>IF(EQ112&gt;=Boss参数!$B$66,Boss参数!$B$69,IF(EQ112&gt;=Boss参数!$B$65,Boss参数!$B$68,IF(EQ112&gt;=Boss参数!$B$64,Boss参数!$B$67,0)))</f>
        <v>0.9</v>
      </c>
      <c r="ES112" s="1">
        <f>MIN(1,IF(EQ112&gt;=Boss参数!$B$66,Boss参数!$B$72+ROUNDDOWN((EQ112-Boss参数!$B$66)/Boss参数!$B$73,0)*Boss参数!$B$74,IF(EQ112&gt;=Boss参数!$B$65,Boss参数!$B$71,IF(EQ112&gt;=Boss参数!$B$64,Boss参数!$B$70,0))))</f>
        <v>0.6</v>
      </c>
      <c r="ET112" s="1">
        <f>MIN(Boss参数!$B$61*Boss参数!$B$62,EP112+IF(AND(Boss参数!$B$60=1,ISNUMBER(验证表!H118)),验证表!H118,EU112))</f>
        <v>15721054</v>
      </c>
      <c r="EU112" s="1">
        <f>IF(D112="",0,IF(验证表!G118="是",BV112,IF(验证表!G118="否",BU112,BW112)))</f>
        <v>2269</v>
      </c>
      <c r="EV112" s="1">
        <f>IF(EQ112&gt;=Boss参数!$B$66,2,IF(EQ112&gt;=Boss参数!$B$65,1,0))</f>
        <v>2</v>
      </c>
      <c r="EW112" s="1">
        <f t="shared" si="111"/>
        <v>3</v>
      </c>
      <c r="EX112" s="1">
        <f>IF(D112="",0,INDEX(回合状态!$D$7:$D$17,MATCH(DG112,回合状态!$A$7:$A$17,0)))</f>
        <v>7</v>
      </c>
      <c r="EY112" s="1">
        <f>IF(OR(L112="RHI_ATTACK",L112="RHI_BUFF"),1,IF(L112="RHI_ULT",Boss参数!$B$52,0))</f>
        <v>0</v>
      </c>
      <c r="EZ112" s="1">
        <f>MIN(6,SUMIFS($EY$3:EY112,$EX$3:EX112,"&gt;="&amp;MAX(1,EX112-Boss参数!$B$87+1),$EX$3:EX112,"&lt;="&amp;EX112))</f>
        <v>5</v>
      </c>
      <c r="FA112" s="1">
        <f t="shared" si="138"/>
        <v>35</v>
      </c>
      <c r="FB112" s="17">
        <f>IF(L112="BOSS_CONSERVATIVE",B112+Boss参数!$B$91,FB111)</f>
        <v>7</v>
      </c>
      <c r="FC112" s="17">
        <f t="shared" si="139"/>
        <v>1</v>
      </c>
      <c r="FD112" s="17">
        <f>IF(D112="",FD111,FD111+IF(AND(DG112&lt;&gt;DG111,INDEX(回合状态!$C$7:$C$17,MATCH(DG112,回合状态!$A$7:$A$17,0))&lt;&gt;"洞穿"),1,0))</f>
        <v>8</v>
      </c>
      <c r="FE112" s="17">
        <f>IF(D112="",0,IF(AND(OR(L112="END_TURN",DH112="敌方"),INDEX(回合状态!$C$7:$C$17,MATCH(DG112,回合状态!$A$7:$A$17,0))&lt;&gt;"洞穿",SUMIFS($FE$3:FE111,$DG$3:DG111,DG112)=0),1,0))</f>
        <v>0</v>
      </c>
    </row>
    <row r="113" spans="1:161" ht="84.95" customHeight="1">
      <c r="A113" s="1">
        <f>行动模拟!A119</f>
        <v>111</v>
      </c>
      <c r="B113" s="1">
        <f>IF(D113="",0,INDEX(回合状态!$B$7:$B$17,MATCH(DG113,回合状态!$A$7:$A$17,0)))</f>
        <v>7</v>
      </c>
      <c r="C113" s="1">
        <f>行动模拟!C119</f>
        <v>1</v>
      </c>
      <c r="D113" s="1" t="str">
        <f>IF(行动模拟!D119="","",行动模拟!D119)</f>
        <v>红弩箭｜洞知咒语</v>
      </c>
      <c r="E113" s="1" t="str">
        <f>IF($D113="","",IFERROR(INDEX(技能数据库!$B$4:$B$38,MATCH($D113,技能数据库!$A$4:$A$38,0)),""))</f>
        <v>红弩箭</v>
      </c>
      <c r="F113" s="1" t="str">
        <f>IF($D113="","",IFERROR(INDEX(技能数据库!$C$4:$C$38,MATCH($D113,技能数据库!$A$4:$A$38,0)),""))</f>
        <v>洞知咒语</v>
      </c>
      <c r="G113" s="1">
        <f>IF($D113="","",IFERROR(INDEX(技能数据库!$D$4:$D$38,MATCH($D113,技能数据库!$A$4:$A$38,0)),""))</f>
        <v>0</v>
      </c>
      <c r="H113" s="1" t="str">
        <f>IF($D113="","",IFERROR(INDEX(技能数据库!$E$4:$E$38,MATCH($D113,技能数据库!$A$4:$A$38,0)),""))</f>
        <v>洞知</v>
      </c>
      <c r="I113" s="1" t="str">
        <f>IF($D113="","",IFERROR(INDEX(技能数据库!$F$4:$F$38,MATCH($D113,技能数据库!$A$4:$A$38,0)),""))</f>
        <v>现实</v>
      </c>
      <c r="J113" s="1">
        <f>IF($D113="","",IFERROR(INDEX(技能数据库!$G$4:$G$38,MATCH($D113,技能数据库!$A$4:$A$38,0)),""))</f>
        <v>15</v>
      </c>
      <c r="K113" s="1">
        <f>IF($D113="","",IFERROR(INDEX(技能数据库!$H$4:$H$38,MATCH($D113,技能数据库!$A$4:$A$38,0)),""))</f>
        <v>0</v>
      </c>
      <c r="L113" s="1" t="str">
        <f>IF($D113="","",IFERROR(INDEX(技能数据库!$I$4:$I$38,MATCH($D113,技能数据库!$A$4:$A$38,0)),""))</f>
        <v>LILYA_INSIGHT</v>
      </c>
      <c r="M113" s="1">
        <v>1</v>
      </c>
      <c r="N113" s="1"/>
      <c r="O113" s="1"/>
      <c r="P113" s="1"/>
      <c r="Q113" s="1">
        <f t="shared" si="70"/>
        <v>0</v>
      </c>
      <c r="R113" s="1">
        <v>0</v>
      </c>
      <c r="S113" s="1">
        <v>0</v>
      </c>
      <c r="T113" s="1">
        <f>行动模拟!I119</f>
        <v>0</v>
      </c>
      <c r="U113" s="1">
        <f>IF(FD113&lt;&gt;FD112,IF(BY112=1,IF(MIN(10,CA112+IF(AND(DG113&lt;&gt;DG112,DH112&lt;&gt;"洞穿",SUMIFS($FE$3:FE112,$DG$3:DG112,DG112)=0,BY112=1),3,0))&gt;=10,2,1),IF(BY112=2,IF(BZ112&lt;=1,0,2),0)),BY112)</f>
        <v>2</v>
      </c>
      <c r="V113" s="1">
        <f>IF(FD113&lt;&gt;FD112,IF(BY112=1,IF(MIN(10,CA112+IF(AND(DG113&lt;&gt;DG112,DH112&lt;&gt;"洞穿",SUMIFS($FE$3:FE112,$DG$3:DG112,DG112)=0,BY112=1),3,0))&gt;=10,2,0),IF(BY112=2,MAX(0,BZ112-1),0)),BZ112)</f>
        <v>1</v>
      </c>
      <c r="W113" s="1">
        <f>IF(AND(FD113&lt;&gt;FD112,BY112=2,BZ112&lt;=1),0,MIN(10,CA112+IF(AND(DG113&lt;&gt;DG112,DH112&lt;&gt;"洞穿",SUMIFS($FE$3:FE112,$DG$3:DG112,DG112)=0,BY112=1),3,0)))</f>
        <v>10</v>
      </c>
      <c r="X113" s="1">
        <f t="shared" si="112"/>
        <v>2</v>
      </c>
      <c r="Y113" s="1">
        <f t="shared" si="113"/>
        <v>1</v>
      </c>
      <c r="Z113" s="1">
        <f t="shared" si="114"/>
        <v>0</v>
      </c>
      <c r="AA113" s="1">
        <f t="shared" si="115"/>
        <v>0</v>
      </c>
      <c r="AB113" s="1">
        <f t="shared" si="116"/>
        <v>0</v>
      </c>
      <c r="AC113" s="1">
        <f t="shared" si="117"/>
        <v>1</v>
      </c>
      <c r="AD113" s="1">
        <f t="shared" si="118"/>
        <v>35</v>
      </c>
      <c r="AE113" s="1">
        <f>IF(D113="",0,IF(DG113&lt;&gt;DG112,IFERROR(INDEX(回合状态!$F$7:$F$17,MATCH(DG113,回合状态!$A$7:$A$17,0)),0),CI112))</f>
        <v>15</v>
      </c>
      <c r="AF113" s="1">
        <f t="shared" si="119"/>
        <v>0.875</v>
      </c>
      <c r="AG113" s="1">
        <f t="shared" si="120"/>
        <v>9</v>
      </c>
      <c r="AH113" s="1">
        <f t="shared" si="121"/>
        <v>9</v>
      </c>
      <c r="AI113" s="1">
        <f t="shared" si="122"/>
        <v>8</v>
      </c>
      <c r="AJ113" s="1">
        <f t="shared" si="123"/>
        <v>9</v>
      </c>
      <c r="AK113" s="1">
        <f t="shared" si="124"/>
        <v>8</v>
      </c>
      <c r="AL113" s="1">
        <f t="shared" si="125"/>
        <v>3</v>
      </c>
      <c r="AM113" s="1">
        <f t="shared" si="126"/>
        <v>30</v>
      </c>
      <c r="AN113" s="1">
        <f t="shared" si="127"/>
        <v>9</v>
      </c>
      <c r="AO113" s="1">
        <f t="shared" si="128"/>
        <v>0</v>
      </c>
      <c r="AP113" s="1">
        <f t="shared" si="129"/>
        <v>0.12</v>
      </c>
      <c r="AQ113" s="1">
        <f t="shared" si="130"/>
        <v>9</v>
      </c>
      <c r="AR113" s="1">
        <f t="shared" si="131"/>
        <v>0.3</v>
      </c>
      <c r="AS113" s="1">
        <f t="shared" si="132"/>
        <v>9</v>
      </c>
      <c r="AT113" s="1">
        <f t="shared" si="133"/>
        <v>0.3</v>
      </c>
      <c r="AU113" s="1">
        <f t="shared" si="134"/>
        <v>9</v>
      </c>
      <c r="AV113" s="1">
        <f>MIN(5,SUMIFS($EL$3:EL113,$B$3:B113,"&gt;="&amp;MAX(1,B113-2),$B$3:B113,"&lt;="&amp;B113)+EC113)</f>
        <v>5</v>
      </c>
      <c r="AW113" s="1">
        <f>MIN(6,SUMIFS($EY$3:EY112,$EX$3:EX112,"&gt;="&amp;MAX(1,EX113-Boss参数!$B$87+1),$EX$3:EX112,"&lt;="&amp;EX113))</f>
        <v>4</v>
      </c>
      <c r="AX113" s="1">
        <f>MIN(4,COUNTIFS($B$3:$B$112,"&gt;="&amp;MAX(1,$B113-2),$B$3:$B$112,"&lt;="&amp;$B113,$L$3:$L$112,"37_FOLLOW"))</f>
        <v>4</v>
      </c>
      <c r="AY113" s="1">
        <f>IF($E113="","",IF($E113="系统",0,ROUNDDOWN(INDEX(角色面板!$C$4:$C$7,MATCH($E113,角色面板!$A$4:$A$7,0))*(1+INDEX(角色面板!$C$11:$C$14,MATCH($E113,角色面板!$A$11:$A$14,0))+IF($E113="小瑞安侬",MAX(IF($B113&lt;=$AQ113,$AP113,0),IF(AND($L113="RHI_ATTACK",$EE113&gt;0),0.11+0.01*$G113,0)),0)+IF($E113="J",$AD113*Boss参数!$B$18,0))+IF(FD113&lt;=$AN113,MIN(Boss参数!$B$21,ROUNDDOWN(角色面板!$C$19*Boss参数!$B$20,0)),0)+IF(AND($B113&lt;=$AK113,$E113&lt;&gt;"小瑞安侬"),$DY113,0),0)))</f>
        <v>3505</v>
      </c>
      <c r="AZ113" s="1">
        <f>IF($E113="","",MAX(0,MIN(1,IFERROR(INDEX(角色面板!$G$18:$G$21,MATCH($E113,角色面板!$A$18:$A$21,0)),0)-FC113*Boss参数!$B$89-Boss参数!$E$4)))</f>
        <v>1</v>
      </c>
      <c r="BA113" s="1">
        <f>IF(E113="","",(IF($E113="","",IF($E113="红弩箭",Boss参数!$B$80,IF($E113="J",Boss参数!$B$81,IFERROR(INDEX(角色面板!$H$18:$H$21,MATCH($E113,角色面板!$A$18:$A$21,0)),0)))+IF($B113&lt;=$AI113,Boss参数!$B$13,0)+MIN(30,$AM113)*Boss参数!$B$17+IF(AND($L113="LILYA_ULT",$X113&gt;=6),1,0)+IF(AND($Y113=1,$L113="LILYA_INSIGHT"),IF(MOD($AA113+1,3)=0,Boss参数!$B$83,Boss参数!$B$82),IF(AND($Y113=1,$L113="LILYA_FINISH"),Boss参数!$B$84,0))))-FC113*Boss参数!$B$90)</f>
        <v>2.9050000000000002</v>
      </c>
      <c r="BB113" s="1">
        <f>IF($E113="","",IFERROR(INDEX(角色面板!$M$18:$M$21,MATCH($E113,角色面板!$A$18:$A$21,0)),0)+$AW113*Boss参数!$B$12+IF($B113&lt;=$AG113,$AF113,0)+$EI113+IF($L113="LILYA_DIVE",IF($U113=1,IF($G113=1,0.3,IF($G113=2,0.4,0.5)),IF($U113=2,IF($G113=1,0.6,IF($G113=2,0.8,1)),0)),0)+$R113+IF(AND($E113="J",OR($L113="J_COUNTER",$L113="J_HARD")),Boss参数!$B$79,0)+IF(AND(OR(L113="J_COUNTER",L113="J_HARD"),FA113&gt;=Boss参数!$B$59),FA113*Boss参数!$B$40,0))</f>
        <v>1.4950000000000001</v>
      </c>
      <c r="BC113" s="1">
        <f>IF($E113="","",IFERROR(INDEX(角色面板!$K$18:$K$21,MATCH($E113,角色面板!$A$18:$A$21,0)),0)+IF($B113&lt;=$AH113,Boss参数!$B$46,0)+IF($E113="红弩箭",IF($U113=1,0.6,IF($U113=2,1.2,0))+$W113*0.06,0))-DI113*Boss参数!$B$23</f>
        <v>1.2499999999999998</v>
      </c>
      <c r="BD113" s="1">
        <f>IF($E113="","",IFERROR(INDEX(角色面板!$L$18:$L$21,MATCH($E113,角色面板!$A$18:$A$21,0)),0)+IF($B113&lt;=$AH113,Boss参数!$B$46,0)+IF($E113="J",$AL113*Boss参数!$B$16,0)+IF($E113="红弩箭",$X113*0.025,0)+IF(AND($L113="LILYA_ULT",$X113&gt;=6),1,0))-DI113*Boss参数!$B$23</f>
        <v>-9.9999999999999978E-2</v>
      </c>
      <c r="BE113" s="1">
        <f>IF($E113="","",IF($H113="洞知",IF($E113="红弩箭",$AO113*Boss参数!$B$15,0)+$AX113*Boss参数!$B$14,0))</f>
        <v>0.16</v>
      </c>
      <c r="BF113" s="1">
        <f t="shared" si="71"/>
        <v>0</v>
      </c>
      <c r="BG113" s="1">
        <f>IF($D113="",0,IF(AND($L113&lt;&gt;"LILYA_DIVE",$L113&lt;&gt;"LILYA_ULT",$L113&lt;&gt;"LILYA_INSIGHT",$L113&lt;&gt;"LILYA_FINISH",$L113&lt;&gt;"37_FOLLOW",$L113&lt;&gt;"RHI_ATTACK",$L113&lt;&gt;"RHI_BERRY",$L113&lt;&gt;"J_COUNTER",$L113&lt;&gt;"J_ULT"),$J113,0)+IF($L113="LILYA_DIVE",$J113+IF($U113=1,IF($G113=1,6,IF($G113=2,12,18)),IF($U113=2,IF($G113=1,12,IF($G113=2,24,36)),0)),0)+IF($L113="LILYA_ULT",$J113+IF($X113&gt;=6,18,0),0)+IF($L113="LILYA_INSIGHT",IF($Y113=1,IF(MOD($AA113+1,3)=0,32,15),0),0)+IF($L113="LILYA_FINISH",IF($Y113=1,50+2.5*$Z113,0),0)+IF($L113="37_FOLLOW",$J113,0)+IF($L113="RHI_ATTACK",$J113*IF($B113&lt;=$AJ113,2,1),0)+IF($L113="RHI_BERRY",15+1.5*$AV113,0)+IF($L113="J_COUNTER",$J113+$AD113*Boss参数!$B$39,0)+IF($L113="J_ULT",$J113+Boss参数!$B$45*MAX(0,$AE113+$AD113-Boss参数!$I$4),0)+$S113)</f>
        <v>15</v>
      </c>
      <c r="BH113" s="1">
        <f t="shared" si="72"/>
        <v>0</v>
      </c>
      <c r="BI113" s="1">
        <f>IF(E113="","",IF(DT113=1,1+Boss参数!$B$8+AV113*Boss参数!$B$19,1))</f>
        <v>1.5</v>
      </c>
      <c r="BJ113" s="1">
        <f>IF($I113="现实",Boss参数!$C$4,IF($I113="精神",Boss参数!$D$4,0))</f>
        <v>1200</v>
      </c>
      <c r="BK113" s="1">
        <f>IF($E113="","",MAX($AY113*Boss参数!$B$9,$AY113-$BJ113*(1-$BF113)))</f>
        <v>2305</v>
      </c>
      <c r="BL113" s="1">
        <f>MAX(0,Boss参数!$F$4+IF(DT113=0,Boss参数!$B$27,0)-EJ113)</f>
        <v>0.10000000000000003</v>
      </c>
      <c r="BM113" s="1">
        <f>Boss参数!$G$4+DU113-IF(Y113=1,Boss参数!$B$11,0)</f>
        <v>0.35</v>
      </c>
      <c r="BN113" s="1">
        <f>IF($E113="","",MAX(Boss参数!$B$10,1+IFERROR(INDEX(角色面板!$I$18:$I$21,MATCH($E113,角色面板!$A$18:$A$21,0)),0)+$BB113+Boss参数!$H$4-$BM113))</f>
        <v>2.2450000000000001</v>
      </c>
      <c r="BO113" s="1">
        <f>IF(E113="","",IF(OR(L113="J_COUNTER",L113="J_HARD"),MAX(0,1+INDEX(角色面板!$K$18:$K$21,MATCH(E113,角色面板!$A$18:$A$21,0))-DI113*Boss参数!$B$23+IF(OR(Boss参数!$B$43=1,L113="J_HARD"),IF(B113&lt;=AH113,Boss参数!$B$46,0),0)),MAX(0,IF(OR(H113="术法",L113="RHI_BERRY",AND(L113="37_FOLLOW",Boss参数!$B$31=1)),1+BC113,IF(H113="仪式",1+BD113,IF(H113="洞知",EK113,1))))))</f>
        <v>1.56</v>
      </c>
      <c r="BP113" s="1">
        <f t="shared" si="73"/>
        <v>2.8050000000000002</v>
      </c>
      <c r="BQ113" s="1">
        <f t="shared" si="74"/>
        <v>181632.8475</v>
      </c>
      <c r="BR113" s="1">
        <f t="shared" si="75"/>
        <v>509480.13723750005</v>
      </c>
      <c r="BS113" s="1">
        <f>IF(BH113=0,0,ROUNDDOWN(AY113*BH113,0)*DV113*IF(Boss参数!$B$29=1,BN113,1)*IF(Boss参数!$B$33=1,BO113,1)*IF(Boss参数!$B$76=1,1-ES113,1))</f>
        <v>0</v>
      </c>
      <c r="BT113" s="1">
        <f t="shared" si="76"/>
        <v>0</v>
      </c>
      <c r="BU113" s="1">
        <f>IF(D113="",0,MIN(IF(Boss参数!$B$77=1,Boss参数!$B$63*Boss参数!$B$62,Boss参数!$B$61*Boss参数!$B$62),DW113+ROUNDDOWN(BS113,0)+ROUNDDOWN(DW113*Q113,0)))</f>
        <v>72653</v>
      </c>
      <c r="BV113" s="1">
        <f>IF(D113="",0,MIN(IF(Boss参数!$B$77=1,Boss参数!$B$63*Boss参数!$B$62,Boss参数!$B$61*Boss参数!$B$62),DX113+ROUNDDOWN(BT113,0)+ROUNDDOWN(DX113*Q113,0)))</f>
        <v>203792</v>
      </c>
      <c r="BW113" s="1">
        <f t="shared" si="77"/>
        <v>203792</v>
      </c>
      <c r="BX113" s="1" t="str">
        <f t="shared" si="78"/>
        <v/>
      </c>
      <c r="BY113" s="1">
        <f t="shared" si="79"/>
        <v>2</v>
      </c>
      <c r="BZ113" s="1">
        <f t="shared" si="80"/>
        <v>1</v>
      </c>
      <c r="CA113" s="1">
        <f>MIN(10,W113+IF(AND(L113="LILYA_COBRA",COUNTIF($L$3:L113,"LILYA_COBRA")=1),5,0)+IF(AND(L113="LILYA_DIVE",U113=1,COUNTIFS($DG$3:DG113,DG113,$L$3:L113,"LILYA_DIVE")=1),2,0)+IF(AND(FE113=1,U113=1),3,0))</f>
        <v>10</v>
      </c>
      <c r="CB113" s="1">
        <f>MIN(20,MAX(0,X113+IF(L113="LILYA_COBRA",IF(COUNTIF($L$3:L113,"LILYA_COBRA")=1,6,IF(U113=1,MAX(1,G113),IF(U113=2,2*MAX(1,G113),0))),0)+IF(AND(Y113=1,E113="红弩箭",L113&lt;&gt;"ENTER_INSIGHT"),1,0)-IF(AND(L113="LILYA_ULT",X113&gt;=6),6,0)))</f>
        <v>3</v>
      </c>
      <c r="CC113" s="1">
        <f t="shared" si="81"/>
        <v>1</v>
      </c>
      <c r="CD113" s="1">
        <f t="shared" si="82"/>
        <v>1</v>
      </c>
      <c r="CE113" s="1">
        <f t="shared" si="83"/>
        <v>1</v>
      </c>
      <c r="CF113" s="1">
        <f t="shared" si="84"/>
        <v>1</v>
      </c>
      <c r="CG113" s="1">
        <f t="shared" si="85"/>
        <v>1</v>
      </c>
      <c r="CH113" s="1">
        <f>MIN(35,AD113+IF(L113="J_HARD",6,0)+IF(L113="J_COUNTER",Boss参数!$B$30,0))</f>
        <v>35</v>
      </c>
      <c r="CI113" s="1">
        <f>MIN(Boss参数!$I$4,AE113+IF(L113="J_HARD",6,0)+IF(L113="J_ULT",AD113,0)+IF(L113="J_COUNTER",Boss参数!$B$30,0))</f>
        <v>15</v>
      </c>
      <c r="CJ113" s="1">
        <f>IF(L113="J_ULT",AD113*Boss参数!$B$41,IF(B113&lt;=AG113,AF113,0))</f>
        <v>0.875</v>
      </c>
      <c r="CK113" s="1">
        <f t="shared" si="86"/>
        <v>9</v>
      </c>
      <c r="CL113" s="1">
        <f t="shared" si="87"/>
        <v>9</v>
      </c>
      <c r="CM113" s="1">
        <f t="shared" si="88"/>
        <v>8</v>
      </c>
      <c r="CN113" s="1">
        <f t="shared" si="89"/>
        <v>9</v>
      </c>
      <c r="CO113" s="1">
        <f t="shared" si="90"/>
        <v>8</v>
      </c>
      <c r="CP113" s="1">
        <f t="shared" si="91"/>
        <v>3</v>
      </c>
      <c r="CQ113" s="1">
        <f t="shared" si="92"/>
        <v>30</v>
      </c>
      <c r="CR113" s="1">
        <f t="shared" si="93"/>
        <v>9</v>
      </c>
      <c r="CS113" s="1">
        <f t="shared" si="94"/>
        <v>1</v>
      </c>
      <c r="CT113" s="1">
        <f t="shared" si="95"/>
        <v>0.12</v>
      </c>
      <c r="CU113" s="1">
        <f t="shared" si="96"/>
        <v>9</v>
      </c>
      <c r="CV113" s="1">
        <f t="shared" si="97"/>
        <v>0.3</v>
      </c>
      <c r="CW113" s="1">
        <f t="shared" si="98"/>
        <v>9</v>
      </c>
      <c r="CX113" s="1">
        <f t="shared" si="99"/>
        <v>0.3</v>
      </c>
      <c r="CY113" s="1">
        <f t="shared" si="100"/>
        <v>9</v>
      </c>
      <c r="CZ113" s="1"/>
      <c r="DA113" s="1"/>
      <c r="DB113" s="1"/>
      <c r="DC113" s="1"/>
      <c r="DD113" s="1"/>
      <c r="DE113" s="1"/>
      <c r="DF113" s="1"/>
      <c r="DG113" s="1" t="str">
        <f>IF(D113="","",行动模拟!B119)</f>
        <v>洞知2</v>
      </c>
      <c r="DH113" s="1" t="str">
        <f>IF(L113="END_TURN","回合结束",IF(D113="","",IF(INDEX(回合状态!$C$7:$C$17,MATCH(DG113,回合状态!$A$7:$A$17,0))="洞穿","洞穿",IF(OR(L113="J_COUNTER",L113="BOSS_ACTION",L113="BOSS_CONSERVATIVE"),"敌方",IF(AND(L113="37_FOLLOW",DG113=DG112,DH112="敌方"),"敌方",IF(INDEX(回合状态!$C$7:$C$17,MATCH(DG113,回合状态!$A$7:$A$17,0))="普通","出牌",INDEX(回合状态!$C$7:$C$17,MATCH(DG113,回合状态!$A$7:$A$17,0))))))))</f>
        <v>洞穿</v>
      </c>
      <c r="DI113" s="1">
        <f t="shared" si="101"/>
        <v>3</v>
      </c>
      <c r="DJ113" s="1">
        <f>IF(D113="",0,MIN(Boss参数!$B$25,IF(OR(AND(DH113="敌方",OR(DH112&lt;&gt;"敌方",DG113&lt;&gt;DG112)),AND(L113="END_TURN",DH113&lt;&gt;"洞穿"),AND(DG113&lt;&gt;DG112,DH112&lt;&gt;"洞穿",L112&lt;&gt;"END_TURN",COUNTIFS($DG$3:DG112,DG112,$DH$3:DH112,"敌方")=0)),EW113,DN112)))</f>
        <v>3</v>
      </c>
      <c r="DK113" s="1">
        <f>IF(D113="",0,MIN(Boss参数!$B$25,IF(OR(AND(DH113="敌方",OR(DH112&lt;&gt;"敌方",DG113&lt;&gt;DG112)),AND(L113="END_TURN",DH113&lt;&gt;"洞穿"),AND(DG113&lt;&gt;DG112,DH112&lt;&gt;"洞穿",L112&lt;&gt;"END_TURN",COUNTIFS($DG$3:DG112,DG112,$DH$3:DH112,"敌方")=0)),EW113,DO112)))</f>
        <v>3</v>
      </c>
      <c r="DL113" s="1">
        <f>IF(D113="",0,MIN(Boss参数!$B$25,IF(OR(AND(DH113="敌方",OR(DH112&lt;&gt;"敌方",DG113&lt;&gt;DG112)),AND(L113="END_TURN",DH113&lt;&gt;"洞穿"),AND(DG113&lt;&gt;DG112,DH112&lt;&gt;"洞穿",L112&lt;&gt;"END_TURN",COUNTIFS($DG$3:DG112,DG112,$DH$3:DH112,"敌方")=0)),EW113,DP112)))</f>
        <v>3</v>
      </c>
      <c r="DM113" s="1">
        <f>IF(D113="",0,MIN(Boss参数!$B$25,IF(OR(AND(DH113="敌方",OR(DH112&lt;&gt;"敌方",DG113&lt;&gt;DG112)),AND(L113="END_TURN",DH113&lt;&gt;"洞穿"),AND(DG113&lt;&gt;DG112,DH112&lt;&gt;"洞穿",L112&lt;&gt;"END_TURN",COUNTIFS($DG$3:DG112,DG112,$DH$3:DH112,"敌方")=0)),EW113,DQ112)))</f>
        <v>3</v>
      </c>
      <c r="DN113" s="1">
        <f>MAX(0,MIN(Boss参数!$B$25,DJ113+DR113)-IF(E113="红弩箭",2*DR113,0))</f>
        <v>2</v>
      </c>
      <c r="DO113" s="1">
        <f>MAX(0,MIN(Boss参数!$B$25,DK113+DR113)-IF(E113="37",2*DR113,0))</f>
        <v>4</v>
      </c>
      <c r="DP113" s="1">
        <f>MAX(0,MIN(Boss参数!$B$25,DL113+DR113)-IF(E113="小瑞安侬",2*DR113,0))</f>
        <v>4</v>
      </c>
      <c r="DQ113" s="1">
        <f>MAX(0,MIN(Boss参数!$B$25,DM113+DR113)-IF(E113="J",2*DR113,0))</f>
        <v>4</v>
      </c>
      <c r="DR113" s="1">
        <f t="shared" si="102"/>
        <v>1</v>
      </c>
      <c r="DS113" s="1">
        <f t="shared" si="103"/>
        <v>1</v>
      </c>
      <c r="DT113" s="1">
        <f>IF(OR(E113="",E113="系统"),0,IF(OR(AND(DS113=1,Boss参数!$B$32=1),L113="RHI_BERRY",OR(AND(INDEX(角色面板!$B$18:$B$21,MATCH(E113,角色面板!$A$18:$A$21,0))="星",Boss参数!$B$4="岩"),AND(INDEX(角色面板!$B$18:$B$21,MATCH(E113,角色面板!$A$18:$A$21,0))="岩",Boss参数!$B$4="兽"),AND(INDEX(角色面板!$B$18:$B$21,MATCH(E113,角色面板!$A$18:$A$21,0))="兽",Boss参数!$B$4="木"),AND(INDEX(角色面板!$B$18:$B$21,MATCH(E113,角色面板!$A$18:$A$21,0))="木",Boss参数!$B$4="星"),AND(INDEX(角色面板!$B$18:$B$21,MATCH(E113,角色面板!$A$18:$A$21,0))="智",Boss参数!$B$4="灵"),AND(INDEX(角色面板!$B$18:$B$21,MATCH(E113,角色面板!$A$18:$A$21,0))="灵",Boss参数!$B$4="智"))),1,0))</f>
        <v>1</v>
      </c>
      <c r="DU113" s="1">
        <f>IF(D113="",0,INDEX(回合状态!$E$7:$E$17,MATCH(DG113,回合状态!$A$7:$A$17,0))+IF(AND(DH113="敌方",OR(INDEX(回合状态!$C$7:$C$17,MATCH(DG113,回合状态!$A$7:$A$17,0))="普通",INDEX(回合状态!$C$7:$C$17,MATCH(DG113,回合状态!$A$7:$A$17,0))="额外")),0.05,0))</f>
        <v>0.35</v>
      </c>
      <c r="DV113" s="1">
        <f>MAX(Boss参数!$B$28,1+IF(AND(E113="37",AC113&gt;0,BH113&gt;0),Boss参数!$B$42,0)-DI113*Boss参数!$B$24+EA113-ER113)</f>
        <v>0</v>
      </c>
      <c r="DW113" s="1">
        <f>MIN(IF(Boss参数!$B$77=1,Boss参数!$B$63*Boss参数!$B$62,Boss参数!$B$61*Boss参数!$B$62),ROUNDDOWN(BQ113*(1-ES113),0))</f>
        <v>72653</v>
      </c>
      <c r="DX113" s="1">
        <f>MIN(IF(Boss参数!$B$77=1,Boss参数!$B$63*Boss参数!$B$62,Boss参数!$B$61*Boss参数!$B$62),ROUNDDOWN(BR113*(1-ES113),0))</f>
        <v>203792</v>
      </c>
      <c r="DY113" s="1">
        <f t="shared" si="135"/>
        <v>250</v>
      </c>
      <c r="DZ113" s="1">
        <f>IF(L113="RHI_ULT",MIN(Boss参数!$B$48,ROUNDDOWN(AY113*Boss参数!$B$47,0)),DY113)</f>
        <v>250</v>
      </c>
      <c r="EA113" s="1">
        <v>0</v>
      </c>
      <c r="EB113" s="1">
        <f t="shared" si="104"/>
        <v>0</v>
      </c>
      <c r="EC113" s="1">
        <f>SUMIFS($EB$3:EB113,$B$3:B113,"&gt;="&amp;MAX(1,B113-2),$B$3:B113,"&lt;="&amp;B113)*Boss参数!$B$51</f>
        <v>12</v>
      </c>
      <c r="ED113" s="1">
        <f>IF(D113="",EG112,IF(AND(DG113&lt;&gt;DG112,DH113&lt;&gt;"洞穿"),MIN(Boss参数!$B$55,EG112+2),EG112))</f>
        <v>0</v>
      </c>
      <c r="EE113" s="1">
        <f t="shared" si="105"/>
        <v>0</v>
      </c>
      <c r="EF113" s="1">
        <f>IF(AND(OR(L113="END_TURN",AND(DH113="敌方",OR(DH112&lt;&gt;"敌方",DG113&lt;&gt;DG112))),SUMIFS($EF$3:EF112,$DG$3:DG112,DG113)=0),MIN(1,MAX(0,ED113-EE113)),0)</f>
        <v>0</v>
      </c>
      <c r="EG113" s="1">
        <f t="shared" si="106"/>
        <v>0</v>
      </c>
      <c r="EH113" s="1">
        <f>Boss参数!$B$53-IF(Y113=1,Boss参数!$B$54,0)</f>
        <v>-0.4</v>
      </c>
      <c r="EI113" s="1">
        <f t="shared" si="107"/>
        <v>0.3</v>
      </c>
      <c r="EJ113" s="1">
        <f t="shared" si="108"/>
        <v>0.3</v>
      </c>
      <c r="EK113" s="1">
        <f t="shared" si="109"/>
        <v>1.56</v>
      </c>
      <c r="EL113" s="1">
        <f t="shared" si="136"/>
        <v>0</v>
      </c>
      <c r="EM113" s="1">
        <f>IF(AND(DG113&lt;&gt;DG112,DH113="洞穿"),0,IF(L113="ENTER_INSIGHT",Boss参数!$B$57,EO112))</f>
        <v>0</v>
      </c>
      <c r="EN113" s="1">
        <f>IF(AND(Y113=1,H113="洞知",EM113&gt;0),Boss参数!$B$56,0)</f>
        <v>0</v>
      </c>
      <c r="EO113" s="1">
        <f t="shared" si="110"/>
        <v>0</v>
      </c>
      <c r="EP113" s="1">
        <f t="shared" si="137"/>
        <v>15721054</v>
      </c>
      <c r="EQ113" s="1">
        <f>ROUNDDOWN(EP113/Boss参数!$B$62,0)</f>
        <v>157</v>
      </c>
      <c r="ER113" s="1">
        <f>IF(EQ113&gt;=Boss参数!$B$66,Boss参数!$B$69,IF(EQ113&gt;=Boss参数!$B$65,Boss参数!$B$68,IF(EQ113&gt;=Boss参数!$B$64,Boss参数!$B$67,0)))</f>
        <v>0.9</v>
      </c>
      <c r="ES113" s="1">
        <f>MIN(1,IF(EQ113&gt;=Boss参数!$B$66,Boss参数!$B$72+ROUNDDOWN((EQ113-Boss参数!$B$66)/Boss参数!$B$73,0)*Boss参数!$B$74,IF(EQ113&gt;=Boss参数!$B$65,Boss参数!$B$71,IF(EQ113&gt;=Boss参数!$B$64,Boss参数!$B$70,0))))</f>
        <v>0.6</v>
      </c>
      <c r="ET113" s="1">
        <f>MIN(Boss参数!$B$61*Boss参数!$B$62,EP113+IF(AND(Boss参数!$B$60=1,ISNUMBER(验证表!H119)),验证表!H119,EU113))</f>
        <v>15924846</v>
      </c>
      <c r="EU113" s="1">
        <f>IF(D113="",0,IF(验证表!G119="是",BV113,IF(验证表!G119="否",BU113,BW113)))</f>
        <v>203792</v>
      </c>
      <c r="EV113" s="1">
        <f>IF(EQ113&gt;=Boss参数!$B$66,2,IF(EQ113&gt;=Boss参数!$B$65,1,0))</f>
        <v>2</v>
      </c>
      <c r="EW113" s="1">
        <f t="shared" si="111"/>
        <v>3</v>
      </c>
      <c r="EX113" s="1">
        <f>IF(D113="",0,INDEX(回合状态!$D$7:$D$17,MATCH(DG113,回合状态!$A$7:$A$17,0)))</f>
        <v>8</v>
      </c>
      <c r="EY113" s="1">
        <f>IF(OR(L113="RHI_ATTACK",L113="RHI_BUFF"),1,IF(L113="RHI_ULT",Boss参数!$B$52,0))</f>
        <v>0</v>
      </c>
      <c r="EZ113" s="1">
        <f>MIN(6,SUMIFS($EY$3:EY113,$EX$3:EX113,"&gt;="&amp;MAX(1,EX113-Boss参数!$B$87+1),$EX$3:EX113,"&lt;="&amp;EX113))</f>
        <v>4</v>
      </c>
      <c r="FA113" s="1">
        <f t="shared" si="138"/>
        <v>35</v>
      </c>
      <c r="FB113" s="17">
        <f>IF(L113="BOSS_CONSERVATIVE",B113+Boss参数!$B$91,FB112)</f>
        <v>7</v>
      </c>
      <c r="FC113" s="17">
        <f t="shared" si="139"/>
        <v>0</v>
      </c>
      <c r="FD113" s="17">
        <f>IF(D113="",FD112,FD112+IF(AND(DG113&lt;&gt;DG112,INDEX(回合状态!$C$7:$C$17,MATCH(DG113,回合状态!$A$7:$A$17,0))&lt;&gt;"洞穿"),1,0))</f>
        <v>8</v>
      </c>
      <c r="FE113" s="17">
        <f>IF(D113="",0,IF(AND(OR(L113="END_TURN",DH113="敌方"),INDEX(回合状态!$C$7:$C$17,MATCH(DG113,回合状态!$A$7:$A$17,0))&lt;&gt;"洞穿",SUMIFS($FE$3:FE112,$DG$3:DG112,DG113)=0),1,0))</f>
        <v>0</v>
      </c>
    </row>
    <row r="114" spans="1:161" ht="84.95" customHeight="1">
      <c r="A114" s="1">
        <f>行动模拟!A120</f>
        <v>112</v>
      </c>
      <c r="B114" s="1">
        <f>IF(D114="",0,INDEX(回合状态!$B$7:$B$17,MATCH(DG114,回合状态!$A$7:$A$17,0)))</f>
        <v>7</v>
      </c>
      <c r="C114" s="1">
        <f>行动模拟!C120</f>
        <v>2</v>
      </c>
      <c r="D114" s="1" t="str">
        <f>IF(行动模拟!D120="","",行动模拟!D120)</f>
        <v>红弩箭｜洞知咒语</v>
      </c>
      <c r="E114" s="1" t="str">
        <f>IF($D114="","",IFERROR(INDEX(技能数据库!$B$4:$B$38,MATCH($D114,技能数据库!$A$4:$A$38,0)),""))</f>
        <v>红弩箭</v>
      </c>
      <c r="F114" s="1" t="str">
        <f>IF($D114="","",IFERROR(INDEX(技能数据库!$C$4:$C$38,MATCH($D114,技能数据库!$A$4:$A$38,0)),""))</f>
        <v>洞知咒语</v>
      </c>
      <c r="G114" s="1">
        <f>IF($D114="","",IFERROR(INDEX(技能数据库!$D$4:$D$38,MATCH($D114,技能数据库!$A$4:$A$38,0)),""))</f>
        <v>0</v>
      </c>
      <c r="H114" s="1" t="str">
        <f>IF($D114="","",IFERROR(INDEX(技能数据库!$E$4:$E$38,MATCH($D114,技能数据库!$A$4:$A$38,0)),""))</f>
        <v>洞知</v>
      </c>
      <c r="I114" s="1" t="str">
        <f>IF($D114="","",IFERROR(INDEX(技能数据库!$F$4:$F$38,MATCH($D114,技能数据库!$A$4:$A$38,0)),""))</f>
        <v>现实</v>
      </c>
      <c r="J114" s="1">
        <f>IF($D114="","",IFERROR(INDEX(技能数据库!$G$4:$G$38,MATCH($D114,技能数据库!$A$4:$A$38,0)),""))</f>
        <v>15</v>
      </c>
      <c r="K114" s="1">
        <f>IF($D114="","",IFERROR(INDEX(技能数据库!$H$4:$H$38,MATCH($D114,技能数据库!$A$4:$A$38,0)),""))</f>
        <v>0</v>
      </c>
      <c r="L114" s="1" t="str">
        <f>IF($D114="","",IFERROR(INDEX(技能数据库!$I$4:$I$38,MATCH($D114,技能数据库!$A$4:$A$38,0)),""))</f>
        <v>LILYA_INSIGHT</v>
      </c>
      <c r="M114" s="1">
        <v>1</v>
      </c>
      <c r="N114" s="1"/>
      <c r="O114" s="1"/>
      <c r="P114" s="1"/>
      <c r="Q114" s="1">
        <f t="shared" si="70"/>
        <v>0</v>
      </c>
      <c r="R114" s="1">
        <v>0</v>
      </c>
      <c r="S114" s="1">
        <v>0</v>
      </c>
      <c r="T114" s="1">
        <f>行动模拟!I120</f>
        <v>0</v>
      </c>
      <c r="U114" s="1">
        <f>IF(FD114&lt;&gt;FD113,IF(BY113=1,IF(MIN(10,CA113+IF(AND(DG114&lt;&gt;DG113,DH113&lt;&gt;"洞穿",SUMIFS($FE$3:FE113,$DG$3:DG113,DG113)=0,BY113=1),3,0))&gt;=10,2,1),IF(BY113=2,IF(BZ113&lt;=1,0,2),0)),BY113)</f>
        <v>2</v>
      </c>
      <c r="V114" s="1">
        <f>IF(FD114&lt;&gt;FD113,IF(BY113=1,IF(MIN(10,CA113+IF(AND(DG114&lt;&gt;DG113,DH113&lt;&gt;"洞穿",SUMIFS($FE$3:FE113,$DG$3:DG113,DG113)=0,BY113=1),3,0))&gt;=10,2,0),IF(BY113=2,MAX(0,BZ113-1),0)),BZ113)</f>
        <v>1</v>
      </c>
      <c r="W114" s="1">
        <f>IF(AND(FD114&lt;&gt;FD113,BY113=2,BZ113&lt;=1),0,MIN(10,CA113+IF(AND(DG114&lt;&gt;DG113,DH113&lt;&gt;"洞穿",SUMIFS($FE$3:FE113,$DG$3:DG113,DG113)=0,BY113=1),3,0)))</f>
        <v>10</v>
      </c>
      <c r="X114" s="1">
        <f t="shared" si="112"/>
        <v>3</v>
      </c>
      <c r="Y114" s="1">
        <f t="shared" si="113"/>
        <v>1</v>
      </c>
      <c r="Z114" s="1">
        <f t="shared" si="114"/>
        <v>1</v>
      </c>
      <c r="AA114" s="1">
        <f t="shared" si="115"/>
        <v>1</v>
      </c>
      <c r="AB114" s="1">
        <f t="shared" si="116"/>
        <v>1</v>
      </c>
      <c r="AC114" s="1">
        <f t="shared" si="117"/>
        <v>1</v>
      </c>
      <c r="AD114" s="1">
        <f t="shared" si="118"/>
        <v>35</v>
      </c>
      <c r="AE114" s="1">
        <f>IF(D114="",0,IF(DG114&lt;&gt;DG113,IFERROR(INDEX(回合状态!$F$7:$F$17,MATCH(DG114,回合状态!$A$7:$A$17,0)),0),CI113))</f>
        <v>15</v>
      </c>
      <c r="AF114" s="1">
        <f t="shared" si="119"/>
        <v>0.875</v>
      </c>
      <c r="AG114" s="1">
        <f t="shared" si="120"/>
        <v>9</v>
      </c>
      <c r="AH114" s="1">
        <f t="shared" si="121"/>
        <v>9</v>
      </c>
      <c r="AI114" s="1">
        <f t="shared" si="122"/>
        <v>8</v>
      </c>
      <c r="AJ114" s="1">
        <f t="shared" si="123"/>
        <v>9</v>
      </c>
      <c r="AK114" s="1">
        <f t="shared" si="124"/>
        <v>8</v>
      </c>
      <c r="AL114" s="1">
        <f t="shared" si="125"/>
        <v>3</v>
      </c>
      <c r="AM114" s="1">
        <f t="shared" si="126"/>
        <v>30</v>
      </c>
      <c r="AN114" s="1">
        <f t="shared" si="127"/>
        <v>9</v>
      </c>
      <c r="AO114" s="1">
        <f t="shared" si="128"/>
        <v>1</v>
      </c>
      <c r="AP114" s="1">
        <f t="shared" si="129"/>
        <v>0.12</v>
      </c>
      <c r="AQ114" s="1">
        <f t="shared" si="130"/>
        <v>9</v>
      </c>
      <c r="AR114" s="1">
        <f t="shared" si="131"/>
        <v>0.3</v>
      </c>
      <c r="AS114" s="1">
        <f t="shared" si="132"/>
        <v>9</v>
      </c>
      <c r="AT114" s="1">
        <f t="shared" si="133"/>
        <v>0.3</v>
      </c>
      <c r="AU114" s="1">
        <f t="shared" si="134"/>
        <v>9</v>
      </c>
      <c r="AV114" s="1">
        <f>MIN(5,SUMIFS($EL$3:EL114,$B$3:B114,"&gt;="&amp;MAX(1,B114-2),$B$3:B114,"&lt;="&amp;B114)+EC114)</f>
        <v>5</v>
      </c>
      <c r="AW114" s="1">
        <f>MIN(6,SUMIFS($EY$3:EY113,$EX$3:EX113,"&gt;="&amp;MAX(1,EX114-Boss参数!$B$87+1),$EX$3:EX113,"&lt;="&amp;EX114))</f>
        <v>4</v>
      </c>
      <c r="AX114" s="1">
        <f>MIN(4,COUNTIFS($B$3:$B$113,"&gt;="&amp;MAX(1,$B114-2),$B$3:$B$113,"&lt;="&amp;$B114,$L$3:$L$113,"37_FOLLOW"))</f>
        <v>4</v>
      </c>
      <c r="AY114" s="1">
        <f>IF($E114="","",IF($E114="系统",0,ROUNDDOWN(INDEX(角色面板!$C$4:$C$7,MATCH($E114,角色面板!$A$4:$A$7,0))*(1+INDEX(角色面板!$C$11:$C$14,MATCH($E114,角色面板!$A$11:$A$14,0))+IF($E114="小瑞安侬",MAX(IF($B114&lt;=$AQ114,$AP114,0),IF(AND($L114="RHI_ATTACK",$EE114&gt;0),0.11+0.01*$G114,0)),0)+IF($E114="J",$AD114*Boss参数!$B$18,0))+IF(FD114&lt;=$AN114,MIN(Boss参数!$B$21,ROUNDDOWN(角色面板!$C$19*Boss参数!$B$20,0)),0)+IF(AND($B114&lt;=$AK114,$E114&lt;&gt;"小瑞安侬"),$DY114,0),0)))</f>
        <v>3505</v>
      </c>
      <c r="AZ114" s="1">
        <f>IF($E114="","",MAX(0,MIN(1,IFERROR(INDEX(角色面板!$G$18:$G$21,MATCH($E114,角色面板!$A$18:$A$21,0)),0)-FC114*Boss参数!$B$89-Boss参数!$E$4)))</f>
        <v>1</v>
      </c>
      <c r="BA114" s="1">
        <f>IF(E114="","",(IF($E114="","",IF($E114="红弩箭",Boss参数!$B$80,IF($E114="J",Boss参数!$B$81,IFERROR(INDEX(角色面板!$H$18:$H$21,MATCH($E114,角色面板!$A$18:$A$21,0)),0)))+IF($B114&lt;=$AI114,Boss参数!$B$13,0)+MIN(30,$AM114)*Boss参数!$B$17+IF(AND($L114="LILYA_ULT",$X114&gt;=6),1,0)+IF(AND($Y114=1,$L114="LILYA_INSIGHT"),IF(MOD($AA114+1,3)=0,Boss参数!$B$83,Boss参数!$B$82),IF(AND($Y114=1,$L114="LILYA_FINISH"),Boss参数!$B$84,0))))-FC114*Boss参数!$B$90)</f>
        <v>2.9050000000000002</v>
      </c>
      <c r="BB114" s="1">
        <f>IF($E114="","",IFERROR(INDEX(角色面板!$M$18:$M$21,MATCH($E114,角色面板!$A$18:$A$21,0)),0)+$AW114*Boss参数!$B$12+IF($B114&lt;=$AG114,$AF114,0)+$EI114+IF($L114="LILYA_DIVE",IF($U114=1,IF($G114=1,0.3,IF($G114=2,0.4,0.5)),IF($U114=2,IF($G114=1,0.6,IF($G114=2,0.8,1)),0)),0)+$R114+IF(AND($E114="J",OR($L114="J_COUNTER",$L114="J_HARD")),Boss参数!$B$79,0)+IF(AND(OR(L114="J_COUNTER",L114="J_HARD"),FA114&gt;=Boss参数!$B$59),FA114*Boss参数!$B$40,0))</f>
        <v>1.4950000000000001</v>
      </c>
      <c r="BC114" s="1">
        <f>IF($E114="","",IFERROR(INDEX(角色面板!$K$18:$K$21,MATCH($E114,角色面板!$A$18:$A$21,0)),0)+IF($B114&lt;=$AH114,Boss参数!$B$46,0)+IF($E114="红弩箭",IF($U114=1,0.6,IF($U114=2,1.2,0))+$W114*0.06,0))-DI114*Boss参数!$B$23</f>
        <v>1.3999999999999997</v>
      </c>
      <c r="BD114" s="1">
        <f>IF($E114="","",IFERROR(INDEX(角色面板!$L$18:$L$21,MATCH($E114,角色面板!$A$18:$A$21,0)),0)+IF($B114&lt;=$AH114,Boss参数!$B$46,0)+IF($E114="J",$AL114*Boss参数!$B$16,0)+IF($E114="红弩箭",$X114*0.025,0)+IF(AND($L114="LILYA_ULT",$X114&gt;=6),1,0))-DI114*Boss参数!$B$23</f>
        <v>7.5000000000000011E-2</v>
      </c>
      <c r="BE114" s="1">
        <f>IF($E114="","",IF($H114="洞知",IF($E114="红弩箭",$AO114*Boss参数!$B$15,0)+$AX114*Boss参数!$B$14,0))</f>
        <v>0.22</v>
      </c>
      <c r="BF114" s="1">
        <f t="shared" si="71"/>
        <v>0</v>
      </c>
      <c r="BG114" s="1">
        <f>IF($D114="",0,IF(AND($L114&lt;&gt;"LILYA_DIVE",$L114&lt;&gt;"LILYA_ULT",$L114&lt;&gt;"LILYA_INSIGHT",$L114&lt;&gt;"LILYA_FINISH",$L114&lt;&gt;"37_FOLLOW",$L114&lt;&gt;"RHI_ATTACK",$L114&lt;&gt;"RHI_BERRY",$L114&lt;&gt;"J_COUNTER",$L114&lt;&gt;"J_ULT"),$J114,0)+IF($L114="LILYA_DIVE",$J114+IF($U114=1,IF($G114=1,6,IF($G114=2,12,18)),IF($U114=2,IF($G114=1,12,IF($G114=2,24,36)),0)),0)+IF($L114="LILYA_ULT",$J114+IF($X114&gt;=6,18,0),0)+IF($L114="LILYA_INSIGHT",IF($Y114=1,IF(MOD($AA114+1,3)=0,32,15),0),0)+IF($L114="LILYA_FINISH",IF($Y114=1,50+2.5*$Z114,0),0)+IF($L114="37_FOLLOW",$J114,0)+IF($L114="RHI_ATTACK",$J114*IF($B114&lt;=$AJ114,2,1),0)+IF($L114="RHI_BERRY",15+1.5*$AV114,0)+IF($L114="J_COUNTER",$J114+$AD114*Boss参数!$B$39,0)+IF($L114="J_ULT",$J114+Boss参数!$B$45*MAX(0,$AE114+$AD114-Boss参数!$I$4),0)+$S114)</f>
        <v>15</v>
      </c>
      <c r="BH114" s="1">
        <f t="shared" si="72"/>
        <v>0</v>
      </c>
      <c r="BI114" s="1">
        <f>IF(E114="","",IF(DT114=1,1+Boss参数!$B$8+AV114*Boss参数!$B$19,1))</f>
        <v>1.5</v>
      </c>
      <c r="BJ114" s="1">
        <f>IF($I114="现实",Boss参数!$C$4,IF($I114="精神",Boss参数!$D$4,0))</f>
        <v>1200</v>
      </c>
      <c r="BK114" s="1">
        <f>IF($E114="","",MAX($AY114*Boss参数!$B$9,$AY114-$BJ114*(1-$BF114)))</f>
        <v>2305</v>
      </c>
      <c r="BL114" s="1">
        <f>MAX(0,Boss参数!$F$4+IF(DT114=0,Boss参数!$B$27,0)-EJ114)</f>
        <v>0.10000000000000003</v>
      </c>
      <c r="BM114" s="1">
        <f>Boss参数!$G$4+DU114-IF(Y114=1,Boss参数!$B$11,0)</f>
        <v>0.35</v>
      </c>
      <c r="BN114" s="1">
        <f>IF($E114="","",MAX(Boss参数!$B$10,1+IFERROR(INDEX(角色面板!$I$18:$I$21,MATCH($E114,角色面板!$A$18:$A$21,0)),0)+$BB114+Boss参数!$H$4-$BM114))</f>
        <v>2.2450000000000001</v>
      </c>
      <c r="BO114" s="1">
        <f>IF(E114="","",IF(OR(L114="J_COUNTER",L114="J_HARD"),MAX(0,1+INDEX(角色面板!$K$18:$K$21,MATCH(E114,角色面板!$A$18:$A$21,0))-DI114*Boss参数!$B$23+IF(OR(Boss参数!$B$43=1,L114="J_HARD"),IF(B114&lt;=AH114,Boss参数!$B$46,0),0)),MAX(0,IF(OR(H114="术法",L114="RHI_BERRY",AND(L114="37_FOLLOW",Boss参数!$B$31=1)),1+BC114,IF(H114="仪式",1+BD114,IF(H114="洞知",EK114,1))))))</f>
        <v>1.62</v>
      </c>
      <c r="BP114" s="1">
        <f t="shared" si="73"/>
        <v>2.8050000000000002</v>
      </c>
      <c r="BQ114" s="1">
        <f t="shared" si="74"/>
        <v>188618.72625000001</v>
      </c>
      <c r="BR114" s="1">
        <f t="shared" si="75"/>
        <v>529075.52713125001</v>
      </c>
      <c r="BS114" s="1">
        <f>IF(BH114=0,0,ROUNDDOWN(AY114*BH114,0)*DV114*IF(Boss参数!$B$29=1,BN114,1)*IF(Boss参数!$B$33=1,BO114,1)*IF(Boss参数!$B$76=1,1-ES114,1))</f>
        <v>0</v>
      </c>
      <c r="BT114" s="1">
        <f t="shared" si="76"/>
        <v>0</v>
      </c>
      <c r="BU114" s="1">
        <f>IF(D114="",0,MIN(IF(Boss参数!$B$77=1,Boss参数!$B$63*Boss参数!$B$62,Boss参数!$B$61*Boss参数!$B$62),DW114+ROUNDDOWN(BS114,0)+ROUNDDOWN(DW114*Q114,0)))</f>
        <v>75447</v>
      </c>
      <c r="BV114" s="1">
        <f>IF(D114="",0,MIN(IF(Boss参数!$B$77=1,Boss参数!$B$63*Boss参数!$B$62,Boss参数!$B$61*Boss参数!$B$62),DX114+ROUNDDOWN(BT114,0)+ROUNDDOWN(DX114*Q114,0)))</f>
        <v>211630</v>
      </c>
      <c r="BW114" s="1">
        <f t="shared" si="77"/>
        <v>211630</v>
      </c>
      <c r="BX114" s="1" t="str">
        <f t="shared" si="78"/>
        <v/>
      </c>
      <c r="BY114" s="1">
        <f t="shared" si="79"/>
        <v>2</v>
      </c>
      <c r="BZ114" s="1">
        <f t="shared" si="80"/>
        <v>1</v>
      </c>
      <c r="CA114" s="1">
        <f>MIN(10,W114+IF(AND(L114="LILYA_COBRA",COUNTIF($L$3:L114,"LILYA_COBRA")=1),5,0)+IF(AND(L114="LILYA_DIVE",U114=1,COUNTIFS($DG$3:DG114,DG114,$L$3:L114,"LILYA_DIVE")=1),2,0)+IF(AND(FE114=1,U114=1),3,0))</f>
        <v>10</v>
      </c>
      <c r="CB114" s="1">
        <f>MIN(20,MAX(0,X114+IF(L114="LILYA_COBRA",IF(COUNTIF($L$3:L114,"LILYA_COBRA")=1,6,IF(U114=1,MAX(1,G114),IF(U114=2,2*MAX(1,G114),0))),0)+IF(AND(Y114=1,E114="红弩箭",L114&lt;&gt;"ENTER_INSIGHT"),1,0)-IF(AND(L114="LILYA_ULT",X114&gt;=6),6,0)))</f>
        <v>4</v>
      </c>
      <c r="CC114" s="1">
        <f t="shared" si="81"/>
        <v>1</v>
      </c>
      <c r="CD114" s="1">
        <f t="shared" si="82"/>
        <v>2</v>
      </c>
      <c r="CE114" s="1">
        <f t="shared" si="83"/>
        <v>2</v>
      </c>
      <c r="CF114" s="1">
        <f t="shared" si="84"/>
        <v>2</v>
      </c>
      <c r="CG114" s="1">
        <f t="shared" si="85"/>
        <v>1</v>
      </c>
      <c r="CH114" s="1">
        <f>MIN(35,AD114+IF(L114="J_HARD",6,0)+IF(L114="J_COUNTER",Boss参数!$B$30,0))</f>
        <v>35</v>
      </c>
      <c r="CI114" s="1">
        <f>MIN(Boss参数!$I$4,AE114+IF(L114="J_HARD",6,0)+IF(L114="J_ULT",AD114,0)+IF(L114="J_COUNTER",Boss参数!$B$30,0))</f>
        <v>15</v>
      </c>
      <c r="CJ114" s="1">
        <f>IF(L114="J_ULT",AD114*Boss参数!$B$41,IF(B114&lt;=AG114,AF114,0))</f>
        <v>0.875</v>
      </c>
      <c r="CK114" s="1">
        <f t="shared" si="86"/>
        <v>9</v>
      </c>
      <c r="CL114" s="1">
        <f t="shared" si="87"/>
        <v>9</v>
      </c>
      <c r="CM114" s="1">
        <f t="shared" si="88"/>
        <v>8</v>
      </c>
      <c r="CN114" s="1">
        <f t="shared" si="89"/>
        <v>9</v>
      </c>
      <c r="CO114" s="1">
        <f t="shared" si="90"/>
        <v>8</v>
      </c>
      <c r="CP114" s="1">
        <f t="shared" si="91"/>
        <v>3</v>
      </c>
      <c r="CQ114" s="1">
        <f t="shared" si="92"/>
        <v>30</v>
      </c>
      <c r="CR114" s="1">
        <f t="shared" si="93"/>
        <v>9</v>
      </c>
      <c r="CS114" s="1">
        <f t="shared" si="94"/>
        <v>2</v>
      </c>
      <c r="CT114" s="1">
        <f t="shared" si="95"/>
        <v>0.12</v>
      </c>
      <c r="CU114" s="1">
        <f t="shared" si="96"/>
        <v>9</v>
      </c>
      <c r="CV114" s="1">
        <f t="shared" si="97"/>
        <v>0.3</v>
      </c>
      <c r="CW114" s="1">
        <f t="shared" si="98"/>
        <v>9</v>
      </c>
      <c r="CX114" s="1">
        <f t="shared" si="99"/>
        <v>0.3</v>
      </c>
      <c r="CY114" s="1">
        <f t="shared" si="100"/>
        <v>9</v>
      </c>
      <c r="CZ114" s="1"/>
      <c r="DA114" s="1"/>
      <c r="DB114" s="1"/>
      <c r="DC114" s="1"/>
      <c r="DD114" s="1"/>
      <c r="DE114" s="1"/>
      <c r="DF114" s="1"/>
      <c r="DG114" s="1" t="str">
        <f>IF(D114="","",行动模拟!B120)</f>
        <v>洞知2</v>
      </c>
      <c r="DH114" s="1" t="str">
        <f>IF(L114="END_TURN","回合结束",IF(D114="","",IF(INDEX(回合状态!$C$7:$C$17,MATCH(DG114,回合状态!$A$7:$A$17,0))="洞穿","洞穿",IF(OR(L114="J_COUNTER",L114="BOSS_ACTION",L114="BOSS_CONSERVATIVE"),"敌方",IF(AND(L114="37_FOLLOW",DG114=DG113,DH113="敌方"),"敌方",IF(INDEX(回合状态!$C$7:$C$17,MATCH(DG114,回合状态!$A$7:$A$17,0))="普通","出牌",INDEX(回合状态!$C$7:$C$17,MATCH(DG114,回合状态!$A$7:$A$17,0))))))))</f>
        <v>洞穿</v>
      </c>
      <c r="DI114" s="1">
        <f t="shared" si="101"/>
        <v>2</v>
      </c>
      <c r="DJ114" s="1">
        <f>IF(D114="",0,MIN(Boss参数!$B$25,IF(OR(AND(DH114="敌方",OR(DH113&lt;&gt;"敌方",DG114&lt;&gt;DG113)),AND(L114="END_TURN",DH114&lt;&gt;"洞穿"),AND(DG114&lt;&gt;DG113,DH113&lt;&gt;"洞穿",L113&lt;&gt;"END_TURN",COUNTIFS($DG$3:DG113,DG113,$DH$3:DH113,"敌方")=0)),EW114,DN113)))</f>
        <v>2</v>
      </c>
      <c r="DK114" s="1">
        <f>IF(D114="",0,MIN(Boss参数!$B$25,IF(OR(AND(DH114="敌方",OR(DH113&lt;&gt;"敌方",DG114&lt;&gt;DG113)),AND(L114="END_TURN",DH114&lt;&gt;"洞穿"),AND(DG114&lt;&gt;DG113,DH113&lt;&gt;"洞穿",L113&lt;&gt;"END_TURN",COUNTIFS($DG$3:DG113,DG113,$DH$3:DH113,"敌方")=0)),EW114,DO113)))</f>
        <v>4</v>
      </c>
      <c r="DL114" s="1">
        <f>IF(D114="",0,MIN(Boss参数!$B$25,IF(OR(AND(DH114="敌方",OR(DH113&lt;&gt;"敌方",DG114&lt;&gt;DG113)),AND(L114="END_TURN",DH114&lt;&gt;"洞穿"),AND(DG114&lt;&gt;DG113,DH113&lt;&gt;"洞穿",L113&lt;&gt;"END_TURN",COUNTIFS($DG$3:DG113,DG113,$DH$3:DH113,"敌方")=0)),EW114,DP113)))</f>
        <v>4</v>
      </c>
      <c r="DM114" s="1">
        <f>IF(D114="",0,MIN(Boss参数!$B$25,IF(OR(AND(DH114="敌方",OR(DH113&lt;&gt;"敌方",DG114&lt;&gt;DG113)),AND(L114="END_TURN",DH114&lt;&gt;"洞穿"),AND(DG114&lt;&gt;DG113,DH113&lt;&gt;"洞穿",L113&lt;&gt;"END_TURN",COUNTIFS($DG$3:DG113,DG113,$DH$3:DH113,"敌方")=0)),EW114,DQ113)))</f>
        <v>4</v>
      </c>
      <c r="DN114" s="1">
        <f>MAX(0,MIN(Boss参数!$B$25,DJ114+DR114)-IF(E114="红弩箭",2*DR114,0))</f>
        <v>1</v>
      </c>
      <c r="DO114" s="1">
        <f>MAX(0,MIN(Boss参数!$B$25,DK114+DR114)-IF(E114="37",2*DR114,0))</f>
        <v>5</v>
      </c>
      <c r="DP114" s="1">
        <f>MAX(0,MIN(Boss参数!$B$25,DL114+DR114)-IF(E114="小瑞安侬",2*DR114,0))</f>
        <v>5</v>
      </c>
      <c r="DQ114" s="1">
        <f>MAX(0,MIN(Boss参数!$B$25,DM114+DR114)-IF(E114="J",2*DR114,0))</f>
        <v>5</v>
      </c>
      <c r="DR114" s="1">
        <f t="shared" si="102"/>
        <v>1</v>
      </c>
      <c r="DS114" s="1">
        <f t="shared" si="103"/>
        <v>1</v>
      </c>
      <c r="DT114" s="1">
        <f>IF(OR(E114="",E114="系统"),0,IF(OR(AND(DS114=1,Boss参数!$B$32=1),L114="RHI_BERRY",OR(AND(INDEX(角色面板!$B$18:$B$21,MATCH(E114,角色面板!$A$18:$A$21,0))="星",Boss参数!$B$4="岩"),AND(INDEX(角色面板!$B$18:$B$21,MATCH(E114,角色面板!$A$18:$A$21,0))="岩",Boss参数!$B$4="兽"),AND(INDEX(角色面板!$B$18:$B$21,MATCH(E114,角色面板!$A$18:$A$21,0))="兽",Boss参数!$B$4="木"),AND(INDEX(角色面板!$B$18:$B$21,MATCH(E114,角色面板!$A$18:$A$21,0))="木",Boss参数!$B$4="星"),AND(INDEX(角色面板!$B$18:$B$21,MATCH(E114,角色面板!$A$18:$A$21,0))="智",Boss参数!$B$4="灵"),AND(INDEX(角色面板!$B$18:$B$21,MATCH(E114,角色面板!$A$18:$A$21,0))="灵",Boss参数!$B$4="智"))),1,0))</f>
        <v>1</v>
      </c>
      <c r="DU114" s="1">
        <f>IF(D114="",0,INDEX(回合状态!$E$7:$E$17,MATCH(DG114,回合状态!$A$7:$A$17,0))+IF(AND(DH114="敌方",OR(INDEX(回合状态!$C$7:$C$17,MATCH(DG114,回合状态!$A$7:$A$17,0))="普通",INDEX(回合状态!$C$7:$C$17,MATCH(DG114,回合状态!$A$7:$A$17,0))="额外")),0.05,0))</f>
        <v>0.35</v>
      </c>
      <c r="DV114" s="1">
        <f>MAX(Boss参数!$B$28,1+IF(AND(E114="37",AC114&gt;0,BH114&gt;0),Boss参数!$B$42,0)-DI114*Boss参数!$B$24+EA114-ER114)</f>
        <v>0</v>
      </c>
      <c r="DW114" s="1">
        <f>MIN(IF(Boss参数!$B$77=1,Boss参数!$B$63*Boss参数!$B$62,Boss参数!$B$61*Boss参数!$B$62),ROUNDDOWN(BQ114*(1-ES114),0))</f>
        <v>75447</v>
      </c>
      <c r="DX114" s="1">
        <f>MIN(IF(Boss参数!$B$77=1,Boss参数!$B$63*Boss参数!$B$62,Boss参数!$B$61*Boss参数!$B$62),ROUNDDOWN(BR114*(1-ES114),0))</f>
        <v>211630</v>
      </c>
      <c r="DY114" s="1">
        <f t="shared" si="135"/>
        <v>250</v>
      </c>
      <c r="DZ114" s="1">
        <f>IF(L114="RHI_ULT",MIN(Boss参数!$B$48,ROUNDDOWN(AY114*Boss参数!$B$47,0)),DY114)</f>
        <v>250</v>
      </c>
      <c r="EA114" s="1">
        <v>0</v>
      </c>
      <c r="EB114" s="1">
        <f t="shared" si="104"/>
        <v>0</v>
      </c>
      <c r="EC114" s="1">
        <f>SUMIFS($EB$3:EB114,$B$3:B114,"&gt;="&amp;MAX(1,B114-2),$B$3:B114,"&lt;="&amp;B114)*Boss参数!$B$51</f>
        <v>12</v>
      </c>
      <c r="ED114" s="1">
        <f>IF(D114="",EG113,IF(AND(DG114&lt;&gt;DG113,DH114&lt;&gt;"洞穿"),MIN(Boss参数!$B$55,EG113+2),EG113))</f>
        <v>0</v>
      </c>
      <c r="EE114" s="1">
        <f t="shared" si="105"/>
        <v>0</v>
      </c>
      <c r="EF114" s="1">
        <f>IF(AND(OR(L114="END_TURN",AND(DH114="敌方",OR(DH113&lt;&gt;"敌方",DG114&lt;&gt;DG113))),SUMIFS($EF$3:EF113,$DG$3:DG113,DG114)=0),MIN(1,MAX(0,ED114-EE114)),0)</f>
        <v>0</v>
      </c>
      <c r="EG114" s="1">
        <f t="shared" si="106"/>
        <v>0</v>
      </c>
      <c r="EH114" s="1">
        <f>Boss参数!$B$53-IF(Y114=1,Boss参数!$B$54,0)</f>
        <v>-0.4</v>
      </c>
      <c r="EI114" s="1">
        <f t="shared" si="107"/>
        <v>0.3</v>
      </c>
      <c r="EJ114" s="1">
        <f t="shared" si="108"/>
        <v>0.3</v>
      </c>
      <c r="EK114" s="1">
        <f t="shared" si="109"/>
        <v>1.62</v>
      </c>
      <c r="EL114" s="1">
        <f t="shared" si="136"/>
        <v>0</v>
      </c>
      <c r="EM114" s="1">
        <f>IF(AND(DG114&lt;&gt;DG113,DH114="洞穿"),0,IF(L114="ENTER_INSIGHT",Boss参数!$B$57,EO113))</f>
        <v>0</v>
      </c>
      <c r="EN114" s="1">
        <f>IF(AND(Y114=1,H114="洞知",EM114&gt;0),Boss参数!$B$56,0)</f>
        <v>0</v>
      </c>
      <c r="EO114" s="1">
        <f t="shared" si="110"/>
        <v>0</v>
      </c>
      <c r="EP114" s="1">
        <f t="shared" si="137"/>
        <v>15924846</v>
      </c>
      <c r="EQ114" s="1">
        <f>ROUNDDOWN(EP114/Boss参数!$B$62,0)</f>
        <v>159</v>
      </c>
      <c r="ER114" s="1">
        <f>IF(EQ114&gt;=Boss参数!$B$66,Boss参数!$B$69,IF(EQ114&gt;=Boss参数!$B$65,Boss参数!$B$68,IF(EQ114&gt;=Boss参数!$B$64,Boss参数!$B$67,0)))</f>
        <v>0.9</v>
      </c>
      <c r="ES114" s="1">
        <f>MIN(1,IF(EQ114&gt;=Boss参数!$B$66,Boss参数!$B$72+ROUNDDOWN((EQ114-Boss参数!$B$66)/Boss参数!$B$73,0)*Boss参数!$B$74,IF(EQ114&gt;=Boss参数!$B$65,Boss参数!$B$71,IF(EQ114&gt;=Boss参数!$B$64,Boss参数!$B$70,0))))</f>
        <v>0.6</v>
      </c>
      <c r="ET114" s="1">
        <f>MIN(Boss参数!$B$61*Boss参数!$B$62,EP114+IF(AND(Boss参数!$B$60=1,ISNUMBER(验证表!H120)),验证表!H120,EU114))</f>
        <v>16136476</v>
      </c>
      <c r="EU114" s="1">
        <f>IF(D114="",0,IF(验证表!G120="是",BV114,IF(验证表!G120="否",BU114,BW114)))</f>
        <v>211630</v>
      </c>
      <c r="EV114" s="1">
        <f>IF(EQ114&gt;=Boss参数!$B$66,2,IF(EQ114&gt;=Boss参数!$B$65,1,0))</f>
        <v>2</v>
      </c>
      <c r="EW114" s="1">
        <f t="shared" si="111"/>
        <v>3</v>
      </c>
      <c r="EX114" s="1">
        <f>IF(D114="",0,INDEX(回合状态!$D$7:$D$17,MATCH(DG114,回合状态!$A$7:$A$17,0)))</f>
        <v>8</v>
      </c>
      <c r="EY114" s="1">
        <f>IF(OR(L114="RHI_ATTACK",L114="RHI_BUFF"),1,IF(L114="RHI_ULT",Boss参数!$B$52,0))</f>
        <v>0</v>
      </c>
      <c r="EZ114" s="1">
        <f>MIN(6,SUMIFS($EY$3:EY114,$EX$3:EX114,"&gt;="&amp;MAX(1,EX114-Boss参数!$B$87+1),$EX$3:EX114,"&lt;="&amp;EX114))</f>
        <v>4</v>
      </c>
      <c r="FA114" s="1">
        <f t="shared" si="138"/>
        <v>35</v>
      </c>
      <c r="FB114" s="17">
        <f>IF(L114="BOSS_CONSERVATIVE",B114+Boss参数!$B$91,FB113)</f>
        <v>7</v>
      </c>
      <c r="FC114" s="17">
        <f t="shared" si="139"/>
        <v>0</v>
      </c>
      <c r="FD114" s="17">
        <f>IF(D114="",FD113,FD113+IF(AND(DG114&lt;&gt;DG113,INDEX(回合状态!$C$7:$C$17,MATCH(DG114,回合状态!$A$7:$A$17,0))&lt;&gt;"洞穿"),1,0))</f>
        <v>8</v>
      </c>
      <c r="FE114" s="17">
        <f>IF(D114="",0,IF(AND(OR(L114="END_TURN",DH114="敌方"),INDEX(回合状态!$C$7:$C$17,MATCH(DG114,回合状态!$A$7:$A$17,0))&lt;&gt;"洞穿",SUMIFS($FE$3:FE113,$DG$3:DG113,DG114)=0),1,0))</f>
        <v>0</v>
      </c>
    </row>
    <row r="115" spans="1:161" ht="84.95" customHeight="1">
      <c r="A115" s="1">
        <f>行动模拟!A121</f>
        <v>113</v>
      </c>
      <c r="B115" s="1">
        <f>IF(D115="",0,INDEX(回合状态!$B$7:$B$17,MATCH(DG115,回合状态!$A$7:$A$17,0)))</f>
        <v>7</v>
      </c>
      <c r="C115" s="1">
        <f>行动模拟!C121</f>
        <v>3</v>
      </c>
      <c r="D115" s="1" t="str">
        <f>IF(行动模拟!D121="","",行动模拟!D121)</f>
        <v>37｜洞知咒语</v>
      </c>
      <c r="E115" s="1" t="str">
        <f>IF($D115="","",IFERROR(INDEX(技能数据库!$B$4:$B$38,MATCH($D115,技能数据库!$A$4:$A$38,0)),""))</f>
        <v>37</v>
      </c>
      <c r="F115" s="1" t="str">
        <f>IF($D115="","",IFERROR(INDEX(技能数据库!$C$4:$C$38,MATCH($D115,技能数据库!$A$4:$A$38,0)),""))</f>
        <v>洞知咒语</v>
      </c>
      <c r="G115" s="1">
        <f>IF($D115="","",IFERROR(INDEX(技能数据库!$D$4:$D$38,MATCH($D115,技能数据库!$A$4:$A$38,0)),""))</f>
        <v>0</v>
      </c>
      <c r="H115" s="1" t="str">
        <f>IF($D115="","",IFERROR(INDEX(技能数据库!$E$4:$E$38,MATCH($D115,技能数据库!$A$4:$A$38,0)),""))</f>
        <v>洞知</v>
      </c>
      <c r="I115" s="1" t="str">
        <f>IF($D115="","",IFERROR(INDEX(技能数据库!$F$4:$F$38,MATCH($D115,技能数据库!$A$4:$A$38,0)),""))</f>
        <v>精神</v>
      </c>
      <c r="J115" s="1">
        <f>IF($D115="","",IFERROR(INDEX(技能数据库!$G$4:$G$38,MATCH($D115,技能数据库!$A$4:$A$38,0)),""))</f>
        <v>8</v>
      </c>
      <c r="K115" s="1">
        <f>IF($D115="","",IFERROR(INDEX(技能数据库!$H$4:$H$38,MATCH($D115,技能数据库!$A$4:$A$38,0)),""))</f>
        <v>0</v>
      </c>
      <c r="L115" s="1" t="str">
        <f>IF($D115="","",IFERROR(INDEX(技能数据库!$I$4:$I$38,MATCH($D115,技能数据库!$A$4:$A$38,0)),""))</f>
        <v>37_INSIGHT</v>
      </c>
      <c r="M115" s="1">
        <v>1</v>
      </c>
      <c r="N115" s="1"/>
      <c r="O115" s="1"/>
      <c r="P115" s="1"/>
      <c r="Q115" s="1">
        <f t="shared" si="70"/>
        <v>0</v>
      </c>
      <c r="R115" s="1">
        <v>0</v>
      </c>
      <c r="S115" s="1">
        <v>0</v>
      </c>
      <c r="T115" s="1">
        <f>行动模拟!I121</f>
        <v>0</v>
      </c>
      <c r="U115" s="1">
        <f>IF(FD115&lt;&gt;FD114,IF(BY114=1,IF(MIN(10,CA114+IF(AND(DG115&lt;&gt;DG114,DH114&lt;&gt;"洞穿",SUMIFS($FE$3:FE114,$DG$3:DG114,DG114)=0,BY114=1),3,0))&gt;=10,2,1),IF(BY114=2,IF(BZ114&lt;=1,0,2),0)),BY114)</f>
        <v>2</v>
      </c>
      <c r="V115" s="1">
        <f>IF(FD115&lt;&gt;FD114,IF(BY114=1,IF(MIN(10,CA114+IF(AND(DG115&lt;&gt;DG114,DH114&lt;&gt;"洞穿",SUMIFS($FE$3:FE114,$DG$3:DG114,DG114)=0,BY114=1),3,0))&gt;=10,2,0),IF(BY114=2,MAX(0,BZ114-1),0)),BZ114)</f>
        <v>1</v>
      </c>
      <c r="W115" s="1">
        <f>IF(AND(FD115&lt;&gt;FD114,BY114=2,BZ114&lt;=1),0,MIN(10,CA114+IF(AND(DG115&lt;&gt;DG114,DH114&lt;&gt;"洞穿",SUMIFS($FE$3:FE114,$DG$3:DG114,DG114)=0,BY114=1),3,0)))</f>
        <v>10</v>
      </c>
      <c r="X115" s="1">
        <f t="shared" si="112"/>
        <v>4</v>
      </c>
      <c r="Y115" s="1">
        <f t="shared" si="113"/>
        <v>1</v>
      </c>
      <c r="Z115" s="1">
        <f t="shared" si="114"/>
        <v>2</v>
      </c>
      <c r="AA115" s="1">
        <f t="shared" si="115"/>
        <v>2</v>
      </c>
      <c r="AB115" s="1">
        <f t="shared" si="116"/>
        <v>2</v>
      </c>
      <c r="AC115" s="1">
        <f t="shared" si="117"/>
        <v>1</v>
      </c>
      <c r="AD115" s="1">
        <f t="shared" si="118"/>
        <v>35</v>
      </c>
      <c r="AE115" s="1">
        <f>IF(D115="",0,IF(DG115&lt;&gt;DG114,IFERROR(INDEX(回合状态!$F$7:$F$17,MATCH(DG115,回合状态!$A$7:$A$17,0)),0),CI114))</f>
        <v>15</v>
      </c>
      <c r="AF115" s="1">
        <f t="shared" si="119"/>
        <v>0.875</v>
      </c>
      <c r="AG115" s="1">
        <f t="shared" si="120"/>
        <v>9</v>
      </c>
      <c r="AH115" s="1">
        <f t="shared" si="121"/>
        <v>9</v>
      </c>
      <c r="AI115" s="1">
        <f t="shared" si="122"/>
        <v>8</v>
      </c>
      <c r="AJ115" s="1">
        <f t="shared" si="123"/>
        <v>9</v>
      </c>
      <c r="AK115" s="1">
        <f t="shared" si="124"/>
        <v>8</v>
      </c>
      <c r="AL115" s="1">
        <f t="shared" si="125"/>
        <v>3</v>
      </c>
      <c r="AM115" s="1">
        <f t="shared" si="126"/>
        <v>30</v>
      </c>
      <c r="AN115" s="1">
        <f t="shared" si="127"/>
        <v>9</v>
      </c>
      <c r="AO115" s="1">
        <f t="shared" si="128"/>
        <v>2</v>
      </c>
      <c r="AP115" s="1">
        <f t="shared" si="129"/>
        <v>0.12</v>
      </c>
      <c r="AQ115" s="1">
        <f t="shared" si="130"/>
        <v>9</v>
      </c>
      <c r="AR115" s="1">
        <f t="shared" si="131"/>
        <v>0.3</v>
      </c>
      <c r="AS115" s="1">
        <f t="shared" si="132"/>
        <v>9</v>
      </c>
      <c r="AT115" s="1">
        <f t="shared" si="133"/>
        <v>0.3</v>
      </c>
      <c r="AU115" s="1">
        <f t="shared" si="134"/>
        <v>9</v>
      </c>
      <c r="AV115" s="1">
        <f>MIN(5,SUMIFS($EL$3:EL115,$B$3:B115,"&gt;="&amp;MAX(1,B115-2),$B$3:B115,"&lt;="&amp;B115)+EC115)</f>
        <v>5</v>
      </c>
      <c r="AW115" s="1">
        <f>MIN(6,SUMIFS($EY$3:EY114,$EX$3:EX114,"&gt;="&amp;MAX(1,EX115-Boss参数!$B$87+1),$EX$3:EX114,"&lt;="&amp;EX115))</f>
        <v>4</v>
      </c>
      <c r="AX115" s="1">
        <f>MIN(4,COUNTIFS($B$3:$B$114,"&gt;="&amp;MAX(1,$B115-2),$B$3:$B$114,"&lt;="&amp;$B115,$L$3:$L$114,"37_FOLLOW"))</f>
        <v>4</v>
      </c>
      <c r="AY115" s="1">
        <f>IF($E115="","",IF($E115="系统",0,ROUNDDOWN(INDEX(角色面板!$C$4:$C$7,MATCH($E115,角色面板!$A$4:$A$7,0))*(1+INDEX(角色面板!$C$11:$C$14,MATCH($E115,角色面板!$A$11:$A$14,0))+IF($E115="小瑞安侬",MAX(IF($B115&lt;=$AQ115,$AP115,0),IF(AND($L115="RHI_ATTACK",$EE115&gt;0),0.11+0.01*$G115,0)),0)+IF($E115="J",$AD115*Boss参数!$B$18,0))+IF(FD115&lt;=$AN115,MIN(Boss参数!$B$21,ROUNDDOWN(角色面板!$C$19*Boss参数!$B$20,0)),0)+IF(AND($B115&lt;=$AK115,$E115&lt;&gt;"小瑞安侬"),$DY115,0),0)))</f>
        <v>3517</v>
      </c>
      <c r="AZ115" s="1">
        <f>IF($E115="","",MAX(0,MIN(1,IFERROR(INDEX(角色面板!$G$18:$G$21,MATCH($E115,角色面板!$A$18:$A$21,0)),0)-FC115*Boss参数!$B$89-Boss参数!$E$4)))</f>
        <v>0.76</v>
      </c>
      <c r="BA115" s="1">
        <f>IF(E115="","",(IF($E115="","",IF($E115="红弩箭",Boss参数!$B$80,IF($E115="J",Boss参数!$B$81,IFERROR(INDEX(角色面板!$H$18:$H$21,MATCH($E115,角色面板!$A$18:$A$21,0)),0)))+IF($B115&lt;=$AI115,Boss参数!$B$13,0)+MIN(30,$AM115)*Boss参数!$B$17+IF(AND($L115="LILYA_ULT",$X115&gt;=6),1,0)+IF(AND($Y115=1,$L115="LILYA_INSIGHT"),IF(MOD($AA115+1,3)=0,Boss参数!$B$83,Boss参数!$B$82),IF(AND($Y115=1,$L115="LILYA_FINISH"),Boss参数!$B$84,0))))-FC115*Boss参数!$B$90)</f>
        <v>2.4780000000000002</v>
      </c>
      <c r="BB115" s="1">
        <f>IF($E115="","",IFERROR(INDEX(角色面板!$M$18:$M$21,MATCH($E115,角色面板!$A$18:$A$21,0)),0)+$AW115*Boss参数!$B$12+IF($B115&lt;=$AG115,$AF115,0)+$EI115+IF($L115="LILYA_DIVE",IF($U115=1,IF($G115=1,0.3,IF($G115=2,0.4,0.5)),IF($U115=2,IF($G115=1,0.6,IF($G115=2,0.8,1)),0)),0)+$R115+IF(AND($E115="J",OR($L115="J_COUNTER",$L115="J_HARD")),Boss参数!$B$79,0)+IF(AND(OR(L115="J_COUNTER",L115="J_HARD"),FA115&gt;=Boss参数!$B$59),FA115*Boss参数!$B$40,0))</f>
        <v>1.2549999999999999</v>
      </c>
      <c r="BC115" s="1">
        <f>IF($E115="","",IFERROR(INDEX(角色面板!$K$18:$K$21,MATCH($E115,角色面板!$A$18:$A$21,0)),0)+IF($B115&lt;=$AH115,Boss参数!$B$46,0)+IF($E115="红弩箭",IF($U115=1,0.6,IF($U115=2,1.2,0))+$W115*0.06,0))-DI115*Boss参数!$B$23</f>
        <v>-0.85000000000000009</v>
      </c>
      <c r="BD115" s="1">
        <f>IF($E115="","",IFERROR(INDEX(角色面板!$L$18:$L$21,MATCH($E115,角色面板!$A$18:$A$21,0)),0)+IF($B115&lt;=$AH115,Boss参数!$B$46,0)+IF($E115="J",$AL115*Boss参数!$B$16,0)+IF($E115="红弩箭",$X115*0.025,0)+IF(AND($L115="LILYA_ULT",$X115&gt;=6),1,0))-DI115*Boss参数!$B$23</f>
        <v>-0.45</v>
      </c>
      <c r="BE115" s="1">
        <f>IF($E115="","",IF($H115="洞知",IF($E115="红弩箭",$AO115*Boss参数!$B$15,0)+$AX115*Boss参数!$B$14,0))</f>
        <v>0.16</v>
      </c>
      <c r="BF115" s="1">
        <f t="shared" si="71"/>
        <v>0</v>
      </c>
      <c r="BG115" s="1">
        <f>IF($D115="",0,IF(AND($L115&lt;&gt;"LILYA_DIVE",$L115&lt;&gt;"LILYA_ULT",$L115&lt;&gt;"LILYA_INSIGHT",$L115&lt;&gt;"LILYA_FINISH",$L115&lt;&gt;"37_FOLLOW",$L115&lt;&gt;"RHI_ATTACK",$L115&lt;&gt;"RHI_BERRY",$L115&lt;&gt;"J_COUNTER",$L115&lt;&gt;"J_ULT"),$J115,0)+IF($L115="LILYA_DIVE",$J115+IF($U115=1,IF($G115=1,6,IF($G115=2,12,18)),IF($U115=2,IF($G115=1,12,IF($G115=2,24,36)),0)),0)+IF($L115="LILYA_ULT",$J115+IF($X115&gt;=6,18,0),0)+IF($L115="LILYA_INSIGHT",IF($Y115=1,IF(MOD($AA115+1,3)=0,32,15),0),0)+IF($L115="LILYA_FINISH",IF($Y115=1,50+2.5*$Z115,0),0)+IF($L115="37_FOLLOW",$J115,0)+IF($L115="RHI_ATTACK",$J115*IF($B115&lt;=$AJ115,2,1),0)+IF($L115="RHI_BERRY",15+1.5*$AV115,0)+IF($L115="J_COUNTER",$J115+$AD115*Boss参数!$B$39,0)+IF($L115="J_ULT",$J115+Boss参数!$B$45*MAX(0,$AE115+$AD115-Boss参数!$I$4),0)+$S115)</f>
        <v>8</v>
      </c>
      <c r="BH115" s="1">
        <f t="shared" si="72"/>
        <v>0</v>
      </c>
      <c r="BI115" s="1">
        <f>IF(E115="","",IF(DT115=1,1+Boss参数!$B$8+AV115*Boss参数!$B$19,1))</f>
        <v>1.5</v>
      </c>
      <c r="BJ115" s="1">
        <f>IF($I115="现实",Boss参数!$C$4,IF($I115="精神",Boss参数!$D$4,0))</f>
        <v>1000</v>
      </c>
      <c r="BK115" s="1">
        <f>IF($E115="","",MAX($AY115*Boss参数!$B$9,$AY115-$BJ115*(1-$BF115)))</f>
        <v>2517</v>
      </c>
      <c r="BL115" s="1">
        <f>MAX(0,Boss参数!$F$4+IF(DT115=0,Boss参数!$B$27,0)-EJ115)</f>
        <v>0.10000000000000003</v>
      </c>
      <c r="BM115" s="1">
        <f>Boss参数!$G$4+DU115-IF(Y115=1,Boss参数!$B$11,0)</f>
        <v>0.35</v>
      </c>
      <c r="BN115" s="1">
        <f>IF($E115="","",MAX(Boss参数!$B$10,1+IFERROR(INDEX(角色面板!$I$18:$I$21,MATCH($E115,角色面板!$A$18:$A$21,0)),0)+$BB115+Boss参数!$H$4-$BM115))</f>
        <v>1.9099999999999997</v>
      </c>
      <c r="BO115" s="1">
        <f>IF(E115="","",IF(OR(L115="J_COUNTER",L115="J_HARD"),MAX(0,1+INDEX(角色面板!$K$18:$K$21,MATCH(E115,角色面板!$A$18:$A$21,0))-DI115*Boss参数!$B$23+IF(OR(Boss参数!$B$43=1,L115="J_HARD"),IF(B115&lt;=AH115,Boss参数!$B$46,0),0)),MAX(0,IF(OR(H115="术法",L115="RHI_BERRY",AND(L115="37_FOLLOW",Boss参数!$B$31=1)),1+BC115,IF(H115="仪式",1+BD115,IF(H115="洞知",EK115,1))))))</f>
        <v>1.56</v>
      </c>
      <c r="BP115" s="1">
        <f t="shared" si="73"/>
        <v>2.3780000000000001</v>
      </c>
      <c r="BQ115" s="1">
        <f t="shared" si="74"/>
        <v>89995.838399999979</v>
      </c>
      <c r="BR115" s="1">
        <f t="shared" si="75"/>
        <v>214010.10371519995</v>
      </c>
      <c r="BS115" s="1">
        <f>IF(BH115=0,0,ROUNDDOWN(AY115*BH115,0)*DV115*IF(Boss参数!$B$29=1,BN115,1)*IF(Boss参数!$B$33=1,BO115,1)*IF(Boss参数!$B$76=1,1-ES115,1))</f>
        <v>0</v>
      </c>
      <c r="BT115" s="1">
        <f t="shared" si="76"/>
        <v>0</v>
      </c>
      <c r="BU115" s="1">
        <f>IF(D115="",0,MIN(IF(Boss参数!$B$77=1,Boss参数!$B$63*Boss参数!$B$62,Boss参数!$B$61*Boss参数!$B$62),DW115+ROUNDDOWN(BS115,0)+ROUNDDOWN(DW115*Q115,0)))</f>
        <v>35998</v>
      </c>
      <c r="BV115" s="1">
        <f>IF(D115="",0,MIN(IF(Boss参数!$B$77=1,Boss参数!$B$63*Boss参数!$B$62,Boss参数!$B$61*Boss参数!$B$62),DX115+ROUNDDOWN(BT115,0)+ROUNDDOWN(DX115*Q115,0)))</f>
        <v>85604</v>
      </c>
      <c r="BW115" s="1">
        <f t="shared" si="77"/>
        <v>73698</v>
      </c>
      <c r="BX115" s="1" t="str">
        <f t="shared" si="78"/>
        <v/>
      </c>
      <c r="BY115" s="1">
        <f t="shared" si="79"/>
        <v>2</v>
      </c>
      <c r="BZ115" s="1">
        <f t="shared" si="80"/>
        <v>1</v>
      </c>
      <c r="CA115" s="1">
        <f>MIN(10,W115+IF(AND(L115="LILYA_COBRA",COUNTIF($L$3:L115,"LILYA_COBRA")=1),5,0)+IF(AND(L115="LILYA_DIVE",U115=1,COUNTIFS($DG$3:DG115,DG115,$L$3:L115,"LILYA_DIVE")=1),2,0)+IF(AND(FE115=1,U115=1),3,0))</f>
        <v>10</v>
      </c>
      <c r="CB115" s="1">
        <f>MIN(20,MAX(0,X115+IF(L115="LILYA_COBRA",IF(COUNTIF($L$3:L115,"LILYA_COBRA")=1,6,IF(U115=1,MAX(1,G115),IF(U115=2,2*MAX(1,G115),0))),0)+IF(AND(Y115=1,E115="红弩箭",L115&lt;&gt;"ENTER_INSIGHT"),1,0)-IF(AND(L115="LILYA_ULT",X115&gt;=6),6,0)))</f>
        <v>4</v>
      </c>
      <c r="CC115" s="1">
        <f t="shared" si="81"/>
        <v>1</v>
      </c>
      <c r="CD115" s="1">
        <f t="shared" si="82"/>
        <v>3</v>
      </c>
      <c r="CE115" s="1">
        <f t="shared" si="83"/>
        <v>2</v>
      </c>
      <c r="CF115" s="1">
        <f t="shared" si="84"/>
        <v>3</v>
      </c>
      <c r="CG115" s="1">
        <f t="shared" si="85"/>
        <v>1</v>
      </c>
      <c r="CH115" s="1">
        <f>MIN(35,AD115+IF(L115="J_HARD",6,0)+IF(L115="J_COUNTER",Boss参数!$B$30,0))</f>
        <v>35</v>
      </c>
      <c r="CI115" s="1">
        <f>MIN(Boss参数!$I$4,AE115+IF(L115="J_HARD",6,0)+IF(L115="J_ULT",AD115,0)+IF(L115="J_COUNTER",Boss参数!$B$30,0))</f>
        <v>15</v>
      </c>
      <c r="CJ115" s="1">
        <f>IF(L115="J_ULT",AD115*Boss参数!$B$41,IF(B115&lt;=AG115,AF115,0))</f>
        <v>0.875</v>
      </c>
      <c r="CK115" s="1">
        <f t="shared" si="86"/>
        <v>9</v>
      </c>
      <c r="CL115" s="1">
        <f t="shared" si="87"/>
        <v>9</v>
      </c>
      <c r="CM115" s="1">
        <f t="shared" si="88"/>
        <v>8</v>
      </c>
      <c r="CN115" s="1">
        <f t="shared" si="89"/>
        <v>9</v>
      </c>
      <c r="CO115" s="1">
        <f t="shared" si="90"/>
        <v>8</v>
      </c>
      <c r="CP115" s="1">
        <f t="shared" si="91"/>
        <v>3</v>
      </c>
      <c r="CQ115" s="1">
        <f t="shared" si="92"/>
        <v>30</v>
      </c>
      <c r="CR115" s="1">
        <f t="shared" si="93"/>
        <v>9</v>
      </c>
      <c r="CS115" s="1">
        <f t="shared" si="94"/>
        <v>3</v>
      </c>
      <c r="CT115" s="1">
        <f t="shared" si="95"/>
        <v>0.12</v>
      </c>
      <c r="CU115" s="1">
        <f t="shared" si="96"/>
        <v>9</v>
      </c>
      <c r="CV115" s="1">
        <f t="shared" si="97"/>
        <v>0.3</v>
      </c>
      <c r="CW115" s="1">
        <f t="shared" si="98"/>
        <v>9</v>
      </c>
      <c r="CX115" s="1">
        <f t="shared" si="99"/>
        <v>0.3</v>
      </c>
      <c r="CY115" s="1">
        <f t="shared" si="100"/>
        <v>9</v>
      </c>
      <c r="CZ115" s="1"/>
      <c r="DA115" s="1"/>
      <c r="DB115" s="1"/>
      <c r="DC115" s="1"/>
      <c r="DD115" s="1"/>
      <c r="DE115" s="1"/>
      <c r="DF115" s="1"/>
      <c r="DG115" s="1" t="str">
        <f>IF(D115="","",行动模拟!B121)</f>
        <v>洞知2</v>
      </c>
      <c r="DH115" s="1" t="str">
        <f>IF(L115="END_TURN","回合结束",IF(D115="","",IF(INDEX(回合状态!$C$7:$C$17,MATCH(DG115,回合状态!$A$7:$A$17,0))="洞穿","洞穿",IF(OR(L115="J_COUNTER",L115="BOSS_ACTION",L115="BOSS_CONSERVATIVE"),"敌方",IF(AND(L115="37_FOLLOW",DG115=DG114,DH114="敌方"),"敌方",IF(INDEX(回合状态!$C$7:$C$17,MATCH(DG115,回合状态!$A$7:$A$17,0))="普通","出牌",INDEX(回合状态!$C$7:$C$17,MATCH(DG115,回合状态!$A$7:$A$17,0))))))))</f>
        <v>洞穿</v>
      </c>
      <c r="DI115" s="1">
        <f t="shared" si="101"/>
        <v>5</v>
      </c>
      <c r="DJ115" s="1">
        <f>IF(D115="",0,MIN(Boss参数!$B$25,IF(OR(AND(DH115="敌方",OR(DH114&lt;&gt;"敌方",DG115&lt;&gt;DG114)),AND(L115="END_TURN",DH115&lt;&gt;"洞穿"),AND(DG115&lt;&gt;DG114,DH114&lt;&gt;"洞穿",L114&lt;&gt;"END_TURN",COUNTIFS($DG$3:DG114,DG114,$DH$3:DH114,"敌方")=0)),EW115,DN114)))</f>
        <v>1</v>
      </c>
      <c r="DK115" s="1">
        <f>IF(D115="",0,MIN(Boss参数!$B$25,IF(OR(AND(DH115="敌方",OR(DH114&lt;&gt;"敌方",DG115&lt;&gt;DG114)),AND(L115="END_TURN",DH115&lt;&gt;"洞穿"),AND(DG115&lt;&gt;DG114,DH114&lt;&gt;"洞穿",L114&lt;&gt;"END_TURN",COUNTIFS($DG$3:DG114,DG114,$DH$3:DH114,"敌方")=0)),EW115,DO114)))</f>
        <v>5</v>
      </c>
      <c r="DL115" s="1">
        <f>IF(D115="",0,MIN(Boss参数!$B$25,IF(OR(AND(DH115="敌方",OR(DH114&lt;&gt;"敌方",DG115&lt;&gt;DG114)),AND(L115="END_TURN",DH115&lt;&gt;"洞穿"),AND(DG115&lt;&gt;DG114,DH114&lt;&gt;"洞穿",L114&lt;&gt;"END_TURN",COUNTIFS($DG$3:DG114,DG114,$DH$3:DH114,"敌方")=0)),EW115,DP114)))</f>
        <v>5</v>
      </c>
      <c r="DM115" s="1">
        <f>IF(D115="",0,MIN(Boss参数!$B$25,IF(OR(AND(DH115="敌方",OR(DH114&lt;&gt;"敌方",DG115&lt;&gt;DG114)),AND(L115="END_TURN",DH115&lt;&gt;"洞穿"),AND(DG115&lt;&gt;DG114,DH114&lt;&gt;"洞穿",L114&lt;&gt;"END_TURN",COUNTIFS($DG$3:DG114,DG114,$DH$3:DH114,"敌方")=0)),EW115,DQ114)))</f>
        <v>5</v>
      </c>
      <c r="DN115" s="1">
        <f>MAX(0,MIN(Boss参数!$B$25,DJ115+DR115)-IF(E115="红弩箭",2*DR115,0))</f>
        <v>2</v>
      </c>
      <c r="DO115" s="1">
        <f>MAX(0,MIN(Boss参数!$B$25,DK115+DR115)-IF(E115="37",2*DR115,0))</f>
        <v>3</v>
      </c>
      <c r="DP115" s="1">
        <f>MAX(0,MIN(Boss参数!$B$25,DL115+DR115)-IF(E115="小瑞安侬",2*DR115,0))</f>
        <v>5</v>
      </c>
      <c r="DQ115" s="1">
        <f>MAX(0,MIN(Boss参数!$B$25,DM115+DR115)-IF(E115="J",2*DR115,0))</f>
        <v>5</v>
      </c>
      <c r="DR115" s="1">
        <f t="shared" si="102"/>
        <v>1</v>
      </c>
      <c r="DS115" s="1">
        <f t="shared" si="103"/>
        <v>1</v>
      </c>
      <c r="DT115" s="1">
        <f>IF(OR(E115="",E115="系统"),0,IF(OR(AND(DS115=1,Boss参数!$B$32=1),L115="RHI_BERRY",OR(AND(INDEX(角色面板!$B$18:$B$21,MATCH(E115,角色面板!$A$18:$A$21,0))="星",Boss参数!$B$4="岩"),AND(INDEX(角色面板!$B$18:$B$21,MATCH(E115,角色面板!$A$18:$A$21,0))="岩",Boss参数!$B$4="兽"),AND(INDEX(角色面板!$B$18:$B$21,MATCH(E115,角色面板!$A$18:$A$21,0))="兽",Boss参数!$B$4="木"),AND(INDEX(角色面板!$B$18:$B$21,MATCH(E115,角色面板!$A$18:$A$21,0))="木",Boss参数!$B$4="星"),AND(INDEX(角色面板!$B$18:$B$21,MATCH(E115,角色面板!$A$18:$A$21,0))="智",Boss参数!$B$4="灵"),AND(INDEX(角色面板!$B$18:$B$21,MATCH(E115,角色面板!$A$18:$A$21,0))="灵",Boss参数!$B$4="智"))),1,0))</f>
        <v>1</v>
      </c>
      <c r="DU115" s="1">
        <f>IF(D115="",0,INDEX(回合状态!$E$7:$E$17,MATCH(DG115,回合状态!$A$7:$A$17,0))+IF(AND(DH115="敌方",OR(INDEX(回合状态!$C$7:$C$17,MATCH(DG115,回合状态!$A$7:$A$17,0))="普通",INDEX(回合状态!$C$7:$C$17,MATCH(DG115,回合状态!$A$7:$A$17,0))="额外")),0.05,0))</f>
        <v>0.35</v>
      </c>
      <c r="DV115" s="1">
        <f>MAX(Boss参数!$B$28,1+IF(AND(E115="37",AC115&gt;0,BH115&gt;0),Boss参数!$B$42,0)-DI115*Boss参数!$B$24+EA115-ER115)</f>
        <v>0</v>
      </c>
      <c r="DW115" s="1">
        <f>MIN(IF(Boss参数!$B$77=1,Boss参数!$B$63*Boss参数!$B$62,Boss参数!$B$61*Boss参数!$B$62),ROUNDDOWN(BQ115*(1-ES115),0))</f>
        <v>35998</v>
      </c>
      <c r="DX115" s="1">
        <f>MIN(IF(Boss参数!$B$77=1,Boss参数!$B$63*Boss参数!$B$62,Boss参数!$B$61*Boss参数!$B$62),ROUNDDOWN(BR115*(1-ES115),0))</f>
        <v>85604</v>
      </c>
      <c r="DY115" s="1">
        <f t="shared" si="135"/>
        <v>250</v>
      </c>
      <c r="DZ115" s="1">
        <f>IF(L115="RHI_ULT",MIN(Boss参数!$B$48,ROUNDDOWN(AY115*Boss参数!$B$47,0)),DY115)</f>
        <v>250</v>
      </c>
      <c r="EA115" s="1">
        <v>0</v>
      </c>
      <c r="EB115" s="1">
        <f t="shared" si="104"/>
        <v>0</v>
      </c>
      <c r="EC115" s="1">
        <f>SUMIFS($EB$3:EB115,$B$3:B115,"&gt;="&amp;MAX(1,B115-2),$B$3:B115,"&lt;="&amp;B115)*Boss参数!$B$51</f>
        <v>12</v>
      </c>
      <c r="ED115" s="1">
        <f>IF(D115="",EG114,IF(AND(DG115&lt;&gt;DG114,DH115&lt;&gt;"洞穿"),MIN(Boss参数!$B$55,EG114+2),EG114))</f>
        <v>0</v>
      </c>
      <c r="EE115" s="1">
        <f t="shared" si="105"/>
        <v>0</v>
      </c>
      <c r="EF115" s="1">
        <f>IF(AND(OR(L115="END_TURN",AND(DH115="敌方",OR(DH114&lt;&gt;"敌方",DG115&lt;&gt;DG114))),SUMIFS($EF$3:EF114,$DG$3:DG114,DG115)=0),MIN(1,MAX(0,ED115-EE115)),0)</f>
        <v>0</v>
      </c>
      <c r="EG115" s="1">
        <f t="shared" si="106"/>
        <v>0</v>
      </c>
      <c r="EH115" s="1">
        <f>Boss参数!$B$53-IF(Y115=1,Boss参数!$B$54,0)</f>
        <v>-0.4</v>
      </c>
      <c r="EI115" s="1">
        <f t="shared" si="107"/>
        <v>0.3</v>
      </c>
      <c r="EJ115" s="1">
        <f t="shared" si="108"/>
        <v>0.3</v>
      </c>
      <c r="EK115" s="1">
        <f t="shared" si="109"/>
        <v>1.56</v>
      </c>
      <c r="EL115" s="1">
        <f t="shared" si="136"/>
        <v>0</v>
      </c>
      <c r="EM115" s="1">
        <f>IF(AND(DG115&lt;&gt;DG114,DH115="洞穿"),0,IF(L115="ENTER_INSIGHT",Boss参数!$B$57,EO114))</f>
        <v>0</v>
      </c>
      <c r="EN115" s="1">
        <f>IF(AND(Y115=1,H115="洞知",EM115&gt;0),Boss参数!$B$56,0)</f>
        <v>0</v>
      </c>
      <c r="EO115" s="1">
        <f t="shared" si="110"/>
        <v>1</v>
      </c>
      <c r="EP115" s="1">
        <f t="shared" si="137"/>
        <v>16136476</v>
      </c>
      <c r="EQ115" s="1">
        <f>ROUNDDOWN(EP115/Boss参数!$B$62,0)</f>
        <v>161</v>
      </c>
      <c r="ER115" s="1">
        <f>IF(EQ115&gt;=Boss参数!$B$66,Boss参数!$B$69,IF(EQ115&gt;=Boss参数!$B$65,Boss参数!$B$68,IF(EQ115&gt;=Boss参数!$B$64,Boss参数!$B$67,0)))</f>
        <v>0.9</v>
      </c>
      <c r="ES115" s="1">
        <f>MIN(1,IF(EQ115&gt;=Boss参数!$B$66,Boss参数!$B$72+ROUNDDOWN((EQ115-Boss参数!$B$66)/Boss参数!$B$73,0)*Boss参数!$B$74,IF(EQ115&gt;=Boss参数!$B$65,Boss参数!$B$71,IF(EQ115&gt;=Boss参数!$B$64,Boss参数!$B$70,0))))</f>
        <v>0.6</v>
      </c>
      <c r="ET115" s="1">
        <f>MIN(Boss参数!$B$61*Boss参数!$B$62,EP115+IF(AND(Boss参数!$B$60=1,ISNUMBER(验证表!H121)),验证表!H121,EU115))</f>
        <v>16222080</v>
      </c>
      <c r="EU115" s="1">
        <f>IF(D115="",0,IF(验证表!G121="是",BV115,IF(验证表!G121="否",BU115,BW115)))</f>
        <v>85604</v>
      </c>
      <c r="EV115" s="1">
        <f>IF(EQ115&gt;=Boss参数!$B$66,2,IF(EQ115&gt;=Boss参数!$B$65,1,0))</f>
        <v>2</v>
      </c>
      <c r="EW115" s="1">
        <f t="shared" si="111"/>
        <v>3</v>
      </c>
      <c r="EX115" s="1">
        <f>IF(D115="",0,INDEX(回合状态!$D$7:$D$17,MATCH(DG115,回合状态!$A$7:$A$17,0)))</f>
        <v>8</v>
      </c>
      <c r="EY115" s="1">
        <f>IF(OR(L115="RHI_ATTACK",L115="RHI_BUFF"),1,IF(L115="RHI_ULT",Boss参数!$B$52,0))</f>
        <v>0</v>
      </c>
      <c r="EZ115" s="1">
        <f>MIN(6,SUMIFS($EY$3:EY115,$EX$3:EX115,"&gt;="&amp;MAX(1,EX115-Boss参数!$B$87+1),$EX$3:EX115,"&lt;="&amp;EX115))</f>
        <v>4</v>
      </c>
      <c r="FA115" s="1">
        <f t="shared" si="138"/>
        <v>35</v>
      </c>
      <c r="FB115" s="17">
        <f>IF(L115="BOSS_CONSERVATIVE",B115+Boss参数!$B$91,FB114)</f>
        <v>7</v>
      </c>
      <c r="FC115" s="17">
        <f t="shared" si="139"/>
        <v>0</v>
      </c>
      <c r="FD115" s="17">
        <f>IF(D115="",FD114,FD114+IF(AND(DG115&lt;&gt;DG114,INDEX(回合状态!$C$7:$C$17,MATCH(DG115,回合状态!$A$7:$A$17,0))&lt;&gt;"洞穿"),1,0))</f>
        <v>8</v>
      </c>
      <c r="FE115" s="17">
        <f>IF(D115="",0,IF(AND(OR(L115="END_TURN",DH115="敌方"),INDEX(回合状态!$C$7:$C$17,MATCH(DG115,回合状态!$A$7:$A$17,0))&lt;&gt;"洞穿",SUMIFS($FE$3:FE114,$DG$3:DG114,DG115)=0),1,0))</f>
        <v>0</v>
      </c>
    </row>
    <row r="116" spans="1:161" ht="84.95" customHeight="1">
      <c r="A116" s="1">
        <f>行动模拟!A122</f>
        <v>114</v>
      </c>
      <c r="B116" s="1">
        <f>IF(D116="",0,INDEX(回合状态!$B$7:$B$17,MATCH(DG116,回合状态!$A$7:$A$17,0)))</f>
        <v>7</v>
      </c>
      <c r="C116" s="1">
        <f>行动模拟!C122</f>
        <v>4</v>
      </c>
      <c r="D116" s="1" t="str">
        <f>IF(行动模拟!D122="","",行动模拟!D122)</f>
        <v>红弩箭｜洞知咒语</v>
      </c>
      <c r="E116" s="1" t="str">
        <f>IF($D116="","",IFERROR(INDEX(技能数据库!$B$4:$B$38,MATCH($D116,技能数据库!$A$4:$A$38,0)),""))</f>
        <v>红弩箭</v>
      </c>
      <c r="F116" s="1" t="str">
        <f>IF($D116="","",IFERROR(INDEX(技能数据库!$C$4:$C$38,MATCH($D116,技能数据库!$A$4:$A$38,0)),""))</f>
        <v>洞知咒语</v>
      </c>
      <c r="G116" s="1">
        <f>IF($D116="","",IFERROR(INDEX(技能数据库!$D$4:$D$38,MATCH($D116,技能数据库!$A$4:$A$38,0)),""))</f>
        <v>0</v>
      </c>
      <c r="H116" s="1" t="str">
        <f>IF($D116="","",IFERROR(INDEX(技能数据库!$E$4:$E$38,MATCH($D116,技能数据库!$A$4:$A$38,0)),""))</f>
        <v>洞知</v>
      </c>
      <c r="I116" s="1" t="str">
        <f>IF($D116="","",IFERROR(INDEX(技能数据库!$F$4:$F$38,MATCH($D116,技能数据库!$A$4:$A$38,0)),""))</f>
        <v>现实</v>
      </c>
      <c r="J116" s="1">
        <f>IF($D116="","",IFERROR(INDEX(技能数据库!$G$4:$G$38,MATCH($D116,技能数据库!$A$4:$A$38,0)),""))</f>
        <v>15</v>
      </c>
      <c r="K116" s="1">
        <f>IF($D116="","",IFERROR(INDEX(技能数据库!$H$4:$H$38,MATCH($D116,技能数据库!$A$4:$A$38,0)),""))</f>
        <v>0</v>
      </c>
      <c r="L116" s="1" t="str">
        <f>IF($D116="","",IFERROR(INDEX(技能数据库!$I$4:$I$38,MATCH($D116,技能数据库!$A$4:$A$38,0)),""))</f>
        <v>LILYA_INSIGHT</v>
      </c>
      <c r="M116" s="1">
        <v>1</v>
      </c>
      <c r="N116" s="1"/>
      <c r="O116" s="1"/>
      <c r="P116" s="1"/>
      <c r="Q116" s="1">
        <f t="shared" si="70"/>
        <v>0.4</v>
      </c>
      <c r="R116" s="1">
        <v>0</v>
      </c>
      <c r="S116" s="1">
        <v>0</v>
      </c>
      <c r="T116" s="1" t="str">
        <f>行动模拟!I122</f>
        <v>原G列数值属于稳态附加，移至H列；实测总伤不变</v>
      </c>
      <c r="U116" s="1">
        <f>IF(FD116&lt;&gt;FD115,IF(BY115=1,IF(MIN(10,CA115+IF(AND(DG116&lt;&gt;DG115,DH115&lt;&gt;"洞穿",SUMIFS($FE$3:FE115,$DG$3:DG115,DG115)=0,BY115=1),3,0))&gt;=10,2,1),IF(BY115=2,IF(BZ115&lt;=1,0,2),0)),BY115)</f>
        <v>2</v>
      </c>
      <c r="V116" s="1">
        <f>IF(FD116&lt;&gt;FD115,IF(BY115=1,IF(MIN(10,CA115+IF(AND(DG116&lt;&gt;DG115,DH115&lt;&gt;"洞穿",SUMIFS($FE$3:FE115,$DG$3:DG115,DG115)=0,BY115=1),3,0))&gt;=10,2,0),IF(BY115=2,MAX(0,BZ115-1),0)),BZ115)</f>
        <v>1</v>
      </c>
      <c r="W116" s="1">
        <f>IF(AND(FD116&lt;&gt;FD115,BY115=2,BZ115&lt;=1),0,MIN(10,CA115+IF(AND(DG116&lt;&gt;DG115,DH115&lt;&gt;"洞穿",SUMIFS($FE$3:FE115,$DG$3:DG115,DG115)=0,BY115=1),3,0)))</f>
        <v>10</v>
      </c>
      <c r="X116" s="1">
        <f t="shared" si="112"/>
        <v>4</v>
      </c>
      <c r="Y116" s="1">
        <f t="shared" si="113"/>
        <v>1</v>
      </c>
      <c r="Z116" s="1">
        <f t="shared" si="114"/>
        <v>3</v>
      </c>
      <c r="AA116" s="1">
        <f t="shared" si="115"/>
        <v>2</v>
      </c>
      <c r="AB116" s="1">
        <f t="shared" si="116"/>
        <v>3</v>
      </c>
      <c r="AC116" s="1">
        <f t="shared" si="117"/>
        <v>1</v>
      </c>
      <c r="AD116" s="1">
        <f t="shared" si="118"/>
        <v>35</v>
      </c>
      <c r="AE116" s="1">
        <f>IF(D116="",0,IF(DG116&lt;&gt;DG115,IFERROR(INDEX(回合状态!$F$7:$F$17,MATCH(DG116,回合状态!$A$7:$A$17,0)),0),CI115))</f>
        <v>15</v>
      </c>
      <c r="AF116" s="1">
        <f t="shared" si="119"/>
        <v>0.875</v>
      </c>
      <c r="AG116" s="1">
        <f t="shared" si="120"/>
        <v>9</v>
      </c>
      <c r="AH116" s="1">
        <f t="shared" si="121"/>
        <v>9</v>
      </c>
      <c r="AI116" s="1">
        <f t="shared" si="122"/>
        <v>8</v>
      </c>
      <c r="AJ116" s="1">
        <f t="shared" si="123"/>
        <v>9</v>
      </c>
      <c r="AK116" s="1">
        <f t="shared" si="124"/>
        <v>8</v>
      </c>
      <c r="AL116" s="1">
        <f t="shared" si="125"/>
        <v>3</v>
      </c>
      <c r="AM116" s="1">
        <f t="shared" si="126"/>
        <v>30</v>
      </c>
      <c r="AN116" s="1">
        <f t="shared" si="127"/>
        <v>9</v>
      </c>
      <c r="AO116" s="1">
        <f t="shared" si="128"/>
        <v>3</v>
      </c>
      <c r="AP116" s="1">
        <f t="shared" si="129"/>
        <v>0.12</v>
      </c>
      <c r="AQ116" s="1">
        <f t="shared" si="130"/>
        <v>9</v>
      </c>
      <c r="AR116" s="1">
        <f t="shared" si="131"/>
        <v>0.3</v>
      </c>
      <c r="AS116" s="1">
        <f t="shared" si="132"/>
        <v>9</v>
      </c>
      <c r="AT116" s="1">
        <f t="shared" si="133"/>
        <v>0.3</v>
      </c>
      <c r="AU116" s="1">
        <f t="shared" si="134"/>
        <v>9</v>
      </c>
      <c r="AV116" s="1">
        <f>MIN(5,SUMIFS($EL$3:EL116,$B$3:B116,"&gt;="&amp;MAX(1,B116-2),$B$3:B116,"&lt;="&amp;B116)+EC116)</f>
        <v>5</v>
      </c>
      <c r="AW116" s="1">
        <f>MIN(6,SUMIFS($EY$3:EY115,$EX$3:EX115,"&gt;="&amp;MAX(1,EX116-Boss参数!$B$87+1),$EX$3:EX115,"&lt;="&amp;EX116))</f>
        <v>4</v>
      </c>
      <c r="AX116" s="1">
        <f>MIN(4,COUNTIFS($B$3:$B$115,"&gt;="&amp;MAX(1,$B116-2),$B$3:$B$115,"&lt;="&amp;$B116,$L$3:$L$115,"37_FOLLOW"))</f>
        <v>4</v>
      </c>
      <c r="AY116" s="1">
        <f>IF($E116="","",IF($E116="系统",0,ROUNDDOWN(INDEX(角色面板!$C$4:$C$7,MATCH($E116,角色面板!$A$4:$A$7,0))*(1+INDEX(角色面板!$C$11:$C$14,MATCH($E116,角色面板!$A$11:$A$14,0))+IF($E116="小瑞安侬",MAX(IF($B116&lt;=$AQ116,$AP116,0),IF(AND($L116="RHI_ATTACK",$EE116&gt;0),0.11+0.01*$G116,0)),0)+IF($E116="J",$AD116*Boss参数!$B$18,0))+IF(FD116&lt;=$AN116,MIN(Boss参数!$B$21,ROUNDDOWN(角色面板!$C$19*Boss参数!$B$20,0)),0)+IF(AND($B116&lt;=$AK116,$E116&lt;&gt;"小瑞安侬"),$DY116,0),0)))</f>
        <v>3505</v>
      </c>
      <c r="AZ116" s="1">
        <f>IF($E116="","",MAX(0,MIN(1,IFERROR(INDEX(角色面板!$G$18:$G$21,MATCH($E116,角色面板!$A$18:$A$21,0)),0)-FC116*Boss参数!$B$89-Boss参数!$E$4)))</f>
        <v>1</v>
      </c>
      <c r="BA116" s="1">
        <f>IF(E116="","",(IF($E116="","",IF($E116="红弩箭",Boss参数!$B$80,IF($E116="J",Boss参数!$B$81,IFERROR(INDEX(角色面板!$H$18:$H$21,MATCH($E116,角色面板!$A$18:$A$21,0)),0)))+IF($B116&lt;=$AI116,Boss参数!$B$13,0)+MIN(30,$AM116)*Boss参数!$B$17+IF(AND($L116="LILYA_ULT",$X116&gt;=6),1,0)+IF(AND($Y116=1,$L116="LILYA_INSIGHT"),IF(MOD($AA116+1,3)=0,Boss参数!$B$83,Boss参数!$B$82),IF(AND($Y116=1,$L116="LILYA_FINISH"),Boss参数!$B$84,0))))-FC116*Boss参数!$B$90)</f>
        <v>3.1050000000000004</v>
      </c>
      <c r="BB116" s="1">
        <f>IF($E116="","",IFERROR(INDEX(角色面板!$M$18:$M$21,MATCH($E116,角色面板!$A$18:$A$21,0)),0)+$AW116*Boss参数!$B$12+IF($B116&lt;=$AG116,$AF116,0)+$EI116+IF($L116="LILYA_DIVE",IF($U116=1,IF($G116=1,0.3,IF($G116=2,0.4,0.5)),IF($U116=2,IF($G116=1,0.6,IF($G116=2,0.8,1)),0)),0)+$R116+IF(AND($E116="J",OR($L116="J_COUNTER",$L116="J_HARD")),Boss参数!$B$79,0)+IF(AND(OR(L116="J_COUNTER",L116="J_HARD"),FA116&gt;=Boss参数!$B$59),FA116*Boss参数!$B$40,0))</f>
        <v>1.4950000000000001</v>
      </c>
      <c r="BC116" s="1">
        <f>IF($E116="","",IFERROR(INDEX(角色面板!$K$18:$K$21,MATCH($E116,角色面板!$A$18:$A$21,0)),0)+IF($B116&lt;=$AH116,Boss参数!$B$46,0)+IF($E116="红弩箭",IF($U116=1,0.6,IF($U116=2,1.2,0))+$W116*0.06,0))-DI116*Boss参数!$B$23</f>
        <v>1.3999999999999997</v>
      </c>
      <c r="BD116" s="1">
        <f>IF($E116="","",IFERROR(INDEX(角色面板!$L$18:$L$21,MATCH($E116,角色面板!$A$18:$A$21,0)),0)+IF($B116&lt;=$AH116,Boss参数!$B$46,0)+IF($E116="J",$AL116*Boss参数!$B$16,0)+IF($E116="红弩箭",$X116*0.025,0)+IF(AND($L116="LILYA_ULT",$X116&gt;=6),1,0))-DI116*Boss参数!$B$23</f>
        <v>0.10000000000000003</v>
      </c>
      <c r="BE116" s="1">
        <f>IF($E116="","",IF($H116="洞知",IF($E116="红弩箭",$AO116*Boss参数!$B$15,0)+$AX116*Boss参数!$B$14,0))</f>
        <v>0.33999999999999997</v>
      </c>
      <c r="BF116" s="1">
        <f t="shared" si="71"/>
        <v>0</v>
      </c>
      <c r="BG116" s="1">
        <f>IF($D116="",0,IF(AND($L116&lt;&gt;"LILYA_DIVE",$L116&lt;&gt;"LILYA_ULT",$L116&lt;&gt;"LILYA_INSIGHT",$L116&lt;&gt;"LILYA_FINISH",$L116&lt;&gt;"37_FOLLOW",$L116&lt;&gt;"RHI_ATTACK",$L116&lt;&gt;"RHI_BERRY",$L116&lt;&gt;"J_COUNTER",$L116&lt;&gt;"J_ULT"),$J116,0)+IF($L116="LILYA_DIVE",$J116+IF($U116=1,IF($G116=1,6,IF($G116=2,12,18)),IF($U116=2,IF($G116=1,12,IF($G116=2,24,36)),0)),0)+IF($L116="LILYA_ULT",$J116+IF($X116&gt;=6,18,0),0)+IF($L116="LILYA_INSIGHT",IF($Y116=1,IF(MOD($AA116+1,3)=0,32,15),0),0)+IF($L116="LILYA_FINISH",IF($Y116=1,50+2.5*$Z116,0),0)+IF($L116="37_FOLLOW",$J116,0)+IF($L116="RHI_ATTACK",$J116*IF($B116&lt;=$AJ116,2,1),0)+IF($L116="RHI_BERRY",15+1.5*$AV116,0)+IF($L116="J_COUNTER",$J116+$AD116*Boss参数!$B$39,0)+IF($L116="J_ULT",$J116+Boss参数!$B$45*MAX(0,$AE116+$AD116-Boss参数!$I$4),0)+$S116)</f>
        <v>32</v>
      </c>
      <c r="BH116" s="1">
        <f t="shared" si="72"/>
        <v>0</v>
      </c>
      <c r="BI116" s="1">
        <f>IF(E116="","",IF(DT116=1,1+Boss参数!$B$8+AV116*Boss参数!$B$19,1))</f>
        <v>1.5</v>
      </c>
      <c r="BJ116" s="1">
        <f>IF($I116="现实",Boss参数!$C$4,IF($I116="精神",Boss参数!$D$4,0))</f>
        <v>1200</v>
      </c>
      <c r="BK116" s="1">
        <f>IF($E116="","",MAX($AY116*Boss参数!$B$9,$AY116-$BJ116*(1-$BF116)))</f>
        <v>2305</v>
      </c>
      <c r="BL116" s="1">
        <f>MAX(0,Boss参数!$F$4+IF(DT116=0,Boss参数!$B$27,0)-EJ116)</f>
        <v>0.10000000000000003</v>
      </c>
      <c r="BM116" s="1">
        <f>Boss参数!$G$4+DU116-IF(Y116=1,Boss参数!$B$11,0)</f>
        <v>0.35</v>
      </c>
      <c r="BN116" s="1">
        <f>IF($E116="","",MAX(Boss参数!$B$10,1+IFERROR(INDEX(角色面板!$I$18:$I$21,MATCH($E116,角色面板!$A$18:$A$21,0)),0)+$BB116+Boss参数!$H$4-$BM116))</f>
        <v>2.2450000000000001</v>
      </c>
      <c r="BO116" s="1">
        <f>IF(E116="","",IF(OR(L116="J_COUNTER",L116="J_HARD"),MAX(0,1+INDEX(角色面板!$K$18:$K$21,MATCH(E116,角色面板!$A$18:$A$21,0))-DI116*Boss参数!$B$23+IF(OR(Boss参数!$B$43=1,L116="J_HARD"),IF(B116&lt;=AH116,Boss参数!$B$46,0),0)),MAX(0,IF(OR(H116="术法",L116="RHI_BERRY",AND(L116="37_FOLLOW",Boss参数!$B$31=1)),1+BC116,IF(H116="仪式",1+BD116,IF(H116="洞知",EK116,1))))))</f>
        <v>1.7399999999999998</v>
      </c>
      <c r="BP116" s="1">
        <f t="shared" si="73"/>
        <v>3.0050000000000003</v>
      </c>
      <c r="BQ116" s="1">
        <f t="shared" si="74"/>
        <v>432193.03199999995</v>
      </c>
      <c r="BR116" s="1">
        <f t="shared" si="75"/>
        <v>1298740.06116</v>
      </c>
      <c r="BS116" s="1">
        <f>IF(BH116=0,0,ROUNDDOWN(AY116*BH116,0)*DV116*IF(Boss参数!$B$29=1,BN116,1)*IF(Boss参数!$B$33=1,BO116,1)*IF(Boss参数!$B$76=1,1-ES116,1))</f>
        <v>0</v>
      </c>
      <c r="BT116" s="1">
        <f t="shared" si="76"/>
        <v>0</v>
      </c>
      <c r="BU116" s="1">
        <f>IF(D116="",0,MIN(IF(Boss参数!$B$77=1,Boss参数!$B$63*Boss参数!$B$62,Boss参数!$B$61*Boss参数!$B$62),DW116+ROUNDDOWN(BS116,0)+ROUNDDOWN(DW116*Q116,0)))</f>
        <v>242027</v>
      </c>
      <c r="BV116" s="1">
        <f>IF(D116="",0,MIN(IF(Boss参数!$B$77=1,Boss参数!$B$63*Boss参数!$B$62,Boss参数!$B$61*Boss参数!$B$62),DX116+ROUNDDOWN(BT116,0)+ROUNDDOWN(DX116*Q116,0)))</f>
        <v>727294</v>
      </c>
      <c r="BW116" s="1">
        <f t="shared" si="77"/>
        <v>727294</v>
      </c>
      <c r="BX116" s="1" t="str">
        <f t="shared" si="78"/>
        <v/>
      </c>
      <c r="BY116" s="1">
        <f t="shared" si="79"/>
        <v>2</v>
      </c>
      <c r="BZ116" s="1">
        <f t="shared" si="80"/>
        <v>1</v>
      </c>
      <c r="CA116" s="1">
        <f>MIN(10,W116+IF(AND(L116="LILYA_COBRA",COUNTIF($L$3:L116,"LILYA_COBRA")=1),5,0)+IF(AND(L116="LILYA_DIVE",U116=1,COUNTIFS($DG$3:DG116,DG116,$L$3:L116,"LILYA_DIVE")=1),2,0)+IF(AND(FE116=1,U116=1),3,0))</f>
        <v>10</v>
      </c>
      <c r="CB116" s="1">
        <f>MIN(20,MAX(0,X116+IF(L116="LILYA_COBRA",IF(COUNTIF($L$3:L116,"LILYA_COBRA")=1,6,IF(U116=1,MAX(1,G116),IF(U116=2,2*MAX(1,G116),0))),0)+IF(AND(Y116=1,E116="红弩箭",L116&lt;&gt;"ENTER_INSIGHT"),1,0)-IF(AND(L116="LILYA_ULT",X116&gt;=6),6,0)))</f>
        <v>5</v>
      </c>
      <c r="CC116" s="1">
        <f t="shared" si="81"/>
        <v>1</v>
      </c>
      <c r="CD116" s="1">
        <f t="shared" si="82"/>
        <v>4</v>
      </c>
      <c r="CE116" s="1">
        <f t="shared" si="83"/>
        <v>3</v>
      </c>
      <c r="CF116" s="1">
        <f t="shared" si="84"/>
        <v>4</v>
      </c>
      <c r="CG116" s="1">
        <f t="shared" si="85"/>
        <v>1</v>
      </c>
      <c r="CH116" s="1">
        <f>MIN(35,AD116+IF(L116="J_HARD",6,0)+IF(L116="J_COUNTER",Boss参数!$B$30,0))</f>
        <v>35</v>
      </c>
      <c r="CI116" s="1">
        <f>MIN(Boss参数!$I$4,AE116+IF(L116="J_HARD",6,0)+IF(L116="J_ULT",AD116,0)+IF(L116="J_COUNTER",Boss参数!$B$30,0))</f>
        <v>15</v>
      </c>
      <c r="CJ116" s="1">
        <f>IF(L116="J_ULT",AD116*Boss参数!$B$41,IF(B116&lt;=AG116,AF116,0))</f>
        <v>0.875</v>
      </c>
      <c r="CK116" s="1">
        <f t="shared" si="86"/>
        <v>9</v>
      </c>
      <c r="CL116" s="1">
        <f t="shared" si="87"/>
        <v>9</v>
      </c>
      <c r="CM116" s="1">
        <f t="shared" si="88"/>
        <v>8</v>
      </c>
      <c r="CN116" s="1">
        <f t="shared" si="89"/>
        <v>9</v>
      </c>
      <c r="CO116" s="1">
        <f t="shared" si="90"/>
        <v>8</v>
      </c>
      <c r="CP116" s="1">
        <f t="shared" si="91"/>
        <v>3</v>
      </c>
      <c r="CQ116" s="1">
        <f t="shared" si="92"/>
        <v>30</v>
      </c>
      <c r="CR116" s="1">
        <f t="shared" si="93"/>
        <v>9</v>
      </c>
      <c r="CS116" s="1">
        <f t="shared" si="94"/>
        <v>4</v>
      </c>
      <c r="CT116" s="1">
        <f t="shared" si="95"/>
        <v>0.12</v>
      </c>
      <c r="CU116" s="1">
        <f t="shared" si="96"/>
        <v>9</v>
      </c>
      <c r="CV116" s="1">
        <f t="shared" si="97"/>
        <v>0.3</v>
      </c>
      <c r="CW116" s="1">
        <f t="shared" si="98"/>
        <v>9</v>
      </c>
      <c r="CX116" s="1">
        <f t="shared" si="99"/>
        <v>0.3</v>
      </c>
      <c r="CY116" s="1">
        <f t="shared" si="100"/>
        <v>9</v>
      </c>
      <c r="CZ116" s="1"/>
      <c r="DA116" s="1"/>
      <c r="DB116" s="1"/>
      <c r="DC116" s="1"/>
      <c r="DD116" s="1"/>
      <c r="DE116" s="1"/>
      <c r="DF116" s="1"/>
      <c r="DG116" s="1" t="str">
        <f>IF(D116="","",行动模拟!B122)</f>
        <v>洞知2</v>
      </c>
      <c r="DH116" s="1" t="str">
        <f>IF(L116="END_TURN","回合结束",IF(D116="","",IF(INDEX(回合状态!$C$7:$C$17,MATCH(DG116,回合状态!$A$7:$A$17,0))="洞穿","洞穿",IF(OR(L116="J_COUNTER",L116="BOSS_ACTION",L116="BOSS_CONSERVATIVE"),"敌方",IF(AND(L116="37_FOLLOW",DG116=DG115,DH115="敌方"),"敌方",IF(INDEX(回合状态!$C$7:$C$17,MATCH(DG116,回合状态!$A$7:$A$17,0))="普通","出牌",INDEX(回合状态!$C$7:$C$17,MATCH(DG116,回合状态!$A$7:$A$17,0))))))))</f>
        <v>洞穿</v>
      </c>
      <c r="DI116" s="1">
        <f t="shared" si="101"/>
        <v>2</v>
      </c>
      <c r="DJ116" s="1">
        <f>IF(D116="",0,MIN(Boss参数!$B$25,IF(OR(AND(DH116="敌方",OR(DH115&lt;&gt;"敌方",DG116&lt;&gt;DG115)),AND(L116="END_TURN",DH116&lt;&gt;"洞穿"),AND(DG116&lt;&gt;DG115,DH115&lt;&gt;"洞穿",L115&lt;&gt;"END_TURN",COUNTIFS($DG$3:DG115,DG115,$DH$3:DH115,"敌方")=0)),EW116,DN115)))</f>
        <v>2</v>
      </c>
      <c r="DK116" s="1">
        <f>IF(D116="",0,MIN(Boss参数!$B$25,IF(OR(AND(DH116="敌方",OR(DH115&lt;&gt;"敌方",DG116&lt;&gt;DG115)),AND(L116="END_TURN",DH116&lt;&gt;"洞穿"),AND(DG116&lt;&gt;DG115,DH115&lt;&gt;"洞穿",L115&lt;&gt;"END_TURN",COUNTIFS($DG$3:DG115,DG115,$DH$3:DH115,"敌方")=0)),EW116,DO115)))</f>
        <v>3</v>
      </c>
      <c r="DL116" s="1">
        <f>IF(D116="",0,MIN(Boss参数!$B$25,IF(OR(AND(DH116="敌方",OR(DH115&lt;&gt;"敌方",DG116&lt;&gt;DG115)),AND(L116="END_TURN",DH116&lt;&gt;"洞穿"),AND(DG116&lt;&gt;DG115,DH115&lt;&gt;"洞穿",L115&lt;&gt;"END_TURN",COUNTIFS($DG$3:DG115,DG115,$DH$3:DH115,"敌方")=0)),EW116,DP115)))</f>
        <v>5</v>
      </c>
      <c r="DM116" s="1">
        <f>IF(D116="",0,MIN(Boss参数!$B$25,IF(OR(AND(DH116="敌方",OR(DH115&lt;&gt;"敌方",DG116&lt;&gt;DG115)),AND(L116="END_TURN",DH116&lt;&gt;"洞穿"),AND(DG116&lt;&gt;DG115,DH115&lt;&gt;"洞穿",L115&lt;&gt;"END_TURN",COUNTIFS($DG$3:DG115,DG115,$DH$3:DH115,"敌方")=0)),EW116,DQ115)))</f>
        <v>5</v>
      </c>
      <c r="DN116" s="1">
        <f>MAX(0,MIN(Boss参数!$B$25,DJ116+DR116)-IF(E116="红弩箭",2*DR116,0))</f>
        <v>1</v>
      </c>
      <c r="DO116" s="1">
        <f>MAX(0,MIN(Boss参数!$B$25,DK116+DR116)-IF(E116="37",2*DR116,0))</f>
        <v>4</v>
      </c>
      <c r="DP116" s="1">
        <f>MAX(0,MIN(Boss参数!$B$25,DL116+DR116)-IF(E116="小瑞安侬",2*DR116,0))</f>
        <v>5</v>
      </c>
      <c r="DQ116" s="1">
        <f>MAX(0,MIN(Boss参数!$B$25,DM116+DR116)-IF(E116="J",2*DR116,0))</f>
        <v>5</v>
      </c>
      <c r="DR116" s="1">
        <f t="shared" si="102"/>
        <v>1</v>
      </c>
      <c r="DS116" s="1">
        <f t="shared" si="103"/>
        <v>1</v>
      </c>
      <c r="DT116" s="1">
        <f>IF(OR(E116="",E116="系统"),0,IF(OR(AND(DS116=1,Boss参数!$B$32=1),L116="RHI_BERRY",OR(AND(INDEX(角色面板!$B$18:$B$21,MATCH(E116,角色面板!$A$18:$A$21,0))="星",Boss参数!$B$4="岩"),AND(INDEX(角色面板!$B$18:$B$21,MATCH(E116,角色面板!$A$18:$A$21,0))="岩",Boss参数!$B$4="兽"),AND(INDEX(角色面板!$B$18:$B$21,MATCH(E116,角色面板!$A$18:$A$21,0))="兽",Boss参数!$B$4="木"),AND(INDEX(角色面板!$B$18:$B$21,MATCH(E116,角色面板!$A$18:$A$21,0))="木",Boss参数!$B$4="星"),AND(INDEX(角色面板!$B$18:$B$21,MATCH(E116,角色面板!$A$18:$A$21,0))="智",Boss参数!$B$4="灵"),AND(INDEX(角色面板!$B$18:$B$21,MATCH(E116,角色面板!$A$18:$A$21,0))="灵",Boss参数!$B$4="智"))),1,0))</f>
        <v>1</v>
      </c>
      <c r="DU116" s="1">
        <f>IF(D116="",0,INDEX(回合状态!$E$7:$E$17,MATCH(DG116,回合状态!$A$7:$A$17,0))+IF(AND(DH116="敌方",OR(INDEX(回合状态!$C$7:$C$17,MATCH(DG116,回合状态!$A$7:$A$17,0))="普通",INDEX(回合状态!$C$7:$C$17,MATCH(DG116,回合状态!$A$7:$A$17,0))="额外")),0.05,0))</f>
        <v>0.35</v>
      </c>
      <c r="DV116" s="1">
        <f>MAX(Boss参数!$B$28,1+IF(AND(E116="37",AC116&gt;0,BH116&gt;0),Boss参数!$B$42,0)-DI116*Boss参数!$B$24+EA116-ER116)</f>
        <v>0</v>
      </c>
      <c r="DW116" s="1">
        <f>MIN(IF(Boss参数!$B$77=1,Boss参数!$B$63*Boss参数!$B$62,Boss参数!$B$61*Boss参数!$B$62),ROUNDDOWN(BQ116*(1-ES116),0))</f>
        <v>172877</v>
      </c>
      <c r="DX116" s="1">
        <f>MIN(IF(Boss参数!$B$77=1,Boss参数!$B$63*Boss参数!$B$62,Boss参数!$B$61*Boss参数!$B$62),ROUNDDOWN(BR116*(1-ES116),0))</f>
        <v>519496</v>
      </c>
      <c r="DY116" s="1">
        <f t="shared" si="135"/>
        <v>250</v>
      </c>
      <c r="DZ116" s="1">
        <f>IF(L116="RHI_ULT",MIN(Boss参数!$B$48,ROUNDDOWN(AY116*Boss参数!$B$47,0)),DY116)</f>
        <v>250</v>
      </c>
      <c r="EA116" s="1">
        <v>0</v>
      </c>
      <c r="EB116" s="1">
        <f t="shared" si="104"/>
        <v>0</v>
      </c>
      <c r="EC116" s="1">
        <f>SUMIFS($EB$3:EB116,$B$3:B116,"&gt;="&amp;MAX(1,B116-2),$B$3:B116,"&lt;="&amp;B116)*Boss参数!$B$51</f>
        <v>12</v>
      </c>
      <c r="ED116" s="1">
        <f>IF(D116="",EG115,IF(AND(DG116&lt;&gt;DG115,DH116&lt;&gt;"洞穿"),MIN(Boss参数!$B$55,EG115+2),EG115))</f>
        <v>0</v>
      </c>
      <c r="EE116" s="1">
        <f t="shared" si="105"/>
        <v>0</v>
      </c>
      <c r="EF116" s="1">
        <f>IF(AND(OR(L116="END_TURN",AND(DH116="敌方",OR(DH115&lt;&gt;"敌方",DG116&lt;&gt;DG115))),SUMIFS($EF$3:EF115,$DG$3:DG115,DG116)=0),MIN(1,MAX(0,ED116-EE116)),0)</f>
        <v>0</v>
      </c>
      <c r="EG116" s="1">
        <f t="shared" si="106"/>
        <v>0</v>
      </c>
      <c r="EH116" s="1">
        <f>Boss参数!$B$53-IF(Y116=1,Boss参数!$B$54,0)</f>
        <v>-0.4</v>
      </c>
      <c r="EI116" s="1">
        <f t="shared" si="107"/>
        <v>0.3</v>
      </c>
      <c r="EJ116" s="1">
        <f t="shared" si="108"/>
        <v>0.3</v>
      </c>
      <c r="EK116" s="1">
        <f t="shared" si="109"/>
        <v>1.7399999999999998</v>
      </c>
      <c r="EL116" s="1">
        <f t="shared" si="136"/>
        <v>0</v>
      </c>
      <c r="EM116" s="1">
        <f>IF(AND(DG116&lt;&gt;DG115,DH116="洞穿"),0,IF(L116="ENTER_INSIGHT",Boss参数!$B$57,EO115))</f>
        <v>1</v>
      </c>
      <c r="EN116" s="1">
        <f>IF(AND(Y116=1,H116="洞知",EM116&gt;0),Boss参数!$B$56,0)</f>
        <v>0.4</v>
      </c>
      <c r="EO116" s="1">
        <f t="shared" si="110"/>
        <v>0</v>
      </c>
      <c r="EP116" s="1">
        <f t="shared" si="137"/>
        <v>16222080</v>
      </c>
      <c r="EQ116" s="1">
        <f>ROUNDDOWN(EP116/Boss参数!$B$62,0)</f>
        <v>162</v>
      </c>
      <c r="ER116" s="1">
        <f>IF(EQ116&gt;=Boss参数!$B$66,Boss参数!$B$69,IF(EQ116&gt;=Boss参数!$B$65,Boss参数!$B$68,IF(EQ116&gt;=Boss参数!$B$64,Boss参数!$B$67,0)))</f>
        <v>0.9</v>
      </c>
      <c r="ES116" s="1">
        <f>MIN(1,IF(EQ116&gt;=Boss参数!$B$66,Boss参数!$B$72+ROUNDDOWN((EQ116-Boss参数!$B$66)/Boss参数!$B$73,0)*Boss参数!$B$74,IF(EQ116&gt;=Boss参数!$B$65,Boss参数!$B$71,IF(EQ116&gt;=Boss参数!$B$64,Boss参数!$B$70,0))))</f>
        <v>0.6</v>
      </c>
      <c r="ET116" s="1">
        <f>MIN(Boss参数!$B$61*Boss参数!$B$62,EP116+IF(AND(Boss参数!$B$60=1,ISNUMBER(验证表!H122)),验证表!H122,EU116))</f>
        <v>16949374</v>
      </c>
      <c r="EU116" s="1">
        <f>IF(D116="",0,IF(验证表!G122="是",BV116,IF(验证表!G122="否",BU116,BW116)))</f>
        <v>727294</v>
      </c>
      <c r="EV116" s="1">
        <f>IF(EQ116&gt;=Boss参数!$B$66,2,IF(EQ116&gt;=Boss参数!$B$65,1,0))</f>
        <v>2</v>
      </c>
      <c r="EW116" s="1">
        <f t="shared" si="111"/>
        <v>3</v>
      </c>
      <c r="EX116" s="1">
        <f>IF(D116="",0,INDEX(回合状态!$D$7:$D$17,MATCH(DG116,回合状态!$A$7:$A$17,0)))</f>
        <v>8</v>
      </c>
      <c r="EY116" s="1">
        <f>IF(OR(L116="RHI_ATTACK",L116="RHI_BUFF"),1,IF(L116="RHI_ULT",Boss参数!$B$52,0))</f>
        <v>0</v>
      </c>
      <c r="EZ116" s="1">
        <f>MIN(6,SUMIFS($EY$3:EY116,$EX$3:EX116,"&gt;="&amp;MAX(1,EX116-Boss参数!$B$87+1),$EX$3:EX116,"&lt;="&amp;EX116))</f>
        <v>4</v>
      </c>
      <c r="FA116" s="1">
        <f t="shared" si="138"/>
        <v>35</v>
      </c>
      <c r="FB116" s="17">
        <f>IF(L116="BOSS_CONSERVATIVE",B116+Boss参数!$B$91,FB115)</f>
        <v>7</v>
      </c>
      <c r="FC116" s="17">
        <f t="shared" si="139"/>
        <v>0</v>
      </c>
      <c r="FD116" s="17">
        <f>IF(D116="",FD115,FD115+IF(AND(DG116&lt;&gt;DG115,INDEX(回合状态!$C$7:$C$17,MATCH(DG116,回合状态!$A$7:$A$17,0))&lt;&gt;"洞穿"),1,0))</f>
        <v>8</v>
      </c>
      <c r="FE116" s="17">
        <f>IF(D116="",0,IF(AND(OR(L116="END_TURN",DH116="敌方"),INDEX(回合状态!$C$7:$C$17,MATCH(DG116,回合状态!$A$7:$A$17,0))&lt;&gt;"洞穿",SUMIFS($FE$3:FE115,$DG$3:DG115,DG116)=0),1,0))</f>
        <v>0</v>
      </c>
    </row>
    <row r="117" spans="1:161" ht="84.95" customHeight="1">
      <c r="A117" s="1">
        <f>行动模拟!A123</f>
        <v>115</v>
      </c>
      <c r="B117" s="1">
        <f>IF(D117="",0,INDEX(回合状态!$B$7:$B$17,MATCH(DG117,回合状态!$A$7:$A$17,0)))</f>
        <v>7</v>
      </c>
      <c r="C117" s="1">
        <f>行动模拟!C123</f>
        <v>5</v>
      </c>
      <c r="D117" s="1" t="str">
        <f>IF(行动模拟!D123="","",行动模拟!D123)</f>
        <v>红弩箭｜洞知咒语</v>
      </c>
      <c r="E117" s="1" t="str">
        <f>IF($D117="","",IFERROR(INDEX(技能数据库!$B$4:$B$38,MATCH($D117,技能数据库!$A$4:$A$38,0)),""))</f>
        <v>红弩箭</v>
      </c>
      <c r="F117" s="1" t="str">
        <f>IF($D117="","",IFERROR(INDEX(技能数据库!$C$4:$C$38,MATCH($D117,技能数据库!$A$4:$A$38,0)),""))</f>
        <v>洞知咒语</v>
      </c>
      <c r="G117" s="1">
        <f>IF($D117="","",IFERROR(INDEX(技能数据库!$D$4:$D$38,MATCH($D117,技能数据库!$A$4:$A$38,0)),""))</f>
        <v>0</v>
      </c>
      <c r="H117" s="1" t="str">
        <f>IF($D117="","",IFERROR(INDEX(技能数据库!$E$4:$E$38,MATCH($D117,技能数据库!$A$4:$A$38,0)),""))</f>
        <v>洞知</v>
      </c>
      <c r="I117" s="1" t="str">
        <f>IF($D117="","",IFERROR(INDEX(技能数据库!$F$4:$F$38,MATCH($D117,技能数据库!$A$4:$A$38,0)),""))</f>
        <v>现实</v>
      </c>
      <c r="J117" s="1">
        <f>IF($D117="","",IFERROR(INDEX(技能数据库!$G$4:$G$38,MATCH($D117,技能数据库!$A$4:$A$38,0)),""))</f>
        <v>15</v>
      </c>
      <c r="K117" s="1">
        <f>IF($D117="","",IFERROR(INDEX(技能数据库!$H$4:$H$38,MATCH($D117,技能数据库!$A$4:$A$38,0)),""))</f>
        <v>0</v>
      </c>
      <c r="L117" s="1" t="str">
        <f>IF($D117="","",IFERROR(INDEX(技能数据库!$I$4:$I$38,MATCH($D117,技能数据库!$A$4:$A$38,0)),""))</f>
        <v>LILYA_INSIGHT</v>
      </c>
      <c r="M117" s="1">
        <v>1</v>
      </c>
      <c r="N117" s="1"/>
      <c r="O117" s="1"/>
      <c r="P117" s="1"/>
      <c r="Q117" s="1">
        <f t="shared" si="70"/>
        <v>0</v>
      </c>
      <c r="R117" s="1">
        <v>0</v>
      </c>
      <c r="S117" s="1">
        <v>0</v>
      </c>
      <c r="T117" s="1">
        <f>行动模拟!I123</f>
        <v>0</v>
      </c>
      <c r="U117" s="1">
        <f>IF(FD117&lt;&gt;FD116,IF(BY116=1,IF(MIN(10,CA116+IF(AND(DG117&lt;&gt;DG116,DH116&lt;&gt;"洞穿",SUMIFS($FE$3:FE116,$DG$3:DG116,DG116)=0,BY116=1),3,0))&gt;=10,2,1),IF(BY116=2,IF(BZ116&lt;=1,0,2),0)),BY116)</f>
        <v>2</v>
      </c>
      <c r="V117" s="1">
        <f>IF(FD117&lt;&gt;FD116,IF(BY116=1,IF(MIN(10,CA116+IF(AND(DG117&lt;&gt;DG116,DH116&lt;&gt;"洞穿",SUMIFS($FE$3:FE116,$DG$3:DG116,DG116)=0,BY116=1),3,0))&gt;=10,2,0),IF(BY116=2,MAX(0,BZ116-1),0)),BZ116)</f>
        <v>1</v>
      </c>
      <c r="W117" s="1">
        <f>IF(AND(FD117&lt;&gt;FD116,BY116=2,BZ116&lt;=1),0,MIN(10,CA116+IF(AND(DG117&lt;&gt;DG116,DH116&lt;&gt;"洞穿",SUMIFS($FE$3:FE116,$DG$3:DG116,DG116)=0,BY116=1),3,0)))</f>
        <v>10</v>
      </c>
      <c r="X117" s="1">
        <f t="shared" si="112"/>
        <v>5</v>
      </c>
      <c r="Y117" s="1">
        <f t="shared" si="113"/>
        <v>1</v>
      </c>
      <c r="Z117" s="1">
        <f t="shared" si="114"/>
        <v>4</v>
      </c>
      <c r="AA117" s="1">
        <f t="shared" si="115"/>
        <v>3</v>
      </c>
      <c r="AB117" s="1">
        <f t="shared" si="116"/>
        <v>4</v>
      </c>
      <c r="AC117" s="1">
        <f t="shared" si="117"/>
        <v>1</v>
      </c>
      <c r="AD117" s="1">
        <f t="shared" si="118"/>
        <v>35</v>
      </c>
      <c r="AE117" s="1">
        <f>IF(D117="",0,IF(DG117&lt;&gt;DG116,IFERROR(INDEX(回合状态!$F$7:$F$17,MATCH(DG117,回合状态!$A$7:$A$17,0)),0),CI116))</f>
        <v>15</v>
      </c>
      <c r="AF117" s="1">
        <f t="shared" si="119"/>
        <v>0.875</v>
      </c>
      <c r="AG117" s="1">
        <f t="shared" si="120"/>
        <v>9</v>
      </c>
      <c r="AH117" s="1">
        <f t="shared" si="121"/>
        <v>9</v>
      </c>
      <c r="AI117" s="1">
        <f t="shared" si="122"/>
        <v>8</v>
      </c>
      <c r="AJ117" s="1">
        <f t="shared" si="123"/>
        <v>9</v>
      </c>
      <c r="AK117" s="1">
        <f t="shared" si="124"/>
        <v>8</v>
      </c>
      <c r="AL117" s="1">
        <f t="shared" si="125"/>
        <v>3</v>
      </c>
      <c r="AM117" s="1">
        <f t="shared" si="126"/>
        <v>30</v>
      </c>
      <c r="AN117" s="1">
        <f t="shared" si="127"/>
        <v>9</v>
      </c>
      <c r="AO117" s="1">
        <f t="shared" si="128"/>
        <v>4</v>
      </c>
      <c r="AP117" s="1">
        <f t="shared" si="129"/>
        <v>0.12</v>
      </c>
      <c r="AQ117" s="1">
        <f t="shared" si="130"/>
        <v>9</v>
      </c>
      <c r="AR117" s="1">
        <f t="shared" si="131"/>
        <v>0.3</v>
      </c>
      <c r="AS117" s="1">
        <f t="shared" si="132"/>
        <v>9</v>
      </c>
      <c r="AT117" s="1">
        <f t="shared" si="133"/>
        <v>0.3</v>
      </c>
      <c r="AU117" s="1">
        <f t="shared" si="134"/>
        <v>9</v>
      </c>
      <c r="AV117" s="1">
        <f>MIN(5,SUMIFS($EL$3:EL117,$B$3:B117,"&gt;="&amp;MAX(1,B117-2),$B$3:B117,"&lt;="&amp;B117)+EC117)</f>
        <v>5</v>
      </c>
      <c r="AW117" s="1">
        <f>MIN(6,SUMIFS($EY$3:EY116,$EX$3:EX116,"&gt;="&amp;MAX(1,EX117-Boss参数!$B$87+1),$EX$3:EX116,"&lt;="&amp;EX117))</f>
        <v>4</v>
      </c>
      <c r="AX117" s="1">
        <f>MIN(4,COUNTIFS($B$3:$B$116,"&gt;="&amp;MAX(1,$B117-2),$B$3:$B$116,"&lt;="&amp;$B117,$L$3:$L$116,"37_FOLLOW"))</f>
        <v>4</v>
      </c>
      <c r="AY117" s="1">
        <f>IF($E117="","",IF($E117="系统",0,ROUNDDOWN(INDEX(角色面板!$C$4:$C$7,MATCH($E117,角色面板!$A$4:$A$7,0))*(1+INDEX(角色面板!$C$11:$C$14,MATCH($E117,角色面板!$A$11:$A$14,0))+IF($E117="小瑞安侬",MAX(IF($B117&lt;=$AQ117,$AP117,0),IF(AND($L117="RHI_ATTACK",$EE117&gt;0),0.11+0.01*$G117,0)),0)+IF($E117="J",$AD117*Boss参数!$B$18,0))+IF(FD117&lt;=$AN117,MIN(Boss参数!$B$21,ROUNDDOWN(角色面板!$C$19*Boss参数!$B$20,0)),0)+IF(AND($B117&lt;=$AK117,$E117&lt;&gt;"小瑞安侬"),$DY117,0),0)))</f>
        <v>3505</v>
      </c>
      <c r="AZ117" s="1">
        <f>IF($E117="","",MAX(0,MIN(1,IFERROR(INDEX(角色面板!$G$18:$G$21,MATCH($E117,角色面板!$A$18:$A$21,0)),0)-FC117*Boss参数!$B$89-Boss参数!$E$4)))</f>
        <v>1</v>
      </c>
      <c r="BA117" s="1">
        <f>IF(E117="","",(IF($E117="","",IF($E117="红弩箭",Boss参数!$B$80,IF($E117="J",Boss参数!$B$81,IFERROR(INDEX(角色面板!$H$18:$H$21,MATCH($E117,角色面板!$A$18:$A$21,0)),0)))+IF($B117&lt;=$AI117,Boss参数!$B$13,0)+MIN(30,$AM117)*Boss参数!$B$17+IF(AND($L117="LILYA_ULT",$X117&gt;=6),1,0)+IF(AND($Y117=1,$L117="LILYA_INSIGHT"),IF(MOD($AA117+1,3)=0,Boss参数!$B$83,Boss参数!$B$82),IF(AND($Y117=1,$L117="LILYA_FINISH"),Boss参数!$B$84,0))))-FC117*Boss参数!$B$90)</f>
        <v>2.9050000000000002</v>
      </c>
      <c r="BB117" s="1">
        <f>IF($E117="","",IFERROR(INDEX(角色面板!$M$18:$M$21,MATCH($E117,角色面板!$A$18:$A$21,0)),0)+$AW117*Boss参数!$B$12+IF($B117&lt;=$AG117,$AF117,0)+$EI117+IF($L117="LILYA_DIVE",IF($U117=1,IF($G117=1,0.3,IF($G117=2,0.4,0.5)),IF($U117=2,IF($G117=1,0.6,IF($G117=2,0.8,1)),0)),0)+$R117+IF(AND($E117="J",OR($L117="J_COUNTER",$L117="J_HARD")),Boss参数!$B$79,0)+IF(AND(OR(L117="J_COUNTER",L117="J_HARD"),FA117&gt;=Boss参数!$B$59),FA117*Boss参数!$B$40,0))</f>
        <v>1.4950000000000001</v>
      </c>
      <c r="BC117" s="1">
        <f>IF($E117="","",IFERROR(INDEX(角色面板!$K$18:$K$21,MATCH($E117,角色面板!$A$18:$A$21,0)),0)+IF($B117&lt;=$AH117,Boss参数!$B$46,0)+IF($E117="红弩箭",IF($U117=1,0.6,IF($U117=2,1.2,0))+$W117*0.06,0))-DI117*Boss参数!$B$23</f>
        <v>1.5499999999999998</v>
      </c>
      <c r="BD117" s="1">
        <f>IF($E117="","",IFERROR(INDEX(角色面板!$L$18:$L$21,MATCH($E117,角色面板!$A$18:$A$21,0)),0)+IF($B117&lt;=$AH117,Boss参数!$B$46,0)+IF($E117="J",$AL117*Boss参数!$B$16,0)+IF($E117="红弩箭",$X117*0.025,0)+IF(AND($L117="LILYA_ULT",$X117&gt;=6),1,0))-DI117*Boss参数!$B$23</f>
        <v>0.27500000000000002</v>
      </c>
      <c r="BE117" s="1">
        <f>IF($E117="","",IF($H117="洞知",IF($E117="红弩箭",$AO117*Boss参数!$B$15,0)+$AX117*Boss参数!$B$14,0))</f>
        <v>0.4</v>
      </c>
      <c r="BF117" s="1">
        <f t="shared" si="71"/>
        <v>0</v>
      </c>
      <c r="BG117" s="1">
        <f>IF($D117="",0,IF(AND($L117&lt;&gt;"LILYA_DIVE",$L117&lt;&gt;"LILYA_ULT",$L117&lt;&gt;"LILYA_INSIGHT",$L117&lt;&gt;"LILYA_FINISH",$L117&lt;&gt;"37_FOLLOW",$L117&lt;&gt;"RHI_ATTACK",$L117&lt;&gt;"RHI_BERRY",$L117&lt;&gt;"J_COUNTER",$L117&lt;&gt;"J_ULT"),$J117,0)+IF($L117="LILYA_DIVE",$J117+IF($U117=1,IF($G117=1,6,IF($G117=2,12,18)),IF($U117=2,IF($G117=1,12,IF($G117=2,24,36)),0)),0)+IF($L117="LILYA_ULT",$J117+IF($X117&gt;=6,18,0),0)+IF($L117="LILYA_INSIGHT",IF($Y117=1,IF(MOD($AA117+1,3)=0,32,15),0),0)+IF($L117="LILYA_FINISH",IF($Y117=1,50+2.5*$Z117,0),0)+IF($L117="37_FOLLOW",$J117,0)+IF($L117="RHI_ATTACK",$J117*IF($B117&lt;=$AJ117,2,1),0)+IF($L117="RHI_BERRY",15+1.5*$AV117,0)+IF($L117="J_COUNTER",$J117+$AD117*Boss参数!$B$39,0)+IF($L117="J_ULT",$J117+Boss参数!$B$45*MAX(0,$AE117+$AD117-Boss参数!$I$4),0)+$S117)</f>
        <v>15</v>
      </c>
      <c r="BH117" s="1">
        <f t="shared" si="72"/>
        <v>0</v>
      </c>
      <c r="BI117" s="1">
        <f>IF(E117="","",IF(DT117=1,1+Boss参数!$B$8+AV117*Boss参数!$B$19,1))</f>
        <v>1.5</v>
      </c>
      <c r="BJ117" s="1">
        <f>IF($I117="现实",Boss参数!$C$4,IF($I117="精神",Boss参数!$D$4,0))</f>
        <v>1200</v>
      </c>
      <c r="BK117" s="1">
        <f>IF($E117="","",MAX($AY117*Boss参数!$B$9,$AY117-$BJ117*(1-$BF117)))</f>
        <v>2305</v>
      </c>
      <c r="BL117" s="1">
        <f>MAX(0,Boss参数!$F$4+IF(DT117=0,Boss参数!$B$27,0)-EJ117)</f>
        <v>0.10000000000000003</v>
      </c>
      <c r="BM117" s="1">
        <f>Boss参数!$G$4+DU117-IF(Y117=1,Boss参数!$B$11,0)</f>
        <v>0.35</v>
      </c>
      <c r="BN117" s="1">
        <f>IF($E117="","",MAX(Boss参数!$B$10,1+IFERROR(INDEX(角色面板!$I$18:$I$21,MATCH($E117,角色面板!$A$18:$A$21,0)),0)+$BB117+Boss参数!$H$4-$BM117))</f>
        <v>2.2450000000000001</v>
      </c>
      <c r="BO117" s="1">
        <f>IF(E117="","",IF(OR(L117="J_COUNTER",L117="J_HARD"),MAX(0,1+INDEX(角色面板!$K$18:$K$21,MATCH(E117,角色面板!$A$18:$A$21,0))-DI117*Boss参数!$B$23+IF(OR(Boss参数!$B$43=1,L117="J_HARD"),IF(B117&lt;=AH117,Boss参数!$B$46,0),0)),MAX(0,IF(OR(H117="术法",L117="RHI_BERRY",AND(L117="37_FOLLOW",Boss参数!$B$31=1)),1+BC117,IF(H117="仪式",1+BD117,IF(H117="洞知",EK117,1))))))</f>
        <v>1.7999999999999998</v>
      </c>
      <c r="BP117" s="1">
        <f t="shared" si="73"/>
        <v>2.8050000000000002</v>
      </c>
      <c r="BQ117" s="1">
        <f t="shared" si="74"/>
        <v>209576.36249999999</v>
      </c>
      <c r="BR117" s="1">
        <f t="shared" si="75"/>
        <v>587861.69681250001</v>
      </c>
      <c r="BS117" s="1">
        <f>IF(BH117=0,0,ROUNDDOWN(AY117*BH117,0)*DV117*IF(Boss参数!$B$29=1,BN117,1)*IF(Boss参数!$B$33=1,BO117,1)*IF(Boss参数!$B$76=1,1-ES117,1))</f>
        <v>0</v>
      </c>
      <c r="BT117" s="1">
        <f t="shared" si="76"/>
        <v>0</v>
      </c>
      <c r="BU117" s="1">
        <f>IF(D117="",0,MIN(IF(Boss参数!$B$77=1,Boss参数!$B$63*Boss参数!$B$62,Boss参数!$B$61*Boss参数!$B$62),DW117+ROUNDDOWN(BS117,0)+ROUNDDOWN(DW117*Q117,0)))</f>
        <v>83830</v>
      </c>
      <c r="BV117" s="1">
        <f>IF(D117="",0,MIN(IF(Boss参数!$B$77=1,Boss参数!$B$63*Boss参数!$B$62,Boss参数!$B$61*Boss参数!$B$62),DX117+ROUNDDOWN(BT117,0)+ROUNDDOWN(DX117*Q117,0)))</f>
        <v>235144</v>
      </c>
      <c r="BW117" s="1">
        <f t="shared" si="77"/>
        <v>235144</v>
      </c>
      <c r="BX117" s="1" t="str">
        <f t="shared" si="78"/>
        <v/>
      </c>
      <c r="BY117" s="1">
        <f t="shared" si="79"/>
        <v>2</v>
      </c>
      <c r="BZ117" s="1">
        <f t="shared" si="80"/>
        <v>1</v>
      </c>
      <c r="CA117" s="1">
        <f>MIN(10,W117+IF(AND(L117="LILYA_COBRA",COUNTIF($L$3:L117,"LILYA_COBRA")=1),5,0)+IF(AND(L117="LILYA_DIVE",U117=1,COUNTIFS($DG$3:DG117,DG117,$L$3:L117,"LILYA_DIVE")=1),2,0)+IF(AND(FE117=1,U117=1),3,0))</f>
        <v>10</v>
      </c>
      <c r="CB117" s="1">
        <f>MIN(20,MAX(0,X117+IF(L117="LILYA_COBRA",IF(COUNTIF($L$3:L117,"LILYA_COBRA")=1,6,IF(U117=1,MAX(1,G117),IF(U117=2,2*MAX(1,G117),0))),0)+IF(AND(Y117=1,E117="红弩箭",L117&lt;&gt;"ENTER_INSIGHT"),1,0)-IF(AND(L117="LILYA_ULT",X117&gt;=6),6,0)))</f>
        <v>6</v>
      </c>
      <c r="CC117" s="1">
        <f t="shared" si="81"/>
        <v>1</v>
      </c>
      <c r="CD117" s="1">
        <f t="shared" si="82"/>
        <v>5</v>
      </c>
      <c r="CE117" s="1">
        <f t="shared" si="83"/>
        <v>4</v>
      </c>
      <c r="CF117" s="1">
        <f t="shared" si="84"/>
        <v>5</v>
      </c>
      <c r="CG117" s="1">
        <f t="shared" si="85"/>
        <v>1</v>
      </c>
      <c r="CH117" s="1">
        <f>MIN(35,AD117+IF(L117="J_HARD",6,0)+IF(L117="J_COUNTER",Boss参数!$B$30,0))</f>
        <v>35</v>
      </c>
      <c r="CI117" s="1">
        <f>MIN(Boss参数!$I$4,AE117+IF(L117="J_HARD",6,0)+IF(L117="J_ULT",AD117,0)+IF(L117="J_COUNTER",Boss参数!$B$30,0))</f>
        <v>15</v>
      </c>
      <c r="CJ117" s="1">
        <f>IF(L117="J_ULT",AD117*Boss参数!$B$41,IF(B117&lt;=AG117,AF117,0))</f>
        <v>0.875</v>
      </c>
      <c r="CK117" s="1">
        <f t="shared" si="86"/>
        <v>9</v>
      </c>
      <c r="CL117" s="1">
        <f t="shared" si="87"/>
        <v>9</v>
      </c>
      <c r="CM117" s="1">
        <f t="shared" si="88"/>
        <v>8</v>
      </c>
      <c r="CN117" s="1">
        <f t="shared" si="89"/>
        <v>9</v>
      </c>
      <c r="CO117" s="1">
        <f t="shared" si="90"/>
        <v>8</v>
      </c>
      <c r="CP117" s="1">
        <f t="shared" si="91"/>
        <v>3</v>
      </c>
      <c r="CQ117" s="1">
        <f t="shared" si="92"/>
        <v>30</v>
      </c>
      <c r="CR117" s="1">
        <f t="shared" si="93"/>
        <v>9</v>
      </c>
      <c r="CS117" s="1">
        <f t="shared" si="94"/>
        <v>5</v>
      </c>
      <c r="CT117" s="1">
        <f t="shared" si="95"/>
        <v>0.12</v>
      </c>
      <c r="CU117" s="1">
        <f t="shared" si="96"/>
        <v>9</v>
      </c>
      <c r="CV117" s="1">
        <f t="shared" si="97"/>
        <v>0.3</v>
      </c>
      <c r="CW117" s="1">
        <f t="shared" si="98"/>
        <v>9</v>
      </c>
      <c r="CX117" s="1">
        <f t="shared" si="99"/>
        <v>0.3</v>
      </c>
      <c r="CY117" s="1">
        <f t="shared" si="100"/>
        <v>9</v>
      </c>
      <c r="CZ117" s="1"/>
      <c r="DA117" s="1"/>
      <c r="DB117" s="1"/>
      <c r="DC117" s="1"/>
      <c r="DD117" s="1"/>
      <c r="DE117" s="1"/>
      <c r="DF117" s="1"/>
      <c r="DG117" s="1" t="str">
        <f>IF(D117="","",行动模拟!B123)</f>
        <v>洞知2</v>
      </c>
      <c r="DH117" s="1" t="str">
        <f>IF(L117="END_TURN","回合结束",IF(D117="","",IF(INDEX(回合状态!$C$7:$C$17,MATCH(DG117,回合状态!$A$7:$A$17,0))="洞穿","洞穿",IF(OR(L117="J_COUNTER",L117="BOSS_ACTION",L117="BOSS_CONSERVATIVE"),"敌方",IF(AND(L117="37_FOLLOW",DG117=DG116,DH116="敌方"),"敌方",IF(INDEX(回合状态!$C$7:$C$17,MATCH(DG117,回合状态!$A$7:$A$17,0))="普通","出牌",INDEX(回合状态!$C$7:$C$17,MATCH(DG117,回合状态!$A$7:$A$17,0))))))))</f>
        <v>洞穿</v>
      </c>
      <c r="DI117" s="1">
        <f t="shared" si="101"/>
        <v>1</v>
      </c>
      <c r="DJ117" s="1">
        <f>IF(D117="",0,MIN(Boss参数!$B$25,IF(OR(AND(DH117="敌方",OR(DH116&lt;&gt;"敌方",DG117&lt;&gt;DG116)),AND(L117="END_TURN",DH117&lt;&gt;"洞穿"),AND(DG117&lt;&gt;DG116,DH116&lt;&gt;"洞穿",L116&lt;&gt;"END_TURN",COUNTIFS($DG$3:DG116,DG116,$DH$3:DH116,"敌方")=0)),EW117,DN116)))</f>
        <v>1</v>
      </c>
      <c r="DK117" s="1">
        <f>IF(D117="",0,MIN(Boss参数!$B$25,IF(OR(AND(DH117="敌方",OR(DH116&lt;&gt;"敌方",DG117&lt;&gt;DG116)),AND(L117="END_TURN",DH117&lt;&gt;"洞穿"),AND(DG117&lt;&gt;DG116,DH116&lt;&gt;"洞穿",L116&lt;&gt;"END_TURN",COUNTIFS($DG$3:DG116,DG116,$DH$3:DH116,"敌方")=0)),EW117,DO116)))</f>
        <v>4</v>
      </c>
      <c r="DL117" s="1">
        <f>IF(D117="",0,MIN(Boss参数!$B$25,IF(OR(AND(DH117="敌方",OR(DH116&lt;&gt;"敌方",DG117&lt;&gt;DG116)),AND(L117="END_TURN",DH117&lt;&gt;"洞穿"),AND(DG117&lt;&gt;DG116,DH116&lt;&gt;"洞穿",L116&lt;&gt;"END_TURN",COUNTIFS($DG$3:DG116,DG116,$DH$3:DH116,"敌方")=0)),EW117,DP116)))</f>
        <v>5</v>
      </c>
      <c r="DM117" s="1">
        <f>IF(D117="",0,MIN(Boss参数!$B$25,IF(OR(AND(DH117="敌方",OR(DH116&lt;&gt;"敌方",DG117&lt;&gt;DG116)),AND(L117="END_TURN",DH117&lt;&gt;"洞穿"),AND(DG117&lt;&gt;DG116,DH116&lt;&gt;"洞穿",L116&lt;&gt;"END_TURN",COUNTIFS($DG$3:DG116,DG116,$DH$3:DH116,"敌方")=0)),EW117,DQ116)))</f>
        <v>5</v>
      </c>
      <c r="DN117" s="1">
        <f>MAX(0,MIN(Boss参数!$B$25,DJ117+DR117)-IF(E117="红弩箭",2*DR117,0))</f>
        <v>0</v>
      </c>
      <c r="DO117" s="1">
        <f>MAX(0,MIN(Boss参数!$B$25,DK117+DR117)-IF(E117="37",2*DR117,0))</f>
        <v>5</v>
      </c>
      <c r="DP117" s="1">
        <f>MAX(0,MIN(Boss参数!$B$25,DL117+DR117)-IF(E117="小瑞安侬",2*DR117,0))</f>
        <v>5</v>
      </c>
      <c r="DQ117" s="1">
        <f>MAX(0,MIN(Boss参数!$B$25,DM117+DR117)-IF(E117="J",2*DR117,0))</f>
        <v>5</v>
      </c>
      <c r="DR117" s="1">
        <f t="shared" si="102"/>
        <v>1</v>
      </c>
      <c r="DS117" s="1">
        <f t="shared" si="103"/>
        <v>1</v>
      </c>
      <c r="DT117" s="1">
        <f>IF(OR(E117="",E117="系统"),0,IF(OR(AND(DS117=1,Boss参数!$B$32=1),L117="RHI_BERRY",OR(AND(INDEX(角色面板!$B$18:$B$21,MATCH(E117,角色面板!$A$18:$A$21,0))="星",Boss参数!$B$4="岩"),AND(INDEX(角色面板!$B$18:$B$21,MATCH(E117,角色面板!$A$18:$A$21,0))="岩",Boss参数!$B$4="兽"),AND(INDEX(角色面板!$B$18:$B$21,MATCH(E117,角色面板!$A$18:$A$21,0))="兽",Boss参数!$B$4="木"),AND(INDEX(角色面板!$B$18:$B$21,MATCH(E117,角色面板!$A$18:$A$21,0))="木",Boss参数!$B$4="星"),AND(INDEX(角色面板!$B$18:$B$21,MATCH(E117,角色面板!$A$18:$A$21,0))="智",Boss参数!$B$4="灵"),AND(INDEX(角色面板!$B$18:$B$21,MATCH(E117,角色面板!$A$18:$A$21,0))="灵",Boss参数!$B$4="智"))),1,0))</f>
        <v>1</v>
      </c>
      <c r="DU117" s="1">
        <f>IF(D117="",0,INDEX(回合状态!$E$7:$E$17,MATCH(DG117,回合状态!$A$7:$A$17,0))+IF(AND(DH117="敌方",OR(INDEX(回合状态!$C$7:$C$17,MATCH(DG117,回合状态!$A$7:$A$17,0))="普通",INDEX(回合状态!$C$7:$C$17,MATCH(DG117,回合状态!$A$7:$A$17,0))="额外")),0.05,0))</f>
        <v>0.35</v>
      </c>
      <c r="DV117" s="1">
        <f>MAX(Boss参数!$B$28,1+IF(AND(E117="37",AC117&gt;0,BH117&gt;0),Boss参数!$B$42,0)-DI117*Boss参数!$B$24+EA117-ER117)</f>
        <v>0</v>
      </c>
      <c r="DW117" s="1">
        <f>MIN(IF(Boss参数!$B$77=1,Boss参数!$B$63*Boss参数!$B$62,Boss参数!$B$61*Boss参数!$B$62),ROUNDDOWN(BQ117*(1-ES117),0))</f>
        <v>83830</v>
      </c>
      <c r="DX117" s="1">
        <f>MIN(IF(Boss参数!$B$77=1,Boss参数!$B$63*Boss参数!$B$62,Boss参数!$B$61*Boss参数!$B$62),ROUNDDOWN(BR117*(1-ES117),0))</f>
        <v>235144</v>
      </c>
      <c r="DY117" s="1">
        <f t="shared" si="135"/>
        <v>250</v>
      </c>
      <c r="DZ117" s="1">
        <f>IF(L117="RHI_ULT",MIN(Boss参数!$B$48,ROUNDDOWN(AY117*Boss参数!$B$47,0)),DY117)</f>
        <v>250</v>
      </c>
      <c r="EA117" s="1">
        <v>0</v>
      </c>
      <c r="EB117" s="1">
        <f t="shared" si="104"/>
        <v>0</v>
      </c>
      <c r="EC117" s="1">
        <f>SUMIFS($EB$3:EB117,$B$3:B117,"&gt;="&amp;MAX(1,B117-2),$B$3:B117,"&lt;="&amp;B117)*Boss参数!$B$51</f>
        <v>12</v>
      </c>
      <c r="ED117" s="1">
        <f>IF(D117="",EG116,IF(AND(DG117&lt;&gt;DG116,DH117&lt;&gt;"洞穿"),MIN(Boss参数!$B$55,EG116+2),EG116))</f>
        <v>0</v>
      </c>
      <c r="EE117" s="1">
        <f t="shared" si="105"/>
        <v>0</v>
      </c>
      <c r="EF117" s="1">
        <f>IF(AND(OR(L117="END_TURN",AND(DH117="敌方",OR(DH116&lt;&gt;"敌方",DG117&lt;&gt;DG116))),SUMIFS($EF$3:EF116,$DG$3:DG116,DG117)=0),MIN(1,MAX(0,ED117-EE117)),0)</f>
        <v>0</v>
      </c>
      <c r="EG117" s="1">
        <f t="shared" si="106"/>
        <v>0</v>
      </c>
      <c r="EH117" s="1">
        <f>Boss参数!$B$53-IF(Y117=1,Boss参数!$B$54,0)</f>
        <v>-0.4</v>
      </c>
      <c r="EI117" s="1">
        <f t="shared" si="107"/>
        <v>0.3</v>
      </c>
      <c r="EJ117" s="1">
        <f t="shared" si="108"/>
        <v>0.3</v>
      </c>
      <c r="EK117" s="1">
        <f t="shared" si="109"/>
        <v>1.7999999999999998</v>
      </c>
      <c r="EL117" s="1">
        <f t="shared" si="136"/>
        <v>0</v>
      </c>
      <c r="EM117" s="1">
        <f>IF(AND(DG117&lt;&gt;DG116,DH117="洞穿"),0,IF(L117="ENTER_INSIGHT",Boss参数!$B$57,EO116))</f>
        <v>0</v>
      </c>
      <c r="EN117" s="1">
        <f>IF(AND(Y117=1,H117="洞知",EM117&gt;0),Boss参数!$B$56,0)</f>
        <v>0</v>
      </c>
      <c r="EO117" s="1">
        <f t="shared" si="110"/>
        <v>0</v>
      </c>
      <c r="EP117" s="1">
        <f t="shared" si="137"/>
        <v>16949374</v>
      </c>
      <c r="EQ117" s="1">
        <f>ROUNDDOWN(EP117/Boss参数!$B$62,0)</f>
        <v>169</v>
      </c>
      <c r="ER117" s="1">
        <f>IF(EQ117&gt;=Boss参数!$B$66,Boss参数!$B$69,IF(EQ117&gt;=Boss参数!$B$65,Boss参数!$B$68,IF(EQ117&gt;=Boss参数!$B$64,Boss参数!$B$67,0)))</f>
        <v>0.9</v>
      </c>
      <c r="ES117" s="1">
        <f>MIN(1,IF(EQ117&gt;=Boss参数!$B$66,Boss参数!$B$72+ROUNDDOWN((EQ117-Boss参数!$B$66)/Boss参数!$B$73,0)*Boss参数!$B$74,IF(EQ117&gt;=Boss参数!$B$65,Boss参数!$B$71,IF(EQ117&gt;=Boss参数!$B$64,Boss参数!$B$70,0))))</f>
        <v>0.6</v>
      </c>
      <c r="ET117" s="1">
        <f>MIN(Boss参数!$B$61*Boss参数!$B$62,EP117+IF(AND(Boss参数!$B$60=1,ISNUMBER(验证表!H123)),验证表!H123,EU117))</f>
        <v>17184518</v>
      </c>
      <c r="EU117" s="1">
        <f>IF(D117="",0,IF(验证表!G123="是",BV117,IF(验证表!G123="否",BU117,BW117)))</f>
        <v>235144</v>
      </c>
      <c r="EV117" s="1">
        <f>IF(EQ117&gt;=Boss参数!$B$66,2,IF(EQ117&gt;=Boss参数!$B$65,1,0))</f>
        <v>2</v>
      </c>
      <c r="EW117" s="1">
        <f t="shared" si="111"/>
        <v>3</v>
      </c>
      <c r="EX117" s="1">
        <f>IF(D117="",0,INDEX(回合状态!$D$7:$D$17,MATCH(DG117,回合状态!$A$7:$A$17,0)))</f>
        <v>8</v>
      </c>
      <c r="EY117" s="1">
        <f>IF(OR(L117="RHI_ATTACK",L117="RHI_BUFF"),1,IF(L117="RHI_ULT",Boss参数!$B$52,0))</f>
        <v>0</v>
      </c>
      <c r="EZ117" s="1">
        <f>MIN(6,SUMIFS($EY$3:EY117,$EX$3:EX117,"&gt;="&amp;MAX(1,EX117-Boss参数!$B$87+1),$EX$3:EX117,"&lt;="&amp;EX117))</f>
        <v>4</v>
      </c>
      <c r="FA117" s="1">
        <f t="shared" si="138"/>
        <v>35</v>
      </c>
      <c r="FB117" s="17">
        <f>IF(L117="BOSS_CONSERVATIVE",B117+Boss参数!$B$91,FB116)</f>
        <v>7</v>
      </c>
      <c r="FC117" s="17">
        <f t="shared" si="139"/>
        <v>0</v>
      </c>
      <c r="FD117" s="17">
        <f>IF(D117="",FD116,FD116+IF(AND(DG117&lt;&gt;DG116,INDEX(回合状态!$C$7:$C$17,MATCH(DG117,回合状态!$A$7:$A$17,0))&lt;&gt;"洞穿"),1,0))</f>
        <v>8</v>
      </c>
      <c r="FE117" s="17">
        <f>IF(D117="",0,IF(AND(OR(L117="END_TURN",DH117="敌方"),INDEX(回合状态!$C$7:$C$17,MATCH(DG117,回合状态!$A$7:$A$17,0))&lt;&gt;"洞穿",SUMIFS($FE$3:FE116,$DG$3:DG116,DG117)=0),1,0))</f>
        <v>0</v>
      </c>
    </row>
    <row r="118" spans="1:161" ht="84.95" customHeight="1">
      <c r="A118" s="1">
        <f>行动模拟!A124</f>
        <v>116</v>
      </c>
      <c r="B118" s="1">
        <f>IF(D118="",0,INDEX(回合状态!$B$7:$B$17,MATCH(DG118,回合状态!$A$7:$A$17,0)))</f>
        <v>7</v>
      </c>
      <c r="C118" s="1">
        <f>行动模拟!C124</f>
        <v>6</v>
      </c>
      <c r="D118" s="1" t="str">
        <f>IF(行动模拟!D124="","",行动模拟!D124)</f>
        <v>红弩箭｜洞知咒语</v>
      </c>
      <c r="E118" s="1" t="str">
        <f>IF($D118="","",IFERROR(INDEX(技能数据库!$B$4:$B$38,MATCH($D118,技能数据库!$A$4:$A$38,0)),""))</f>
        <v>红弩箭</v>
      </c>
      <c r="F118" s="1" t="str">
        <f>IF($D118="","",IFERROR(INDEX(技能数据库!$C$4:$C$38,MATCH($D118,技能数据库!$A$4:$A$38,0)),""))</f>
        <v>洞知咒语</v>
      </c>
      <c r="G118" s="1">
        <f>IF($D118="","",IFERROR(INDEX(技能数据库!$D$4:$D$38,MATCH($D118,技能数据库!$A$4:$A$38,0)),""))</f>
        <v>0</v>
      </c>
      <c r="H118" s="1" t="str">
        <f>IF($D118="","",IFERROR(INDEX(技能数据库!$E$4:$E$38,MATCH($D118,技能数据库!$A$4:$A$38,0)),""))</f>
        <v>洞知</v>
      </c>
      <c r="I118" s="1" t="str">
        <f>IF($D118="","",IFERROR(INDEX(技能数据库!$F$4:$F$38,MATCH($D118,技能数据库!$A$4:$A$38,0)),""))</f>
        <v>现实</v>
      </c>
      <c r="J118" s="1">
        <f>IF($D118="","",IFERROR(INDEX(技能数据库!$G$4:$G$38,MATCH($D118,技能数据库!$A$4:$A$38,0)),""))</f>
        <v>15</v>
      </c>
      <c r="K118" s="1">
        <f>IF($D118="","",IFERROR(INDEX(技能数据库!$H$4:$H$38,MATCH($D118,技能数据库!$A$4:$A$38,0)),""))</f>
        <v>0</v>
      </c>
      <c r="L118" s="1" t="str">
        <f>IF($D118="","",IFERROR(INDEX(技能数据库!$I$4:$I$38,MATCH($D118,技能数据库!$A$4:$A$38,0)),""))</f>
        <v>LILYA_INSIGHT</v>
      </c>
      <c r="M118" s="1">
        <v>1</v>
      </c>
      <c r="N118" s="1"/>
      <c r="O118" s="1"/>
      <c r="P118" s="1"/>
      <c r="Q118" s="1">
        <f t="shared" si="70"/>
        <v>0</v>
      </c>
      <c r="R118" s="1">
        <v>0</v>
      </c>
      <c r="S118" s="1">
        <v>0</v>
      </c>
      <c r="T118" s="1">
        <f>行动模拟!I124</f>
        <v>0</v>
      </c>
      <c r="U118" s="1">
        <f>IF(FD118&lt;&gt;FD117,IF(BY117=1,IF(MIN(10,CA117+IF(AND(DG118&lt;&gt;DG117,DH117&lt;&gt;"洞穿",SUMIFS($FE$3:FE117,$DG$3:DG117,DG117)=0,BY117=1),3,0))&gt;=10,2,1),IF(BY117=2,IF(BZ117&lt;=1,0,2),0)),BY117)</f>
        <v>2</v>
      </c>
      <c r="V118" s="1">
        <f>IF(FD118&lt;&gt;FD117,IF(BY117=1,IF(MIN(10,CA117+IF(AND(DG118&lt;&gt;DG117,DH117&lt;&gt;"洞穿",SUMIFS($FE$3:FE117,$DG$3:DG117,DG117)=0,BY117=1),3,0))&gt;=10,2,0),IF(BY117=2,MAX(0,BZ117-1),0)),BZ117)</f>
        <v>1</v>
      </c>
      <c r="W118" s="1">
        <f>IF(AND(FD118&lt;&gt;FD117,BY117=2,BZ117&lt;=1),0,MIN(10,CA117+IF(AND(DG118&lt;&gt;DG117,DH117&lt;&gt;"洞穿",SUMIFS($FE$3:FE117,$DG$3:DG117,DG117)=0,BY117=1),3,0)))</f>
        <v>10</v>
      </c>
      <c r="X118" s="1">
        <f t="shared" si="112"/>
        <v>6</v>
      </c>
      <c r="Y118" s="1">
        <f t="shared" si="113"/>
        <v>1</v>
      </c>
      <c r="Z118" s="1">
        <f t="shared" si="114"/>
        <v>5</v>
      </c>
      <c r="AA118" s="1">
        <f t="shared" si="115"/>
        <v>4</v>
      </c>
      <c r="AB118" s="1">
        <f t="shared" si="116"/>
        <v>5</v>
      </c>
      <c r="AC118" s="1">
        <f t="shared" si="117"/>
        <v>1</v>
      </c>
      <c r="AD118" s="1">
        <f t="shared" si="118"/>
        <v>35</v>
      </c>
      <c r="AE118" s="1">
        <f>IF(D118="",0,IF(DG118&lt;&gt;DG117,IFERROR(INDEX(回合状态!$F$7:$F$17,MATCH(DG118,回合状态!$A$7:$A$17,0)),0),CI117))</f>
        <v>15</v>
      </c>
      <c r="AF118" s="1">
        <f t="shared" si="119"/>
        <v>0.875</v>
      </c>
      <c r="AG118" s="1">
        <f t="shared" si="120"/>
        <v>9</v>
      </c>
      <c r="AH118" s="1">
        <f t="shared" si="121"/>
        <v>9</v>
      </c>
      <c r="AI118" s="1">
        <f t="shared" si="122"/>
        <v>8</v>
      </c>
      <c r="AJ118" s="1">
        <f t="shared" si="123"/>
        <v>9</v>
      </c>
      <c r="AK118" s="1">
        <f t="shared" si="124"/>
        <v>8</v>
      </c>
      <c r="AL118" s="1">
        <f t="shared" si="125"/>
        <v>3</v>
      </c>
      <c r="AM118" s="1">
        <f t="shared" si="126"/>
        <v>30</v>
      </c>
      <c r="AN118" s="1">
        <f t="shared" si="127"/>
        <v>9</v>
      </c>
      <c r="AO118" s="1">
        <f t="shared" si="128"/>
        <v>5</v>
      </c>
      <c r="AP118" s="1">
        <f t="shared" si="129"/>
        <v>0.12</v>
      </c>
      <c r="AQ118" s="1">
        <f t="shared" si="130"/>
        <v>9</v>
      </c>
      <c r="AR118" s="1">
        <f t="shared" si="131"/>
        <v>0.3</v>
      </c>
      <c r="AS118" s="1">
        <f t="shared" si="132"/>
        <v>9</v>
      </c>
      <c r="AT118" s="1">
        <f t="shared" si="133"/>
        <v>0.3</v>
      </c>
      <c r="AU118" s="1">
        <f t="shared" si="134"/>
        <v>9</v>
      </c>
      <c r="AV118" s="1">
        <f>MIN(5,SUMIFS($EL$3:EL118,$B$3:B118,"&gt;="&amp;MAX(1,B118-2),$B$3:B118,"&lt;="&amp;B118)+EC118)</f>
        <v>5</v>
      </c>
      <c r="AW118" s="1">
        <f>MIN(6,SUMIFS($EY$3:EY117,$EX$3:EX117,"&gt;="&amp;MAX(1,EX118-Boss参数!$B$87+1),$EX$3:EX117,"&lt;="&amp;EX118))</f>
        <v>4</v>
      </c>
      <c r="AX118" s="1">
        <f>MIN(4,COUNTIFS($B$3:$B$117,"&gt;="&amp;MAX(1,$B118-2),$B$3:$B$117,"&lt;="&amp;$B118,$L$3:$L$117,"37_FOLLOW"))</f>
        <v>4</v>
      </c>
      <c r="AY118" s="1">
        <f>IF($E118="","",IF($E118="系统",0,ROUNDDOWN(INDEX(角色面板!$C$4:$C$7,MATCH($E118,角色面板!$A$4:$A$7,0))*(1+INDEX(角色面板!$C$11:$C$14,MATCH($E118,角色面板!$A$11:$A$14,0))+IF($E118="小瑞安侬",MAX(IF($B118&lt;=$AQ118,$AP118,0),IF(AND($L118="RHI_ATTACK",$EE118&gt;0),0.11+0.01*$G118,0)),0)+IF($E118="J",$AD118*Boss参数!$B$18,0))+IF(FD118&lt;=$AN118,MIN(Boss参数!$B$21,ROUNDDOWN(角色面板!$C$19*Boss参数!$B$20,0)),0)+IF(AND($B118&lt;=$AK118,$E118&lt;&gt;"小瑞安侬"),$DY118,0),0)))</f>
        <v>3505</v>
      </c>
      <c r="AZ118" s="1">
        <f>IF($E118="","",MAX(0,MIN(1,IFERROR(INDEX(角色面板!$G$18:$G$21,MATCH($E118,角色面板!$A$18:$A$21,0)),0)-FC118*Boss参数!$B$89-Boss参数!$E$4)))</f>
        <v>1</v>
      </c>
      <c r="BA118" s="1">
        <f>IF(E118="","",(IF($E118="","",IF($E118="红弩箭",Boss参数!$B$80,IF($E118="J",Boss参数!$B$81,IFERROR(INDEX(角色面板!$H$18:$H$21,MATCH($E118,角色面板!$A$18:$A$21,0)),0)))+IF($B118&lt;=$AI118,Boss参数!$B$13,0)+MIN(30,$AM118)*Boss参数!$B$17+IF(AND($L118="LILYA_ULT",$X118&gt;=6),1,0)+IF(AND($Y118=1,$L118="LILYA_INSIGHT"),IF(MOD($AA118+1,3)=0,Boss参数!$B$83,Boss参数!$B$82),IF(AND($Y118=1,$L118="LILYA_FINISH"),Boss参数!$B$84,0))))-FC118*Boss参数!$B$90)</f>
        <v>2.9050000000000002</v>
      </c>
      <c r="BB118" s="1">
        <f>IF($E118="","",IFERROR(INDEX(角色面板!$M$18:$M$21,MATCH($E118,角色面板!$A$18:$A$21,0)),0)+$AW118*Boss参数!$B$12+IF($B118&lt;=$AG118,$AF118,0)+$EI118+IF($L118="LILYA_DIVE",IF($U118=1,IF($G118=1,0.3,IF($G118=2,0.4,0.5)),IF($U118=2,IF($G118=1,0.6,IF($G118=2,0.8,1)),0)),0)+$R118+IF(AND($E118="J",OR($L118="J_COUNTER",$L118="J_HARD")),Boss参数!$B$79,0)+IF(AND(OR(L118="J_COUNTER",L118="J_HARD"),FA118&gt;=Boss参数!$B$59),FA118*Boss参数!$B$40,0))</f>
        <v>1.4950000000000001</v>
      </c>
      <c r="BC118" s="1">
        <f>IF($E118="","",IFERROR(INDEX(角色面板!$K$18:$K$21,MATCH($E118,角色面板!$A$18:$A$21,0)),0)+IF($B118&lt;=$AH118,Boss参数!$B$46,0)+IF($E118="红弩箭",IF($U118=1,0.6,IF($U118=2,1.2,0))+$W118*0.06,0))-DI118*Boss参数!$B$23</f>
        <v>1.6999999999999997</v>
      </c>
      <c r="BD118" s="1">
        <f>IF($E118="","",IFERROR(INDEX(角色面板!$L$18:$L$21,MATCH($E118,角色面板!$A$18:$A$21,0)),0)+IF($B118&lt;=$AH118,Boss参数!$B$46,0)+IF($E118="J",$AL118*Boss参数!$B$16,0)+IF($E118="红弩箭",$X118*0.025,0)+IF(AND($L118="LILYA_ULT",$X118&gt;=6),1,0))-DI118*Boss参数!$B$23</f>
        <v>0.45</v>
      </c>
      <c r="BE118" s="1">
        <f>IF($E118="","",IF($H118="洞知",IF($E118="红弩箭",$AO118*Boss参数!$B$15,0)+$AX118*Boss参数!$B$14,0))</f>
        <v>0.45999999999999996</v>
      </c>
      <c r="BF118" s="1">
        <f t="shared" si="71"/>
        <v>0</v>
      </c>
      <c r="BG118" s="1">
        <f>IF($D118="",0,IF(AND($L118&lt;&gt;"LILYA_DIVE",$L118&lt;&gt;"LILYA_ULT",$L118&lt;&gt;"LILYA_INSIGHT",$L118&lt;&gt;"LILYA_FINISH",$L118&lt;&gt;"37_FOLLOW",$L118&lt;&gt;"RHI_ATTACK",$L118&lt;&gt;"RHI_BERRY",$L118&lt;&gt;"J_COUNTER",$L118&lt;&gt;"J_ULT"),$J118,0)+IF($L118="LILYA_DIVE",$J118+IF($U118=1,IF($G118=1,6,IF($G118=2,12,18)),IF($U118=2,IF($G118=1,12,IF($G118=2,24,36)),0)),0)+IF($L118="LILYA_ULT",$J118+IF($X118&gt;=6,18,0),0)+IF($L118="LILYA_INSIGHT",IF($Y118=1,IF(MOD($AA118+1,3)=0,32,15),0),0)+IF($L118="LILYA_FINISH",IF($Y118=1,50+2.5*$Z118,0),0)+IF($L118="37_FOLLOW",$J118,0)+IF($L118="RHI_ATTACK",$J118*IF($B118&lt;=$AJ118,2,1),0)+IF($L118="RHI_BERRY",15+1.5*$AV118,0)+IF($L118="J_COUNTER",$J118+$AD118*Boss参数!$B$39,0)+IF($L118="J_ULT",$J118+Boss参数!$B$45*MAX(0,$AE118+$AD118-Boss参数!$I$4),0)+$S118)</f>
        <v>15</v>
      </c>
      <c r="BH118" s="1">
        <f t="shared" si="72"/>
        <v>0</v>
      </c>
      <c r="BI118" s="1">
        <f>IF(E118="","",IF(DT118=1,1+Boss参数!$B$8+AV118*Boss参数!$B$19,1))</f>
        <v>1.5</v>
      </c>
      <c r="BJ118" s="1">
        <f>IF($I118="现实",Boss参数!$C$4,IF($I118="精神",Boss参数!$D$4,0))</f>
        <v>1200</v>
      </c>
      <c r="BK118" s="1">
        <f>IF($E118="","",MAX($AY118*Boss参数!$B$9,$AY118-$BJ118*(1-$BF118)))</f>
        <v>2305</v>
      </c>
      <c r="BL118" s="1">
        <f>MAX(0,Boss参数!$F$4+IF(DT118=0,Boss参数!$B$27,0)-EJ118)</f>
        <v>0.10000000000000003</v>
      </c>
      <c r="BM118" s="1">
        <f>Boss参数!$G$4+DU118-IF(Y118=1,Boss参数!$B$11,0)</f>
        <v>0.35</v>
      </c>
      <c r="BN118" s="1">
        <f>IF($E118="","",MAX(Boss参数!$B$10,1+IFERROR(INDEX(角色面板!$I$18:$I$21,MATCH($E118,角色面板!$A$18:$A$21,0)),0)+$BB118+Boss参数!$H$4-$BM118))</f>
        <v>2.2450000000000001</v>
      </c>
      <c r="BO118" s="1">
        <f>IF(E118="","",IF(OR(L118="J_COUNTER",L118="J_HARD"),MAX(0,1+INDEX(角色面板!$K$18:$K$21,MATCH(E118,角色面板!$A$18:$A$21,0))-DI118*Boss参数!$B$23+IF(OR(Boss参数!$B$43=1,L118="J_HARD"),IF(B118&lt;=AH118,Boss参数!$B$46,0),0)),MAX(0,IF(OR(H118="术法",L118="RHI_BERRY",AND(L118="37_FOLLOW",Boss参数!$B$31=1)),1+BC118,IF(H118="仪式",1+BD118,IF(H118="洞知",EK118,1))))))</f>
        <v>1.8599999999999999</v>
      </c>
      <c r="BP118" s="1">
        <f t="shared" si="73"/>
        <v>2.8050000000000002</v>
      </c>
      <c r="BQ118" s="1">
        <f t="shared" si="74"/>
        <v>216562.24124999996</v>
      </c>
      <c r="BR118" s="1">
        <f t="shared" si="75"/>
        <v>607457.08670624997</v>
      </c>
      <c r="BS118" s="1">
        <f>IF(BH118=0,0,ROUNDDOWN(AY118*BH118,0)*DV118*IF(Boss参数!$B$29=1,BN118,1)*IF(Boss参数!$B$33=1,BO118,1)*IF(Boss参数!$B$76=1,1-ES118,1))</f>
        <v>0</v>
      </c>
      <c r="BT118" s="1">
        <f t="shared" si="76"/>
        <v>0</v>
      </c>
      <c r="BU118" s="1">
        <f>IF(D118="",0,MIN(IF(Boss参数!$B$77=1,Boss参数!$B$63*Boss参数!$B$62,Boss参数!$B$61*Boss参数!$B$62),DW118+ROUNDDOWN(BS118,0)+ROUNDDOWN(DW118*Q118,0)))</f>
        <v>86624</v>
      </c>
      <c r="BV118" s="1">
        <f>IF(D118="",0,MIN(IF(Boss参数!$B$77=1,Boss参数!$B$63*Boss参数!$B$62,Boss参数!$B$61*Boss参数!$B$62),DX118+ROUNDDOWN(BT118,0)+ROUNDDOWN(DX118*Q118,0)))</f>
        <v>242982</v>
      </c>
      <c r="BW118" s="1">
        <f t="shared" si="77"/>
        <v>242982</v>
      </c>
      <c r="BX118" s="1" t="str">
        <f t="shared" si="78"/>
        <v/>
      </c>
      <c r="BY118" s="1">
        <f t="shared" si="79"/>
        <v>2</v>
      </c>
      <c r="BZ118" s="1">
        <f t="shared" si="80"/>
        <v>1</v>
      </c>
      <c r="CA118" s="1">
        <f>MIN(10,W118+IF(AND(L118="LILYA_COBRA",COUNTIF($L$3:L118,"LILYA_COBRA")=1),5,0)+IF(AND(L118="LILYA_DIVE",U118=1,COUNTIFS($DG$3:DG118,DG118,$L$3:L118,"LILYA_DIVE")=1),2,0)+IF(AND(FE118=1,U118=1),3,0))</f>
        <v>10</v>
      </c>
      <c r="CB118" s="1">
        <f>MIN(20,MAX(0,X118+IF(L118="LILYA_COBRA",IF(COUNTIF($L$3:L118,"LILYA_COBRA")=1,6,IF(U118=1,MAX(1,G118),IF(U118=2,2*MAX(1,G118),0))),0)+IF(AND(Y118=1,E118="红弩箭",L118&lt;&gt;"ENTER_INSIGHT"),1,0)-IF(AND(L118="LILYA_ULT",X118&gt;=6),6,0)))</f>
        <v>7</v>
      </c>
      <c r="CC118" s="1">
        <f t="shared" si="81"/>
        <v>1</v>
      </c>
      <c r="CD118" s="1">
        <f t="shared" si="82"/>
        <v>6</v>
      </c>
      <c r="CE118" s="1">
        <f t="shared" si="83"/>
        <v>5</v>
      </c>
      <c r="CF118" s="1">
        <f t="shared" si="84"/>
        <v>6</v>
      </c>
      <c r="CG118" s="1">
        <f t="shared" si="85"/>
        <v>1</v>
      </c>
      <c r="CH118" s="1">
        <f>MIN(35,AD118+IF(L118="J_HARD",6,0)+IF(L118="J_COUNTER",Boss参数!$B$30,0))</f>
        <v>35</v>
      </c>
      <c r="CI118" s="1">
        <f>MIN(Boss参数!$I$4,AE118+IF(L118="J_HARD",6,0)+IF(L118="J_ULT",AD118,0)+IF(L118="J_COUNTER",Boss参数!$B$30,0))</f>
        <v>15</v>
      </c>
      <c r="CJ118" s="1">
        <f>IF(L118="J_ULT",AD118*Boss参数!$B$41,IF(B118&lt;=AG118,AF118,0))</f>
        <v>0.875</v>
      </c>
      <c r="CK118" s="1">
        <f t="shared" si="86"/>
        <v>9</v>
      </c>
      <c r="CL118" s="1">
        <f t="shared" si="87"/>
        <v>9</v>
      </c>
      <c r="CM118" s="1">
        <f t="shared" si="88"/>
        <v>8</v>
      </c>
      <c r="CN118" s="1">
        <f t="shared" si="89"/>
        <v>9</v>
      </c>
      <c r="CO118" s="1">
        <f t="shared" si="90"/>
        <v>8</v>
      </c>
      <c r="CP118" s="1">
        <f t="shared" si="91"/>
        <v>3</v>
      </c>
      <c r="CQ118" s="1">
        <f t="shared" si="92"/>
        <v>30</v>
      </c>
      <c r="CR118" s="1">
        <f t="shared" si="93"/>
        <v>9</v>
      </c>
      <c r="CS118" s="1">
        <f t="shared" si="94"/>
        <v>6</v>
      </c>
      <c r="CT118" s="1">
        <f t="shared" si="95"/>
        <v>0.12</v>
      </c>
      <c r="CU118" s="1">
        <f t="shared" si="96"/>
        <v>9</v>
      </c>
      <c r="CV118" s="1">
        <f t="shared" si="97"/>
        <v>0.3</v>
      </c>
      <c r="CW118" s="1">
        <f t="shared" si="98"/>
        <v>9</v>
      </c>
      <c r="CX118" s="1">
        <f t="shared" si="99"/>
        <v>0.3</v>
      </c>
      <c r="CY118" s="1">
        <f t="shared" si="100"/>
        <v>9</v>
      </c>
      <c r="CZ118" s="1"/>
      <c r="DA118" s="1"/>
      <c r="DB118" s="1"/>
      <c r="DC118" s="1"/>
      <c r="DD118" s="1"/>
      <c r="DE118" s="1"/>
      <c r="DF118" s="1"/>
      <c r="DG118" s="1" t="str">
        <f>IF(D118="","",行动模拟!B124)</f>
        <v>洞知2</v>
      </c>
      <c r="DH118" s="1" t="str">
        <f>IF(L118="END_TURN","回合结束",IF(D118="","",IF(INDEX(回合状态!$C$7:$C$17,MATCH(DG118,回合状态!$A$7:$A$17,0))="洞穿","洞穿",IF(OR(L118="J_COUNTER",L118="BOSS_ACTION",L118="BOSS_CONSERVATIVE"),"敌方",IF(AND(L118="37_FOLLOW",DG118=DG117,DH117="敌方"),"敌方",IF(INDEX(回合状态!$C$7:$C$17,MATCH(DG118,回合状态!$A$7:$A$17,0))="普通","出牌",INDEX(回合状态!$C$7:$C$17,MATCH(DG118,回合状态!$A$7:$A$17,0))))))))</f>
        <v>洞穿</v>
      </c>
      <c r="DI118" s="1">
        <f t="shared" si="101"/>
        <v>0</v>
      </c>
      <c r="DJ118" s="1">
        <f>IF(D118="",0,MIN(Boss参数!$B$25,IF(OR(AND(DH118="敌方",OR(DH117&lt;&gt;"敌方",DG118&lt;&gt;DG117)),AND(L118="END_TURN",DH118&lt;&gt;"洞穿"),AND(DG118&lt;&gt;DG117,DH117&lt;&gt;"洞穿",L117&lt;&gt;"END_TURN",COUNTIFS($DG$3:DG117,DG117,$DH$3:DH117,"敌方")=0)),EW118,DN117)))</f>
        <v>0</v>
      </c>
      <c r="DK118" s="1">
        <f>IF(D118="",0,MIN(Boss参数!$B$25,IF(OR(AND(DH118="敌方",OR(DH117&lt;&gt;"敌方",DG118&lt;&gt;DG117)),AND(L118="END_TURN",DH118&lt;&gt;"洞穿"),AND(DG118&lt;&gt;DG117,DH117&lt;&gt;"洞穿",L117&lt;&gt;"END_TURN",COUNTIFS($DG$3:DG117,DG117,$DH$3:DH117,"敌方")=0)),EW118,DO117)))</f>
        <v>5</v>
      </c>
      <c r="DL118" s="1">
        <f>IF(D118="",0,MIN(Boss参数!$B$25,IF(OR(AND(DH118="敌方",OR(DH117&lt;&gt;"敌方",DG118&lt;&gt;DG117)),AND(L118="END_TURN",DH118&lt;&gt;"洞穿"),AND(DG118&lt;&gt;DG117,DH117&lt;&gt;"洞穿",L117&lt;&gt;"END_TURN",COUNTIFS($DG$3:DG117,DG117,$DH$3:DH117,"敌方")=0)),EW118,DP117)))</f>
        <v>5</v>
      </c>
      <c r="DM118" s="1">
        <f>IF(D118="",0,MIN(Boss参数!$B$25,IF(OR(AND(DH118="敌方",OR(DH117&lt;&gt;"敌方",DG118&lt;&gt;DG117)),AND(L118="END_TURN",DH118&lt;&gt;"洞穿"),AND(DG118&lt;&gt;DG117,DH117&lt;&gt;"洞穿",L117&lt;&gt;"END_TURN",COUNTIFS($DG$3:DG117,DG117,$DH$3:DH117,"敌方")=0)),EW118,DQ117)))</f>
        <v>5</v>
      </c>
      <c r="DN118" s="1">
        <f>MAX(0,MIN(Boss参数!$B$25,DJ118+DR118)-IF(E118="红弩箭",2*DR118,0))</f>
        <v>0</v>
      </c>
      <c r="DO118" s="1">
        <f>MAX(0,MIN(Boss参数!$B$25,DK118+DR118)-IF(E118="37",2*DR118,0))</f>
        <v>5</v>
      </c>
      <c r="DP118" s="1">
        <f>MAX(0,MIN(Boss参数!$B$25,DL118+DR118)-IF(E118="小瑞安侬",2*DR118,0))</f>
        <v>5</v>
      </c>
      <c r="DQ118" s="1">
        <f>MAX(0,MIN(Boss参数!$B$25,DM118+DR118)-IF(E118="J",2*DR118,0))</f>
        <v>5</v>
      </c>
      <c r="DR118" s="1">
        <f t="shared" si="102"/>
        <v>0</v>
      </c>
      <c r="DS118" s="1">
        <f t="shared" si="103"/>
        <v>1</v>
      </c>
      <c r="DT118" s="1">
        <f>IF(OR(E118="",E118="系统"),0,IF(OR(AND(DS118=1,Boss参数!$B$32=1),L118="RHI_BERRY",OR(AND(INDEX(角色面板!$B$18:$B$21,MATCH(E118,角色面板!$A$18:$A$21,0))="星",Boss参数!$B$4="岩"),AND(INDEX(角色面板!$B$18:$B$21,MATCH(E118,角色面板!$A$18:$A$21,0))="岩",Boss参数!$B$4="兽"),AND(INDEX(角色面板!$B$18:$B$21,MATCH(E118,角色面板!$A$18:$A$21,0))="兽",Boss参数!$B$4="木"),AND(INDEX(角色面板!$B$18:$B$21,MATCH(E118,角色面板!$A$18:$A$21,0))="木",Boss参数!$B$4="星"),AND(INDEX(角色面板!$B$18:$B$21,MATCH(E118,角色面板!$A$18:$A$21,0))="智",Boss参数!$B$4="灵"),AND(INDEX(角色面板!$B$18:$B$21,MATCH(E118,角色面板!$A$18:$A$21,0))="灵",Boss参数!$B$4="智"))),1,0))</f>
        <v>1</v>
      </c>
      <c r="DU118" s="1">
        <f>IF(D118="",0,INDEX(回合状态!$E$7:$E$17,MATCH(DG118,回合状态!$A$7:$A$17,0))+IF(AND(DH118="敌方",OR(INDEX(回合状态!$C$7:$C$17,MATCH(DG118,回合状态!$A$7:$A$17,0))="普通",INDEX(回合状态!$C$7:$C$17,MATCH(DG118,回合状态!$A$7:$A$17,0))="额外")),0.05,0))</f>
        <v>0.35</v>
      </c>
      <c r="DV118" s="1">
        <f>MAX(Boss参数!$B$28,1+IF(AND(E118="37",AC118&gt;0,BH118&gt;0),Boss参数!$B$42,0)-DI118*Boss参数!$B$24+EA118-ER118)</f>
        <v>9.9999999999999978E-2</v>
      </c>
      <c r="DW118" s="1">
        <f>MIN(IF(Boss参数!$B$77=1,Boss参数!$B$63*Boss参数!$B$62,Boss参数!$B$61*Boss参数!$B$62),ROUNDDOWN(BQ118*(1-ES118),0))</f>
        <v>86624</v>
      </c>
      <c r="DX118" s="1">
        <f>MIN(IF(Boss参数!$B$77=1,Boss参数!$B$63*Boss参数!$B$62,Boss参数!$B$61*Boss参数!$B$62),ROUNDDOWN(BR118*(1-ES118),0))</f>
        <v>242982</v>
      </c>
      <c r="DY118" s="1">
        <f t="shared" si="135"/>
        <v>250</v>
      </c>
      <c r="DZ118" s="1">
        <f>IF(L118="RHI_ULT",MIN(Boss参数!$B$48,ROUNDDOWN(AY118*Boss参数!$B$47,0)),DY118)</f>
        <v>250</v>
      </c>
      <c r="EA118" s="1">
        <v>0</v>
      </c>
      <c r="EB118" s="1">
        <f t="shared" si="104"/>
        <v>0</v>
      </c>
      <c r="EC118" s="1">
        <f>SUMIFS($EB$3:EB118,$B$3:B118,"&gt;="&amp;MAX(1,B118-2),$B$3:B118,"&lt;="&amp;B118)*Boss参数!$B$51</f>
        <v>12</v>
      </c>
      <c r="ED118" s="1">
        <f>IF(D118="",EG117,IF(AND(DG118&lt;&gt;DG117,DH118&lt;&gt;"洞穿"),MIN(Boss参数!$B$55,EG117+2),EG117))</f>
        <v>0</v>
      </c>
      <c r="EE118" s="1">
        <f t="shared" si="105"/>
        <v>0</v>
      </c>
      <c r="EF118" s="1">
        <f>IF(AND(OR(L118="END_TURN",AND(DH118="敌方",OR(DH117&lt;&gt;"敌方",DG118&lt;&gt;DG117))),SUMIFS($EF$3:EF117,$DG$3:DG117,DG118)=0),MIN(1,MAX(0,ED118-EE118)),0)</f>
        <v>0</v>
      </c>
      <c r="EG118" s="1">
        <f t="shared" si="106"/>
        <v>0</v>
      </c>
      <c r="EH118" s="1">
        <f>Boss参数!$B$53-IF(Y118=1,Boss参数!$B$54,0)</f>
        <v>-0.4</v>
      </c>
      <c r="EI118" s="1">
        <f t="shared" si="107"/>
        <v>0.3</v>
      </c>
      <c r="EJ118" s="1">
        <f t="shared" si="108"/>
        <v>0.3</v>
      </c>
      <c r="EK118" s="1">
        <f t="shared" si="109"/>
        <v>1.8599999999999999</v>
      </c>
      <c r="EL118" s="1">
        <f t="shared" si="136"/>
        <v>0</v>
      </c>
      <c r="EM118" s="1">
        <f>IF(AND(DG118&lt;&gt;DG117,DH118="洞穿"),0,IF(L118="ENTER_INSIGHT",Boss参数!$B$57,EO117))</f>
        <v>0</v>
      </c>
      <c r="EN118" s="1">
        <f>IF(AND(Y118=1,H118="洞知",EM118&gt;0),Boss参数!$B$56,0)</f>
        <v>0</v>
      </c>
      <c r="EO118" s="1">
        <f t="shared" si="110"/>
        <v>0</v>
      </c>
      <c r="EP118" s="1">
        <f t="shared" si="137"/>
        <v>17184518</v>
      </c>
      <c r="EQ118" s="1">
        <f>ROUNDDOWN(EP118/Boss参数!$B$62,0)</f>
        <v>171</v>
      </c>
      <c r="ER118" s="1">
        <f>IF(EQ118&gt;=Boss参数!$B$66,Boss参数!$B$69,IF(EQ118&gt;=Boss参数!$B$65,Boss参数!$B$68,IF(EQ118&gt;=Boss参数!$B$64,Boss参数!$B$67,0)))</f>
        <v>0.9</v>
      </c>
      <c r="ES118" s="1">
        <f>MIN(1,IF(EQ118&gt;=Boss参数!$B$66,Boss参数!$B$72+ROUNDDOWN((EQ118-Boss参数!$B$66)/Boss参数!$B$73,0)*Boss参数!$B$74,IF(EQ118&gt;=Boss参数!$B$65,Boss参数!$B$71,IF(EQ118&gt;=Boss参数!$B$64,Boss参数!$B$70,0))))</f>
        <v>0.6</v>
      </c>
      <c r="ET118" s="1">
        <f>MIN(Boss参数!$B$61*Boss参数!$B$62,EP118+IF(AND(Boss参数!$B$60=1,ISNUMBER(验证表!H124)),验证表!H124,EU118))</f>
        <v>17427500</v>
      </c>
      <c r="EU118" s="1">
        <f>IF(D118="",0,IF(验证表!G124="是",BV118,IF(验证表!G124="否",BU118,BW118)))</f>
        <v>242982</v>
      </c>
      <c r="EV118" s="1">
        <f>IF(EQ118&gt;=Boss参数!$B$66,2,IF(EQ118&gt;=Boss参数!$B$65,1,0))</f>
        <v>2</v>
      </c>
      <c r="EW118" s="1">
        <f t="shared" si="111"/>
        <v>3</v>
      </c>
      <c r="EX118" s="1">
        <f>IF(D118="",0,INDEX(回合状态!$D$7:$D$17,MATCH(DG118,回合状态!$A$7:$A$17,0)))</f>
        <v>8</v>
      </c>
      <c r="EY118" s="1">
        <f>IF(OR(L118="RHI_ATTACK",L118="RHI_BUFF"),1,IF(L118="RHI_ULT",Boss参数!$B$52,0))</f>
        <v>0</v>
      </c>
      <c r="EZ118" s="1">
        <f>MIN(6,SUMIFS($EY$3:EY118,$EX$3:EX118,"&gt;="&amp;MAX(1,EX118-Boss参数!$B$87+1),$EX$3:EX118,"&lt;="&amp;EX118))</f>
        <v>4</v>
      </c>
      <c r="FA118" s="1">
        <f t="shared" si="138"/>
        <v>35</v>
      </c>
      <c r="FB118" s="17">
        <f>IF(L118="BOSS_CONSERVATIVE",B118+Boss参数!$B$91,FB117)</f>
        <v>7</v>
      </c>
      <c r="FC118" s="17">
        <f t="shared" si="139"/>
        <v>0</v>
      </c>
      <c r="FD118" s="17">
        <f>IF(D118="",FD117,FD117+IF(AND(DG118&lt;&gt;DG117,INDEX(回合状态!$C$7:$C$17,MATCH(DG118,回合状态!$A$7:$A$17,0))&lt;&gt;"洞穿"),1,0))</f>
        <v>8</v>
      </c>
      <c r="FE118" s="17">
        <f>IF(D118="",0,IF(AND(OR(L118="END_TURN",DH118="敌方"),INDEX(回合状态!$C$7:$C$17,MATCH(DG118,回合状态!$A$7:$A$17,0))&lt;&gt;"洞穿",SUMIFS($FE$3:FE117,$DG$3:DG117,DG118)=0),1,0))</f>
        <v>0</v>
      </c>
    </row>
    <row r="119" spans="1:161" ht="84.95" customHeight="1">
      <c r="A119" s="1">
        <f>行动模拟!A125</f>
        <v>117</v>
      </c>
      <c r="B119" s="1">
        <f>IF(D119="",0,INDEX(回合状态!$B$7:$B$17,MATCH(DG119,回合状态!$A$7:$A$17,0)))</f>
        <v>7</v>
      </c>
      <c r="C119" s="1">
        <f>行动模拟!C125</f>
        <v>7</v>
      </c>
      <c r="D119" s="1" t="str">
        <f>IF(行动模拟!D125="","",行动模拟!D125)</f>
        <v>37｜洞知咒语</v>
      </c>
      <c r="E119" s="1" t="str">
        <f>IF($D119="","",IFERROR(INDEX(技能数据库!$B$4:$B$38,MATCH($D119,技能数据库!$A$4:$A$38,0)),""))</f>
        <v>37</v>
      </c>
      <c r="F119" s="1" t="str">
        <f>IF($D119="","",IFERROR(INDEX(技能数据库!$C$4:$C$38,MATCH($D119,技能数据库!$A$4:$A$38,0)),""))</f>
        <v>洞知咒语</v>
      </c>
      <c r="G119" s="1">
        <f>IF($D119="","",IFERROR(INDEX(技能数据库!$D$4:$D$38,MATCH($D119,技能数据库!$A$4:$A$38,0)),""))</f>
        <v>0</v>
      </c>
      <c r="H119" s="1" t="str">
        <f>IF($D119="","",IFERROR(INDEX(技能数据库!$E$4:$E$38,MATCH($D119,技能数据库!$A$4:$A$38,0)),""))</f>
        <v>洞知</v>
      </c>
      <c r="I119" s="1" t="str">
        <f>IF($D119="","",IFERROR(INDEX(技能数据库!$F$4:$F$38,MATCH($D119,技能数据库!$A$4:$A$38,0)),""))</f>
        <v>精神</v>
      </c>
      <c r="J119" s="1">
        <f>IF($D119="","",IFERROR(INDEX(技能数据库!$G$4:$G$38,MATCH($D119,技能数据库!$A$4:$A$38,0)),""))</f>
        <v>8</v>
      </c>
      <c r="K119" s="1">
        <f>IF($D119="","",IFERROR(INDEX(技能数据库!$H$4:$H$38,MATCH($D119,技能数据库!$A$4:$A$38,0)),""))</f>
        <v>0</v>
      </c>
      <c r="L119" s="1" t="str">
        <f>IF($D119="","",IFERROR(INDEX(技能数据库!$I$4:$I$38,MATCH($D119,技能数据库!$A$4:$A$38,0)),""))</f>
        <v>37_INSIGHT</v>
      </c>
      <c r="M119" s="1">
        <v>1</v>
      </c>
      <c r="N119" s="1"/>
      <c r="O119" s="1"/>
      <c r="P119" s="1"/>
      <c r="Q119" s="1">
        <f t="shared" si="70"/>
        <v>0</v>
      </c>
      <c r="R119" s="1">
        <v>0</v>
      </c>
      <c r="S119" s="1">
        <v>0</v>
      </c>
      <c r="T119" s="1">
        <f>行动模拟!I125</f>
        <v>0</v>
      </c>
      <c r="U119" s="1">
        <f>IF(FD119&lt;&gt;FD118,IF(BY118=1,IF(MIN(10,CA118+IF(AND(DG119&lt;&gt;DG118,DH118&lt;&gt;"洞穿",SUMIFS($FE$3:FE118,$DG$3:DG118,DG118)=0,BY118=1),3,0))&gt;=10,2,1),IF(BY118=2,IF(BZ118&lt;=1,0,2),0)),BY118)</f>
        <v>2</v>
      </c>
      <c r="V119" s="1">
        <f>IF(FD119&lt;&gt;FD118,IF(BY118=1,IF(MIN(10,CA118+IF(AND(DG119&lt;&gt;DG118,DH118&lt;&gt;"洞穿",SUMIFS($FE$3:FE118,$DG$3:DG118,DG118)=0,BY118=1),3,0))&gt;=10,2,0),IF(BY118=2,MAX(0,BZ118-1),0)),BZ118)</f>
        <v>1</v>
      </c>
      <c r="W119" s="1">
        <f>IF(AND(FD119&lt;&gt;FD118,BY118=2,BZ118&lt;=1),0,MIN(10,CA118+IF(AND(DG119&lt;&gt;DG118,DH118&lt;&gt;"洞穿",SUMIFS($FE$3:FE118,$DG$3:DG118,DG118)=0,BY118=1),3,0)))</f>
        <v>10</v>
      </c>
      <c r="X119" s="1">
        <f t="shared" si="112"/>
        <v>7</v>
      </c>
      <c r="Y119" s="1">
        <f t="shared" si="113"/>
        <v>1</v>
      </c>
      <c r="Z119" s="1">
        <f t="shared" si="114"/>
        <v>6</v>
      </c>
      <c r="AA119" s="1">
        <f t="shared" si="115"/>
        <v>5</v>
      </c>
      <c r="AB119" s="1">
        <f t="shared" si="116"/>
        <v>6</v>
      </c>
      <c r="AC119" s="1">
        <f t="shared" si="117"/>
        <v>1</v>
      </c>
      <c r="AD119" s="1">
        <f t="shared" si="118"/>
        <v>35</v>
      </c>
      <c r="AE119" s="1">
        <f>IF(D119="",0,IF(DG119&lt;&gt;DG118,IFERROR(INDEX(回合状态!$F$7:$F$17,MATCH(DG119,回合状态!$A$7:$A$17,0)),0),CI118))</f>
        <v>15</v>
      </c>
      <c r="AF119" s="1">
        <f t="shared" si="119"/>
        <v>0.875</v>
      </c>
      <c r="AG119" s="1">
        <f t="shared" si="120"/>
        <v>9</v>
      </c>
      <c r="AH119" s="1">
        <f t="shared" si="121"/>
        <v>9</v>
      </c>
      <c r="AI119" s="1">
        <f t="shared" si="122"/>
        <v>8</v>
      </c>
      <c r="AJ119" s="1">
        <f t="shared" si="123"/>
        <v>9</v>
      </c>
      <c r="AK119" s="1">
        <f t="shared" si="124"/>
        <v>8</v>
      </c>
      <c r="AL119" s="1">
        <f t="shared" si="125"/>
        <v>3</v>
      </c>
      <c r="AM119" s="1">
        <f t="shared" si="126"/>
        <v>30</v>
      </c>
      <c r="AN119" s="1">
        <f t="shared" si="127"/>
        <v>9</v>
      </c>
      <c r="AO119" s="1">
        <f t="shared" si="128"/>
        <v>6</v>
      </c>
      <c r="AP119" s="1">
        <f t="shared" si="129"/>
        <v>0.12</v>
      </c>
      <c r="AQ119" s="1">
        <f t="shared" si="130"/>
        <v>9</v>
      </c>
      <c r="AR119" s="1">
        <f t="shared" si="131"/>
        <v>0.3</v>
      </c>
      <c r="AS119" s="1">
        <f t="shared" si="132"/>
        <v>9</v>
      </c>
      <c r="AT119" s="1">
        <f t="shared" si="133"/>
        <v>0.3</v>
      </c>
      <c r="AU119" s="1">
        <f t="shared" si="134"/>
        <v>9</v>
      </c>
      <c r="AV119" s="1">
        <f>MIN(5,SUMIFS($EL$3:EL119,$B$3:B119,"&gt;="&amp;MAX(1,B119-2),$B$3:B119,"&lt;="&amp;B119)+EC119)</f>
        <v>5</v>
      </c>
      <c r="AW119" s="1">
        <f>MIN(6,SUMIFS($EY$3:EY118,$EX$3:EX118,"&gt;="&amp;MAX(1,EX119-Boss参数!$B$87+1),$EX$3:EX118,"&lt;="&amp;EX119))</f>
        <v>4</v>
      </c>
      <c r="AX119" s="1">
        <f>MIN(4,COUNTIFS($B$3:$B$118,"&gt;="&amp;MAX(1,$B119-2),$B$3:$B$118,"&lt;="&amp;$B119,$L$3:$L$118,"37_FOLLOW"))</f>
        <v>4</v>
      </c>
      <c r="AY119" s="1">
        <f>IF($E119="","",IF($E119="系统",0,ROUNDDOWN(INDEX(角色面板!$C$4:$C$7,MATCH($E119,角色面板!$A$4:$A$7,0))*(1+INDEX(角色面板!$C$11:$C$14,MATCH($E119,角色面板!$A$11:$A$14,0))+IF($E119="小瑞安侬",MAX(IF($B119&lt;=$AQ119,$AP119,0),IF(AND($L119="RHI_ATTACK",$EE119&gt;0),0.11+0.01*$G119,0)),0)+IF($E119="J",$AD119*Boss参数!$B$18,0))+IF(FD119&lt;=$AN119,MIN(Boss参数!$B$21,ROUNDDOWN(角色面板!$C$19*Boss参数!$B$20,0)),0)+IF(AND($B119&lt;=$AK119,$E119&lt;&gt;"小瑞安侬"),$DY119,0),0)))</f>
        <v>3517</v>
      </c>
      <c r="AZ119" s="1">
        <f>IF($E119="","",MAX(0,MIN(1,IFERROR(INDEX(角色面板!$G$18:$G$21,MATCH($E119,角色面板!$A$18:$A$21,0)),0)-FC119*Boss参数!$B$89-Boss参数!$E$4)))</f>
        <v>0.76</v>
      </c>
      <c r="BA119" s="1">
        <f>IF(E119="","",(IF($E119="","",IF($E119="红弩箭",Boss参数!$B$80,IF($E119="J",Boss参数!$B$81,IFERROR(INDEX(角色面板!$H$18:$H$21,MATCH($E119,角色面板!$A$18:$A$21,0)),0)))+IF($B119&lt;=$AI119,Boss参数!$B$13,0)+MIN(30,$AM119)*Boss参数!$B$17+IF(AND($L119="LILYA_ULT",$X119&gt;=6),1,0)+IF(AND($Y119=1,$L119="LILYA_INSIGHT"),IF(MOD($AA119+1,3)=0,Boss参数!$B$83,Boss参数!$B$82),IF(AND($Y119=1,$L119="LILYA_FINISH"),Boss参数!$B$84,0))))-FC119*Boss参数!$B$90)</f>
        <v>2.4780000000000002</v>
      </c>
      <c r="BB119" s="1">
        <f>IF($E119="","",IFERROR(INDEX(角色面板!$M$18:$M$21,MATCH($E119,角色面板!$A$18:$A$21,0)),0)+$AW119*Boss参数!$B$12+IF($B119&lt;=$AG119,$AF119,0)+$EI119+IF($L119="LILYA_DIVE",IF($U119=1,IF($G119=1,0.3,IF($G119=2,0.4,0.5)),IF($U119=2,IF($G119=1,0.6,IF($G119=2,0.8,1)),0)),0)+$R119+IF(AND($E119="J",OR($L119="J_COUNTER",$L119="J_HARD")),Boss参数!$B$79,0)+IF(AND(OR(L119="J_COUNTER",L119="J_HARD"),FA119&gt;=Boss参数!$B$59),FA119*Boss参数!$B$40,0))</f>
        <v>1.2549999999999999</v>
      </c>
      <c r="BC119" s="1">
        <f>IF($E119="","",IFERROR(INDEX(角色面板!$K$18:$K$21,MATCH($E119,角色面板!$A$18:$A$21,0)),0)+IF($B119&lt;=$AH119,Boss参数!$B$46,0)+IF($E119="红弩箭",IF($U119=1,0.6,IF($U119=2,1.2,0))+$W119*0.06,0))-DI119*Boss参数!$B$23</f>
        <v>-0.85000000000000009</v>
      </c>
      <c r="BD119" s="1">
        <f>IF($E119="","",IFERROR(INDEX(角色面板!$L$18:$L$21,MATCH($E119,角色面板!$A$18:$A$21,0)),0)+IF($B119&lt;=$AH119,Boss参数!$B$46,0)+IF($E119="J",$AL119*Boss参数!$B$16,0)+IF($E119="红弩箭",$X119*0.025,0)+IF(AND($L119="LILYA_ULT",$X119&gt;=6),1,0))-DI119*Boss参数!$B$23</f>
        <v>-0.45</v>
      </c>
      <c r="BE119" s="1">
        <f>IF($E119="","",IF($H119="洞知",IF($E119="红弩箭",$AO119*Boss参数!$B$15,0)+$AX119*Boss参数!$B$14,0))</f>
        <v>0.16</v>
      </c>
      <c r="BF119" s="1">
        <f t="shared" si="71"/>
        <v>0</v>
      </c>
      <c r="BG119" s="1">
        <f>IF($D119="",0,IF(AND($L119&lt;&gt;"LILYA_DIVE",$L119&lt;&gt;"LILYA_ULT",$L119&lt;&gt;"LILYA_INSIGHT",$L119&lt;&gt;"LILYA_FINISH",$L119&lt;&gt;"37_FOLLOW",$L119&lt;&gt;"RHI_ATTACK",$L119&lt;&gt;"RHI_BERRY",$L119&lt;&gt;"J_COUNTER",$L119&lt;&gt;"J_ULT"),$J119,0)+IF($L119="LILYA_DIVE",$J119+IF($U119=1,IF($G119=1,6,IF($G119=2,12,18)),IF($U119=2,IF($G119=1,12,IF($G119=2,24,36)),0)),0)+IF($L119="LILYA_ULT",$J119+IF($X119&gt;=6,18,0),0)+IF($L119="LILYA_INSIGHT",IF($Y119=1,IF(MOD($AA119+1,3)=0,32,15),0),0)+IF($L119="LILYA_FINISH",IF($Y119=1,50+2.5*$Z119,0),0)+IF($L119="37_FOLLOW",$J119,0)+IF($L119="RHI_ATTACK",$J119*IF($B119&lt;=$AJ119,2,1),0)+IF($L119="RHI_BERRY",15+1.5*$AV119,0)+IF($L119="J_COUNTER",$J119+$AD119*Boss参数!$B$39,0)+IF($L119="J_ULT",$J119+Boss参数!$B$45*MAX(0,$AE119+$AD119-Boss参数!$I$4),0)+$S119)</f>
        <v>8</v>
      </c>
      <c r="BH119" s="1">
        <f t="shared" si="72"/>
        <v>0</v>
      </c>
      <c r="BI119" s="1">
        <f>IF(E119="","",IF(DT119=1,1+Boss参数!$B$8+AV119*Boss参数!$B$19,1))</f>
        <v>1.5</v>
      </c>
      <c r="BJ119" s="1">
        <f>IF($I119="现实",Boss参数!$C$4,IF($I119="精神",Boss参数!$D$4,0))</f>
        <v>1000</v>
      </c>
      <c r="BK119" s="1">
        <f>IF($E119="","",MAX($AY119*Boss参数!$B$9,$AY119-$BJ119*(1-$BF119)))</f>
        <v>2517</v>
      </c>
      <c r="BL119" s="1">
        <f>MAX(0,Boss参数!$F$4+IF(DT119=0,Boss参数!$B$27,0)-EJ119)</f>
        <v>0.10000000000000003</v>
      </c>
      <c r="BM119" s="1">
        <f>Boss参数!$G$4+DU119-IF(Y119=1,Boss参数!$B$11,0)</f>
        <v>0.35</v>
      </c>
      <c r="BN119" s="1">
        <f>IF($E119="","",MAX(Boss参数!$B$10,1+IFERROR(INDEX(角色面板!$I$18:$I$21,MATCH($E119,角色面板!$A$18:$A$21,0)),0)+$BB119+Boss参数!$H$4-$BM119))</f>
        <v>1.9099999999999997</v>
      </c>
      <c r="BO119" s="1">
        <f>IF(E119="","",IF(OR(L119="J_COUNTER",L119="J_HARD"),MAX(0,1+INDEX(角色面板!$K$18:$K$21,MATCH(E119,角色面板!$A$18:$A$21,0))-DI119*Boss参数!$B$23+IF(OR(Boss参数!$B$43=1,L119="J_HARD"),IF(B119&lt;=AH119,Boss参数!$B$46,0),0)),MAX(0,IF(OR(H119="术法",L119="RHI_BERRY",AND(L119="37_FOLLOW",Boss参数!$B$31=1)),1+BC119,IF(H119="仪式",1+BD119,IF(H119="洞知",EK119,1))))))</f>
        <v>1.56</v>
      </c>
      <c r="BP119" s="1">
        <f t="shared" si="73"/>
        <v>2.3780000000000001</v>
      </c>
      <c r="BQ119" s="1">
        <f t="shared" si="74"/>
        <v>89995.838399999979</v>
      </c>
      <c r="BR119" s="1">
        <f t="shared" si="75"/>
        <v>214010.10371519995</v>
      </c>
      <c r="BS119" s="1">
        <f>IF(BH119=0,0,ROUNDDOWN(AY119*BH119,0)*DV119*IF(Boss参数!$B$29=1,BN119,1)*IF(Boss参数!$B$33=1,BO119,1)*IF(Boss参数!$B$76=1,1-ES119,1))</f>
        <v>0</v>
      </c>
      <c r="BT119" s="1">
        <f t="shared" si="76"/>
        <v>0</v>
      </c>
      <c r="BU119" s="1">
        <f>IF(D119="",0,MIN(IF(Boss参数!$B$77=1,Boss参数!$B$63*Boss参数!$B$62,Boss参数!$B$61*Boss参数!$B$62),DW119+ROUNDDOWN(BS119,0)+ROUNDDOWN(DW119*Q119,0)))</f>
        <v>35998</v>
      </c>
      <c r="BV119" s="1">
        <f>IF(D119="",0,MIN(IF(Boss参数!$B$77=1,Boss参数!$B$63*Boss参数!$B$62,Boss参数!$B$61*Boss参数!$B$62),DX119+ROUNDDOWN(BT119,0)+ROUNDDOWN(DX119*Q119,0)))</f>
        <v>85604</v>
      </c>
      <c r="BW119" s="1">
        <f t="shared" si="77"/>
        <v>73698</v>
      </c>
      <c r="BX119" s="1" t="str">
        <f t="shared" si="78"/>
        <v/>
      </c>
      <c r="BY119" s="1">
        <f t="shared" si="79"/>
        <v>2</v>
      </c>
      <c r="BZ119" s="1">
        <f t="shared" si="80"/>
        <v>1</v>
      </c>
      <c r="CA119" s="1">
        <f>MIN(10,W119+IF(AND(L119="LILYA_COBRA",COUNTIF($L$3:L119,"LILYA_COBRA")=1),5,0)+IF(AND(L119="LILYA_DIVE",U119=1,COUNTIFS($DG$3:DG119,DG119,$L$3:L119,"LILYA_DIVE")=1),2,0)+IF(AND(FE119=1,U119=1),3,0))</f>
        <v>10</v>
      </c>
      <c r="CB119" s="1">
        <f>MIN(20,MAX(0,X119+IF(L119="LILYA_COBRA",IF(COUNTIF($L$3:L119,"LILYA_COBRA")=1,6,IF(U119=1,MAX(1,G119),IF(U119=2,2*MAX(1,G119),0))),0)+IF(AND(Y119=1,E119="红弩箭",L119&lt;&gt;"ENTER_INSIGHT"),1,0)-IF(AND(L119="LILYA_ULT",X119&gt;=6),6,0)))</f>
        <v>7</v>
      </c>
      <c r="CC119" s="1">
        <f t="shared" si="81"/>
        <v>1</v>
      </c>
      <c r="CD119" s="1">
        <f t="shared" si="82"/>
        <v>7</v>
      </c>
      <c r="CE119" s="1">
        <f t="shared" si="83"/>
        <v>5</v>
      </c>
      <c r="CF119" s="1">
        <f t="shared" si="84"/>
        <v>7</v>
      </c>
      <c r="CG119" s="1">
        <f t="shared" si="85"/>
        <v>1</v>
      </c>
      <c r="CH119" s="1">
        <f>MIN(35,AD119+IF(L119="J_HARD",6,0)+IF(L119="J_COUNTER",Boss参数!$B$30,0))</f>
        <v>35</v>
      </c>
      <c r="CI119" s="1">
        <f>MIN(Boss参数!$I$4,AE119+IF(L119="J_HARD",6,0)+IF(L119="J_ULT",AD119,0)+IF(L119="J_COUNTER",Boss参数!$B$30,0))</f>
        <v>15</v>
      </c>
      <c r="CJ119" s="1">
        <f>IF(L119="J_ULT",AD119*Boss参数!$B$41,IF(B119&lt;=AG119,AF119,0))</f>
        <v>0.875</v>
      </c>
      <c r="CK119" s="1">
        <f t="shared" si="86"/>
        <v>9</v>
      </c>
      <c r="CL119" s="1">
        <f t="shared" si="87"/>
        <v>9</v>
      </c>
      <c r="CM119" s="1">
        <f t="shared" si="88"/>
        <v>8</v>
      </c>
      <c r="CN119" s="1">
        <f t="shared" si="89"/>
        <v>9</v>
      </c>
      <c r="CO119" s="1">
        <f t="shared" si="90"/>
        <v>8</v>
      </c>
      <c r="CP119" s="1">
        <f t="shared" si="91"/>
        <v>3</v>
      </c>
      <c r="CQ119" s="1">
        <f t="shared" si="92"/>
        <v>30</v>
      </c>
      <c r="CR119" s="1">
        <f t="shared" si="93"/>
        <v>9</v>
      </c>
      <c r="CS119" s="1">
        <f t="shared" si="94"/>
        <v>7</v>
      </c>
      <c r="CT119" s="1">
        <f t="shared" si="95"/>
        <v>0.12</v>
      </c>
      <c r="CU119" s="1">
        <f t="shared" si="96"/>
        <v>9</v>
      </c>
      <c r="CV119" s="1">
        <f t="shared" si="97"/>
        <v>0.3</v>
      </c>
      <c r="CW119" s="1">
        <f t="shared" si="98"/>
        <v>9</v>
      </c>
      <c r="CX119" s="1">
        <f t="shared" si="99"/>
        <v>0.3</v>
      </c>
      <c r="CY119" s="1">
        <f t="shared" si="100"/>
        <v>9</v>
      </c>
      <c r="CZ119" s="1"/>
      <c r="DA119" s="1"/>
      <c r="DB119" s="1"/>
      <c r="DC119" s="1"/>
      <c r="DD119" s="1"/>
      <c r="DE119" s="1"/>
      <c r="DF119" s="1"/>
      <c r="DG119" s="1" t="str">
        <f>IF(D119="","",行动模拟!B125)</f>
        <v>洞知2</v>
      </c>
      <c r="DH119" s="1" t="str">
        <f>IF(L119="END_TURN","回合结束",IF(D119="","",IF(INDEX(回合状态!$C$7:$C$17,MATCH(DG119,回合状态!$A$7:$A$17,0))="洞穿","洞穿",IF(OR(L119="J_COUNTER",L119="BOSS_ACTION",L119="BOSS_CONSERVATIVE"),"敌方",IF(AND(L119="37_FOLLOW",DG119=DG118,DH118="敌方"),"敌方",IF(INDEX(回合状态!$C$7:$C$17,MATCH(DG119,回合状态!$A$7:$A$17,0))="普通","出牌",INDEX(回合状态!$C$7:$C$17,MATCH(DG119,回合状态!$A$7:$A$17,0))))))))</f>
        <v>洞穿</v>
      </c>
      <c r="DI119" s="1">
        <f t="shared" si="101"/>
        <v>5</v>
      </c>
      <c r="DJ119" s="1">
        <f>IF(D119="",0,MIN(Boss参数!$B$25,IF(OR(AND(DH119="敌方",OR(DH118&lt;&gt;"敌方",DG119&lt;&gt;DG118)),AND(L119="END_TURN",DH119&lt;&gt;"洞穿"),AND(DG119&lt;&gt;DG118,DH118&lt;&gt;"洞穿",L118&lt;&gt;"END_TURN",COUNTIFS($DG$3:DG118,DG118,$DH$3:DH118,"敌方")=0)),EW119,DN118)))</f>
        <v>0</v>
      </c>
      <c r="DK119" s="1">
        <f>IF(D119="",0,MIN(Boss参数!$B$25,IF(OR(AND(DH119="敌方",OR(DH118&lt;&gt;"敌方",DG119&lt;&gt;DG118)),AND(L119="END_TURN",DH119&lt;&gt;"洞穿"),AND(DG119&lt;&gt;DG118,DH118&lt;&gt;"洞穿",L118&lt;&gt;"END_TURN",COUNTIFS($DG$3:DG118,DG118,$DH$3:DH118,"敌方")=0)),EW119,DO118)))</f>
        <v>5</v>
      </c>
      <c r="DL119" s="1">
        <f>IF(D119="",0,MIN(Boss参数!$B$25,IF(OR(AND(DH119="敌方",OR(DH118&lt;&gt;"敌方",DG119&lt;&gt;DG118)),AND(L119="END_TURN",DH119&lt;&gt;"洞穿"),AND(DG119&lt;&gt;DG118,DH118&lt;&gt;"洞穿",L118&lt;&gt;"END_TURN",COUNTIFS($DG$3:DG118,DG118,$DH$3:DH118,"敌方")=0)),EW119,DP118)))</f>
        <v>5</v>
      </c>
      <c r="DM119" s="1">
        <f>IF(D119="",0,MIN(Boss参数!$B$25,IF(OR(AND(DH119="敌方",OR(DH118&lt;&gt;"敌方",DG119&lt;&gt;DG118)),AND(L119="END_TURN",DH119&lt;&gt;"洞穿"),AND(DG119&lt;&gt;DG118,DH118&lt;&gt;"洞穿",L118&lt;&gt;"END_TURN",COUNTIFS($DG$3:DG118,DG118,$DH$3:DH118,"敌方")=0)),EW119,DQ118)))</f>
        <v>5</v>
      </c>
      <c r="DN119" s="1">
        <f>MAX(0,MIN(Boss参数!$B$25,DJ119+DR119)-IF(E119="红弩箭",2*DR119,0))</f>
        <v>1</v>
      </c>
      <c r="DO119" s="1">
        <f>MAX(0,MIN(Boss参数!$B$25,DK119+DR119)-IF(E119="37",2*DR119,0))</f>
        <v>3</v>
      </c>
      <c r="DP119" s="1">
        <f>MAX(0,MIN(Boss参数!$B$25,DL119+DR119)-IF(E119="小瑞安侬",2*DR119,0))</f>
        <v>5</v>
      </c>
      <c r="DQ119" s="1">
        <f>MAX(0,MIN(Boss参数!$B$25,DM119+DR119)-IF(E119="J",2*DR119,0))</f>
        <v>5</v>
      </c>
      <c r="DR119" s="1">
        <f t="shared" si="102"/>
        <v>1</v>
      </c>
      <c r="DS119" s="1">
        <f t="shared" si="103"/>
        <v>1</v>
      </c>
      <c r="DT119" s="1">
        <f>IF(OR(E119="",E119="系统"),0,IF(OR(AND(DS119=1,Boss参数!$B$32=1),L119="RHI_BERRY",OR(AND(INDEX(角色面板!$B$18:$B$21,MATCH(E119,角色面板!$A$18:$A$21,0))="星",Boss参数!$B$4="岩"),AND(INDEX(角色面板!$B$18:$B$21,MATCH(E119,角色面板!$A$18:$A$21,0))="岩",Boss参数!$B$4="兽"),AND(INDEX(角色面板!$B$18:$B$21,MATCH(E119,角色面板!$A$18:$A$21,0))="兽",Boss参数!$B$4="木"),AND(INDEX(角色面板!$B$18:$B$21,MATCH(E119,角色面板!$A$18:$A$21,0))="木",Boss参数!$B$4="星"),AND(INDEX(角色面板!$B$18:$B$21,MATCH(E119,角色面板!$A$18:$A$21,0))="智",Boss参数!$B$4="灵"),AND(INDEX(角色面板!$B$18:$B$21,MATCH(E119,角色面板!$A$18:$A$21,0))="灵",Boss参数!$B$4="智"))),1,0))</f>
        <v>1</v>
      </c>
      <c r="DU119" s="1">
        <f>IF(D119="",0,INDEX(回合状态!$E$7:$E$17,MATCH(DG119,回合状态!$A$7:$A$17,0))+IF(AND(DH119="敌方",OR(INDEX(回合状态!$C$7:$C$17,MATCH(DG119,回合状态!$A$7:$A$17,0))="普通",INDEX(回合状态!$C$7:$C$17,MATCH(DG119,回合状态!$A$7:$A$17,0))="额外")),0.05,0))</f>
        <v>0.35</v>
      </c>
      <c r="DV119" s="1">
        <f>MAX(Boss参数!$B$28,1+IF(AND(E119="37",AC119&gt;0,BH119&gt;0),Boss参数!$B$42,0)-DI119*Boss参数!$B$24+EA119-ER119)</f>
        <v>0</v>
      </c>
      <c r="DW119" s="1">
        <f>MIN(IF(Boss参数!$B$77=1,Boss参数!$B$63*Boss参数!$B$62,Boss参数!$B$61*Boss参数!$B$62),ROUNDDOWN(BQ119*(1-ES119),0))</f>
        <v>35998</v>
      </c>
      <c r="DX119" s="1">
        <f>MIN(IF(Boss参数!$B$77=1,Boss参数!$B$63*Boss参数!$B$62,Boss参数!$B$61*Boss参数!$B$62),ROUNDDOWN(BR119*(1-ES119),0))</f>
        <v>85604</v>
      </c>
      <c r="DY119" s="1">
        <f t="shared" si="135"/>
        <v>250</v>
      </c>
      <c r="DZ119" s="1">
        <f>IF(L119="RHI_ULT",MIN(Boss参数!$B$48,ROUNDDOWN(AY119*Boss参数!$B$47,0)),DY119)</f>
        <v>250</v>
      </c>
      <c r="EA119" s="1">
        <v>0</v>
      </c>
      <c r="EB119" s="1">
        <f t="shared" si="104"/>
        <v>0</v>
      </c>
      <c r="EC119" s="1">
        <f>SUMIFS($EB$3:EB119,$B$3:B119,"&gt;="&amp;MAX(1,B119-2),$B$3:B119,"&lt;="&amp;B119)*Boss参数!$B$51</f>
        <v>12</v>
      </c>
      <c r="ED119" s="1">
        <f>IF(D119="",EG118,IF(AND(DG119&lt;&gt;DG118,DH119&lt;&gt;"洞穿"),MIN(Boss参数!$B$55,EG118+2),EG118))</f>
        <v>0</v>
      </c>
      <c r="EE119" s="1">
        <f t="shared" si="105"/>
        <v>0</v>
      </c>
      <c r="EF119" s="1">
        <f>IF(AND(OR(L119="END_TURN",AND(DH119="敌方",OR(DH118&lt;&gt;"敌方",DG119&lt;&gt;DG118))),SUMIFS($EF$3:EF118,$DG$3:DG118,DG119)=0),MIN(1,MAX(0,ED119-EE119)),0)</f>
        <v>0</v>
      </c>
      <c r="EG119" s="1">
        <f t="shared" si="106"/>
        <v>0</v>
      </c>
      <c r="EH119" s="1">
        <f>Boss参数!$B$53-IF(Y119=1,Boss参数!$B$54,0)</f>
        <v>-0.4</v>
      </c>
      <c r="EI119" s="1">
        <f t="shared" si="107"/>
        <v>0.3</v>
      </c>
      <c r="EJ119" s="1">
        <f t="shared" si="108"/>
        <v>0.3</v>
      </c>
      <c r="EK119" s="1">
        <f t="shared" si="109"/>
        <v>1.56</v>
      </c>
      <c r="EL119" s="1">
        <f t="shared" si="136"/>
        <v>0</v>
      </c>
      <c r="EM119" s="1">
        <f>IF(AND(DG119&lt;&gt;DG118,DH119="洞穿"),0,IF(L119="ENTER_INSIGHT",Boss参数!$B$57,EO118))</f>
        <v>0</v>
      </c>
      <c r="EN119" s="1">
        <f>IF(AND(Y119=1,H119="洞知",EM119&gt;0),Boss参数!$B$56,0)</f>
        <v>0</v>
      </c>
      <c r="EO119" s="1">
        <f t="shared" si="110"/>
        <v>1</v>
      </c>
      <c r="EP119" s="1">
        <f t="shared" si="137"/>
        <v>17427500</v>
      </c>
      <c r="EQ119" s="1">
        <f>ROUNDDOWN(EP119/Boss参数!$B$62,0)</f>
        <v>174</v>
      </c>
      <c r="ER119" s="1">
        <f>IF(EQ119&gt;=Boss参数!$B$66,Boss参数!$B$69,IF(EQ119&gt;=Boss参数!$B$65,Boss参数!$B$68,IF(EQ119&gt;=Boss参数!$B$64,Boss参数!$B$67,0)))</f>
        <v>0.9</v>
      </c>
      <c r="ES119" s="1">
        <f>MIN(1,IF(EQ119&gt;=Boss参数!$B$66,Boss参数!$B$72+ROUNDDOWN((EQ119-Boss参数!$B$66)/Boss参数!$B$73,0)*Boss参数!$B$74,IF(EQ119&gt;=Boss参数!$B$65,Boss参数!$B$71,IF(EQ119&gt;=Boss参数!$B$64,Boss参数!$B$70,0))))</f>
        <v>0.6</v>
      </c>
      <c r="ET119" s="1">
        <f>MIN(Boss参数!$B$61*Boss参数!$B$62,EP119+IF(AND(Boss参数!$B$60=1,ISNUMBER(验证表!H125)),验证表!H125,EU119))</f>
        <v>17463498</v>
      </c>
      <c r="EU119" s="1">
        <f>IF(D119="",0,IF(验证表!G125="是",BV119,IF(验证表!G125="否",BU119,BW119)))</f>
        <v>35998</v>
      </c>
      <c r="EV119" s="1">
        <f>IF(EQ119&gt;=Boss参数!$B$66,2,IF(EQ119&gt;=Boss参数!$B$65,1,0))</f>
        <v>2</v>
      </c>
      <c r="EW119" s="1">
        <f t="shared" si="111"/>
        <v>3</v>
      </c>
      <c r="EX119" s="1">
        <f>IF(D119="",0,INDEX(回合状态!$D$7:$D$17,MATCH(DG119,回合状态!$A$7:$A$17,0)))</f>
        <v>8</v>
      </c>
      <c r="EY119" s="1">
        <f>IF(OR(L119="RHI_ATTACK",L119="RHI_BUFF"),1,IF(L119="RHI_ULT",Boss参数!$B$52,0))</f>
        <v>0</v>
      </c>
      <c r="EZ119" s="1">
        <f>MIN(6,SUMIFS($EY$3:EY119,$EX$3:EX119,"&gt;="&amp;MAX(1,EX119-Boss参数!$B$87+1),$EX$3:EX119,"&lt;="&amp;EX119))</f>
        <v>4</v>
      </c>
      <c r="FA119" s="1">
        <f t="shared" si="138"/>
        <v>35</v>
      </c>
      <c r="FB119" s="17">
        <f>IF(L119="BOSS_CONSERVATIVE",B119+Boss参数!$B$91,FB118)</f>
        <v>7</v>
      </c>
      <c r="FC119" s="17">
        <f t="shared" si="139"/>
        <v>0</v>
      </c>
      <c r="FD119" s="17">
        <f>IF(D119="",FD118,FD118+IF(AND(DG119&lt;&gt;DG118,INDEX(回合状态!$C$7:$C$17,MATCH(DG119,回合状态!$A$7:$A$17,0))&lt;&gt;"洞穿"),1,0))</f>
        <v>8</v>
      </c>
      <c r="FE119" s="17">
        <f>IF(D119="",0,IF(AND(OR(L119="END_TURN",DH119="敌方"),INDEX(回合状态!$C$7:$C$17,MATCH(DG119,回合状态!$A$7:$A$17,0))&lt;&gt;"洞穿",SUMIFS($FE$3:FE118,$DG$3:DG118,DG119)=0),1,0))</f>
        <v>0</v>
      </c>
    </row>
    <row r="120" spans="1:161" ht="84.95" customHeight="1">
      <c r="A120" s="1">
        <f>行动模拟!A126</f>
        <v>118</v>
      </c>
      <c r="B120" s="1">
        <f>IF(D120="",0,INDEX(回合状态!$B$7:$B$17,MATCH(DG120,回合状态!$A$7:$A$17,0)))</f>
        <v>7</v>
      </c>
      <c r="C120" s="1">
        <f>行动模拟!C126</f>
        <v>8</v>
      </c>
      <c r="D120" s="1" t="str">
        <f>IF(行动模拟!D126="","",行动模拟!D126)</f>
        <v>红弩箭｜洞知咒语</v>
      </c>
      <c r="E120" s="1" t="str">
        <f>IF($D120="","",IFERROR(INDEX(技能数据库!$B$4:$B$38,MATCH($D120,技能数据库!$A$4:$A$38,0)),""))</f>
        <v>红弩箭</v>
      </c>
      <c r="F120" s="1" t="str">
        <f>IF($D120="","",IFERROR(INDEX(技能数据库!$C$4:$C$38,MATCH($D120,技能数据库!$A$4:$A$38,0)),""))</f>
        <v>洞知咒语</v>
      </c>
      <c r="G120" s="1">
        <f>IF($D120="","",IFERROR(INDEX(技能数据库!$D$4:$D$38,MATCH($D120,技能数据库!$A$4:$A$38,0)),""))</f>
        <v>0</v>
      </c>
      <c r="H120" s="1" t="str">
        <f>IF($D120="","",IFERROR(INDEX(技能数据库!$E$4:$E$38,MATCH($D120,技能数据库!$A$4:$A$38,0)),""))</f>
        <v>洞知</v>
      </c>
      <c r="I120" s="1" t="str">
        <f>IF($D120="","",IFERROR(INDEX(技能数据库!$F$4:$F$38,MATCH($D120,技能数据库!$A$4:$A$38,0)),""))</f>
        <v>现实</v>
      </c>
      <c r="J120" s="1">
        <f>IF($D120="","",IFERROR(INDEX(技能数据库!$G$4:$G$38,MATCH($D120,技能数据库!$A$4:$A$38,0)),""))</f>
        <v>15</v>
      </c>
      <c r="K120" s="1">
        <f>IF($D120="","",IFERROR(INDEX(技能数据库!$H$4:$H$38,MATCH($D120,技能数据库!$A$4:$A$38,0)),""))</f>
        <v>0</v>
      </c>
      <c r="L120" s="1" t="str">
        <f>IF($D120="","",IFERROR(INDEX(技能数据库!$I$4:$I$38,MATCH($D120,技能数据库!$A$4:$A$38,0)),""))</f>
        <v>LILYA_INSIGHT</v>
      </c>
      <c r="M120" s="1">
        <v>1</v>
      </c>
      <c r="N120" s="1"/>
      <c r="O120" s="1"/>
      <c r="P120" s="1"/>
      <c r="Q120" s="1">
        <f t="shared" si="70"/>
        <v>0.4</v>
      </c>
      <c r="R120" s="1">
        <v>0</v>
      </c>
      <c r="S120" s="1">
        <v>0</v>
      </c>
      <c r="T120" s="1" t="str">
        <f>行动模拟!I126</f>
        <v>原G列数值属于稳态附加，移至H列；实测总伤不变</v>
      </c>
      <c r="U120" s="1">
        <f>IF(FD120&lt;&gt;FD119,IF(BY119=1,IF(MIN(10,CA119+IF(AND(DG120&lt;&gt;DG119,DH119&lt;&gt;"洞穿",SUMIFS($FE$3:FE119,$DG$3:DG119,DG119)=0,BY119=1),3,0))&gt;=10,2,1),IF(BY119=2,IF(BZ119&lt;=1,0,2),0)),BY119)</f>
        <v>2</v>
      </c>
      <c r="V120" s="1">
        <f>IF(FD120&lt;&gt;FD119,IF(BY119=1,IF(MIN(10,CA119+IF(AND(DG120&lt;&gt;DG119,DH119&lt;&gt;"洞穿",SUMIFS($FE$3:FE119,$DG$3:DG119,DG119)=0,BY119=1),3,0))&gt;=10,2,0),IF(BY119=2,MAX(0,BZ119-1),0)),BZ119)</f>
        <v>1</v>
      </c>
      <c r="W120" s="1">
        <f>IF(AND(FD120&lt;&gt;FD119,BY119=2,BZ119&lt;=1),0,MIN(10,CA119+IF(AND(DG120&lt;&gt;DG119,DH119&lt;&gt;"洞穿",SUMIFS($FE$3:FE119,$DG$3:DG119,DG119)=0,BY119=1),3,0)))</f>
        <v>10</v>
      </c>
      <c r="X120" s="1">
        <f t="shared" si="112"/>
        <v>7</v>
      </c>
      <c r="Y120" s="1">
        <f t="shared" si="113"/>
        <v>1</v>
      </c>
      <c r="Z120" s="1">
        <f t="shared" si="114"/>
        <v>7</v>
      </c>
      <c r="AA120" s="1">
        <f t="shared" si="115"/>
        <v>5</v>
      </c>
      <c r="AB120" s="1">
        <f t="shared" si="116"/>
        <v>7</v>
      </c>
      <c r="AC120" s="1">
        <f t="shared" si="117"/>
        <v>1</v>
      </c>
      <c r="AD120" s="1">
        <f t="shared" si="118"/>
        <v>35</v>
      </c>
      <c r="AE120" s="1">
        <f>IF(D120="",0,IF(DG120&lt;&gt;DG119,IFERROR(INDEX(回合状态!$F$7:$F$17,MATCH(DG120,回合状态!$A$7:$A$17,0)),0),CI119))</f>
        <v>15</v>
      </c>
      <c r="AF120" s="1">
        <f t="shared" si="119"/>
        <v>0.875</v>
      </c>
      <c r="AG120" s="1">
        <f t="shared" si="120"/>
        <v>9</v>
      </c>
      <c r="AH120" s="1">
        <f t="shared" si="121"/>
        <v>9</v>
      </c>
      <c r="AI120" s="1">
        <f t="shared" si="122"/>
        <v>8</v>
      </c>
      <c r="AJ120" s="1">
        <f t="shared" si="123"/>
        <v>9</v>
      </c>
      <c r="AK120" s="1">
        <f t="shared" si="124"/>
        <v>8</v>
      </c>
      <c r="AL120" s="1">
        <f t="shared" si="125"/>
        <v>3</v>
      </c>
      <c r="AM120" s="1">
        <f t="shared" si="126"/>
        <v>30</v>
      </c>
      <c r="AN120" s="1">
        <f t="shared" si="127"/>
        <v>9</v>
      </c>
      <c r="AO120" s="1">
        <f t="shared" si="128"/>
        <v>7</v>
      </c>
      <c r="AP120" s="1">
        <f t="shared" si="129"/>
        <v>0.12</v>
      </c>
      <c r="AQ120" s="1">
        <f t="shared" si="130"/>
        <v>9</v>
      </c>
      <c r="AR120" s="1">
        <f t="shared" si="131"/>
        <v>0.3</v>
      </c>
      <c r="AS120" s="1">
        <f t="shared" si="132"/>
        <v>9</v>
      </c>
      <c r="AT120" s="1">
        <f t="shared" si="133"/>
        <v>0.3</v>
      </c>
      <c r="AU120" s="1">
        <f t="shared" si="134"/>
        <v>9</v>
      </c>
      <c r="AV120" s="1">
        <f>MIN(5,SUMIFS($EL$3:EL120,$B$3:B120,"&gt;="&amp;MAX(1,B120-2),$B$3:B120,"&lt;="&amp;B120)+EC120)</f>
        <v>5</v>
      </c>
      <c r="AW120" s="1">
        <f>MIN(6,SUMIFS($EY$3:EY119,$EX$3:EX119,"&gt;="&amp;MAX(1,EX120-Boss参数!$B$87+1),$EX$3:EX119,"&lt;="&amp;EX120))</f>
        <v>4</v>
      </c>
      <c r="AX120" s="1">
        <f>MIN(4,COUNTIFS($B$3:$B$119,"&gt;="&amp;MAX(1,$B120-2),$B$3:$B$119,"&lt;="&amp;$B120,$L$3:$L$119,"37_FOLLOW"))</f>
        <v>4</v>
      </c>
      <c r="AY120" s="1">
        <f>IF($E120="","",IF($E120="系统",0,ROUNDDOWN(INDEX(角色面板!$C$4:$C$7,MATCH($E120,角色面板!$A$4:$A$7,0))*(1+INDEX(角色面板!$C$11:$C$14,MATCH($E120,角色面板!$A$11:$A$14,0))+IF($E120="小瑞安侬",MAX(IF($B120&lt;=$AQ120,$AP120,0),IF(AND($L120="RHI_ATTACK",$EE120&gt;0),0.11+0.01*$G120,0)),0)+IF($E120="J",$AD120*Boss参数!$B$18,0))+IF(FD120&lt;=$AN120,MIN(Boss参数!$B$21,ROUNDDOWN(角色面板!$C$19*Boss参数!$B$20,0)),0)+IF(AND($B120&lt;=$AK120,$E120&lt;&gt;"小瑞安侬"),$DY120,0),0)))</f>
        <v>3505</v>
      </c>
      <c r="AZ120" s="1">
        <f>IF($E120="","",MAX(0,MIN(1,IFERROR(INDEX(角色面板!$G$18:$G$21,MATCH($E120,角色面板!$A$18:$A$21,0)),0)-FC120*Boss参数!$B$89-Boss参数!$E$4)))</f>
        <v>1</v>
      </c>
      <c r="BA120" s="1">
        <f>IF(E120="","",(IF($E120="","",IF($E120="红弩箭",Boss参数!$B$80,IF($E120="J",Boss参数!$B$81,IFERROR(INDEX(角色面板!$H$18:$H$21,MATCH($E120,角色面板!$A$18:$A$21,0)),0)))+IF($B120&lt;=$AI120,Boss参数!$B$13,0)+MIN(30,$AM120)*Boss参数!$B$17+IF(AND($L120="LILYA_ULT",$X120&gt;=6),1,0)+IF(AND($Y120=1,$L120="LILYA_INSIGHT"),IF(MOD($AA120+1,3)=0,Boss参数!$B$83,Boss参数!$B$82),IF(AND($Y120=1,$L120="LILYA_FINISH"),Boss参数!$B$84,0))))-FC120*Boss参数!$B$90)</f>
        <v>3.1050000000000004</v>
      </c>
      <c r="BB120" s="1">
        <f>IF($E120="","",IFERROR(INDEX(角色面板!$M$18:$M$21,MATCH($E120,角色面板!$A$18:$A$21,0)),0)+$AW120*Boss参数!$B$12+IF($B120&lt;=$AG120,$AF120,0)+$EI120+IF($L120="LILYA_DIVE",IF($U120=1,IF($G120=1,0.3,IF($G120=2,0.4,0.5)),IF($U120=2,IF($G120=1,0.6,IF($G120=2,0.8,1)),0)),0)+$R120+IF(AND($E120="J",OR($L120="J_COUNTER",$L120="J_HARD")),Boss参数!$B$79,0)+IF(AND(OR(L120="J_COUNTER",L120="J_HARD"),FA120&gt;=Boss参数!$B$59),FA120*Boss参数!$B$40,0))</f>
        <v>1.4950000000000001</v>
      </c>
      <c r="BC120" s="1">
        <f>IF($E120="","",IFERROR(INDEX(角色面板!$K$18:$K$21,MATCH($E120,角色面板!$A$18:$A$21,0)),0)+IF($B120&lt;=$AH120,Boss参数!$B$46,0)+IF($E120="红弩箭",IF($U120=1,0.6,IF($U120=2,1.2,0))+$W120*0.06,0))-DI120*Boss参数!$B$23</f>
        <v>1.5499999999999998</v>
      </c>
      <c r="BD120" s="1">
        <f>IF($E120="","",IFERROR(INDEX(角色面板!$L$18:$L$21,MATCH($E120,角色面板!$A$18:$A$21,0)),0)+IF($B120&lt;=$AH120,Boss参数!$B$46,0)+IF($E120="J",$AL120*Boss参数!$B$16,0)+IF($E120="红弩箭",$X120*0.025,0)+IF(AND($L120="LILYA_ULT",$X120&gt;=6),1,0))-DI120*Boss参数!$B$23</f>
        <v>0.32499999999999996</v>
      </c>
      <c r="BE120" s="1">
        <f>IF($E120="","",IF($H120="洞知",IF($E120="红弩箭",$AO120*Boss参数!$B$15,0)+$AX120*Boss参数!$B$14,0))</f>
        <v>0.57999999999999996</v>
      </c>
      <c r="BF120" s="1">
        <f t="shared" si="71"/>
        <v>0</v>
      </c>
      <c r="BG120" s="1">
        <f>IF($D120="",0,IF(AND($L120&lt;&gt;"LILYA_DIVE",$L120&lt;&gt;"LILYA_ULT",$L120&lt;&gt;"LILYA_INSIGHT",$L120&lt;&gt;"LILYA_FINISH",$L120&lt;&gt;"37_FOLLOW",$L120&lt;&gt;"RHI_ATTACK",$L120&lt;&gt;"RHI_BERRY",$L120&lt;&gt;"J_COUNTER",$L120&lt;&gt;"J_ULT"),$J120,0)+IF($L120="LILYA_DIVE",$J120+IF($U120=1,IF($G120=1,6,IF($G120=2,12,18)),IF($U120=2,IF($G120=1,12,IF($G120=2,24,36)),0)),0)+IF($L120="LILYA_ULT",$J120+IF($X120&gt;=6,18,0),0)+IF($L120="LILYA_INSIGHT",IF($Y120=1,IF(MOD($AA120+1,3)=0,32,15),0),0)+IF($L120="LILYA_FINISH",IF($Y120=1,50+2.5*$Z120,0),0)+IF($L120="37_FOLLOW",$J120,0)+IF($L120="RHI_ATTACK",$J120*IF($B120&lt;=$AJ120,2,1),0)+IF($L120="RHI_BERRY",15+1.5*$AV120,0)+IF($L120="J_COUNTER",$J120+$AD120*Boss参数!$B$39,0)+IF($L120="J_ULT",$J120+Boss参数!$B$45*MAX(0,$AE120+$AD120-Boss参数!$I$4),0)+$S120)</f>
        <v>32</v>
      </c>
      <c r="BH120" s="1">
        <f t="shared" si="72"/>
        <v>0</v>
      </c>
      <c r="BI120" s="1">
        <f>IF(E120="","",IF(DT120=1,1+Boss参数!$B$8+AV120*Boss参数!$B$19,1))</f>
        <v>1.5</v>
      </c>
      <c r="BJ120" s="1">
        <f>IF($I120="现实",Boss参数!$C$4,IF($I120="精神",Boss参数!$D$4,0))</f>
        <v>1200</v>
      </c>
      <c r="BK120" s="1">
        <f>IF($E120="","",MAX($AY120*Boss参数!$B$9,$AY120-$BJ120*(1-$BF120)))</f>
        <v>2305</v>
      </c>
      <c r="BL120" s="1">
        <f>MAX(0,Boss参数!$F$4+IF(DT120=0,Boss参数!$B$27,0)-EJ120)</f>
        <v>0.10000000000000003</v>
      </c>
      <c r="BM120" s="1">
        <f>Boss参数!$G$4+DU120-IF(Y120=1,Boss参数!$B$11,0)</f>
        <v>0.35</v>
      </c>
      <c r="BN120" s="1">
        <f>IF($E120="","",MAX(Boss参数!$B$10,1+IFERROR(INDEX(角色面板!$I$18:$I$21,MATCH($E120,角色面板!$A$18:$A$21,0)),0)+$BB120+Boss参数!$H$4-$BM120))</f>
        <v>2.2450000000000001</v>
      </c>
      <c r="BO120" s="1">
        <f>IF(E120="","",IF(OR(L120="J_COUNTER",L120="J_HARD"),MAX(0,1+INDEX(角色面板!$K$18:$K$21,MATCH(E120,角色面板!$A$18:$A$21,0))-DI120*Boss参数!$B$23+IF(OR(Boss参数!$B$43=1,L120="J_HARD"),IF(B120&lt;=AH120,Boss参数!$B$46,0),0)),MAX(0,IF(OR(H120="术法",L120="RHI_BERRY",AND(L120="37_FOLLOW",Boss参数!$B$31=1)),1+BC120,IF(H120="仪式",1+BD120,IF(H120="洞知",EK120,1))))))</f>
        <v>1.98</v>
      </c>
      <c r="BP120" s="1">
        <f t="shared" si="73"/>
        <v>3.0050000000000003</v>
      </c>
      <c r="BQ120" s="1">
        <f t="shared" si="74"/>
        <v>491805.864</v>
      </c>
      <c r="BR120" s="1">
        <f t="shared" si="75"/>
        <v>1477876.6213200002</v>
      </c>
      <c r="BS120" s="1">
        <f>IF(BH120=0,0,ROUNDDOWN(AY120*BH120,0)*DV120*IF(Boss参数!$B$29=1,BN120,1)*IF(Boss参数!$B$33=1,BO120,1)*IF(Boss参数!$B$76=1,1-ES120,1))</f>
        <v>0</v>
      </c>
      <c r="BT120" s="1">
        <f t="shared" si="76"/>
        <v>0</v>
      </c>
      <c r="BU120" s="1">
        <f>IF(D120="",0,MIN(IF(Boss参数!$B$77=1,Boss参数!$B$63*Boss参数!$B$62,Boss参数!$B$61*Boss参数!$B$62),DW120+ROUNDDOWN(BS120,0)+ROUNDDOWN(DW120*Q120,0)))</f>
        <v>275410</v>
      </c>
      <c r="BV120" s="1">
        <f>IF(D120="",0,MIN(IF(Boss参数!$B$77=1,Boss参数!$B$63*Boss参数!$B$62,Boss参数!$B$61*Boss参数!$B$62),DX120+ROUNDDOWN(BT120,0)+ROUNDDOWN(DX120*Q120,0)))</f>
        <v>827610</v>
      </c>
      <c r="BW120" s="1">
        <f t="shared" si="77"/>
        <v>827610</v>
      </c>
      <c r="BX120" s="1" t="str">
        <f t="shared" si="78"/>
        <v/>
      </c>
      <c r="BY120" s="1">
        <f t="shared" si="79"/>
        <v>2</v>
      </c>
      <c r="BZ120" s="1">
        <f t="shared" si="80"/>
        <v>1</v>
      </c>
      <c r="CA120" s="1">
        <f>MIN(10,W120+IF(AND(L120="LILYA_COBRA",COUNTIF($L$3:L120,"LILYA_COBRA")=1),5,0)+IF(AND(L120="LILYA_DIVE",U120=1,COUNTIFS($DG$3:DG120,DG120,$L$3:L120,"LILYA_DIVE")=1),2,0)+IF(AND(FE120=1,U120=1),3,0))</f>
        <v>10</v>
      </c>
      <c r="CB120" s="1">
        <f>MIN(20,MAX(0,X120+IF(L120="LILYA_COBRA",IF(COUNTIF($L$3:L120,"LILYA_COBRA")=1,6,IF(U120=1,MAX(1,G120),IF(U120=2,2*MAX(1,G120),0))),0)+IF(AND(Y120=1,E120="红弩箭",L120&lt;&gt;"ENTER_INSIGHT"),1,0)-IF(AND(L120="LILYA_ULT",X120&gt;=6),6,0)))</f>
        <v>8</v>
      </c>
      <c r="CC120" s="1">
        <f t="shared" si="81"/>
        <v>1</v>
      </c>
      <c r="CD120" s="1">
        <f t="shared" si="82"/>
        <v>8</v>
      </c>
      <c r="CE120" s="1">
        <f t="shared" si="83"/>
        <v>6</v>
      </c>
      <c r="CF120" s="1">
        <f t="shared" si="84"/>
        <v>8</v>
      </c>
      <c r="CG120" s="1">
        <f t="shared" si="85"/>
        <v>1</v>
      </c>
      <c r="CH120" s="1">
        <f>MIN(35,AD120+IF(L120="J_HARD",6,0)+IF(L120="J_COUNTER",Boss参数!$B$30,0))</f>
        <v>35</v>
      </c>
      <c r="CI120" s="1">
        <f>MIN(Boss参数!$I$4,AE120+IF(L120="J_HARD",6,0)+IF(L120="J_ULT",AD120,0)+IF(L120="J_COUNTER",Boss参数!$B$30,0))</f>
        <v>15</v>
      </c>
      <c r="CJ120" s="1">
        <f>IF(L120="J_ULT",AD120*Boss参数!$B$41,IF(B120&lt;=AG120,AF120,0))</f>
        <v>0.875</v>
      </c>
      <c r="CK120" s="1">
        <f t="shared" si="86"/>
        <v>9</v>
      </c>
      <c r="CL120" s="1">
        <f t="shared" si="87"/>
        <v>9</v>
      </c>
      <c r="CM120" s="1">
        <f t="shared" si="88"/>
        <v>8</v>
      </c>
      <c r="CN120" s="1">
        <f t="shared" si="89"/>
        <v>9</v>
      </c>
      <c r="CO120" s="1">
        <f t="shared" si="90"/>
        <v>8</v>
      </c>
      <c r="CP120" s="1">
        <f t="shared" si="91"/>
        <v>3</v>
      </c>
      <c r="CQ120" s="1">
        <f t="shared" si="92"/>
        <v>30</v>
      </c>
      <c r="CR120" s="1">
        <f t="shared" si="93"/>
        <v>9</v>
      </c>
      <c r="CS120" s="1">
        <f t="shared" si="94"/>
        <v>8</v>
      </c>
      <c r="CT120" s="1">
        <f t="shared" si="95"/>
        <v>0.12</v>
      </c>
      <c r="CU120" s="1">
        <f t="shared" si="96"/>
        <v>9</v>
      </c>
      <c r="CV120" s="1">
        <f t="shared" si="97"/>
        <v>0.3</v>
      </c>
      <c r="CW120" s="1">
        <f t="shared" si="98"/>
        <v>9</v>
      </c>
      <c r="CX120" s="1">
        <f t="shared" si="99"/>
        <v>0.3</v>
      </c>
      <c r="CY120" s="1">
        <f t="shared" si="100"/>
        <v>9</v>
      </c>
      <c r="CZ120" s="1"/>
      <c r="DA120" s="1"/>
      <c r="DB120" s="1"/>
      <c r="DC120" s="1"/>
      <c r="DD120" s="1"/>
      <c r="DE120" s="1"/>
      <c r="DF120" s="1"/>
      <c r="DG120" s="1" t="str">
        <f>IF(D120="","",行动模拟!B126)</f>
        <v>洞知2</v>
      </c>
      <c r="DH120" s="1" t="str">
        <f>IF(L120="END_TURN","回合结束",IF(D120="","",IF(INDEX(回合状态!$C$7:$C$17,MATCH(DG120,回合状态!$A$7:$A$17,0))="洞穿","洞穿",IF(OR(L120="J_COUNTER",L120="BOSS_ACTION",L120="BOSS_CONSERVATIVE"),"敌方",IF(AND(L120="37_FOLLOW",DG120=DG119,DH119="敌方"),"敌方",IF(INDEX(回合状态!$C$7:$C$17,MATCH(DG120,回合状态!$A$7:$A$17,0))="普通","出牌",INDEX(回合状态!$C$7:$C$17,MATCH(DG120,回合状态!$A$7:$A$17,0))))))))</f>
        <v>洞穿</v>
      </c>
      <c r="DI120" s="1">
        <f t="shared" si="101"/>
        <v>1</v>
      </c>
      <c r="DJ120" s="1">
        <f>IF(D120="",0,MIN(Boss参数!$B$25,IF(OR(AND(DH120="敌方",OR(DH119&lt;&gt;"敌方",DG120&lt;&gt;DG119)),AND(L120="END_TURN",DH120&lt;&gt;"洞穿"),AND(DG120&lt;&gt;DG119,DH119&lt;&gt;"洞穿",L119&lt;&gt;"END_TURN",COUNTIFS($DG$3:DG119,DG119,$DH$3:DH119,"敌方")=0)),EW120,DN119)))</f>
        <v>1</v>
      </c>
      <c r="DK120" s="1">
        <f>IF(D120="",0,MIN(Boss参数!$B$25,IF(OR(AND(DH120="敌方",OR(DH119&lt;&gt;"敌方",DG120&lt;&gt;DG119)),AND(L120="END_TURN",DH120&lt;&gt;"洞穿"),AND(DG120&lt;&gt;DG119,DH119&lt;&gt;"洞穿",L119&lt;&gt;"END_TURN",COUNTIFS($DG$3:DG119,DG119,$DH$3:DH119,"敌方")=0)),EW120,DO119)))</f>
        <v>3</v>
      </c>
      <c r="DL120" s="1">
        <f>IF(D120="",0,MIN(Boss参数!$B$25,IF(OR(AND(DH120="敌方",OR(DH119&lt;&gt;"敌方",DG120&lt;&gt;DG119)),AND(L120="END_TURN",DH120&lt;&gt;"洞穿"),AND(DG120&lt;&gt;DG119,DH119&lt;&gt;"洞穿",L119&lt;&gt;"END_TURN",COUNTIFS($DG$3:DG119,DG119,$DH$3:DH119,"敌方")=0)),EW120,DP119)))</f>
        <v>5</v>
      </c>
      <c r="DM120" s="1">
        <f>IF(D120="",0,MIN(Boss参数!$B$25,IF(OR(AND(DH120="敌方",OR(DH119&lt;&gt;"敌方",DG120&lt;&gt;DG119)),AND(L120="END_TURN",DH120&lt;&gt;"洞穿"),AND(DG120&lt;&gt;DG119,DH119&lt;&gt;"洞穿",L119&lt;&gt;"END_TURN",COUNTIFS($DG$3:DG119,DG119,$DH$3:DH119,"敌方")=0)),EW120,DQ119)))</f>
        <v>5</v>
      </c>
      <c r="DN120" s="1">
        <f>MAX(0,MIN(Boss参数!$B$25,DJ120+DR120)-IF(E120="红弩箭",2*DR120,0))</f>
        <v>0</v>
      </c>
      <c r="DO120" s="1">
        <f>MAX(0,MIN(Boss参数!$B$25,DK120+DR120)-IF(E120="37",2*DR120,0))</f>
        <v>4</v>
      </c>
      <c r="DP120" s="1">
        <f>MAX(0,MIN(Boss参数!$B$25,DL120+DR120)-IF(E120="小瑞安侬",2*DR120,0))</f>
        <v>5</v>
      </c>
      <c r="DQ120" s="1">
        <f>MAX(0,MIN(Boss参数!$B$25,DM120+DR120)-IF(E120="J",2*DR120,0))</f>
        <v>5</v>
      </c>
      <c r="DR120" s="1">
        <f t="shared" si="102"/>
        <v>1</v>
      </c>
      <c r="DS120" s="1">
        <f t="shared" si="103"/>
        <v>1</v>
      </c>
      <c r="DT120" s="1">
        <f>IF(OR(E120="",E120="系统"),0,IF(OR(AND(DS120=1,Boss参数!$B$32=1),L120="RHI_BERRY",OR(AND(INDEX(角色面板!$B$18:$B$21,MATCH(E120,角色面板!$A$18:$A$21,0))="星",Boss参数!$B$4="岩"),AND(INDEX(角色面板!$B$18:$B$21,MATCH(E120,角色面板!$A$18:$A$21,0))="岩",Boss参数!$B$4="兽"),AND(INDEX(角色面板!$B$18:$B$21,MATCH(E120,角色面板!$A$18:$A$21,0))="兽",Boss参数!$B$4="木"),AND(INDEX(角色面板!$B$18:$B$21,MATCH(E120,角色面板!$A$18:$A$21,0))="木",Boss参数!$B$4="星"),AND(INDEX(角色面板!$B$18:$B$21,MATCH(E120,角色面板!$A$18:$A$21,0))="智",Boss参数!$B$4="灵"),AND(INDEX(角色面板!$B$18:$B$21,MATCH(E120,角色面板!$A$18:$A$21,0))="灵",Boss参数!$B$4="智"))),1,0))</f>
        <v>1</v>
      </c>
      <c r="DU120" s="1">
        <f>IF(D120="",0,INDEX(回合状态!$E$7:$E$17,MATCH(DG120,回合状态!$A$7:$A$17,0))+IF(AND(DH120="敌方",OR(INDEX(回合状态!$C$7:$C$17,MATCH(DG120,回合状态!$A$7:$A$17,0))="普通",INDEX(回合状态!$C$7:$C$17,MATCH(DG120,回合状态!$A$7:$A$17,0))="额外")),0.05,0))</f>
        <v>0.35</v>
      </c>
      <c r="DV120" s="1">
        <f>MAX(Boss参数!$B$28,1+IF(AND(E120="37",AC120&gt;0,BH120&gt;0),Boss参数!$B$42,0)-DI120*Boss参数!$B$24+EA120-ER120)</f>
        <v>0</v>
      </c>
      <c r="DW120" s="1">
        <f>MIN(IF(Boss参数!$B$77=1,Boss参数!$B$63*Boss参数!$B$62,Boss参数!$B$61*Boss参数!$B$62),ROUNDDOWN(BQ120*(1-ES120),0))</f>
        <v>196722</v>
      </c>
      <c r="DX120" s="1">
        <f>MIN(IF(Boss参数!$B$77=1,Boss参数!$B$63*Boss参数!$B$62,Boss参数!$B$61*Boss参数!$B$62),ROUNDDOWN(BR120*(1-ES120),0))</f>
        <v>591150</v>
      </c>
      <c r="DY120" s="1">
        <f t="shared" si="135"/>
        <v>250</v>
      </c>
      <c r="DZ120" s="1">
        <f>IF(L120="RHI_ULT",MIN(Boss参数!$B$48,ROUNDDOWN(AY120*Boss参数!$B$47,0)),DY120)</f>
        <v>250</v>
      </c>
      <c r="EA120" s="1">
        <v>0</v>
      </c>
      <c r="EB120" s="1">
        <f t="shared" si="104"/>
        <v>0</v>
      </c>
      <c r="EC120" s="1">
        <f>SUMIFS($EB$3:EB120,$B$3:B120,"&gt;="&amp;MAX(1,B120-2),$B$3:B120,"&lt;="&amp;B120)*Boss参数!$B$51</f>
        <v>12</v>
      </c>
      <c r="ED120" s="1">
        <f>IF(D120="",EG119,IF(AND(DG120&lt;&gt;DG119,DH120&lt;&gt;"洞穿"),MIN(Boss参数!$B$55,EG119+2),EG119))</f>
        <v>0</v>
      </c>
      <c r="EE120" s="1">
        <f t="shared" si="105"/>
        <v>0</v>
      </c>
      <c r="EF120" s="1">
        <f>IF(AND(OR(L120="END_TURN",AND(DH120="敌方",OR(DH119&lt;&gt;"敌方",DG120&lt;&gt;DG119))),SUMIFS($EF$3:EF119,$DG$3:DG119,DG120)=0),MIN(1,MAX(0,ED120-EE120)),0)</f>
        <v>0</v>
      </c>
      <c r="EG120" s="1">
        <f t="shared" si="106"/>
        <v>0</v>
      </c>
      <c r="EH120" s="1">
        <f>Boss参数!$B$53-IF(Y120=1,Boss参数!$B$54,0)</f>
        <v>-0.4</v>
      </c>
      <c r="EI120" s="1">
        <f t="shared" si="107"/>
        <v>0.3</v>
      </c>
      <c r="EJ120" s="1">
        <f t="shared" si="108"/>
        <v>0.3</v>
      </c>
      <c r="EK120" s="1">
        <f t="shared" si="109"/>
        <v>1.98</v>
      </c>
      <c r="EL120" s="1">
        <f t="shared" si="136"/>
        <v>0</v>
      </c>
      <c r="EM120" s="1">
        <f>IF(AND(DG120&lt;&gt;DG119,DH120="洞穿"),0,IF(L120="ENTER_INSIGHT",Boss参数!$B$57,EO119))</f>
        <v>1</v>
      </c>
      <c r="EN120" s="1">
        <f>IF(AND(Y120=1,H120="洞知",EM120&gt;0),Boss参数!$B$56,0)</f>
        <v>0.4</v>
      </c>
      <c r="EO120" s="1">
        <f t="shared" si="110"/>
        <v>0</v>
      </c>
      <c r="EP120" s="1">
        <f t="shared" si="137"/>
        <v>17463498</v>
      </c>
      <c r="EQ120" s="1">
        <f>ROUNDDOWN(EP120/Boss参数!$B$62,0)</f>
        <v>174</v>
      </c>
      <c r="ER120" s="1">
        <f>IF(EQ120&gt;=Boss参数!$B$66,Boss参数!$B$69,IF(EQ120&gt;=Boss参数!$B$65,Boss参数!$B$68,IF(EQ120&gt;=Boss参数!$B$64,Boss参数!$B$67,0)))</f>
        <v>0.9</v>
      </c>
      <c r="ES120" s="1">
        <f>MIN(1,IF(EQ120&gt;=Boss参数!$B$66,Boss参数!$B$72+ROUNDDOWN((EQ120-Boss参数!$B$66)/Boss参数!$B$73,0)*Boss参数!$B$74,IF(EQ120&gt;=Boss参数!$B$65,Boss参数!$B$71,IF(EQ120&gt;=Boss参数!$B$64,Boss参数!$B$70,0))))</f>
        <v>0.6</v>
      </c>
      <c r="ET120" s="1">
        <f>MIN(Boss参数!$B$61*Boss参数!$B$62,EP120+IF(AND(Boss参数!$B$60=1,ISNUMBER(验证表!H126)),验证表!H126,EU120))</f>
        <v>18291108</v>
      </c>
      <c r="EU120" s="1">
        <f>IF(D120="",0,IF(验证表!G126="是",BV120,IF(验证表!G126="否",BU120,BW120)))</f>
        <v>827610</v>
      </c>
      <c r="EV120" s="1">
        <f>IF(EQ120&gt;=Boss参数!$B$66,2,IF(EQ120&gt;=Boss参数!$B$65,1,0))</f>
        <v>2</v>
      </c>
      <c r="EW120" s="1">
        <f t="shared" si="111"/>
        <v>3</v>
      </c>
      <c r="EX120" s="1">
        <f>IF(D120="",0,INDEX(回合状态!$D$7:$D$17,MATCH(DG120,回合状态!$A$7:$A$17,0)))</f>
        <v>8</v>
      </c>
      <c r="EY120" s="1">
        <f>IF(OR(L120="RHI_ATTACK",L120="RHI_BUFF"),1,IF(L120="RHI_ULT",Boss参数!$B$52,0))</f>
        <v>0</v>
      </c>
      <c r="EZ120" s="1">
        <f>MIN(6,SUMIFS($EY$3:EY120,$EX$3:EX120,"&gt;="&amp;MAX(1,EX120-Boss参数!$B$87+1),$EX$3:EX120,"&lt;="&amp;EX120))</f>
        <v>4</v>
      </c>
      <c r="FA120" s="1">
        <f t="shared" si="138"/>
        <v>35</v>
      </c>
      <c r="FB120" s="17">
        <f>IF(L120="BOSS_CONSERVATIVE",B120+Boss参数!$B$91,FB119)</f>
        <v>7</v>
      </c>
      <c r="FC120" s="17">
        <f t="shared" si="139"/>
        <v>0</v>
      </c>
      <c r="FD120" s="17">
        <f>IF(D120="",FD119,FD119+IF(AND(DG120&lt;&gt;DG119,INDEX(回合状态!$C$7:$C$17,MATCH(DG120,回合状态!$A$7:$A$17,0))&lt;&gt;"洞穿"),1,0))</f>
        <v>8</v>
      </c>
      <c r="FE120" s="17">
        <f>IF(D120="",0,IF(AND(OR(L120="END_TURN",DH120="敌方"),INDEX(回合状态!$C$7:$C$17,MATCH(DG120,回合状态!$A$7:$A$17,0))&lt;&gt;"洞穿",SUMIFS($FE$3:FE119,$DG$3:DG119,DG120)=0),1,0))</f>
        <v>0</v>
      </c>
    </row>
    <row r="121" spans="1:161" ht="84.95" customHeight="1">
      <c r="A121" s="1">
        <f>行动模拟!A127</f>
        <v>119</v>
      </c>
      <c r="B121" s="1">
        <f>IF(D121="",0,INDEX(回合状态!$B$7:$B$17,MATCH(DG121,回合状态!$A$7:$A$17,0)))</f>
        <v>7</v>
      </c>
      <c r="C121" s="1">
        <f>行动模拟!C127</f>
        <v>9</v>
      </c>
      <c r="D121" s="1" t="str">
        <f>IF(行动模拟!D127="","",行动模拟!D127)</f>
        <v>红弩箭｜洞知咒语</v>
      </c>
      <c r="E121" s="1" t="str">
        <f>IF($D121="","",IFERROR(INDEX(技能数据库!$B$4:$B$38,MATCH($D121,技能数据库!$A$4:$A$38,0)),""))</f>
        <v>红弩箭</v>
      </c>
      <c r="F121" s="1" t="str">
        <f>IF($D121="","",IFERROR(INDEX(技能数据库!$C$4:$C$38,MATCH($D121,技能数据库!$A$4:$A$38,0)),""))</f>
        <v>洞知咒语</v>
      </c>
      <c r="G121" s="1">
        <f>IF($D121="","",IFERROR(INDEX(技能数据库!$D$4:$D$38,MATCH($D121,技能数据库!$A$4:$A$38,0)),""))</f>
        <v>0</v>
      </c>
      <c r="H121" s="1" t="str">
        <f>IF($D121="","",IFERROR(INDEX(技能数据库!$E$4:$E$38,MATCH($D121,技能数据库!$A$4:$A$38,0)),""))</f>
        <v>洞知</v>
      </c>
      <c r="I121" s="1" t="str">
        <f>IF($D121="","",IFERROR(INDEX(技能数据库!$F$4:$F$38,MATCH($D121,技能数据库!$A$4:$A$38,0)),""))</f>
        <v>现实</v>
      </c>
      <c r="J121" s="1">
        <f>IF($D121="","",IFERROR(INDEX(技能数据库!$G$4:$G$38,MATCH($D121,技能数据库!$A$4:$A$38,0)),""))</f>
        <v>15</v>
      </c>
      <c r="K121" s="1">
        <f>IF($D121="","",IFERROR(INDEX(技能数据库!$H$4:$H$38,MATCH($D121,技能数据库!$A$4:$A$38,0)),""))</f>
        <v>0</v>
      </c>
      <c r="L121" s="1" t="str">
        <f>IF($D121="","",IFERROR(INDEX(技能数据库!$I$4:$I$38,MATCH($D121,技能数据库!$A$4:$A$38,0)),""))</f>
        <v>LILYA_INSIGHT</v>
      </c>
      <c r="M121" s="1">
        <v>1</v>
      </c>
      <c r="N121" s="1"/>
      <c r="O121" s="1"/>
      <c r="P121" s="1"/>
      <c r="Q121" s="1">
        <f t="shared" si="70"/>
        <v>0</v>
      </c>
      <c r="R121" s="1">
        <v>0</v>
      </c>
      <c r="S121" s="1">
        <v>0</v>
      </c>
      <c r="T121" s="1">
        <f>行动模拟!I127</f>
        <v>0</v>
      </c>
      <c r="U121" s="1">
        <f>IF(FD121&lt;&gt;FD120,IF(BY120=1,IF(MIN(10,CA120+IF(AND(DG121&lt;&gt;DG120,DH120&lt;&gt;"洞穿",SUMIFS($FE$3:FE120,$DG$3:DG120,DG120)=0,BY120=1),3,0))&gt;=10,2,1),IF(BY120=2,IF(BZ120&lt;=1,0,2),0)),BY120)</f>
        <v>2</v>
      </c>
      <c r="V121" s="1">
        <f>IF(FD121&lt;&gt;FD120,IF(BY120=1,IF(MIN(10,CA120+IF(AND(DG121&lt;&gt;DG120,DH120&lt;&gt;"洞穿",SUMIFS($FE$3:FE120,$DG$3:DG120,DG120)=0,BY120=1),3,0))&gt;=10,2,0),IF(BY120=2,MAX(0,BZ120-1),0)),BZ120)</f>
        <v>1</v>
      </c>
      <c r="W121" s="1">
        <f>IF(AND(FD121&lt;&gt;FD120,BY120=2,BZ120&lt;=1),0,MIN(10,CA120+IF(AND(DG121&lt;&gt;DG120,DH120&lt;&gt;"洞穿",SUMIFS($FE$3:FE120,$DG$3:DG120,DG120)=0,BY120=1),3,0)))</f>
        <v>10</v>
      </c>
      <c r="X121" s="1">
        <f t="shared" si="112"/>
        <v>8</v>
      </c>
      <c r="Y121" s="1">
        <f t="shared" si="113"/>
        <v>1</v>
      </c>
      <c r="Z121" s="1">
        <f t="shared" si="114"/>
        <v>8</v>
      </c>
      <c r="AA121" s="1">
        <f t="shared" si="115"/>
        <v>6</v>
      </c>
      <c r="AB121" s="1">
        <f t="shared" si="116"/>
        <v>8</v>
      </c>
      <c r="AC121" s="1">
        <f t="shared" si="117"/>
        <v>1</v>
      </c>
      <c r="AD121" s="1">
        <f t="shared" si="118"/>
        <v>35</v>
      </c>
      <c r="AE121" s="1">
        <f>IF(D121="",0,IF(DG121&lt;&gt;DG120,IFERROR(INDEX(回合状态!$F$7:$F$17,MATCH(DG121,回合状态!$A$7:$A$17,0)),0),CI120))</f>
        <v>15</v>
      </c>
      <c r="AF121" s="1">
        <f t="shared" si="119"/>
        <v>0.875</v>
      </c>
      <c r="AG121" s="1">
        <f t="shared" si="120"/>
        <v>9</v>
      </c>
      <c r="AH121" s="1">
        <f t="shared" si="121"/>
        <v>9</v>
      </c>
      <c r="AI121" s="1">
        <f t="shared" si="122"/>
        <v>8</v>
      </c>
      <c r="AJ121" s="1">
        <f t="shared" si="123"/>
        <v>9</v>
      </c>
      <c r="AK121" s="1">
        <f t="shared" si="124"/>
        <v>8</v>
      </c>
      <c r="AL121" s="1">
        <f t="shared" si="125"/>
        <v>3</v>
      </c>
      <c r="AM121" s="1">
        <f t="shared" si="126"/>
        <v>30</v>
      </c>
      <c r="AN121" s="1">
        <f t="shared" si="127"/>
        <v>9</v>
      </c>
      <c r="AO121" s="1">
        <f t="shared" si="128"/>
        <v>8</v>
      </c>
      <c r="AP121" s="1">
        <f t="shared" si="129"/>
        <v>0.12</v>
      </c>
      <c r="AQ121" s="1">
        <f t="shared" si="130"/>
        <v>9</v>
      </c>
      <c r="AR121" s="1">
        <f t="shared" si="131"/>
        <v>0.3</v>
      </c>
      <c r="AS121" s="1">
        <f t="shared" si="132"/>
        <v>9</v>
      </c>
      <c r="AT121" s="1">
        <f t="shared" si="133"/>
        <v>0.3</v>
      </c>
      <c r="AU121" s="1">
        <f t="shared" si="134"/>
        <v>9</v>
      </c>
      <c r="AV121" s="1">
        <f>MIN(5,SUMIFS($EL$3:EL121,$B$3:B121,"&gt;="&amp;MAX(1,B121-2),$B$3:B121,"&lt;="&amp;B121)+EC121)</f>
        <v>5</v>
      </c>
      <c r="AW121" s="1">
        <f>MIN(6,SUMIFS($EY$3:EY120,$EX$3:EX120,"&gt;="&amp;MAX(1,EX121-Boss参数!$B$87+1),$EX$3:EX120,"&lt;="&amp;EX121))</f>
        <v>4</v>
      </c>
      <c r="AX121" s="1">
        <f>MIN(4,COUNTIFS($B$3:$B$120,"&gt;="&amp;MAX(1,$B121-2),$B$3:$B$120,"&lt;="&amp;$B121,$L$3:$L$120,"37_FOLLOW"))</f>
        <v>4</v>
      </c>
      <c r="AY121" s="1">
        <f>IF($E121="","",IF($E121="系统",0,ROUNDDOWN(INDEX(角色面板!$C$4:$C$7,MATCH($E121,角色面板!$A$4:$A$7,0))*(1+INDEX(角色面板!$C$11:$C$14,MATCH($E121,角色面板!$A$11:$A$14,0))+IF($E121="小瑞安侬",MAX(IF($B121&lt;=$AQ121,$AP121,0),IF(AND($L121="RHI_ATTACK",$EE121&gt;0),0.11+0.01*$G121,0)),0)+IF($E121="J",$AD121*Boss参数!$B$18,0))+IF(FD121&lt;=$AN121,MIN(Boss参数!$B$21,ROUNDDOWN(角色面板!$C$19*Boss参数!$B$20,0)),0)+IF(AND($B121&lt;=$AK121,$E121&lt;&gt;"小瑞安侬"),$DY121,0),0)))</f>
        <v>3505</v>
      </c>
      <c r="AZ121" s="1">
        <f>IF($E121="","",MAX(0,MIN(1,IFERROR(INDEX(角色面板!$G$18:$G$21,MATCH($E121,角色面板!$A$18:$A$21,0)),0)-FC121*Boss参数!$B$89-Boss参数!$E$4)))</f>
        <v>1</v>
      </c>
      <c r="BA121" s="1">
        <f>IF(E121="","",(IF($E121="","",IF($E121="红弩箭",Boss参数!$B$80,IF($E121="J",Boss参数!$B$81,IFERROR(INDEX(角色面板!$H$18:$H$21,MATCH($E121,角色面板!$A$18:$A$21,0)),0)))+IF($B121&lt;=$AI121,Boss参数!$B$13,0)+MIN(30,$AM121)*Boss参数!$B$17+IF(AND($L121="LILYA_ULT",$X121&gt;=6),1,0)+IF(AND($Y121=1,$L121="LILYA_INSIGHT"),IF(MOD($AA121+1,3)=0,Boss参数!$B$83,Boss参数!$B$82),IF(AND($Y121=1,$L121="LILYA_FINISH"),Boss参数!$B$84,0))))-FC121*Boss参数!$B$90)</f>
        <v>2.9050000000000002</v>
      </c>
      <c r="BB121" s="1">
        <f>IF($E121="","",IFERROR(INDEX(角色面板!$M$18:$M$21,MATCH($E121,角色面板!$A$18:$A$21,0)),0)+$AW121*Boss参数!$B$12+IF($B121&lt;=$AG121,$AF121,0)+$EI121+IF($L121="LILYA_DIVE",IF($U121=1,IF($G121=1,0.3,IF($G121=2,0.4,0.5)),IF($U121=2,IF($G121=1,0.6,IF($G121=2,0.8,1)),0)),0)+$R121+IF(AND($E121="J",OR($L121="J_COUNTER",$L121="J_HARD")),Boss参数!$B$79,0)+IF(AND(OR(L121="J_COUNTER",L121="J_HARD"),FA121&gt;=Boss参数!$B$59),FA121*Boss参数!$B$40,0))</f>
        <v>1.4950000000000001</v>
      </c>
      <c r="BC121" s="1">
        <f>IF($E121="","",IFERROR(INDEX(角色面板!$K$18:$K$21,MATCH($E121,角色面板!$A$18:$A$21,0)),0)+IF($B121&lt;=$AH121,Boss参数!$B$46,0)+IF($E121="红弩箭",IF($U121=1,0.6,IF($U121=2,1.2,0))+$W121*0.06,0))-DI121*Boss参数!$B$23</f>
        <v>1.6999999999999997</v>
      </c>
      <c r="BD121" s="1">
        <f>IF($E121="","",IFERROR(INDEX(角色面板!$L$18:$L$21,MATCH($E121,角色面板!$A$18:$A$21,0)),0)+IF($B121&lt;=$AH121,Boss参数!$B$46,0)+IF($E121="J",$AL121*Boss参数!$B$16,0)+IF($E121="红弩箭",$X121*0.025,0)+IF(AND($L121="LILYA_ULT",$X121&gt;=6),1,0))-DI121*Boss参数!$B$23</f>
        <v>0.5</v>
      </c>
      <c r="BE121" s="1">
        <f>IF($E121="","",IF($H121="洞知",IF($E121="红弩箭",$AO121*Boss参数!$B$15,0)+$AX121*Boss参数!$B$14,0))</f>
        <v>0.64</v>
      </c>
      <c r="BF121" s="1">
        <f t="shared" si="71"/>
        <v>0</v>
      </c>
      <c r="BG121" s="1">
        <f>IF($D121="",0,IF(AND($L121&lt;&gt;"LILYA_DIVE",$L121&lt;&gt;"LILYA_ULT",$L121&lt;&gt;"LILYA_INSIGHT",$L121&lt;&gt;"LILYA_FINISH",$L121&lt;&gt;"37_FOLLOW",$L121&lt;&gt;"RHI_ATTACK",$L121&lt;&gt;"RHI_BERRY",$L121&lt;&gt;"J_COUNTER",$L121&lt;&gt;"J_ULT"),$J121,0)+IF($L121="LILYA_DIVE",$J121+IF($U121=1,IF($G121=1,6,IF($G121=2,12,18)),IF($U121=2,IF($G121=1,12,IF($G121=2,24,36)),0)),0)+IF($L121="LILYA_ULT",$J121+IF($X121&gt;=6,18,0),0)+IF($L121="LILYA_INSIGHT",IF($Y121=1,IF(MOD($AA121+1,3)=0,32,15),0),0)+IF($L121="LILYA_FINISH",IF($Y121=1,50+2.5*$Z121,0),0)+IF($L121="37_FOLLOW",$J121,0)+IF($L121="RHI_ATTACK",$J121*IF($B121&lt;=$AJ121,2,1),0)+IF($L121="RHI_BERRY",15+1.5*$AV121,0)+IF($L121="J_COUNTER",$J121+$AD121*Boss参数!$B$39,0)+IF($L121="J_ULT",$J121+Boss参数!$B$45*MAX(0,$AE121+$AD121-Boss参数!$I$4),0)+$S121)</f>
        <v>15</v>
      </c>
      <c r="BH121" s="1">
        <f t="shared" si="72"/>
        <v>0</v>
      </c>
      <c r="BI121" s="1">
        <f>IF(E121="","",IF(DT121=1,1+Boss参数!$B$8+AV121*Boss参数!$B$19,1))</f>
        <v>1.5</v>
      </c>
      <c r="BJ121" s="1">
        <f>IF($I121="现实",Boss参数!$C$4,IF($I121="精神",Boss参数!$D$4,0))</f>
        <v>1200</v>
      </c>
      <c r="BK121" s="1">
        <f>IF($E121="","",MAX($AY121*Boss参数!$B$9,$AY121-$BJ121*(1-$BF121)))</f>
        <v>2305</v>
      </c>
      <c r="BL121" s="1">
        <f>MAX(0,Boss参数!$F$4+IF(DT121=0,Boss参数!$B$27,0)-EJ121)</f>
        <v>0.10000000000000003</v>
      </c>
      <c r="BM121" s="1">
        <f>Boss参数!$G$4+DU121-IF(Y121=1,Boss参数!$B$11,0)</f>
        <v>0.35</v>
      </c>
      <c r="BN121" s="1">
        <f>IF($E121="","",MAX(Boss参数!$B$10,1+IFERROR(INDEX(角色面板!$I$18:$I$21,MATCH($E121,角色面板!$A$18:$A$21,0)),0)+$BB121+Boss参数!$H$4-$BM121))</f>
        <v>2.2450000000000001</v>
      </c>
      <c r="BO121" s="1">
        <f>IF(E121="","",IF(OR(L121="J_COUNTER",L121="J_HARD"),MAX(0,1+INDEX(角色面板!$K$18:$K$21,MATCH(E121,角色面板!$A$18:$A$21,0))-DI121*Boss参数!$B$23+IF(OR(Boss参数!$B$43=1,L121="J_HARD"),IF(B121&lt;=AH121,Boss参数!$B$46,0),0)),MAX(0,IF(OR(H121="术法",L121="RHI_BERRY",AND(L121="37_FOLLOW",Boss参数!$B$31=1)),1+BC121,IF(H121="仪式",1+BD121,IF(H121="洞知",EK121,1))))))</f>
        <v>2.04</v>
      </c>
      <c r="BP121" s="1">
        <f t="shared" si="73"/>
        <v>2.8050000000000002</v>
      </c>
      <c r="BQ121" s="1">
        <f t="shared" si="74"/>
        <v>237519.8775</v>
      </c>
      <c r="BR121" s="1">
        <f t="shared" si="75"/>
        <v>666243.25638750009</v>
      </c>
      <c r="BS121" s="1">
        <f>IF(BH121=0,0,ROUNDDOWN(AY121*BH121,0)*DV121*IF(Boss参数!$B$29=1,BN121,1)*IF(Boss参数!$B$33=1,BO121,1)*IF(Boss参数!$B$76=1,1-ES121,1))</f>
        <v>0</v>
      </c>
      <c r="BT121" s="1">
        <f t="shared" si="76"/>
        <v>0</v>
      </c>
      <c r="BU121" s="1">
        <f>IF(D121="",0,MIN(IF(Boss参数!$B$77=1,Boss参数!$B$63*Boss参数!$B$62,Boss参数!$B$61*Boss参数!$B$62),DW121+ROUNDDOWN(BS121,0)+ROUNDDOWN(DW121*Q121,0)))</f>
        <v>95007</v>
      </c>
      <c r="BV121" s="1">
        <f>IF(D121="",0,MIN(IF(Boss参数!$B$77=1,Boss参数!$B$63*Boss参数!$B$62,Boss参数!$B$61*Boss参数!$B$62),DX121+ROUNDDOWN(BT121,0)+ROUNDDOWN(DX121*Q121,0)))</f>
        <v>266497</v>
      </c>
      <c r="BW121" s="1">
        <f t="shared" si="77"/>
        <v>266497</v>
      </c>
      <c r="BX121" s="1" t="str">
        <f t="shared" si="78"/>
        <v/>
      </c>
      <c r="BY121" s="1">
        <f t="shared" si="79"/>
        <v>2</v>
      </c>
      <c r="BZ121" s="1">
        <f t="shared" si="80"/>
        <v>1</v>
      </c>
      <c r="CA121" s="1">
        <f>MIN(10,W121+IF(AND(L121="LILYA_COBRA",COUNTIF($L$3:L121,"LILYA_COBRA")=1),5,0)+IF(AND(L121="LILYA_DIVE",U121=1,COUNTIFS($DG$3:DG121,DG121,$L$3:L121,"LILYA_DIVE")=1),2,0)+IF(AND(FE121=1,U121=1),3,0))</f>
        <v>10</v>
      </c>
      <c r="CB121" s="1">
        <f>MIN(20,MAX(0,X121+IF(L121="LILYA_COBRA",IF(COUNTIF($L$3:L121,"LILYA_COBRA")=1,6,IF(U121=1,MAX(1,G121),IF(U121=2,2*MAX(1,G121),0))),0)+IF(AND(Y121=1,E121="红弩箭",L121&lt;&gt;"ENTER_INSIGHT"),1,0)-IF(AND(L121="LILYA_ULT",X121&gt;=6),6,0)))</f>
        <v>9</v>
      </c>
      <c r="CC121" s="1">
        <f t="shared" si="81"/>
        <v>1</v>
      </c>
      <c r="CD121" s="1">
        <f t="shared" si="82"/>
        <v>9</v>
      </c>
      <c r="CE121" s="1">
        <f t="shared" si="83"/>
        <v>7</v>
      </c>
      <c r="CF121" s="1">
        <f t="shared" si="84"/>
        <v>9</v>
      </c>
      <c r="CG121" s="1">
        <f t="shared" si="85"/>
        <v>1</v>
      </c>
      <c r="CH121" s="1">
        <f>MIN(35,AD121+IF(L121="J_HARD",6,0)+IF(L121="J_COUNTER",Boss参数!$B$30,0))</f>
        <v>35</v>
      </c>
      <c r="CI121" s="1">
        <f>MIN(Boss参数!$I$4,AE121+IF(L121="J_HARD",6,0)+IF(L121="J_ULT",AD121,0)+IF(L121="J_COUNTER",Boss参数!$B$30,0))</f>
        <v>15</v>
      </c>
      <c r="CJ121" s="1">
        <f>IF(L121="J_ULT",AD121*Boss参数!$B$41,IF(B121&lt;=AG121,AF121,0))</f>
        <v>0.875</v>
      </c>
      <c r="CK121" s="1">
        <f t="shared" si="86"/>
        <v>9</v>
      </c>
      <c r="CL121" s="1">
        <f t="shared" si="87"/>
        <v>9</v>
      </c>
      <c r="CM121" s="1">
        <f t="shared" si="88"/>
        <v>8</v>
      </c>
      <c r="CN121" s="1">
        <f t="shared" si="89"/>
        <v>9</v>
      </c>
      <c r="CO121" s="1">
        <f t="shared" si="90"/>
        <v>8</v>
      </c>
      <c r="CP121" s="1">
        <f t="shared" si="91"/>
        <v>3</v>
      </c>
      <c r="CQ121" s="1">
        <f t="shared" si="92"/>
        <v>30</v>
      </c>
      <c r="CR121" s="1">
        <f t="shared" si="93"/>
        <v>9</v>
      </c>
      <c r="CS121" s="1">
        <f t="shared" si="94"/>
        <v>9</v>
      </c>
      <c r="CT121" s="1">
        <f t="shared" si="95"/>
        <v>0.12</v>
      </c>
      <c r="CU121" s="1">
        <f t="shared" si="96"/>
        <v>9</v>
      </c>
      <c r="CV121" s="1">
        <f t="shared" si="97"/>
        <v>0.3</v>
      </c>
      <c r="CW121" s="1">
        <f t="shared" si="98"/>
        <v>9</v>
      </c>
      <c r="CX121" s="1">
        <f t="shared" si="99"/>
        <v>0.3</v>
      </c>
      <c r="CY121" s="1">
        <f t="shared" si="100"/>
        <v>9</v>
      </c>
      <c r="CZ121" s="1"/>
      <c r="DA121" s="1"/>
      <c r="DB121" s="1"/>
      <c r="DC121" s="1"/>
      <c r="DD121" s="1"/>
      <c r="DE121" s="1"/>
      <c r="DF121" s="1"/>
      <c r="DG121" s="1" t="str">
        <f>IF(D121="","",行动模拟!B127)</f>
        <v>洞知2</v>
      </c>
      <c r="DH121" s="1" t="str">
        <f>IF(L121="END_TURN","回合结束",IF(D121="","",IF(INDEX(回合状态!$C$7:$C$17,MATCH(DG121,回合状态!$A$7:$A$17,0))="洞穿","洞穿",IF(OR(L121="J_COUNTER",L121="BOSS_ACTION",L121="BOSS_CONSERVATIVE"),"敌方",IF(AND(L121="37_FOLLOW",DG121=DG120,DH120="敌方"),"敌方",IF(INDEX(回合状态!$C$7:$C$17,MATCH(DG121,回合状态!$A$7:$A$17,0))="普通","出牌",INDEX(回合状态!$C$7:$C$17,MATCH(DG121,回合状态!$A$7:$A$17,0))))))))</f>
        <v>洞穿</v>
      </c>
      <c r="DI121" s="1">
        <f t="shared" si="101"/>
        <v>0</v>
      </c>
      <c r="DJ121" s="1">
        <f>IF(D121="",0,MIN(Boss参数!$B$25,IF(OR(AND(DH121="敌方",OR(DH120&lt;&gt;"敌方",DG121&lt;&gt;DG120)),AND(L121="END_TURN",DH121&lt;&gt;"洞穿"),AND(DG121&lt;&gt;DG120,DH120&lt;&gt;"洞穿",L120&lt;&gt;"END_TURN",COUNTIFS($DG$3:DG120,DG120,$DH$3:DH120,"敌方")=0)),EW121,DN120)))</f>
        <v>0</v>
      </c>
      <c r="DK121" s="1">
        <f>IF(D121="",0,MIN(Boss参数!$B$25,IF(OR(AND(DH121="敌方",OR(DH120&lt;&gt;"敌方",DG121&lt;&gt;DG120)),AND(L121="END_TURN",DH121&lt;&gt;"洞穿"),AND(DG121&lt;&gt;DG120,DH120&lt;&gt;"洞穿",L120&lt;&gt;"END_TURN",COUNTIFS($DG$3:DG120,DG120,$DH$3:DH120,"敌方")=0)),EW121,DO120)))</f>
        <v>4</v>
      </c>
      <c r="DL121" s="1">
        <f>IF(D121="",0,MIN(Boss参数!$B$25,IF(OR(AND(DH121="敌方",OR(DH120&lt;&gt;"敌方",DG121&lt;&gt;DG120)),AND(L121="END_TURN",DH121&lt;&gt;"洞穿"),AND(DG121&lt;&gt;DG120,DH120&lt;&gt;"洞穿",L120&lt;&gt;"END_TURN",COUNTIFS($DG$3:DG120,DG120,$DH$3:DH120,"敌方")=0)),EW121,DP120)))</f>
        <v>5</v>
      </c>
      <c r="DM121" s="1">
        <f>IF(D121="",0,MIN(Boss参数!$B$25,IF(OR(AND(DH121="敌方",OR(DH120&lt;&gt;"敌方",DG121&lt;&gt;DG120)),AND(L121="END_TURN",DH121&lt;&gt;"洞穿"),AND(DG121&lt;&gt;DG120,DH120&lt;&gt;"洞穿",L120&lt;&gt;"END_TURN",COUNTIFS($DG$3:DG120,DG120,$DH$3:DH120,"敌方")=0)),EW121,DQ120)))</f>
        <v>5</v>
      </c>
      <c r="DN121" s="1">
        <f>MAX(0,MIN(Boss参数!$B$25,DJ121+DR121)-IF(E121="红弩箭",2*DR121,0))</f>
        <v>0</v>
      </c>
      <c r="DO121" s="1">
        <f>MAX(0,MIN(Boss参数!$B$25,DK121+DR121)-IF(E121="37",2*DR121,0))</f>
        <v>4</v>
      </c>
      <c r="DP121" s="1">
        <f>MAX(0,MIN(Boss参数!$B$25,DL121+DR121)-IF(E121="小瑞安侬",2*DR121,0))</f>
        <v>5</v>
      </c>
      <c r="DQ121" s="1">
        <f>MAX(0,MIN(Boss参数!$B$25,DM121+DR121)-IF(E121="J",2*DR121,0))</f>
        <v>5</v>
      </c>
      <c r="DR121" s="1">
        <f t="shared" si="102"/>
        <v>0</v>
      </c>
      <c r="DS121" s="1">
        <f t="shared" si="103"/>
        <v>1</v>
      </c>
      <c r="DT121" s="1">
        <f>IF(OR(E121="",E121="系统"),0,IF(OR(AND(DS121=1,Boss参数!$B$32=1),L121="RHI_BERRY",OR(AND(INDEX(角色面板!$B$18:$B$21,MATCH(E121,角色面板!$A$18:$A$21,0))="星",Boss参数!$B$4="岩"),AND(INDEX(角色面板!$B$18:$B$21,MATCH(E121,角色面板!$A$18:$A$21,0))="岩",Boss参数!$B$4="兽"),AND(INDEX(角色面板!$B$18:$B$21,MATCH(E121,角色面板!$A$18:$A$21,0))="兽",Boss参数!$B$4="木"),AND(INDEX(角色面板!$B$18:$B$21,MATCH(E121,角色面板!$A$18:$A$21,0))="木",Boss参数!$B$4="星"),AND(INDEX(角色面板!$B$18:$B$21,MATCH(E121,角色面板!$A$18:$A$21,0))="智",Boss参数!$B$4="灵"),AND(INDEX(角色面板!$B$18:$B$21,MATCH(E121,角色面板!$A$18:$A$21,0))="灵",Boss参数!$B$4="智"))),1,0))</f>
        <v>1</v>
      </c>
      <c r="DU121" s="1">
        <f>IF(D121="",0,INDEX(回合状态!$E$7:$E$17,MATCH(DG121,回合状态!$A$7:$A$17,0))+IF(AND(DH121="敌方",OR(INDEX(回合状态!$C$7:$C$17,MATCH(DG121,回合状态!$A$7:$A$17,0))="普通",INDEX(回合状态!$C$7:$C$17,MATCH(DG121,回合状态!$A$7:$A$17,0))="额外")),0.05,0))</f>
        <v>0.35</v>
      </c>
      <c r="DV121" s="1">
        <f>MAX(Boss参数!$B$28,1+IF(AND(E121="37",AC121&gt;0,BH121&gt;0),Boss参数!$B$42,0)-DI121*Boss参数!$B$24+EA121-ER121)</f>
        <v>9.9999999999999978E-2</v>
      </c>
      <c r="DW121" s="1">
        <f>MIN(IF(Boss参数!$B$77=1,Boss参数!$B$63*Boss参数!$B$62,Boss参数!$B$61*Boss参数!$B$62),ROUNDDOWN(BQ121*(1-ES121),0))</f>
        <v>95007</v>
      </c>
      <c r="DX121" s="1">
        <f>MIN(IF(Boss参数!$B$77=1,Boss参数!$B$63*Boss参数!$B$62,Boss参数!$B$61*Boss参数!$B$62),ROUNDDOWN(BR121*(1-ES121),0))</f>
        <v>266497</v>
      </c>
      <c r="DY121" s="1">
        <f t="shared" si="135"/>
        <v>250</v>
      </c>
      <c r="DZ121" s="1">
        <f>IF(L121="RHI_ULT",MIN(Boss参数!$B$48,ROUNDDOWN(AY121*Boss参数!$B$47,0)),DY121)</f>
        <v>250</v>
      </c>
      <c r="EA121" s="1">
        <v>0</v>
      </c>
      <c r="EB121" s="1">
        <f t="shared" si="104"/>
        <v>0</v>
      </c>
      <c r="EC121" s="1">
        <f>SUMIFS($EB$3:EB121,$B$3:B121,"&gt;="&amp;MAX(1,B121-2),$B$3:B121,"&lt;="&amp;B121)*Boss参数!$B$51</f>
        <v>12</v>
      </c>
      <c r="ED121" s="1">
        <f>IF(D121="",EG120,IF(AND(DG121&lt;&gt;DG120,DH121&lt;&gt;"洞穿"),MIN(Boss参数!$B$55,EG120+2),EG120))</f>
        <v>0</v>
      </c>
      <c r="EE121" s="1">
        <f t="shared" si="105"/>
        <v>0</v>
      </c>
      <c r="EF121" s="1">
        <f>IF(AND(OR(L121="END_TURN",AND(DH121="敌方",OR(DH120&lt;&gt;"敌方",DG121&lt;&gt;DG120))),SUMIFS($EF$3:EF120,$DG$3:DG120,DG121)=0),MIN(1,MAX(0,ED121-EE121)),0)</f>
        <v>0</v>
      </c>
      <c r="EG121" s="1">
        <f t="shared" si="106"/>
        <v>0</v>
      </c>
      <c r="EH121" s="1">
        <f>Boss参数!$B$53-IF(Y121=1,Boss参数!$B$54,0)</f>
        <v>-0.4</v>
      </c>
      <c r="EI121" s="1">
        <f t="shared" si="107"/>
        <v>0.3</v>
      </c>
      <c r="EJ121" s="1">
        <f t="shared" si="108"/>
        <v>0.3</v>
      </c>
      <c r="EK121" s="1">
        <f t="shared" si="109"/>
        <v>2.04</v>
      </c>
      <c r="EL121" s="1">
        <f t="shared" si="136"/>
        <v>0</v>
      </c>
      <c r="EM121" s="1">
        <f>IF(AND(DG121&lt;&gt;DG120,DH121="洞穿"),0,IF(L121="ENTER_INSIGHT",Boss参数!$B$57,EO120))</f>
        <v>0</v>
      </c>
      <c r="EN121" s="1">
        <f>IF(AND(Y121=1,H121="洞知",EM121&gt;0),Boss参数!$B$56,0)</f>
        <v>0</v>
      </c>
      <c r="EO121" s="1">
        <f t="shared" si="110"/>
        <v>0</v>
      </c>
      <c r="EP121" s="1">
        <f t="shared" si="137"/>
        <v>18291108</v>
      </c>
      <c r="EQ121" s="1">
        <f>ROUNDDOWN(EP121/Boss参数!$B$62,0)</f>
        <v>182</v>
      </c>
      <c r="ER121" s="1">
        <f>IF(EQ121&gt;=Boss参数!$B$66,Boss参数!$B$69,IF(EQ121&gt;=Boss参数!$B$65,Boss参数!$B$68,IF(EQ121&gt;=Boss参数!$B$64,Boss参数!$B$67,0)))</f>
        <v>0.9</v>
      </c>
      <c r="ES121" s="1">
        <f>MIN(1,IF(EQ121&gt;=Boss参数!$B$66,Boss参数!$B$72+ROUNDDOWN((EQ121-Boss参数!$B$66)/Boss参数!$B$73,0)*Boss参数!$B$74,IF(EQ121&gt;=Boss参数!$B$65,Boss参数!$B$71,IF(EQ121&gt;=Boss参数!$B$64,Boss参数!$B$70,0))))</f>
        <v>0.6</v>
      </c>
      <c r="ET121" s="1">
        <f>MIN(Boss参数!$B$61*Boss参数!$B$62,EP121+IF(AND(Boss参数!$B$60=1,ISNUMBER(验证表!H127)),验证表!H127,EU121))</f>
        <v>18557605</v>
      </c>
      <c r="EU121" s="1">
        <f>IF(D121="",0,IF(验证表!G127="是",BV121,IF(验证表!G127="否",BU121,BW121)))</f>
        <v>266497</v>
      </c>
      <c r="EV121" s="1">
        <f>IF(EQ121&gt;=Boss参数!$B$66,2,IF(EQ121&gt;=Boss参数!$B$65,1,0))</f>
        <v>2</v>
      </c>
      <c r="EW121" s="1">
        <f t="shared" si="111"/>
        <v>3</v>
      </c>
      <c r="EX121" s="1">
        <f>IF(D121="",0,INDEX(回合状态!$D$7:$D$17,MATCH(DG121,回合状态!$A$7:$A$17,0)))</f>
        <v>8</v>
      </c>
      <c r="EY121" s="1">
        <f>IF(OR(L121="RHI_ATTACK",L121="RHI_BUFF"),1,IF(L121="RHI_ULT",Boss参数!$B$52,0))</f>
        <v>0</v>
      </c>
      <c r="EZ121" s="1">
        <f>MIN(6,SUMIFS($EY$3:EY121,$EX$3:EX121,"&gt;="&amp;MAX(1,EX121-Boss参数!$B$87+1),$EX$3:EX121,"&lt;="&amp;EX121))</f>
        <v>4</v>
      </c>
      <c r="FA121" s="1">
        <f t="shared" si="138"/>
        <v>35</v>
      </c>
      <c r="FB121" s="17">
        <f>IF(L121="BOSS_CONSERVATIVE",B121+Boss参数!$B$91,FB120)</f>
        <v>7</v>
      </c>
      <c r="FC121" s="17">
        <f t="shared" si="139"/>
        <v>0</v>
      </c>
      <c r="FD121" s="17">
        <f>IF(D121="",FD120,FD120+IF(AND(DG121&lt;&gt;DG120,INDEX(回合状态!$C$7:$C$17,MATCH(DG121,回合状态!$A$7:$A$17,0))&lt;&gt;"洞穿"),1,0))</f>
        <v>8</v>
      </c>
      <c r="FE121" s="17">
        <f>IF(D121="",0,IF(AND(OR(L121="END_TURN",DH121="敌方"),INDEX(回合状态!$C$7:$C$17,MATCH(DG121,回合状态!$A$7:$A$17,0))&lt;&gt;"洞穿",SUMIFS($FE$3:FE120,$DG$3:DG120,DG121)=0),1,0))</f>
        <v>0</v>
      </c>
    </row>
    <row r="122" spans="1:161" ht="84.95" customHeight="1">
      <c r="A122" s="1">
        <f>行动模拟!A128</f>
        <v>120</v>
      </c>
      <c r="B122" s="1">
        <f>IF(D122="",0,INDEX(回合状态!$B$7:$B$17,MATCH(DG122,回合状态!$A$7:$A$17,0)))</f>
        <v>7</v>
      </c>
      <c r="C122" s="1">
        <f>行动模拟!C128</f>
        <v>10</v>
      </c>
      <c r="D122" s="1" t="str">
        <f>IF(行动模拟!D128="","",行动模拟!D128)</f>
        <v>红弩箭｜洞知咒语</v>
      </c>
      <c r="E122" s="1" t="str">
        <f>IF($D122="","",IFERROR(INDEX(技能数据库!$B$4:$B$38,MATCH($D122,技能数据库!$A$4:$A$38,0)),""))</f>
        <v>红弩箭</v>
      </c>
      <c r="F122" s="1" t="str">
        <f>IF($D122="","",IFERROR(INDEX(技能数据库!$C$4:$C$38,MATCH($D122,技能数据库!$A$4:$A$38,0)),""))</f>
        <v>洞知咒语</v>
      </c>
      <c r="G122" s="1">
        <f>IF($D122="","",IFERROR(INDEX(技能数据库!$D$4:$D$38,MATCH($D122,技能数据库!$A$4:$A$38,0)),""))</f>
        <v>0</v>
      </c>
      <c r="H122" s="1" t="str">
        <f>IF($D122="","",IFERROR(INDEX(技能数据库!$E$4:$E$38,MATCH($D122,技能数据库!$A$4:$A$38,0)),""))</f>
        <v>洞知</v>
      </c>
      <c r="I122" s="1" t="str">
        <f>IF($D122="","",IFERROR(INDEX(技能数据库!$F$4:$F$38,MATCH($D122,技能数据库!$A$4:$A$38,0)),""))</f>
        <v>现实</v>
      </c>
      <c r="J122" s="1">
        <f>IF($D122="","",IFERROR(INDEX(技能数据库!$G$4:$G$38,MATCH($D122,技能数据库!$A$4:$A$38,0)),""))</f>
        <v>15</v>
      </c>
      <c r="K122" s="1">
        <f>IF($D122="","",IFERROR(INDEX(技能数据库!$H$4:$H$38,MATCH($D122,技能数据库!$A$4:$A$38,0)),""))</f>
        <v>0</v>
      </c>
      <c r="L122" s="1" t="str">
        <f>IF($D122="","",IFERROR(INDEX(技能数据库!$I$4:$I$38,MATCH($D122,技能数据库!$A$4:$A$38,0)),""))</f>
        <v>LILYA_INSIGHT</v>
      </c>
      <c r="M122" s="1">
        <v>1</v>
      </c>
      <c r="N122" s="1"/>
      <c r="O122" s="1"/>
      <c r="P122" s="1"/>
      <c r="Q122" s="1">
        <f t="shared" si="70"/>
        <v>0</v>
      </c>
      <c r="R122" s="1">
        <v>0</v>
      </c>
      <c r="S122" s="1">
        <v>0</v>
      </c>
      <c r="T122" s="1">
        <f>行动模拟!I128</f>
        <v>0</v>
      </c>
      <c r="U122" s="1">
        <f>IF(FD122&lt;&gt;FD121,IF(BY121=1,IF(MIN(10,CA121+IF(AND(DG122&lt;&gt;DG121,DH121&lt;&gt;"洞穿",SUMIFS($FE$3:FE121,$DG$3:DG121,DG121)=0,BY121=1),3,0))&gt;=10,2,1),IF(BY121=2,IF(BZ121&lt;=1,0,2),0)),BY121)</f>
        <v>2</v>
      </c>
      <c r="V122" s="1">
        <f>IF(FD122&lt;&gt;FD121,IF(BY121=1,IF(MIN(10,CA121+IF(AND(DG122&lt;&gt;DG121,DH121&lt;&gt;"洞穿",SUMIFS($FE$3:FE121,$DG$3:DG121,DG121)=0,BY121=1),3,0))&gt;=10,2,0),IF(BY121=2,MAX(0,BZ121-1),0)),BZ121)</f>
        <v>1</v>
      </c>
      <c r="W122" s="1">
        <f>IF(AND(FD122&lt;&gt;FD121,BY121=2,BZ121&lt;=1),0,MIN(10,CA121+IF(AND(DG122&lt;&gt;DG121,DH121&lt;&gt;"洞穿",SUMIFS($FE$3:FE121,$DG$3:DG121,DG121)=0,BY121=1),3,0)))</f>
        <v>10</v>
      </c>
      <c r="X122" s="1">
        <f t="shared" si="112"/>
        <v>9</v>
      </c>
      <c r="Y122" s="1">
        <f t="shared" si="113"/>
        <v>1</v>
      </c>
      <c r="Z122" s="1">
        <f t="shared" si="114"/>
        <v>9</v>
      </c>
      <c r="AA122" s="1">
        <f t="shared" si="115"/>
        <v>7</v>
      </c>
      <c r="AB122" s="1">
        <f t="shared" si="116"/>
        <v>9</v>
      </c>
      <c r="AC122" s="1">
        <f t="shared" si="117"/>
        <v>1</v>
      </c>
      <c r="AD122" s="1">
        <f t="shared" si="118"/>
        <v>35</v>
      </c>
      <c r="AE122" s="1">
        <f>IF(D122="",0,IF(DG122&lt;&gt;DG121,IFERROR(INDEX(回合状态!$F$7:$F$17,MATCH(DG122,回合状态!$A$7:$A$17,0)),0),CI121))</f>
        <v>15</v>
      </c>
      <c r="AF122" s="1">
        <f t="shared" si="119"/>
        <v>0.875</v>
      </c>
      <c r="AG122" s="1">
        <f t="shared" si="120"/>
        <v>9</v>
      </c>
      <c r="AH122" s="1">
        <f t="shared" si="121"/>
        <v>9</v>
      </c>
      <c r="AI122" s="1">
        <f t="shared" si="122"/>
        <v>8</v>
      </c>
      <c r="AJ122" s="1">
        <f t="shared" si="123"/>
        <v>9</v>
      </c>
      <c r="AK122" s="1">
        <f t="shared" si="124"/>
        <v>8</v>
      </c>
      <c r="AL122" s="1">
        <f t="shared" si="125"/>
        <v>3</v>
      </c>
      <c r="AM122" s="1">
        <f t="shared" si="126"/>
        <v>30</v>
      </c>
      <c r="AN122" s="1">
        <f t="shared" si="127"/>
        <v>9</v>
      </c>
      <c r="AO122" s="1">
        <f t="shared" si="128"/>
        <v>9</v>
      </c>
      <c r="AP122" s="1">
        <f t="shared" si="129"/>
        <v>0.12</v>
      </c>
      <c r="AQ122" s="1">
        <f t="shared" si="130"/>
        <v>9</v>
      </c>
      <c r="AR122" s="1">
        <f t="shared" si="131"/>
        <v>0.3</v>
      </c>
      <c r="AS122" s="1">
        <f t="shared" si="132"/>
        <v>9</v>
      </c>
      <c r="AT122" s="1">
        <f t="shared" si="133"/>
        <v>0.3</v>
      </c>
      <c r="AU122" s="1">
        <f t="shared" si="134"/>
        <v>9</v>
      </c>
      <c r="AV122" s="1">
        <f>MIN(5,SUMIFS($EL$3:EL122,$B$3:B122,"&gt;="&amp;MAX(1,B122-2),$B$3:B122,"&lt;="&amp;B122)+EC122)</f>
        <v>5</v>
      </c>
      <c r="AW122" s="1">
        <f>MIN(6,SUMIFS($EY$3:EY121,$EX$3:EX121,"&gt;="&amp;MAX(1,EX122-Boss参数!$B$87+1),$EX$3:EX121,"&lt;="&amp;EX122))</f>
        <v>4</v>
      </c>
      <c r="AX122" s="1">
        <f>MIN(4,COUNTIFS($B$3:$B$121,"&gt;="&amp;MAX(1,$B122-2),$B$3:$B$121,"&lt;="&amp;$B122,$L$3:$L$121,"37_FOLLOW"))</f>
        <v>4</v>
      </c>
      <c r="AY122" s="1">
        <f>IF($E122="","",IF($E122="系统",0,ROUNDDOWN(INDEX(角色面板!$C$4:$C$7,MATCH($E122,角色面板!$A$4:$A$7,0))*(1+INDEX(角色面板!$C$11:$C$14,MATCH($E122,角色面板!$A$11:$A$14,0))+IF($E122="小瑞安侬",MAX(IF($B122&lt;=$AQ122,$AP122,0),IF(AND($L122="RHI_ATTACK",$EE122&gt;0),0.11+0.01*$G122,0)),0)+IF($E122="J",$AD122*Boss参数!$B$18,0))+IF(FD122&lt;=$AN122,MIN(Boss参数!$B$21,ROUNDDOWN(角色面板!$C$19*Boss参数!$B$20,0)),0)+IF(AND($B122&lt;=$AK122,$E122&lt;&gt;"小瑞安侬"),$DY122,0),0)))</f>
        <v>3505</v>
      </c>
      <c r="AZ122" s="1">
        <f>IF($E122="","",MAX(0,MIN(1,IFERROR(INDEX(角色面板!$G$18:$G$21,MATCH($E122,角色面板!$A$18:$A$21,0)),0)-FC122*Boss参数!$B$89-Boss参数!$E$4)))</f>
        <v>1</v>
      </c>
      <c r="BA122" s="1">
        <f>IF(E122="","",(IF($E122="","",IF($E122="红弩箭",Boss参数!$B$80,IF($E122="J",Boss参数!$B$81,IFERROR(INDEX(角色面板!$H$18:$H$21,MATCH($E122,角色面板!$A$18:$A$21,0)),0)))+IF($B122&lt;=$AI122,Boss参数!$B$13,0)+MIN(30,$AM122)*Boss参数!$B$17+IF(AND($L122="LILYA_ULT",$X122&gt;=6),1,0)+IF(AND($Y122=1,$L122="LILYA_INSIGHT"),IF(MOD($AA122+1,3)=0,Boss参数!$B$83,Boss参数!$B$82),IF(AND($Y122=1,$L122="LILYA_FINISH"),Boss参数!$B$84,0))))-FC122*Boss参数!$B$90)</f>
        <v>2.9050000000000002</v>
      </c>
      <c r="BB122" s="1">
        <f>IF($E122="","",IFERROR(INDEX(角色面板!$M$18:$M$21,MATCH($E122,角色面板!$A$18:$A$21,0)),0)+$AW122*Boss参数!$B$12+IF($B122&lt;=$AG122,$AF122,0)+$EI122+IF($L122="LILYA_DIVE",IF($U122=1,IF($G122=1,0.3,IF($G122=2,0.4,0.5)),IF($U122=2,IF($G122=1,0.6,IF($G122=2,0.8,1)),0)),0)+$R122+IF(AND($E122="J",OR($L122="J_COUNTER",$L122="J_HARD")),Boss参数!$B$79,0)+IF(AND(OR(L122="J_COUNTER",L122="J_HARD"),FA122&gt;=Boss参数!$B$59),FA122*Boss参数!$B$40,0))</f>
        <v>1.4950000000000001</v>
      </c>
      <c r="BC122" s="1">
        <f>IF($E122="","",IFERROR(INDEX(角色面板!$K$18:$K$21,MATCH($E122,角色面板!$A$18:$A$21,0)),0)+IF($B122&lt;=$AH122,Boss参数!$B$46,0)+IF($E122="红弩箭",IF($U122=1,0.6,IF($U122=2,1.2,0))+$W122*0.06,0))-DI122*Boss参数!$B$23</f>
        <v>1.6999999999999997</v>
      </c>
      <c r="BD122" s="1">
        <f>IF($E122="","",IFERROR(INDEX(角色面板!$L$18:$L$21,MATCH($E122,角色面板!$A$18:$A$21,0)),0)+IF($B122&lt;=$AH122,Boss参数!$B$46,0)+IF($E122="J",$AL122*Boss参数!$B$16,0)+IF($E122="红弩箭",$X122*0.025,0)+IF(AND($L122="LILYA_ULT",$X122&gt;=6),1,0))-DI122*Boss参数!$B$23</f>
        <v>0.52500000000000002</v>
      </c>
      <c r="BE122" s="1">
        <f>IF($E122="","",IF($H122="洞知",IF($E122="红弩箭",$AO122*Boss参数!$B$15,0)+$AX122*Boss参数!$B$14,0))</f>
        <v>0.70000000000000007</v>
      </c>
      <c r="BF122" s="1">
        <f t="shared" si="71"/>
        <v>0</v>
      </c>
      <c r="BG122" s="1">
        <f>IF($D122="",0,IF(AND($L122&lt;&gt;"LILYA_DIVE",$L122&lt;&gt;"LILYA_ULT",$L122&lt;&gt;"LILYA_INSIGHT",$L122&lt;&gt;"LILYA_FINISH",$L122&lt;&gt;"37_FOLLOW",$L122&lt;&gt;"RHI_ATTACK",$L122&lt;&gt;"RHI_BERRY",$L122&lt;&gt;"J_COUNTER",$L122&lt;&gt;"J_ULT"),$J122,0)+IF($L122="LILYA_DIVE",$J122+IF($U122=1,IF($G122=1,6,IF($G122=2,12,18)),IF($U122=2,IF($G122=1,12,IF($G122=2,24,36)),0)),0)+IF($L122="LILYA_ULT",$J122+IF($X122&gt;=6,18,0),0)+IF($L122="LILYA_INSIGHT",IF($Y122=1,IF(MOD($AA122+1,3)=0,32,15),0),0)+IF($L122="LILYA_FINISH",IF($Y122=1,50+2.5*$Z122,0),0)+IF($L122="37_FOLLOW",$J122,0)+IF($L122="RHI_ATTACK",$J122*IF($B122&lt;=$AJ122,2,1),0)+IF($L122="RHI_BERRY",15+1.5*$AV122,0)+IF($L122="J_COUNTER",$J122+$AD122*Boss参数!$B$39,0)+IF($L122="J_ULT",$J122+Boss参数!$B$45*MAX(0,$AE122+$AD122-Boss参数!$I$4),0)+$S122)</f>
        <v>15</v>
      </c>
      <c r="BH122" s="1">
        <f t="shared" si="72"/>
        <v>0</v>
      </c>
      <c r="BI122" s="1">
        <f>IF(E122="","",IF(DT122=1,1+Boss参数!$B$8+AV122*Boss参数!$B$19,1))</f>
        <v>1.5</v>
      </c>
      <c r="BJ122" s="1">
        <f>IF($I122="现实",Boss参数!$C$4,IF($I122="精神",Boss参数!$D$4,0))</f>
        <v>1200</v>
      </c>
      <c r="BK122" s="1">
        <f>IF($E122="","",MAX($AY122*Boss参数!$B$9,$AY122-$BJ122*(1-$BF122)))</f>
        <v>2305</v>
      </c>
      <c r="BL122" s="1">
        <f>MAX(0,Boss参数!$F$4+IF(DT122=0,Boss参数!$B$27,0)-EJ122)</f>
        <v>0.10000000000000003</v>
      </c>
      <c r="BM122" s="1">
        <f>Boss参数!$G$4+DU122-IF(Y122=1,Boss参数!$B$11,0)</f>
        <v>0.35</v>
      </c>
      <c r="BN122" s="1">
        <f>IF($E122="","",MAX(Boss参数!$B$10,1+IFERROR(INDEX(角色面板!$I$18:$I$21,MATCH($E122,角色面板!$A$18:$A$21,0)),0)+$BB122+Boss参数!$H$4-$BM122))</f>
        <v>2.2450000000000001</v>
      </c>
      <c r="BO122" s="1">
        <f>IF(E122="","",IF(OR(L122="J_COUNTER",L122="J_HARD"),MAX(0,1+INDEX(角色面板!$K$18:$K$21,MATCH(E122,角色面板!$A$18:$A$21,0))-DI122*Boss参数!$B$23+IF(OR(Boss参数!$B$43=1,L122="J_HARD"),IF(B122&lt;=AH122,Boss参数!$B$46,0),0)),MAX(0,IF(OR(H122="术法",L122="RHI_BERRY",AND(L122="37_FOLLOW",Boss参数!$B$31=1)),1+BC122,IF(H122="仪式",1+BD122,IF(H122="洞知",EK122,1))))))</f>
        <v>2.1</v>
      </c>
      <c r="BP122" s="1">
        <f t="shared" si="73"/>
        <v>2.8050000000000002</v>
      </c>
      <c r="BQ122" s="1">
        <f t="shared" si="74"/>
        <v>244505.75624999998</v>
      </c>
      <c r="BR122" s="1">
        <f t="shared" si="75"/>
        <v>685838.64628124994</v>
      </c>
      <c r="BS122" s="1">
        <f>IF(BH122=0,0,ROUNDDOWN(AY122*BH122,0)*DV122*IF(Boss参数!$B$29=1,BN122,1)*IF(Boss参数!$B$33=1,BO122,1)*IF(Boss参数!$B$76=1,1-ES122,1))</f>
        <v>0</v>
      </c>
      <c r="BT122" s="1">
        <f t="shared" si="76"/>
        <v>0</v>
      </c>
      <c r="BU122" s="1">
        <f>IF(D122="",0,MIN(IF(Boss参数!$B$77=1,Boss参数!$B$63*Boss参数!$B$62,Boss参数!$B$61*Boss参数!$B$62),DW122+ROUNDDOWN(BS122,0)+ROUNDDOWN(DW122*Q122,0)))</f>
        <v>97802</v>
      </c>
      <c r="BV122" s="1">
        <f>IF(D122="",0,MIN(IF(Boss参数!$B$77=1,Boss参数!$B$63*Boss参数!$B$62,Boss参数!$B$61*Boss参数!$B$62),DX122+ROUNDDOWN(BT122,0)+ROUNDDOWN(DX122*Q122,0)))</f>
        <v>274335</v>
      </c>
      <c r="BW122" s="1">
        <f t="shared" si="77"/>
        <v>274335</v>
      </c>
      <c r="BX122" s="1" t="str">
        <f t="shared" si="78"/>
        <v/>
      </c>
      <c r="BY122" s="1">
        <f t="shared" si="79"/>
        <v>2</v>
      </c>
      <c r="BZ122" s="1">
        <f t="shared" si="80"/>
        <v>1</v>
      </c>
      <c r="CA122" s="1">
        <f>MIN(10,W122+IF(AND(L122="LILYA_COBRA",COUNTIF($L$3:L122,"LILYA_COBRA")=1),5,0)+IF(AND(L122="LILYA_DIVE",U122=1,COUNTIFS($DG$3:DG122,DG122,$L$3:L122,"LILYA_DIVE")=1),2,0)+IF(AND(FE122=1,U122=1),3,0))</f>
        <v>10</v>
      </c>
      <c r="CB122" s="1">
        <f>MIN(20,MAX(0,X122+IF(L122="LILYA_COBRA",IF(COUNTIF($L$3:L122,"LILYA_COBRA")=1,6,IF(U122=1,MAX(1,G122),IF(U122=2,2*MAX(1,G122),0))),0)+IF(AND(Y122=1,E122="红弩箭",L122&lt;&gt;"ENTER_INSIGHT"),1,0)-IF(AND(L122="LILYA_ULT",X122&gt;=6),6,0)))</f>
        <v>10</v>
      </c>
      <c r="CC122" s="1">
        <f t="shared" si="81"/>
        <v>1</v>
      </c>
      <c r="CD122" s="1">
        <f t="shared" si="82"/>
        <v>10</v>
      </c>
      <c r="CE122" s="1">
        <f t="shared" si="83"/>
        <v>8</v>
      </c>
      <c r="CF122" s="1">
        <f t="shared" si="84"/>
        <v>10</v>
      </c>
      <c r="CG122" s="1">
        <f t="shared" si="85"/>
        <v>1</v>
      </c>
      <c r="CH122" s="1">
        <f>MIN(35,AD122+IF(L122="J_HARD",6,0)+IF(L122="J_COUNTER",Boss参数!$B$30,0))</f>
        <v>35</v>
      </c>
      <c r="CI122" s="1">
        <f>MIN(Boss参数!$I$4,AE122+IF(L122="J_HARD",6,0)+IF(L122="J_ULT",AD122,0)+IF(L122="J_COUNTER",Boss参数!$B$30,0))</f>
        <v>15</v>
      </c>
      <c r="CJ122" s="1">
        <f>IF(L122="J_ULT",AD122*Boss参数!$B$41,IF(B122&lt;=AG122,AF122,0))</f>
        <v>0.875</v>
      </c>
      <c r="CK122" s="1">
        <f t="shared" si="86"/>
        <v>9</v>
      </c>
      <c r="CL122" s="1">
        <f t="shared" si="87"/>
        <v>9</v>
      </c>
      <c r="CM122" s="1">
        <f t="shared" si="88"/>
        <v>8</v>
      </c>
      <c r="CN122" s="1">
        <f t="shared" si="89"/>
        <v>9</v>
      </c>
      <c r="CO122" s="1">
        <f t="shared" si="90"/>
        <v>8</v>
      </c>
      <c r="CP122" s="1">
        <f t="shared" si="91"/>
        <v>3</v>
      </c>
      <c r="CQ122" s="1">
        <f t="shared" si="92"/>
        <v>30</v>
      </c>
      <c r="CR122" s="1">
        <f t="shared" si="93"/>
        <v>9</v>
      </c>
      <c r="CS122" s="1">
        <f t="shared" si="94"/>
        <v>10</v>
      </c>
      <c r="CT122" s="1">
        <f t="shared" si="95"/>
        <v>0.12</v>
      </c>
      <c r="CU122" s="1">
        <f t="shared" si="96"/>
        <v>9</v>
      </c>
      <c r="CV122" s="1">
        <f t="shared" si="97"/>
        <v>0.3</v>
      </c>
      <c r="CW122" s="1">
        <f t="shared" si="98"/>
        <v>9</v>
      </c>
      <c r="CX122" s="1">
        <f t="shared" si="99"/>
        <v>0.3</v>
      </c>
      <c r="CY122" s="1">
        <f t="shared" si="100"/>
        <v>9</v>
      </c>
      <c r="CZ122" s="1"/>
      <c r="DA122" s="1"/>
      <c r="DB122" s="1"/>
      <c r="DC122" s="1"/>
      <c r="DD122" s="1"/>
      <c r="DE122" s="1"/>
      <c r="DF122" s="1"/>
      <c r="DG122" s="1" t="str">
        <f>IF(D122="","",行动模拟!B128)</f>
        <v>洞知2</v>
      </c>
      <c r="DH122" s="1" t="str">
        <f>IF(L122="END_TURN","回合结束",IF(D122="","",IF(INDEX(回合状态!$C$7:$C$17,MATCH(DG122,回合状态!$A$7:$A$17,0))="洞穿","洞穿",IF(OR(L122="J_COUNTER",L122="BOSS_ACTION",L122="BOSS_CONSERVATIVE"),"敌方",IF(AND(L122="37_FOLLOW",DG122=DG121,DH121="敌方"),"敌方",IF(INDEX(回合状态!$C$7:$C$17,MATCH(DG122,回合状态!$A$7:$A$17,0))="普通","出牌",INDEX(回合状态!$C$7:$C$17,MATCH(DG122,回合状态!$A$7:$A$17,0))))))))</f>
        <v>洞穿</v>
      </c>
      <c r="DI122" s="1">
        <f t="shared" si="101"/>
        <v>0</v>
      </c>
      <c r="DJ122" s="1">
        <f>IF(D122="",0,MIN(Boss参数!$B$25,IF(OR(AND(DH122="敌方",OR(DH121&lt;&gt;"敌方",DG122&lt;&gt;DG121)),AND(L122="END_TURN",DH122&lt;&gt;"洞穿"),AND(DG122&lt;&gt;DG121,DH121&lt;&gt;"洞穿",L121&lt;&gt;"END_TURN",COUNTIFS($DG$3:DG121,DG121,$DH$3:DH121,"敌方")=0)),EW122,DN121)))</f>
        <v>0</v>
      </c>
      <c r="DK122" s="1">
        <f>IF(D122="",0,MIN(Boss参数!$B$25,IF(OR(AND(DH122="敌方",OR(DH121&lt;&gt;"敌方",DG122&lt;&gt;DG121)),AND(L122="END_TURN",DH122&lt;&gt;"洞穿"),AND(DG122&lt;&gt;DG121,DH121&lt;&gt;"洞穿",L121&lt;&gt;"END_TURN",COUNTIFS($DG$3:DG121,DG121,$DH$3:DH121,"敌方")=0)),EW122,DO121)))</f>
        <v>4</v>
      </c>
      <c r="DL122" s="1">
        <f>IF(D122="",0,MIN(Boss参数!$B$25,IF(OR(AND(DH122="敌方",OR(DH121&lt;&gt;"敌方",DG122&lt;&gt;DG121)),AND(L122="END_TURN",DH122&lt;&gt;"洞穿"),AND(DG122&lt;&gt;DG121,DH121&lt;&gt;"洞穿",L121&lt;&gt;"END_TURN",COUNTIFS($DG$3:DG121,DG121,$DH$3:DH121,"敌方")=0)),EW122,DP121)))</f>
        <v>5</v>
      </c>
      <c r="DM122" s="1">
        <f>IF(D122="",0,MIN(Boss参数!$B$25,IF(OR(AND(DH122="敌方",OR(DH121&lt;&gt;"敌方",DG122&lt;&gt;DG121)),AND(L122="END_TURN",DH122&lt;&gt;"洞穿"),AND(DG122&lt;&gt;DG121,DH121&lt;&gt;"洞穿",L121&lt;&gt;"END_TURN",COUNTIFS($DG$3:DG121,DG121,$DH$3:DH121,"敌方")=0)),EW122,DQ121)))</f>
        <v>5</v>
      </c>
      <c r="DN122" s="1">
        <f>MAX(0,MIN(Boss参数!$B$25,DJ122+DR122)-IF(E122="红弩箭",2*DR122,0))</f>
        <v>0</v>
      </c>
      <c r="DO122" s="1">
        <f>MAX(0,MIN(Boss参数!$B$25,DK122+DR122)-IF(E122="37",2*DR122,0))</f>
        <v>4</v>
      </c>
      <c r="DP122" s="1">
        <f>MAX(0,MIN(Boss参数!$B$25,DL122+DR122)-IF(E122="小瑞安侬",2*DR122,0))</f>
        <v>5</v>
      </c>
      <c r="DQ122" s="1">
        <f>MAX(0,MIN(Boss参数!$B$25,DM122+DR122)-IF(E122="J",2*DR122,0))</f>
        <v>5</v>
      </c>
      <c r="DR122" s="1">
        <f t="shared" si="102"/>
        <v>0</v>
      </c>
      <c r="DS122" s="1">
        <f t="shared" si="103"/>
        <v>1</v>
      </c>
      <c r="DT122" s="1">
        <f>IF(OR(E122="",E122="系统"),0,IF(OR(AND(DS122=1,Boss参数!$B$32=1),L122="RHI_BERRY",OR(AND(INDEX(角色面板!$B$18:$B$21,MATCH(E122,角色面板!$A$18:$A$21,0))="星",Boss参数!$B$4="岩"),AND(INDEX(角色面板!$B$18:$B$21,MATCH(E122,角色面板!$A$18:$A$21,0))="岩",Boss参数!$B$4="兽"),AND(INDEX(角色面板!$B$18:$B$21,MATCH(E122,角色面板!$A$18:$A$21,0))="兽",Boss参数!$B$4="木"),AND(INDEX(角色面板!$B$18:$B$21,MATCH(E122,角色面板!$A$18:$A$21,0))="木",Boss参数!$B$4="星"),AND(INDEX(角色面板!$B$18:$B$21,MATCH(E122,角色面板!$A$18:$A$21,0))="智",Boss参数!$B$4="灵"),AND(INDEX(角色面板!$B$18:$B$21,MATCH(E122,角色面板!$A$18:$A$21,0))="灵",Boss参数!$B$4="智"))),1,0))</f>
        <v>1</v>
      </c>
      <c r="DU122" s="1">
        <f>IF(D122="",0,INDEX(回合状态!$E$7:$E$17,MATCH(DG122,回合状态!$A$7:$A$17,0))+IF(AND(DH122="敌方",OR(INDEX(回合状态!$C$7:$C$17,MATCH(DG122,回合状态!$A$7:$A$17,0))="普通",INDEX(回合状态!$C$7:$C$17,MATCH(DG122,回合状态!$A$7:$A$17,0))="额外")),0.05,0))</f>
        <v>0.35</v>
      </c>
      <c r="DV122" s="1">
        <f>MAX(Boss参数!$B$28,1+IF(AND(E122="37",AC122&gt;0,BH122&gt;0),Boss参数!$B$42,0)-DI122*Boss参数!$B$24+EA122-ER122)</f>
        <v>9.9999999999999978E-2</v>
      </c>
      <c r="DW122" s="1">
        <f>MIN(IF(Boss参数!$B$77=1,Boss参数!$B$63*Boss参数!$B$62,Boss参数!$B$61*Boss参数!$B$62),ROUNDDOWN(BQ122*(1-ES122),0))</f>
        <v>97802</v>
      </c>
      <c r="DX122" s="1">
        <f>MIN(IF(Boss参数!$B$77=1,Boss参数!$B$63*Boss参数!$B$62,Boss参数!$B$61*Boss参数!$B$62),ROUNDDOWN(BR122*(1-ES122),0))</f>
        <v>274335</v>
      </c>
      <c r="DY122" s="1">
        <f t="shared" si="135"/>
        <v>250</v>
      </c>
      <c r="DZ122" s="1">
        <f>IF(L122="RHI_ULT",MIN(Boss参数!$B$48,ROUNDDOWN(AY122*Boss参数!$B$47,0)),DY122)</f>
        <v>250</v>
      </c>
      <c r="EA122" s="1">
        <v>0</v>
      </c>
      <c r="EB122" s="1">
        <f t="shared" si="104"/>
        <v>0</v>
      </c>
      <c r="EC122" s="1">
        <f>SUMIFS($EB$3:EB122,$B$3:B122,"&gt;="&amp;MAX(1,B122-2),$B$3:B122,"&lt;="&amp;B122)*Boss参数!$B$51</f>
        <v>12</v>
      </c>
      <c r="ED122" s="1">
        <f>IF(D122="",EG121,IF(AND(DG122&lt;&gt;DG121,DH122&lt;&gt;"洞穿"),MIN(Boss参数!$B$55,EG121+2),EG121))</f>
        <v>0</v>
      </c>
      <c r="EE122" s="1">
        <f t="shared" si="105"/>
        <v>0</v>
      </c>
      <c r="EF122" s="1">
        <f>IF(AND(OR(L122="END_TURN",AND(DH122="敌方",OR(DH121&lt;&gt;"敌方",DG122&lt;&gt;DG121))),SUMIFS($EF$3:EF121,$DG$3:DG121,DG122)=0),MIN(1,MAX(0,ED122-EE122)),0)</f>
        <v>0</v>
      </c>
      <c r="EG122" s="1">
        <f t="shared" si="106"/>
        <v>0</v>
      </c>
      <c r="EH122" s="1">
        <f>Boss参数!$B$53-IF(Y122=1,Boss参数!$B$54,0)</f>
        <v>-0.4</v>
      </c>
      <c r="EI122" s="1">
        <f t="shared" si="107"/>
        <v>0.3</v>
      </c>
      <c r="EJ122" s="1">
        <f t="shared" si="108"/>
        <v>0.3</v>
      </c>
      <c r="EK122" s="1">
        <f t="shared" si="109"/>
        <v>2.1</v>
      </c>
      <c r="EL122" s="1">
        <f t="shared" si="136"/>
        <v>0</v>
      </c>
      <c r="EM122" s="1">
        <f>IF(AND(DG122&lt;&gt;DG121,DH122="洞穿"),0,IF(L122="ENTER_INSIGHT",Boss参数!$B$57,EO121))</f>
        <v>0</v>
      </c>
      <c r="EN122" s="1">
        <f>IF(AND(Y122=1,H122="洞知",EM122&gt;0),Boss参数!$B$56,0)</f>
        <v>0</v>
      </c>
      <c r="EO122" s="1">
        <f t="shared" si="110"/>
        <v>0</v>
      </c>
      <c r="EP122" s="1">
        <f t="shared" si="137"/>
        <v>18557605</v>
      </c>
      <c r="EQ122" s="1">
        <f>ROUNDDOWN(EP122/Boss参数!$B$62,0)</f>
        <v>185</v>
      </c>
      <c r="ER122" s="1">
        <f>IF(EQ122&gt;=Boss参数!$B$66,Boss参数!$B$69,IF(EQ122&gt;=Boss参数!$B$65,Boss参数!$B$68,IF(EQ122&gt;=Boss参数!$B$64,Boss参数!$B$67,0)))</f>
        <v>0.9</v>
      </c>
      <c r="ES122" s="1">
        <f>MIN(1,IF(EQ122&gt;=Boss参数!$B$66,Boss参数!$B$72+ROUNDDOWN((EQ122-Boss参数!$B$66)/Boss参数!$B$73,0)*Boss参数!$B$74,IF(EQ122&gt;=Boss参数!$B$65,Boss参数!$B$71,IF(EQ122&gt;=Boss参数!$B$64,Boss参数!$B$70,0))))</f>
        <v>0.6</v>
      </c>
      <c r="ET122" s="1">
        <f>MIN(Boss参数!$B$61*Boss参数!$B$62,EP122+IF(AND(Boss参数!$B$60=1,ISNUMBER(验证表!H128)),验证表!H128,EU122))</f>
        <v>18831940</v>
      </c>
      <c r="EU122" s="1">
        <f>IF(D122="",0,IF(验证表!G128="是",BV122,IF(验证表!G128="否",BU122,BW122)))</f>
        <v>274335</v>
      </c>
      <c r="EV122" s="1">
        <f>IF(EQ122&gt;=Boss参数!$B$66,2,IF(EQ122&gt;=Boss参数!$B$65,1,0))</f>
        <v>2</v>
      </c>
      <c r="EW122" s="1">
        <f t="shared" si="111"/>
        <v>3</v>
      </c>
      <c r="EX122" s="1">
        <f>IF(D122="",0,INDEX(回合状态!$D$7:$D$17,MATCH(DG122,回合状态!$A$7:$A$17,0)))</f>
        <v>8</v>
      </c>
      <c r="EY122" s="1">
        <f>IF(OR(L122="RHI_ATTACK",L122="RHI_BUFF"),1,IF(L122="RHI_ULT",Boss参数!$B$52,0))</f>
        <v>0</v>
      </c>
      <c r="EZ122" s="1">
        <f>MIN(6,SUMIFS($EY$3:EY122,$EX$3:EX122,"&gt;="&amp;MAX(1,EX122-Boss参数!$B$87+1),$EX$3:EX122,"&lt;="&amp;EX122))</f>
        <v>4</v>
      </c>
      <c r="FA122" s="1">
        <f t="shared" si="138"/>
        <v>35</v>
      </c>
      <c r="FB122" s="17">
        <f>IF(L122="BOSS_CONSERVATIVE",B122+Boss参数!$B$91,FB121)</f>
        <v>7</v>
      </c>
      <c r="FC122" s="17">
        <f t="shared" si="139"/>
        <v>0</v>
      </c>
      <c r="FD122" s="17">
        <f>IF(D122="",FD121,FD121+IF(AND(DG122&lt;&gt;DG121,INDEX(回合状态!$C$7:$C$17,MATCH(DG122,回合状态!$A$7:$A$17,0))&lt;&gt;"洞穿"),1,0))</f>
        <v>8</v>
      </c>
      <c r="FE122" s="17">
        <f>IF(D122="",0,IF(AND(OR(L122="END_TURN",DH122="敌方"),INDEX(回合状态!$C$7:$C$17,MATCH(DG122,回合状态!$A$7:$A$17,0))&lt;&gt;"洞穿",SUMIFS($FE$3:FE121,$DG$3:DG121,DG122)=0),1,0))</f>
        <v>0</v>
      </c>
    </row>
    <row r="123" spans="1:161" ht="84.95" customHeight="1">
      <c r="A123" s="1">
        <f>行动模拟!A129</f>
        <v>121</v>
      </c>
      <c r="B123" s="1">
        <f>IF(D123="",0,INDEX(回合状态!$B$7:$B$17,MATCH(DG123,回合状态!$A$7:$A$17,0)))</f>
        <v>7</v>
      </c>
      <c r="C123" s="1">
        <f>行动模拟!C129</f>
        <v>11</v>
      </c>
      <c r="D123" s="1" t="str">
        <f>IF(行动模拟!D129="","",行动模拟!D129)</f>
        <v>37｜洞知咒语</v>
      </c>
      <c r="E123" s="1" t="str">
        <f>IF($D123="","",IFERROR(INDEX(技能数据库!$B$4:$B$38,MATCH($D123,技能数据库!$A$4:$A$38,0)),""))</f>
        <v>37</v>
      </c>
      <c r="F123" s="1" t="str">
        <f>IF($D123="","",IFERROR(INDEX(技能数据库!$C$4:$C$38,MATCH($D123,技能数据库!$A$4:$A$38,0)),""))</f>
        <v>洞知咒语</v>
      </c>
      <c r="G123" s="1">
        <f>IF($D123="","",IFERROR(INDEX(技能数据库!$D$4:$D$38,MATCH($D123,技能数据库!$A$4:$A$38,0)),""))</f>
        <v>0</v>
      </c>
      <c r="H123" s="1" t="str">
        <f>IF($D123="","",IFERROR(INDEX(技能数据库!$E$4:$E$38,MATCH($D123,技能数据库!$A$4:$A$38,0)),""))</f>
        <v>洞知</v>
      </c>
      <c r="I123" s="1" t="str">
        <f>IF($D123="","",IFERROR(INDEX(技能数据库!$F$4:$F$38,MATCH($D123,技能数据库!$A$4:$A$38,0)),""))</f>
        <v>精神</v>
      </c>
      <c r="J123" s="1">
        <f>IF($D123="","",IFERROR(INDEX(技能数据库!$G$4:$G$38,MATCH($D123,技能数据库!$A$4:$A$38,0)),""))</f>
        <v>8</v>
      </c>
      <c r="K123" s="1">
        <f>IF($D123="","",IFERROR(INDEX(技能数据库!$H$4:$H$38,MATCH($D123,技能数据库!$A$4:$A$38,0)),""))</f>
        <v>0</v>
      </c>
      <c r="L123" s="1" t="str">
        <f>IF($D123="","",IFERROR(INDEX(技能数据库!$I$4:$I$38,MATCH($D123,技能数据库!$A$4:$A$38,0)),""))</f>
        <v>37_INSIGHT</v>
      </c>
      <c r="M123" s="1">
        <v>1</v>
      </c>
      <c r="N123" s="1"/>
      <c r="O123" s="1"/>
      <c r="P123" s="1"/>
      <c r="Q123" s="1">
        <f t="shared" si="70"/>
        <v>0</v>
      </c>
      <c r="R123" s="1">
        <v>0</v>
      </c>
      <c r="S123" s="1">
        <v>0</v>
      </c>
      <c r="T123" s="1">
        <f>行动模拟!I129</f>
        <v>0</v>
      </c>
      <c r="U123" s="1">
        <f>IF(FD123&lt;&gt;FD122,IF(BY122=1,IF(MIN(10,CA122+IF(AND(DG123&lt;&gt;DG122,DH122&lt;&gt;"洞穿",SUMIFS($FE$3:FE122,$DG$3:DG122,DG122)=0,BY122=1),3,0))&gt;=10,2,1),IF(BY122=2,IF(BZ122&lt;=1,0,2),0)),BY122)</f>
        <v>2</v>
      </c>
      <c r="V123" s="1">
        <f>IF(FD123&lt;&gt;FD122,IF(BY122=1,IF(MIN(10,CA122+IF(AND(DG123&lt;&gt;DG122,DH122&lt;&gt;"洞穿",SUMIFS($FE$3:FE122,$DG$3:DG122,DG122)=0,BY122=1),3,0))&gt;=10,2,0),IF(BY122=2,MAX(0,BZ122-1),0)),BZ122)</f>
        <v>1</v>
      </c>
      <c r="W123" s="1">
        <f>IF(AND(FD123&lt;&gt;FD122,BY122=2,BZ122&lt;=1),0,MIN(10,CA122+IF(AND(DG123&lt;&gt;DG122,DH122&lt;&gt;"洞穿",SUMIFS($FE$3:FE122,$DG$3:DG122,DG122)=0,BY122=1),3,0)))</f>
        <v>10</v>
      </c>
      <c r="X123" s="1">
        <f t="shared" si="112"/>
        <v>10</v>
      </c>
      <c r="Y123" s="1">
        <f t="shared" si="113"/>
        <v>1</v>
      </c>
      <c r="Z123" s="1">
        <f t="shared" si="114"/>
        <v>10</v>
      </c>
      <c r="AA123" s="1">
        <f t="shared" si="115"/>
        <v>8</v>
      </c>
      <c r="AB123" s="1">
        <f t="shared" si="116"/>
        <v>10</v>
      </c>
      <c r="AC123" s="1">
        <f t="shared" si="117"/>
        <v>1</v>
      </c>
      <c r="AD123" s="1">
        <f t="shared" si="118"/>
        <v>35</v>
      </c>
      <c r="AE123" s="1">
        <f>IF(D123="",0,IF(DG123&lt;&gt;DG122,IFERROR(INDEX(回合状态!$F$7:$F$17,MATCH(DG123,回合状态!$A$7:$A$17,0)),0),CI122))</f>
        <v>15</v>
      </c>
      <c r="AF123" s="1">
        <f t="shared" si="119"/>
        <v>0.875</v>
      </c>
      <c r="AG123" s="1">
        <f t="shared" si="120"/>
        <v>9</v>
      </c>
      <c r="AH123" s="1">
        <f t="shared" si="121"/>
        <v>9</v>
      </c>
      <c r="AI123" s="1">
        <f t="shared" si="122"/>
        <v>8</v>
      </c>
      <c r="AJ123" s="1">
        <f t="shared" si="123"/>
        <v>9</v>
      </c>
      <c r="AK123" s="1">
        <f t="shared" si="124"/>
        <v>8</v>
      </c>
      <c r="AL123" s="1">
        <f t="shared" si="125"/>
        <v>3</v>
      </c>
      <c r="AM123" s="1">
        <f t="shared" si="126"/>
        <v>30</v>
      </c>
      <c r="AN123" s="1">
        <f t="shared" si="127"/>
        <v>9</v>
      </c>
      <c r="AO123" s="1">
        <f t="shared" si="128"/>
        <v>10</v>
      </c>
      <c r="AP123" s="1">
        <f t="shared" si="129"/>
        <v>0.12</v>
      </c>
      <c r="AQ123" s="1">
        <f t="shared" si="130"/>
        <v>9</v>
      </c>
      <c r="AR123" s="1">
        <f t="shared" si="131"/>
        <v>0.3</v>
      </c>
      <c r="AS123" s="1">
        <f t="shared" si="132"/>
        <v>9</v>
      </c>
      <c r="AT123" s="1">
        <f t="shared" si="133"/>
        <v>0.3</v>
      </c>
      <c r="AU123" s="1">
        <f t="shared" si="134"/>
        <v>9</v>
      </c>
      <c r="AV123" s="1">
        <f>MIN(5,SUMIFS($EL$3:EL123,$B$3:B123,"&gt;="&amp;MAX(1,B123-2),$B$3:B123,"&lt;="&amp;B123)+EC123)</f>
        <v>5</v>
      </c>
      <c r="AW123" s="1">
        <f>MIN(6,SUMIFS($EY$3:EY122,$EX$3:EX122,"&gt;="&amp;MAX(1,EX123-Boss参数!$B$87+1),$EX$3:EX122,"&lt;="&amp;EX123))</f>
        <v>4</v>
      </c>
      <c r="AX123" s="1">
        <f>MIN(4,COUNTIFS($B$3:$B$122,"&gt;="&amp;MAX(1,$B123-2),$B$3:$B$122,"&lt;="&amp;$B123,$L$3:$L$122,"37_FOLLOW"))</f>
        <v>4</v>
      </c>
      <c r="AY123" s="1">
        <f>IF($E123="","",IF($E123="系统",0,ROUNDDOWN(INDEX(角色面板!$C$4:$C$7,MATCH($E123,角色面板!$A$4:$A$7,0))*(1+INDEX(角色面板!$C$11:$C$14,MATCH($E123,角色面板!$A$11:$A$14,0))+IF($E123="小瑞安侬",MAX(IF($B123&lt;=$AQ123,$AP123,0),IF(AND($L123="RHI_ATTACK",$EE123&gt;0),0.11+0.01*$G123,0)),0)+IF($E123="J",$AD123*Boss参数!$B$18,0))+IF(FD123&lt;=$AN123,MIN(Boss参数!$B$21,ROUNDDOWN(角色面板!$C$19*Boss参数!$B$20,0)),0)+IF(AND($B123&lt;=$AK123,$E123&lt;&gt;"小瑞安侬"),$DY123,0),0)))</f>
        <v>3517</v>
      </c>
      <c r="AZ123" s="1">
        <f>IF($E123="","",MAX(0,MIN(1,IFERROR(INDEX(角色面板!$G$18:$G$21,MATCH($E123,角色面板!$A$18:$A$21,0)),0)-FC123*Boss参数!$B$89-Boss参数!$E$4)))</f>
        <v>0.76</v>
      </c>
      <c r="BA123" s="1">
        <f>IF(E123="","",(IF($E123="","",IF($E123="红弩箭",Boss参数!$B$80,IF($E123="J",Boss参数!$B$81,IFERROR(INDEX(角色面板!$H$18:$H$21,MATCH($E123,角色面板!$A$18:$A$21,0)),0)))+IF($B123&lt;=$AI123,Boss参数!$B$13,0)+MIN(30,$AM123)*Boss参数!$B$17+IF(AND($L123="LILYA_ULT",$X123&gt;=6),1,0)+IF(AND($Y123=1,$L123="LILYA_INSIGHT"),IF(MOD($AA123+1,3)=0,Boss参数!$B$83,Boss参数!$B$82),IF(AND($Y123=1,$L123="LILYA_FINISH"),Boss参数!$B$84,0))))-FC123*Boss参数!$B$90)</f>
        <v>2.4780000000000002</v>
      </c>
      <c r="BB123" s="1">
        <f>IF($E123="","",IFERROR(INDEX(角色面板!$M$18:$M$21,MATCH($E123,角色面板!$A$18:$A$21,0)),0)+$AW123*Boss参数!$B$12+IF($B123&lt;=$AG123,$AF123,0)+$EI123+IF($L123="LILYA_DIVE",IF($U123=1,IF($G123=1,0.3,IF($G123=2,0.4,0.5)),IF($U123=2,IF($G123=1,0.6,IF($G123=2,0.8,1)),0)),0)+$R123+IF(AND($E123="J",OR($L123="J_COUNTER",$L123="J_HARD")),Boss参数!$B$79,0)+IF(AND(OR(L123="J_COUNTER",L123="J_HARD"),FA123&gt;=Boss参数!$B$59),FA123*Boss参数!$B$40,0))</f>
        <v>1.2549999999999999</v>
      </c>
      <c r="BC123" s="1">
        <f>IF($E123="","",IFERROR(INDEX(角色面板!$K$18:$K$21,MATCH($E123,角色面板!$A$18:$A$21,0)),0)+IF($B123&lt;=$AH123,Boss参数!$B$46,0)+IF($E123="红弩箭",IF($U123=1,0.6,IF($U123=2,1.2,0))+$W123*0.06,0))-DI123*Boss参数!$B$23</f>
        <v>-0.7</v>
      </c>
      <c r="BD123" s="1">
        <f>IF($E123="","",IFERROR(INDEX(角色面板!$L$18:$L$21,MATCH($E123,角色面板!$A$18:$A$21,0)),0)+IF($B123&lt;=$AH123,Boss参数!$B$46,0)+IF($E123="J",$AL123*Boss参数!$B$16,0)+IF($E123="红弩箭",$X123*0.025,0)+IF(AND($L123="LILYA_ULT",$X123&gt;=6),1,0))-DI123*Boss参数!$B$23</f>
        <v>-0.3</v>
      </c>
      <c r="BE123" s="1">
        <f>IF($E123="","",IF($H123="洞知",IF($E123="红弩箭",$AO123*Boss参数!$B$15,0)+$AX123*Boss参数!$B$14,0))</f>
        <v>0.16</v>
      </c>
      <c r="BF123" s="1">
        <f t="shared" si="71"/>
        <v>0</v>
      </c>
      <c r="BG123" s="1">
        <f>IF($D123="",0,IF(AND($L123&lt;&gt;"LILYA_DIVE",$L123&lt;&gt;"LILYA_ULT",$L123&lt;&gt;"LILYA_INSIGHT",$L123&lt;&gt;"LILYA_FINISH",$L123&lt;&gt;"37_FOLLOW",$L123&lt;&gt;"RHI_ATTACK",$L123&lt;&gt;"RHI_BERRY",$L123&lt;&gt;"J_COUNTER",$L123&lt;&gt;"J_ULT"),$J123,0)+IF($L123="LILYA_DIVE",$J123+IF($U123=1,IF($G123=1,6,IF($G123=2,12,18)),IF($U123=2,IF($G123=1,12,IF($G123=2,24,36)),0)),0)+IF($L123="LILYA_ULT",$J123+IF($X123&gt;=6,18,0),0)+IF($L123="LILYA_INSIGHT",IF($Y123=1,IF(MOD($AA123+1,3)=0,32,15),0),0)+IF($L123="LILYA_FINISH",IF($Y123=1,50+2.5*$Z123,0),0)+IF($L123="37_FOLLOW",$J123,0)+IF($L123="RHI_ATTACK",$J123*IF($B123&lt;=$AJ123,2,1),0)+IF($L123="RHI_BERRY",15+1.5*$AV123,0)+IF($L123="J_COUNTER",$J123+$AD123*Boss参数!$B$39,0)+IF($L123="J_ULT",$J123+Boss参数!$B$45*MAX(0,$AE123+$AD123-Boss参数!$I$4),0)+$S123)</f>
        <v>8</v>
      </c>
      <c r="BH123" s="1">
        <f t="shared" si="72"/>
        <v>0</v>
      </c>
      <c r="BI123" s="1">
        <f>IF(E123="","",IF(DT123=1,1+Boss参数!$B$8+AV123*Boss参数!$B$19,1))</f>
        <v>1.5</v>
      </c>
      <c r="BJ123" s="1">
        <f>IF($I123="现实",Boss参数!$C$4,IF($I123="精神",Boss参数!$D$4,0))</f>
        <v>1000</v>
      </c>
      <c r="BK123" s="1">
        <f>IF($E123="","",MAX($AY123*Boss参数!$B$9,$AY123-$BJ123*(1-$BF123)))</f>
        <v>2517</v>
      </c>
      <c r="BL123" s="1">
        <f>MAX(0,Boss参数!$F$4+IF(DT123=0,Boss参数!$B$27,0)-EJ123)</f>
        <v>0.10000000000000003</v>
      </c>
      <c r="BM123" s="1">
        <f>Boss参数!$G$4+DU123-IF(Y123=1,Boss参数!$B$11,0)</f>
        <v>0.35</v>
      </c>
      <c r="BN123" s="1">
        <f>IF($E123="","",MAX(Boss参数!$B$10,1+IFERROR(INDEX(角色面板!$I$18:$I$21,MATCH($E123,角色面板!$A$18:$A$21,0)),0)+$BB123+Boss参数!$H$4-$BM123))</f>
        <v>1.9099999999999997</v>
      </c>
      <c r="BO123" s="1">
        <f>IF(E123="","",IF(OR(L123="J_COUNTER",L123="J_HARD"),MAX(0,1+INDEX(角色面板!$K$18:$K$21,MATCH(E123,角色面板!$A$18:$A$21,0))-DI123*Boss参数!$B$23+IF(OR(Boss参数!$B$43=1,L123="J_HARD"),IF(B123&lt;=AH123,Boss参数!$B$46,0),0)),MAX(0,IF(OR(H123="术法",L123="RHI_BERRY",AND(L123="37_FOLLOW",Boss参数!$B$31=1)),1+BC123,IF(H123="仪式",1+BD123,IF(H123="洞知",EK123,1))))))</f>
        <v>1.56</v>
      </c>
      <c r="BP123" s="1">
        <f t="shared" si="73"/>
        <v>2.3780000000000001</v>
      </c>
      <c r="BQ123" s="1">
        <f t="shared" si="74"/>
        <v>89995.838399999979</v>
      </c>
      <c r="BR123" s="1">
        <f t="shared" si="75"/>
        <v>214010.10371519995</v>
      </c>
      <c r="BS123" s="1">
        <f>IF(BH123=0,0,ROUNDDOWN(AY123*BH123,0)*DV123*IF(Boss参数!$B$29=1,BN123,1)*IF(Boss参数!$B$33=1,BO123,1)*IF(Boss参数!$B$76=1,1-ES123,1))</f>
        <v>0</v>
      </c>
      <c r="BT123" s="1">
        <f t="shared" si="76"/>
        <v>0</v>
      </c>
      <c r="BU123" s="1">
        <f>IF(D123="",0,MIN(IF(Boss参数!$B$77=1,Boss参数!$B$63*Boss参数!$B$62,Boss参数!$B$61*Boss参数!$B$62),DW123+ROUNDDOWN(BS123,0)+ROUNDDOWN(DW123*Q123,0)))</f>
        <v>35998</v>
      </c>
      <c r="BV123" s="1">
        <f>IF(D123="",0,MIN(IF(Boss参数!$B$77=1,Boss参数!$B$63*Boss参数!$B$62,Boss参数!$B$61*Boss参数!$B$62),DX123+ROUNDDOWN(BT123,0)+ROUNDDOWN(DX123*Q123,0)))</f>
        <v>85604</v>
      </c>
      <c r="BW123" s="1">
        <f t="shared" si="77"/>
        <v>73698</v>
      </c>
      <c r="BX123" s="1" t="str">
        <f t="shared" si="78"/>
        <v/>
      </c>
      <c r="BY123" s="1">
        <f t="shared" si="79"/>
        <v>2</v>
      </c>
      <c r="BZ123" s="1">
        <f t="shared" si="80"/>
        <v>1</v>
      </c>
      <c r="CA123" s="1">
        <f>MIN(10,W123+IF(AND(L123="LILYA_COBRA",COUNTIF($L$3:L123,"LILYA_COBRA")=1),5,0)+IF(AND(L123="LILYA_DIVE",U123=1,COUNTIFS($DG$3:DG123,DG123,$L$3:L123,"LILYA_DIVE")=1),2,0)+IF(AND(FE123=1,U123=1),3,0))</f>
        <v>10</v>
      </c>
      <c r="CB123" s="1">
        <f>MIN(20,MAX(0,X123+IF(L123="LILYA_COBRA",IF(COUNTIF($L$3:L123,"LILYA_COBRA")=1,6,IF(U123=1,MAX(1,G123),IF(U123=2,2*MAX(1,G123),0))),0)+IF(AND(Y123=1,E123="红弩箭",L123&lt;&gt;"ENTER_INSIGHT"),1,0)-IF(AND(L123="LILYA_ULT",X123&gt;=6),6,0)))</f>
        <v>10</v>
      </c>
      <c r="CC123" s="1">
        <f t="shared" si="81"/>
        <v>1</v>
      </c>
      <c r="CD123" s="1">
        <f t="shared" si="82"/>
        <v>11</v>
      </c>
      <c r="CE123" s="1">
        <f t="shared" si="83"/>
        <v>8</v>
      </c>
      <c r="CF123" s="1">
        <f t="shared" si="84"/>
        <v>10</v>
      </c>
      <c r="CG123" s="1">
        <f t="shared" si="85"/>
        <v>1</v>
      </c>
      <c r="CH123" s="1">
        <f>MIN(35,AD123+IF(L123="J_HARD",6,0)+IF(L123="J_COUNTER",Boss参数!$B$30,0))</f>
        <v>35</v>
      </c>
      <c r="CI123" s="1">
        <f>MIN(Boss参数!$I$4,AE123+IF(L123="J_HARD",6,0)+IF(L123="J_ULT",AD123,0)+IF(L123="J_COUNTER",Boss参数!$B$30,0))</f>
        <v>15</v>
      </c>
      <c r="CJ123" s="1">
        <f>IF(L123="J_ULT",AD123*Boss参数!$B$41,IF(B123&lt;=AG123,AF123,0))</f>
        <v>0.875</v>
      </c>
      <c r="CK123" s="1">
        <f t="shared" si="86"/>
        <v>9</v>
      </c>
      <c r="CL123" s="1">
        <f t="shared" si="87"/>
        <v>9</v>
      </c>
      <c r="CM123" s="1">
        <f t="shared" si="88"/>
        <v>8</v>
      </c>
      <c r="CN123" s="1">
        <f t="shared" si="89"/>
        <v>9</v>
      </c>
      <c r="CO123" s="1">
        <f t="shared" si="90"/>
        <v>8</v>
      </c>
      <c r="CP123" s="1">
        <f t="shared" si="91"/>
        <v>3</v>
      </c>
      <c r="CQ123" s="1">
        <f t="shared" si="92"/>
        <v>30</v>
      </c>
      <c r="CR123" s="1">
        <f t="shared" si="93"/>
        <v>9</v>
      </c>
      <c r="CS123" s="1">
        <f t="shared" si="94"/>
        <v>11</v>
      </c>
      <c r="CT123" s="1">
        <f t="shared" si="95"/>
        <v>0.12</v>
      </c>
      <c r="CU123" s="1">
        <f t="shared" si="96"/>
        <v>9</v>
      </c>
      <c r="CV123" s="1">
        <f t="shared" si="97"/>
        <v>0.3</v>
      </c>
      <c r="CW123" s="1">
        <f t="shared" si="98"/>
        <v>9</v>
      </c>
      <c r="CX123" s="1">
        <f t="shared" si="99"/>
        <v>0.3</v>
      </c>
      <c r="CY123" s="1">
        <f t="shared" si="100"/>
        <v>9</v>
      </c>
      <c r="CZ123" s="1"/>
      <c r="DA123" s="1"/>
      <c r="DB123" s="1"/>
      <c r="DC123" s="1"/>
      <c r="DD123" s="1"/>
      <c r="DE123" s="1"/>
      <c r="DF123" s="1"/>
      <c r="DG123" s="1" t="str">
        <f>IF(D123="","",行动模拟!B129)</f>
        <v>洞知2</v>
      </c>
      <c r="DH123" s="1" t="str">
        <f>IF(L123="END_TURN","回合结束",IF(D123="","",IF(INDEX(回合状态!$C$7:$C$17,MATCH(DG123,回合状态!$A$7:$A$17,0))="洞穿","洞穿",IF(OR(L123="J_COUNTER",L123="BOSS_ACTION",L123="BOSS_CONSERVATIVE"),"敌方",IF(AND(L123="37_FOLLOW",DG123=DG122,DH122="敌方"),"敌方",IF(INDEX(回合状态!$C$7:$C$17,MATCH(DG123,回合状态!$A$7:$A$17,0))="普通","出牌",INDEX(回合状态!$C$7:$C$17,MATCH(DG123,回合状态!$A$7:$A$17,0))))))))</f>
        <v>洞穿</v>
      </c>
      <c r="DI123" s="1">
        <f t="shared" si="101"/>
        <v>4</v>
      </c>
      <c r="DJ123" s="1">
        <f>IF(D123="",0,MIN(Boss参数!$B$25,IF(OR(AND(DH123="敌方",OR(DH122&lt;&gt;"敌方",DG123&lt;&gt;DG122)),AND(L123="END_TURN",DH123&lt;&gt;"洞穿"),AND(DG123&lt;&gt;DG122,DH122&lt;&gt;"洞穿",L122&lt;&gt;"END_TURN",COUNTIFS($DG$3:DG122,DG122,$DH$3:DH122,"敌方")=0)),EW123,DN122)))</f>
        <v>0</v>
      </c>
      <c r="DK123" s="1">
        <f>IF(D123="",0,MIN(Boss参数!$B$25,IF(OR(AND(DH123="敌方",OR(DH122&lt;&gt;"敌方",DG123&lt;&gt;DG122)),AND(L123="END_TURN",DH123&lt;&gt;"洞穿"),AND(DG123&lt;&gt;DG122,DH122&lt;&gt;"洞穿",L122&lt;&gt;"END_TURN",COUNTIFS($DG$3:DG122,DG122,$DH$3:DH122,"敌方")=0)),EW123,DO122)))</f>
        <v>4</v>
      </c>
      <c r="DL123" s="1">
        <f>IF(D123="",0,MIN(Boss参数!$B$25,IF(OR(AND(DH123="敌方",OR(DH122&lt;&gt;"敌方",DG123&lt;&gt;DG122)),AND(L123="END_TURN",DH123&lt;&gt;"洞穿"),AND(DG123&lt;&gt;DG122,DH122&lt;&gt;"洞穿",L122&lt;&gt;"END_TURN",COUNTIFS($DG$3:DG122,DG122,$DH$3:DH122,"敌方")=0)),EW123,DP122)))</f>
        <v>5</v>
      </c>
      <c r="DM123" s="1">
        <f>IF(D123="",0,MIN(Boss参数!$B$25,IF(OR(AND(DH123="敌方",OR(DH122&lt;&gt;"敌方",DG123&lt;&gt;DG122)),AND(L123="END_TURN",DH123&lt;&gt;"洞穿"),AND(DG123&lt;&gt;DG122,DH122&lt;&gt;"洞穿",L122&lt;&gt;"END_TURN",COUNTIFS($DG$3:DG122,DG122,$DH$3:DH122,"敌方")=0)),EW123,DQ122)))</f>
        <v>5</v>
      </c>
      <c r="DN123" s="1">
        <f>MAX(0,MIN(Boss参数!$B$25,DJ123+DR123)-IF(E123="红弩箭",2*DR123,0))</f>
        <v>1</v>
      </c>
      <c r="DO123" s="1">
        <f>MAX(0,MIN(Boss参数!$B$25,DK123+DR123)-IF(E123="37",2*DR123,0))</f>
        <v>3</v>
      </c>
      <c r="DP123" s="1">
        <f>MAX(0,MIN(Boss参数!$B$25,DL123+DR123)-IF(E123="小瑞安侬",2*DR123,0))</f>
        <v>5</v>
      </c>
      <c r="DQ123" s="1">
        <f>MAX(0,MIN(Boss参数!$B$25,DM123+DR123)-IF(E123="J",2*DR123,0))</f>
        <v>5</v>
      </c>
      <c r="DR123" s="1">
        <f t="shared" si="102"/>
        <v>1</v>
      </c>
      <c r="DS123" s="1">
        <f t="shared" si="103"/>
        <v>1</v>
      </c>
      <c r="DT123" s="1">
        <f>IF(OR(E123="",E123="系统"),0,IF(OR(AND(DS123=1,Boss参数!$B$32=1),L123="RHI_BERRY",OR(AND(INDEX(角色面板!$B$18:$B$21,MATCH(E123,角色面板!$A$18:$A$21,0))="星",Boss参数!$B$4="岩"),AND(INDEX(角色面板!$B$18:$B$21,MATCH(E123,角色面板!$A$18:$A$21,0))="岩",Boss参数!$B$4="兽"),AND(INDEX(角色面板!$B$18:$B$21,MATCH(E123,角色面板!$A$18:$A$21,0))="兽",Boss参数!$B$4="木"),AND(INDEX(角色面板!$B$18:$B$21,MATCH(E123,角色面板!$A$18:$A$21,0))="木",Boss参数!$B$4="星"),AND(INDEX(角色面板!$B$18:$B$21,MATCH(E123,角色面板!$A$18:$A$21,0))="智",Boss参数!$B$4="灵"),AND(INDEX(角色面板!$B$18:$B$21,MATCH(E123,角色面板!$A$18:$A$21,0))="灵",Boss参数!$B$4="智"))),1,0))</f>
        <v>1</v>
      </c>
      <c r="DU123" s="1">
        <f>IF(D123="",0,INDEX(回合状态!$E$7:$E$17,MATCH(DG123,回合状态!$A$7:$A$17,0))+IF(AND(DH123="敌方",OR(INDEX(回合状态!$C$7:$C$17,MATCH(DG123,回合状态!$A$7:$A$17,0))="普通",INDEX(回合状态!$C$7:$C$17,MATCH(DG123,回合状态!$A$7:$A$17,0))="额外")),0.05,0))</f>
        <v>0.35</v>
      </c>
      <c r="DV123" s="1">
        <f>MAX(Boss参数!$B$28,1+IF(AND(E123="37",AC123&gt;0,BH123&gt;0),Boss参数!$B$42,0)-DI123*Boss参数!$B$24+EA123-ER123)</f>
        <v>0</v>
      </c>
      <c r="DW123" s="1">
        <f>MIN(IF(Boss参数!$B$77=1,Boss参数!$B$63*Boss参数!$B$62,Boss参数!$B$61*Boss参数!$B$62),ROUNDDOWN(BQ123*(1-ES123),0))</f>
        <v>35998</v>
      </c>
      <c r="DX123" s="1">
        <f>MIN(IF(Boss参数!$B$77=1,Boss参数!$B$63*Boss参数!$B$62,Boss参数!$B$61*Boss参数!$B$62),ROUNDDOWN(BR123*(1-ES123),0))</f>
        <v>85604</v>
      </c>
      <c r="DY123" s="1">
        <f t="shared" si="135"/>
        <v>250</v>
      </c>
      <c r="DZ123" s="1">
        <f>IF(L123="RHI_ULT",MIN(Boss参数!$B$48,ROUNDDOWN(AY123*Boss参数!$B$47,0)),DY123)</f>
        <v>250</v>
      </c>
      <c r="EA123" s="1">
        <v>0</v>
      </c>
      <c r="EB123" s="1">
        <f t="shared" si="104"/>
        <v>0</v>
      </c>
      <c r="EC123" s="1">
        <f>SUMIFS($EB$3:EB123,$B$3:B123,"&gt;="&amp;MAX(1,B123-2),$B$3:B123,"&lt;="&amp;B123)*Boss参数!$B$51</f>
        <v>12</v>
      </c>
      <c r="ED123" s="1">
        <f>IF(D123="",EG122,IF(AND(DG123&lt;&gt;DG122,DH123&lt;&gt;"洞穿"),MIN(Boss参数!$B$55,EG122+2),EG122))</f>
        <v>0</v>
      </c>
      <c r="EE123" s="1">
        <f t="shared" si="105"/>
        <v>0</v>
      </c>
      <c r="EF123" s="1">
        <f>IF(AND(OR(L123="END_TURN",AND(DH123="敌方",OR(DH122&lt;&gt;"敌方",DG123&lt;&gt;DG122))),SUMIFS($EF$3:EF122,$DG$3:DG122,DG123)=0),MIN(1,MAX(0,ED123-EE123)),0)</f>
        <v>0</v>
      </c>
      <c r="EG123" s="1">
        <f t="shared" si="106"/>
        <v>0</v>
      </c>
      <c r="EH123" s="1">
        <f>Boss参数!$B$53-IF(Y123=1,Boss参数!$B$54,0)</f>
        <v>-0.4</v>
      </c>
      <c r="EI123" s="1">
        <f t="shared" si="107"/>
        <v>0.3</v>
      </c>
      <c r="EJ123" s="1">
        <f t="shared" si="108"/>
        <v>0.3</v>
      </c>
      <c r="EK123" s="1">
        <f t="shared" si="109"/>
        <v>1.56</v>
      </c>
      <c r="EL123" s="1">
        <f t="shared" si="136"/>
        <v>0</v>
      </c>
      <c r="EM123" s="1">
        <f>IF(AND(DG123&lt;&gt;DG122,DH123="洞穿"),0,IF(L123="ENTER_INSIGHT",Boss参数!$B$57,EO122))</f>
        <v>0</v>
      </c>
      <c r="EN123" s="1">
        <f>IF(AND(Y123=1,H123="洞知",EM123&gt;0),Boss参数!$B$56,0)</f>
        <v>0</v>
      </c>
      <c r="EO123" s="1">
        <f t="shared" si="110"/>
        <v>1</v>
      </c>
      <c r="EP123" s="1">
        <f t="shared" si="137"/>
        <v>18831940</v>
      </c>
      <c r="EQ123" s="1">
        <f>ROUNDDOWN(EP123/Boss参数!$B$62,0)</f>
        <v>188</v>
      </c>
      <c r="ER123" s="1">
        <f>IF(EQ123&gt;=Boss参数!$B$66,Boss参数!$B$69,IF(EQ123&gt;=Boss参数!$B$65,Boss参数!$B$68,IF(EQ123&gt;=Boss参数!$B$64,Boss参数!$B$67,0)))</f>
        <v>0.9</v>
      </c>
      <c r="ES123" s="1">
        <f>MIN(1,IF(EQ123&gt;=Boss参数!$B$66,Boss参数!$B$72+ROUNDDOWN((EQ123-Boss参数!$B$66)/Boss参数!$B$73,0)*Boss参数!$B$74,IF(EQ123&gt;=Boss参数!$B$65,Boss参数!$B$71,IF(EQ123&gt;=Boss参数!$B$64,Boss参数!$B$70,0))))</f>
        <v>0.6</v>
      </c>
      <c r="ET123" s="1">
        <f>MIN(Boss参数!$B$61*Boss参数!$B$62,EP123+IF(AND(Boss参数!$B$60=1,ISNUMBER(验证表!H129)),验证表!H129,EU123))</f>
        <v>18917544</v>
      </c>
      <c r="EU123" s="1">
        <f>IF(D123="",0,IF(验证表!G129="是",BV123,IF(验证表!G129="否",BU123,BW123)))</f>
        <v>85604</v>
      </c>
      <c r="EV123" s="1">
        <f>IF(EQ123&gt;=Boss参数!$B$66,2,IF(EQ123&gt;=Boss参数!$B$65,1,0))</f>
        <v>2</v>
      </c>
      <c r="EW123" s="1">
        <f t="shared" si="111"/>
        <v>3</v>
      </c>
      <c r="EX123" s="1">
        <f>IF(D123="",0,INDEX(回合状态!$D$7:$D$17,MATCH(DG123,回合状态!$A$7:$A$17,0)))</f>
        <v>8</v>
      </c>
      <c r="EY123" s="1">
        <f>IF(OR(L123="RHI_ATTACK",L123="RHI_BUFF"),1,IF(L123="RHI_ULT",Boss参数!$B$52,0))</f>
        <v>0</v>
      </c>
      <c r="EZ123" s="1">
        <f>MIN(6,SUMIFS($EY$3:EY123,$EX$3:EX123,"&gt;="&amp;MAX(1,EX123-Boss参数!$B$87+1),$EX$3:EX123,"&lt;="&amp;EX123))</f>
        <v>4</v>
      </c>
      <c r="FA123" s="1">
        <f t="shared" si="138"/>
        <v>35</v>
      </c>
      <c r="FB123" s="17">
        <f>IF(L123="BOSS_CONSERVATIVE",B123+Boss参数!$B$91,FB122)</f>
        <v>7</v>
      </c>
      <c r="FC123" s="17">
        <f t="shared" si="139"/>
        <v>0</v>
      </c>
      <c r="FD123" s="17">
        <f>IF(D123="",FD122,FD122+IF(AND(DG123&lt;&gt;DG122,INDEX(回合状态!$C$7:$C$17,MATCH(DG123,回合状态!$A$7:$A$17,0))&lt;&gt;"洞穿"),1,0))</f>
        <v>8</v>
      </c>
      <c r="FE123" s="17">
        <f>IF(D123="",0,IF(AND(OR(L123="END_TURN",DH123="敌方"),INDEX(回合状态!$C$7:$C$17,MATCH(DG123,回合状态!$A$7:$A$17,0))&lt;&gt;"洞穿",SUMIFS($FE$3:FE122,$DG$3:DG122,DG123)=0),1,0))</f>
        <v>0</v>
      </c>
    </row>
    <row r="124" spans="1:161" ht="84.95" customHeight="1">
      <c r="A124" s="1">
        <f>行动模拟!A130</f>
        <v>122</v>
      </c>
      <c r="B124" s="1">
        <f>IF(D124="",0,INDEX(回合状态!$B$7:$B$17,MATCH(DG124,回合状态!$A$7:$A$17,0)))</f>
        <v>7</v>
      </c>
      <c r="C124" s="1">
        <f>行动模拟!C130</f>
        <v>12</v>
      </c>
      <c r="D124" s="1" t="str">
        <f>IF(行动模拟!D130="","",行动模拟!D130)</f>
        <v>红弩箭｜洞知咒语</v>
      </c>
      <c r="E124" s="1" t="str">
        <f>IF($D124="","",IFERROR(INDEX(技能数据库!$B$4:$B$38,MATCH($D124,技能数据库!$A$4:$A$38,0)),""))</f>
        <v>红弩箭</v>
      </c>
      <c r="F124" s="1" t="str">
        <f>IF($D124="","",IFERROR(INDEX(技能数据库!$C$4:$C$38,MATCH($D124,技能数据库!$A$4:$A$38,0)),""))</f>
        <v>洞知咒语</v>
      </c>
      <c r="G124" s="1">
        <f>IF($D124="","",IFERROR(INDEX(技能数据库!$D$4:$D$38,MATCH($D124,技能数据库!$A$4:$A$38,0)),""))</f>
        <v>0</v>
      </c>
      <c r="H124" s="1" t="str">
        <f>IF($D124="","",IFERROR(INDEX(技能数据库!$E$4:$E$38,MATCH($D124,技能数据库!$A$4:$A$38,0)),""))</f>
        <v>洞知</v>
      </c>
      <c r="I124" s="1" t="str">
        <f>IF($D124="","",IFERROR(INDEX(技能数据库!$F$4:$F$38,MATCH($D124,技能数据库!$A$4:$A$38,0)),""))</f>
        <v>现实</v>
      </c>
      <c r="J124" s="1">
        <f>IF($D124="","",IFERROR(INDEX(技能数据库!$G$4:$G$38,MATCH($D124,技能数据库!$A$4:$A$38,0)),""))</f>
        <v>15</v>
      </c>
      <c r="K124" s="1">
        <f>IF($D124="","",IFERROR(INDEX(技能数据库!$H$4:$H$38,MATCH($D124,技能数据库!$A$4:$A$38,0)),""))</f>
        <v>0</v>
      </c>
      <c r="L124" s="1" t="str">
        <f>IF($D124="","",IFERROR(INDEX(技能数据库!$I$4:$I$38,MATCH($D124,技能数据库!$A$4:$A$38,0)),""))</f>
        <v>LILYA_INSIGHT</v>
      </c>
      <c r="M124" s="1">
        <v>1</v>
      </c>
      <c r="N124" s="1"/>
      <c r="O124" s="1"/>
      <c r="P124" s="1"/>
      <c r="Q124" s="1">
        <f t="shared" si="70"/>
        <v>0.4</v>
      </c>
      <c r="R124" s="1">
        <v>0</v>
      </c>
      <c r="S124" s="1">
        <v>0</v>
      </c>
      <c r="T124" s="1" t="str">
        <f>行动模拟!I130</f>
        <v>原G列数值属于稳态附加，移至H列；实测总伤不变</v>
      </c>
      <c r="U124" s="1">
        <f>IF(FD124&lt;&gt;FD123,IF(BY123=1,IF(MIN(10,CA123+IF(AND(DG124&lt;&gt;DG123,DH123&lt;&gt;"洞穿",SUMIFS($FE$3:FE123,$DG$3:DG123,DG123)=0,BY123=1),3,0))&gt;=10,2,1),IF(BY123=2,IF(BZ123&lt;=1,0,2),0)),BY123)</f>
        <v>2</v>
      </c>
      <c r="V124" s="1">
        <f>IF(FD124&lt;&gt;FD123,IF(BY123=1,IF(MIN(10,CA123+IF(AND(DG124&lt;&gt;DG123,DH123&lt;&gt;"洞穿",SUMIFS($FE$3:FE123,$DG$3:DG123,DG123)=0,BY123=1),3,0))&gt;=10,2,0),IF(BY123=2,MAX(0,BZ123-1),0)),BZ123)</f>
        <v>1</v>
      </c>
      <c r="W124" s="1">
        <f>IF(AND(FD124&lt;&gt;FD123,BY123=2,BZ123&lt;=1),0,MIN(10,CA123+IF(AND(DG124&lt;&gt;DG123,DH123&lt;&gt;"洞穿",SUMIFS($FE$3:FE123,$DG$3:DG123,DG123)=0,BY123=1),3,0)))</f>
        <v>10</v>
      </c>
      <c r="X124" s="1">
        <f t="shared" si="112"/>
        <v>10</v>
      </c>
      <c r="Y124" s="1">
        <f t="shared" si="113"/>
        <v>1</v>
      </c>
      <c r="Z124" s="1">
        <f t="shared" si="114"/>
        <v>11</v>
      </c>
      <c r="AA124" s="1">
        <f t="shared" si="115"/>
        <v>8</v>
      </c>
      <c r="AB124" s="1">
        <f t="shared" si="116"/>
        <v>10</v>
      </c>
      <c r="AC124" s="1">
        <f t="shared" si="117"/>
        <v>1</v>
      </c>
      <c r="AD124" s="1">
        <f t="shared" si="118"/>
        <v>35</v>
      </c>
      <c r="AE124" s="1">
        <f>IF(D124="",0,IF(DG124&lt;&gt;DG123,IFERROR(INDEX(回合状态!$F$7:$F$17,MATCH(DG124,回合状态!$A$7:$A$17,0)),0),CI123))</f>
        <v>15</v>
      </c>
      <c r="AF124" s="1">
        <f t="shared" si="119"/>
        <v>0.875</v>
      </c>
      <c r="AG124" s="1">
        <f t="shared" si="120"/>
        <v>9</v>
      </c>
      <c r="AH124" s="1">
        <f t="shared" si="121"/>
        <v>9</v>
      </c>
      <c r="AI124" s="1">
        <f t="shared" si="122"/>
        <v>8</v>
      </c>
      <c r="AJ124" s="1">
        <f t="shared" si="123"/>
        <v>9</v>
      </c>
      <c r="AK124" s="1">
        <f t="shared" si="124"/>
        <v>8</v>
      </c>
      <c r="AL124" s="1">
        <f t="shared" si="125"/>
        <v>3</v>
      </c>
      <c r="AM124" s="1">
        <f t="shared" si="126"/>
        <v>30</v>
      </c>
      <c r="AN124" s="1">
        <f t="shared" si="127"/>
        <v>9</v>
      </c>
      <c r="AO124" s="1">
        <f t="shared" si="128"/>
        <v>11</v>
      </c>
      <c r="AP124" s="1">
        <f t="shared" si="129"/>
        <v>0.12</v>
      </c>
      <c r="AQ124" s="1">
        <f t="shared" si="130"/>
        <v>9</v>
      </c>
      <c r="AR124" s="1">
        <f t="shared" si="131"/>
        <v>0.3</v>
      </c>
      <c r="AS124" s="1">
        <f t="shared" si="132"/>
        <v>9</v>
      </c>
      <c r="AT124" s="1">
        <f t="shared" si="133"/>
        <v>0.3</v>
      </c>
      <c r="AU124" s="1">
        <f t="shared" si="134"/>
        <v>9</v>
      </c>
      <c r="AV124" s="1">
        <f>MIN(5,SUMIFS($EL$3:EL124,$B$3:B124,"&gt;="&amp;MAX(1,B124-2),$B$3:B124,"&lt;="&amp;B124)+EC124)</f>
        <v>5</v>
      </c>
      <c r="AW124" s="1">
        <f>MIN(6,SUMIFS($EY$3:EY123,$EX$3:EX123,"&gt;="&amp;MAX(1,EX124-Boss参数!$B$87+1),$EX$3:EX123,"&lt;="&amp;EX124))</f>
        <v>4</v>
      </c>
      <c r="AX124" s="1">
        <f>MIN(4,COUNTIFS($B$3:$B$123,"&gt;="&amp;MAX(1,$B124-2),$B$3:$B$123,"&lt;="&amp;$B124,$L$3:$L$123,"37_FOLLOW"))</f>
        <v>4</v>
      </c>
      <c r="AY124" s="1">
        <f>IF($E124="","",IF($E124="系统",0,ROUNDDOWN(INDEX(角色面板!$C$4:$C$7,MATCH($E124,角色面板!$A$4:$A$7,0))*(1+INDEX(角色面板!$C$11:$C$14,MATCH($E124,角色面板!$A$11:$A$14,0))+IF($E124="小瑞安侬",MAX(IF($B124&lt;=$AQ124,$AP124,0),IF(AND($L124="RHI_ATTACK",$EE124&gt;0),0.11+0.01*$G124,0)),0)+IF($E124="J",$AD124*Boss参数!$B$18,0))+IF(FD124&lt;=$AN124,MIN(Boss参数!$B$21,ROUNDDOWN(角色面板!$C$19*Boss参数!$B$20,0)),0)+IF(AND($B124&lt;=$AK124,$E124&lt;&gt;"小瑞安侬"),$DY124,0),0)))</f>
        <v>3505</v>
      </c>
      <c r="AZ124" s="1">
        <f>IF($E124="","",MAX(0,MIN(1,IFERROR(INDEX(角色面板!$G$18:$G$21,MATCH($E124,角色面板!$A$18:$A$21,0)),0)-FC124*Boss参数!$B$89-Boss参数!$E$4)))</f>
        <v>1</v>
      </c>
      <c r="BA124" s="1">
        <f>IF(E124="","",(IF($E124="","",IF($E124="红弩箭",Boss参数!$B$80,IF($E124="J",Boss参数!$B$81,IFERROR(INDEX(角色面板!$H$18:$H$21,MATCH($E124,角色面板!$A$18:$A$21,0)),0)))+IF($B124&lt;=$AI124,Boss参数!$B$13,0)+MIN(30,$AM124)*Boss参数!$B$17+IF(AND($L124="LILYA_ULT",$X124&gt;=6),1,0)+IF(AND($Y124=1,$L124="LILYA_INSIGHT"),IF(MOD($AA124+1,3)=0,Boss参数!$B$83,Boss参数!$B$82),IF(AND($Y124=1,$L124="LILYA_FINISH"),Boss参数!$B$84,0))))-FC124*Boss参数!$B$90)</f>
        <v>3.1050000000000004</v>
      </c>
      <c r="BB124" s="1">
        <f>IF($E124="","",IFERROR(INDEX(角色面板!$M$18:$M$21,MATCH($E124,角色面板!$A$18:$A$21,0)),0)+$AW124*Boss参数!$B$12+IF($B124&lt;=$AG124,$AF124,0)+$EI124+IF($L124="LILYA_DIVE",IF($U124=1,IF($G124=1,0.3,IF($G124=2,0.4,0.5)),IF($U124=2,IF($G124=1,0.6,IF($G124=2,0.8,1)),0)),0)+$R124+IF(AND($E124="J",OR($L124="J_COUNTER",$L124="J_HARD")),Boss参数!$B$79,0)+IF(AND(OR(L124="J_COUNTER",L124="J_HARD"),FA124&gt;=Boss参数!$B$59),FA124*Boss参数!$B$40,0))</f>
        <v>1.4950000000000001</v>
      </c>
      <c r="BC124" s="1">
        <f>IF($E124="","",IFERROR(INDEX(角色面板!$K$18:$K$21,MATCH($E124,角色面板!$A$18:$A$21,0)),0)+IF($B124&lt;=$AH124,Boss参数!$B$46,0)+IF($E124="红弩箭",IF($U124=1,0.6,IF($U124=2,1.2,0))+$W124*0.06,0))-DI124*Boss参数!$B$23</f>
        <v>1.5499999999999998</v>
      </c>
      <c r="BD124" s="1">
        <f>IF($E124="","",IFERROR(INDEX(角色面板!$L$18:$L$21,MATCH($E124,角色面板!$A$18:$A$21,0)),0)+IF($B124&lt;=$AH124,Boss参数!$B$46,0)+IF($E124="J",$AL124*Boss参数!$B$16,0)+IF($E124="红弩箭",$X124*0.025,0)+IF(AND($L124="LILYA_ULT",$X124&gt;=6),1,0))-DI124*Boss参数!$B$23</f>
        <v>0.4</v>
      </c>
      <c r="BE124" s="1">
        <f>IF($E124="","",IF($H124="洞知",IF($E124="红弩箭",$AO124*Boss参数!$B$15,0)+$AX124*Boss参数!$B$14,0))</f>
        <v>0.82</v>
      </c>
      <c r="BF124" s="1">
        <f t="shared" si="71"/>
        <v>0</v>
      </c>
      <c r="BG124" s="1">
        <f>IF($D124="",0,IF(AND($L124&lt;&gt;"LILYA_DIVE",$L124&lt;&gt;"LILYA_ULT",$L124&lt;&gt;"LILYA_INSIGHT",$L124&lt;&gt;"LILYA_FINISH",$L124&lt;&gt;"37_FOLLOW",$L124&lt;&gt;"RHI_ATTACK",$L124&lt;&gt;"RHI_BERRY",$L124&lt;&gt;"J_COUNTER",$L124&lt;&gt;"J_ULT"),$J124,0)+IF($L124="LILYA_DIVE",$J124+IF($U124=1,IF($G124=1,6,IF($G124=2,12,18)),IF($U124=2,IF($G124=1,12,IF($G124=2,24,36)),0)),0)+IF($L124="LILYA_ULT",$J124+IF($X124&gt;=6,18,0),0)+IF($L124="LILYA_INSIGHT",IF($Y124=1,IF(MOD($AA124+1,3)=0,32,15),0),0)+IF($L124="LILYA_FINISH",IF($Y124=1,50+2.5*$Z124,0),0)+IF($L124="37_FOLLOW",$J124,0)+IF($L124="RHI_ATTACK",$J124*IF($B124&lt;=$AJ124,2,1),0)+IF($L124="RHI_BERRY",15+1.5*$AV124,0)+IF($L124="J_COUNTER",$J124+$AD124*Boss参数!$B$39,0)+IF($L124="J_ULT",$J124+Boss参数!$B$45*MAX(0,$AE124+$AD124-Boss参数!$I$4),0)+$S124)</f>
        <v>32</v>
      </c>
      <c r="BH124" s="1">
        <f t="shared" si="72"/>
        <v>0</v>
      </c>
      <c r="BI124" s="1">
        <f>IF(E124="","",IF(DT124=1,1+Boss参数!$B$8+AV124*Boss参数!$B$19,1))</f>
        <v>1.5</v>
      </c>
      <c r="BJ124" s="1">
        <f>IF($I124="现实",Boss参数!$C$4,IF($I124="精神",Boss参数!$D$4,0))</f>
        <v>1200</v>
      </c>
      <c r="BK124" s="1">
        <f>IF($E124="","",MAX($AY124*Boss参数!$B$9,$AY124-$BJ124*(1-$BF124)))</f>
        <v>2305</v>
      </c>
      <c r="BL124" s="1">
        <f>MAX(0,Boss参数!$F$4+IF(DT124=0,Boss参数!$B$27,0)-EJ124)</f>
        <v>0.10000000000000003</v>
      </c>
      <c r="BM124" s="1">
        <f>Boss参数!$G$4+DU124-IF(Y124=1,Boss参数!$B$11,0)</f>
        <v>0.35</v>
      </c>
      <c r="BN124" s="1">
        <f>IF($E124="","",MAX(Boss参数!$B$10,1+IFERROR(INDEX(角色面板!$I$18:$I$21,MATCH($E124,角色面板!$A$18:$A$21,0)),0)+$BB124+Boss参数!$H$4-$BM124))</f>
        <v>2.2450000000000001</v>
      </c>
      <c r="BO124" s="1">
        <f>IF(E124="","",IF(OR(L124="J_COUNTER",L124="J_HARD"),MAX(0,1+INDEX(角色面板!$K$18:$K$21,MATCH(E124,角色面板!$A$18:$A$21,0))-DI124*Boss参数!$B$23+IF(OR(Boss参数!$B$43=1,L124="J_HARD"),IF(B124&lt;=AH124,Boss参数!$B$46,0),0)),MAX(0,IF(OR(H124="术法",L124="RHI_BERRY",AND(L124="37_FOLLOW",Boss参数!$B$31=1)),1+BC124,IF(H124="仪式",1+BD124,IF(H124="洞知",EK124,1))))))</f>
        <v>2.2199999999999998</v>
      </c>
      <c r="BP124" s="1">
        <f t="shared" si="73"/>
        <v>3.0050000000000003</v>
      </c>
      <c r="BQ124" s="1">
        <f t="shared" si="74"/>
        <v>551418.696</v>
      </c>
      <c r="BR124" s="1">
        <f t="shared" si="75"/>
        <v>1657013.1814800003</v>
      </c>
      <c r="BS124" s="1">
        <f>IF(BH124=0,0,ROUNDDOWN(AY124*BH124,0)*DV124*IF(Boss参数!$B$29=1,BN124,1)*IF(Boss参数!$B$33=1,BO124,1)*IF(Boss参数!$B$76=1,1-ES124,1))</f>
        <v>0</v>
      </c>
      <c r="BT124" s="1">
        <f t="shared" si="76"/>
        <v>0</v>
      </c>
      <c r="BU124" s="1">
        <f>IF(D124="",0,MIN(IF(Boss参数!$B$77=1,Boss参数!$B$63*Boss参数!$B$62,Boss参数!$B$61*Boss参数!$B$62),DW124+ROUNDDOWN(BS124,0)+ROUNDDOWN(DW124*Q124,0)))</f>
        <v>308793</v>
      </c>
      <c r="BV124" s="1">
        <f>IF(D124="",0,MIN(IF(Boss参数!$B$77=1,Boss参数!$B$63*Boss参数!$B$62,Boss参数!$B$61*Boss参数!$B$62),DX124+ROUNDDOWN(BT124,0)+ROUNDDOWN(DX124*Q124,0)))</f>
        <v>927927</v>
      </c>
      <c r="BW124" s="1">
        <f t="shared" si="77"/>
        <v>927927</v>
      </c>
      <c r="BX124" s="1" t="str">
        <f t="shared" si="78"/>
        <v/>
      </c>
      <c r="BY124" s="1">
        <f t="shared" si="79"/>
        <v>2</v>
      </c>
      <c r="BZ124" s="1">
        <f t="shared" si="80"/>
        <v>1</v>
      </c>
      <c r="CA124" s="1">
        <f>MIN(10,W124+IF(AND(L124="LILYA_COBRA",COUNTIF($L$3:L124,"LILYA_COBRA")=1),5,0)+IF(AND(L124="LILYA_DIVE",U124=1,COUNTIFS($DG$3:DG124,DG124,$L$3:L124,"LILYA_DIVE")=1),2,0)+IF(AND(FE124=1,U124=1),3,0))</f>
        <v>10</v>
      </c>
      <c r="CB124" s="1">
        <f>MIN(20,MAX(0,X124+IF(L124="LILYA_COBRA",IF(COUNTIF($L$3:L124,"LILYA_COBRA")=1,6,IF(U124=1,MAX(1,G124),IF(U124=2,2*MAX(1,G124),0))),0)+IF(AND(Y124=1,E124="红弩箭",L124&lt;&gt;"ENTER_INSIGHT"),1,0)-IF(AND(L124="LILYA_ULT",X124&gt;=6),6,0)))</f>
        <v>11</v>
      </c>
      <c r="CC124" s="1">
        <f t="shared" si="81"/>
        <v>1</v>
      </c>
      <c r="CD124" s="1">
        <f t="shared" si="82"/>
        <v>12</v>
      </c>
      <c r="CE124" s="1">
        <f t="shared" si="83"/>
        <v>9</v>
      </c>
      <c r="CF124" s="1">
        <f t="shared" si="84"/>
        <v>10</v>
      </c>
      <c r="CG124" s="1">
        <f t="shared" si="85"/>
        <v>1</v>
      </c>
      <c r="CH124" s="1">
        <f>MIN(35,AD124+IF(L124="J_HARD",6,0)+IF(L124="J_COUNTER",Boss参数!$B$30,0))</f>
        <v>35</v>
      </c>
      <c r="CI124" s="1">
        <f>MIN(Boss参数!$I$4,AE124+IF(L124="J_HARD",6,0)+IF(L124="J_ULT",AD124,0)+IF(L124="J_COUNTER",Boss参数!$B$30,0))</f>
        <v>15</v>
      </c>
      <c r="CJ124" s="1">
        <f>IF(L124="J_ULT",AD124*Boss参数!$B$41,IF(B124&lt;=AG124,AF124,0))</f>
        <v>0.875</v>
      </c>
      <c r="CK124" s="1">
        <f t="shared" si="86"/>
        <v>9</v>
      </c>
      <c r="CL124" s="1">
        <f t="shared" si="87"/>
        <v>9</v>
      </c>
      <c r="CM124" s="1">
        <f t="shared" si="88"/>
        <v>8</v>
      </c>
      <c r="CN124" s="1">
        <f t="shared" si="89"/>
        <v>9</v>
      </c>
      <c r="CO124" s="1">
        <f t="shared" si="90"/>
        <v>8</v>
      </c>
      <c r="CP124" s="1">
        <f t="shared" si="91"/>
        <v>3</v>
      </c>
      <c r="CQ124" s="1">
        <f t="shared" si="92"/>
        <v>30</v>
      </c>
      <c r="CR124" s="1">
        <f t="shared" si="93"/>
        <v>9</v>
      </c>
      <c r="CS124" s="1">
        <f t="shared" si="94"/>
        <v>12</v>
      </c>
      <c r="CT124" s="1">
        <f t="shared" si="95"/>
        <v>0.12</v>
      </c>
      <c r="CU124" s="1">
        <f t="shared" si="96"/>
        <v>9</v>
      </c>
      <c r="CV124" s="1">
        <f t="shared" si="97"/>
        <v>0.3</v>
      </c>
      <c r="CW124" s="1">
        <f t="shared" si="98"/>
        <v>9</v>
      </c>
      <c r="CX124" s="1">
        <f t="shared" si="99"/>
        <v>0.3</v>
      </c>
      <c r="CY124" s="1">
        <f t="shared" si="100"/>
        <v>9</v>
      </c>
      <c r="CZ124" s="1"/>
      <c r="DA124" s="1"/>
      <c r="DB124" s="1"/>
      <c r="DC124" s="1"/>
      <c r="DD124" s="1"/>
      <c r="DE124" s="1"/>
      <c r="DF124" s="1"/>
      <c r="DG124" s="1" t="str">
        <f>IF(D124="","",行动模拟!B130)</f>
        <v>洞知2</v>
      </c>
      <c r="DH124" s="1" t="str">
        <f>IF(L124="END_TURN","回合结束",IF(D124="","",IF(INDEX(回合状态!$C$7:$C$17,MATCH(DG124,回合状态!$A$7:$A$17,0))="洞穿","洞穿",IF(OR(L124="J_COUNTER",L124="BOSS_ACTION",L124="BOSS_CONSERVATIVE"),"敌方",IF(AND(L124="37_FOLLOW",DG124=DG123,DH123="敌方"),"敌方",IF(INDEX(回合状态!$C$7:$C$17,MATCH(DG124,回合状态!$A$7:$A$17,0))="普通","出牌",INDEX(回合状态!$C$7:$C$17,MATCH(DG124,回合状态!$A$7:$A$17,0))))))))</f>
        <v>洞穿</v>
      </c>
      <c r="DI124" s="1">
        <f t="shared" si="101"/>
        <v>1</v>
      </c>
      <c r="DJ124" s="1">
        <f>IF(D124="",0,MIN(Boss参数!$B$25,IF(OR(AND(DH124="敌方",OR(DH123&lt;&gt;"敌方",DG124&lt;&gt;DG123)),AND(L124="END_TURN",DH124&lt;&gt;"洞穿"),AND(DG124&lt;&gt;DG123,DH123&lt;&gt;"洞穿",L123&lt;&gt;"END_TURN",COUNTIFS($DG$3:DG123,DG123,$DH$3:DH123,"敌方")=0)),EW124,DN123)))</f>
        <v>1</v>
      </c>
      <c r="DK124" s="1">
        <f>IF(D124="",0,MIN(Boss参数!$B$25,IF(OR(AND(DH124="敌方",OR(DH123&lt;&gt;"敌方",DG124&lt;&gt;DG123)),AND(L124="END_TURN",DH124&lt;&gt;"洞穿"),AND(DG124&lt;&gt;DG123,DH123&lt;&gt;"洞穿",L123&lt;&gt;"END_TURN",COUNTIFS($DG$3:DG123,DG123,$DH$3:DH123,"敌方")=0)),EW124,DO123)))</f>
        <v>3</v>
      </c>
      <c r="DL124" s="1">
        <f>IF(D124="",0,MIN(Boss参数!$B$25,IF(OR(AND(DH124="敌方",OR(DH123&lt;&gt;"敌方",DG124&lt;&gt;DG123)),AND(L124="END_TURN",DH124&lt;&gt;"洞穿"),AND(DG124&lt;&gt;DG123,DH123&lt;&gt;"洞穿",L123&lt;&gt;"END_TURN",COUNTIFS($DG$3:DG123,DG123,$DH$3:DH123,"敌方")=0)),EW124,DP123)))</f>
        <v>5</v>
      </c>
      <c r="DM124" s="1">
        <f>IF(D124="",0,MIN(Boss参数!$B$25,IF(OR(AND(DH124="敌方",OR(DH123&lt;&gt;"敌方",DG124&lt;&gt;DG123)),AND(L124="END_TURN",DH124&lt;&gt;"洞穿"),AND(DG124&lt;&gt;DG123,DH123&lt;&gt;"洞穿",L123&lt;&gt;"END_TURN",COUNTIFS($DG$3:DG123,DG123,$DH$3:DH123,"敌方")=0)),EW124,DQ123)))</f>
        <v>5</v>
      </c>
      <c r="DN124" s="1">
        <f>MAX(0,MIN(Boss参数!$B$25,DJ124+DR124)-IF(E124="红弩箭",2*DR124,0))</f>
        <v>0</v>
      </c>
      <c r="DO124" s="1">
        <f>MAX(0,MIN(Boss参数!$B$25,DK124+DR124)-IF(E124="37",2*DR124,0))</f>
        <v>4</v>
      </c>
      <c r="DP124" s="1">
        <f>MAX(0,MIN(Boss参数!$B$25,DL124+DR124)-IF(E124="小瑞安侬",2*DR124,0))</f>
        <v>5</v>
      </c>
      <c r="DQ124" s="1">
        <f>MAX(0,MIN(Boss参数!$B$25,DM124+DR124)-IF(E124="J",2*DR124,0))</f>
        <v>5</v>
      </c>
      <c r="DR124" s="1">
        <f t="shared" si="102"/>
        <v>1</v>
      </c>
      <c r="DS124" s="1">
        <f t="shared" si="103"/>
        <v>1</v>
      </c>
      <c r="DT124" s="1">
        <f>IF(OR(E124="",E124="系统"),0,IF(OR(AND(DS124=1,Boss参数!$B$32=1),L124="RHI_BERRY",OR(AND(INDEX(角色面板!$B$18:$B$21,MATCH(E124,角色面板!$A$18:$A$21,0))="星",Boss参数!$B$4="岩"),AND(INDEX(角色面板!$B$18:$B$21,MATCH(E124,角色面板!$A$18:$A$21,0))="岩",Boss参数!$B$4="兽"),AND(INDEX(角色面板!$B$18:$B$21,MATCH(E124,角色面板!$A$18:$A$21,0))="兽",Boss参数!$B$4="木"),AND(INDEX(角色面板!$B$18:$B$21,MATCH(E124,角色面板!$A$18:$A$21,0))="木",Boss参数!$B$4="星"),AND(INDEX(角色面板!$B$18:$B$21,MATCH(E124,角色面板!$A$18:$A$21,0))="智",Boss参数!$B$4="灵"),AND(INDEX(角色面板!$B$18:$B$21,MATCH(E124,角色面板!$A$18:$A$21,0))="灵",Boss参数!$B$4="智"))),1,0))</f>
        <v>1</v>
      </c>
      <c r="DU124" s="1">
        <f>IF(D124="",0,INDEX(回合状态!$E$7:$E$17,MATCH(DG124,回合状态!$A$7:$A$17,0))+IF(AND(DH124="敌方",OR(INDEX(回合状态!$C$7:$C$17,MATCH(DG124,回合状态!$A$7:$A$17,0))="普通",INDEX(回合状态!$C$7:$C$17,MATCH(DG124,回合状态!$A$7:$A$17,0))="额外")),0.05,0))</f>
        <v>0.35</v>
      </c>
      <c r="DV124" s="1">
        <f>MAX(Boss参数!$B$28,1+IF(AND(E124="37",AC124&gt;0,BH124&gt;0),Boss参数!$B$42,0)-DI124*Boss参数!$B$24+EA124-ER124)</f>
        <v>0</v>
      </c>
      <c r="DW124" s="1">
        <f>MIN(IF(Boss参数!$B$77=1,Boss参数!$B$63*Boss参数!$B$62,Boss参数!$B$61*Boss参数!$B$62),ROUNDDOWN(BQ124*(1-ES124),0))</f>
        <v>220567</v>
      </c>
      <c r="DX124" s="1">
        <f>MIN(IF(Boss参数!$B$77=1,Boss参数!$B$63*Boss参数!$B$62,Boss参数!$B$61*Boss参数!$B$62),ROUNDDOWN(BR124*(1-ES124),0))</f>
        <v>662805</v>
      </c>
      <c r="DY124" s="1">
        <f t="shared" si="135"/>
        <v>250</v>
      </c>
      <c r="DZ124" s="1">
        <f>IF(L124="RHI_ULT",MIN(Boss参数!$B$48,ROUNDDOWN(AY124*Boss参数!$B$47,0)),DY124)</f>
        <v>250</v>
      </c>
      <c r="EA124" s="1">
        <v>0</v>
      </c>
      <c r="EB124" s="1">
        <f t="shared" si="104"/>
        <v>0</v>
      </c>
      <c r="EC124" s="1">
        <f>SUMIFS($EB$3:EB124,$B$3:B124,"&gt;="&amp;MAX(1,B124-2),$B$3:B124,"&lt;="&amp;B124)*Boss参数!$B$51</f>
        <v>12</v>
      </c>
      <c r="ED124" s="1">
        <f>IF(D124="",EG123,IF(AND(DG124&lt;&gt;DG123,DH124&lt;&gt;"洞穿"),MIN(Boss参数!$B$55,EG123+2),EG123))</f>
        <v>0</v>
      </c>
      <c r="EE124" s="1">
        <f t="shared" si="105"/>
        <v>0</v>
      </c>
      <c r="EF124" s="1">
        <f>IF(AND(OR(L124="END_TURN",AND(DH124="敌方",OR(DH123&lt;&gt;"敌方",DG124&lt;&gt;DG123))),SUMIFS($EF$3:EF123,$DG$3:DG123,DG124)=0),MIN(1,MAX(0,ED124-EE124)),0)</f>
        <v>0</v>
      </c>
      <c r="EG124" s="1">
        <f t="shared" si="106"/>
        <v>0</v>
      </c>
      <c r="EH124" s="1">
        <f>Boss参数!$B$53-IF(Y124=1,Boss参数!$B$54,0)</f>
        <v>-0.4</v>
      </c>
      <c r="EI124" s="1">
        <f t="shared" si="107"/>
        <v>0.3</v>
      </c>
      <c r="EJ124" s="1">
        <f t="shared" si="108"/>
        <v>0.3</v>
      </c>
      <c r="EK124" s="1">
        <f t="shared" si="109"/>
        <v>2.2199999999999998</v>
      </c>
      <c r="EL124" s="1">
        <f t="shared" si="136"/>
        <v>0</v>
      </c>
      <c r="EM124" s="1">
        <f>IF(AND(DG124&lt;&gt;DG123,DH124="洞穿"),0,IF(L124="ENTER_INSIGHT",Boss参数!$B$57,EO123))</f>
        <v>1</v>
      </c>
      <c r="EN124" s="1">
        <f>IF(AND(Y124=1,H124="洞知",EM124&gt;0),Boss参数!$B$56,0)</f>
        <v>0.4</v>
      </c>
      <c r="EO124" s="1">
        <f t="shared" si="110"/>
        <v>0</v>
      </c>
      <c r="EP124" s="1">
        <f t="shared" si="137"/>
        <v>18917544</v>
      </c>
      <c r="EQ124" s="1">
        <f>ROUNDDOWN(EP124/Boss参数!$B$62,0)</f>
        <v>189</v>
      </c>
      <c r="ER124" s="1">
        <f>IF(EQ124&gt;=Boss参数!$B$66,Boss参数!$B$69,IF(EQ124&gt;=Boss参数!$B$65,Boss参数!$B$68,IF(EQ124&gt;=Boss参数!$B$64,Boss参数!$B$67,0)))</f>
        <v>0.9</v>
      </c>
      <c r="ES124" s="1">
        <f>MIN(1,IF(EQ124&gt;=Boss参数!$B$66,Boss参数!$B$72+ROUNDDOWN((EQ124-Boss参数!$B$66)/Boss参数!$B$73,0)*Boss参数!$B$74,IF(EQ124&gt;=Boss参数!$B$65,Boss参数!$B$71,IF(EQ124&gt;=Boss参数!$B$64,Boss参数!$B$70,0))))</f>
        <v>0.6</v>
      </c>
      <c r="ET124" s="1">
        <f>MIN(Boss参数!$B$61*Boss参数!$B$62,EP124+IF(AND(Boss参数!$B$60=1,ISNUMBER(验证表!H130)),验证表!H130,EU124))</f>
        <v>19845471</v>
      </c>
      <c r="EU124" s="1">
        <f>IF(D124="",0,IF(验证表!G130="是",BV124,IF(验证表!G130="否",BU124,BW124)))</f>
        <v>927927</v>
      </c>
      <c r="EV124" s="1">
        <f>IF(EQ124&gt;=Boss参数!$B$66,2,IF(EQ124&gt;=Boss参数!$B$65,1,0))</f>
        <v>2</v>
      </c>
      <c r="EW124" s="1">
        <f t="shared" si="111"/>
        <v>3</v>
      </c>
      <c r="EX124" s="1">
        <f>IF(D124="",0,INDEX(回合状态!$D$7:$D$17,MATCH(DG124,回合状态!$A$7:$A$17,0)))</f>
        <v>8</v>
      </c>
      <c r="EY124" s="1">
        <f>IF(OR(L124="RHI_ATTACK",L124="RHI_BUFF"),1,IF(L124="RHI_ULT",Boss参数!$B$52,0))</f>
        <v>0</v>
      </c>
      <c r="EZ124" s="1">
        <f>MIN(6,SUMIFS($EY$3:EY124,$EX$3:EX124,"&gt;="&amp;MAX(1,EX124-Boss参数!$B$87+1),$EX$3:EX124,"&lt;="&amp;EX124))</f>
        <v>4</v>
      </c>
      <c r="FA124" s="1">
        <f t="shared" si="138"/>
        <v>35</v>
      </c>
      <c r="FB124" s="17">
        <f>IF(L124="BOSS_CONSERVATIVE",B124+Boss参数!$B$91,FB123)</f>
        <v>7</v>
      </c>
      <c r="FC124" s="17">
        <f t="shared" si="139"/>
        <v>0</v>
      </c>
      <c r="FD124" s="17">
        <f>IF(D124="",FD123,FD123+IF(AND(DG124&lt;&gt;DG123,INDEX(回合状态!$C$7:$C$17,MATCH(DG124,回合状态!$A$7:$A$17,0))&lt;&gt;"洞穿"),1,0))</f>
        <v>8</v>
      </c>
      <c r="FE124" s="17">
        <f>IF(D124="",0,IF(AND(OR(L124="END_TURN",DH124="敌方"),INDEX(回合状态!$C$7:$C$17,MATCH(DG124,回合状态!$A$7:$A$17,0))&lt;&gt;"洞穿",SUMIFS($FE$3:FE123,$DG$3:DG123,DG124)=0),1,0))</f>
        <v>0</v>
      </c>
    </row>
    <row r="125" spans="1:161" ht="84.95" customHeight="1">
      <c r="A125" s="1">
        <f>行动模拟!A131</f>
        <v>123</v>
      </c>
      <c r="B125" s="1">
        <f>IF(D125="",0,INDEX(回合状态!$B$7:$B$17,MATCH(DG125,回合状态!$A$7:$A$17,0)))</f>
        <v>7</v>
      </c>
      <c r="C125" s="1">
        <f>行动模拟!C131</f>
        <v>13</v>
      </c>
      <c r="D125" s="1" t="str">
        <f>IF(行动模拟!D131="","",行动模拟!D131)</f>
        <v>37｜洞知咒语</v>
      </c>
      <c r="E125" s="1" t="str">
        <f>IF($D125="","",IFERROR(INDEX(技能数据库!$B$4:$B$38,MATCH($D125,技能数据库!$A$4:$A$38,0)),""))</f>
        <v>37</v>
      </c>
      <c r="F125" s="1" t="str">
        <f>IF($D125="","",IFERROR(INDEX(技能数据库!$C$4:$C$38,MATCH($D125,技能数据库!$A$4:$A$38,0)),""))</f>
        <v>洞知咒语</v>
      </c>
      <c r="G125" s="1">
        <f>IF($D125="","",IFERROR(INDEX(技能数据库!$D$4:$D$38,MATCH($D125,技能数据库!$A$4:$A$38,0)),""))</f>
        <v>0</v>
      </c>
      <c r="H125" s="1" t="str">
        <f>IF($D125="","",IFERROR(INDEX(技能数据库!$E$4:$E$38,MATCH($D125,技能数据库!$A$4:$A$38,0)),""))</f>
        <v>洞知</v>
      </c>
      <c r="I125" s="1" t="str">
        <f>IF($D125="","",IFERROR(INDEX(技能数据库!$F$4:$F$38,MATCH($D125,技能数据库!$A$4:$A$38,0)),""))</f>
        <v>精神</v>
      </c>
      <c r="J125" s="1">
        <f>IF($D125="","",IFERROR(INDEX(技能数据库!$G$4:$G$38,MATCH($D125,技能数据库!$A$4:$A$38,0)),""))</f>
        <v>8</v>
      </c>
      <c r="K125" s="1">
        <f>IF($D125="","",IFERROR(INDEX(技能数据库!$H$4:$H$38,MATCH($D125,技能数据库!$A$4:$A$38,0)),""))</f>
        <v>0</v>
      </c>
      <c r="L125" s="1" t="str">
        <f>IF($D125="","",IFERROR(INDEX(技能数据库!$I$4:$I$38,MATCH($D125,技能数据库!$A$4:$A$38,0)),""))</f>
        <v>37_INSIGHT</v>
      </c>
      <c r="M125" s="1">
        <v>1</v>
      </c>
      <c r="N125" s="1"/>
      <c r="O125" s="1"/>
      <c r="P125" s="1"/>
      <c r="Q125" s="1">
        <f t="shared" si="70"/>
        <v>0</v>
      </c>
      <c r="R125" s="1">
        <v>0</v>
      </c>
      <c r="S125" s="1">
        <v>0</v>
      </c>
      <c r="T125" s="1">
        <f>行动模拟!I131</f>
        <v>0</v>
      </c>
      <c r="U125" s="1">
        <f>IF(FD125&lt;&gt;FD124,IF(BY124=1,IF(MIN(10,CA124+IF(AND(DG125&lt;&gt;DG124,DH124&lt;&gt;"洞穿",SUMIFS($FE$3:FE124,$DG$3:DG124,DG124)=0,BY124=1),3,0))&gt;=10,2,1),IF(BY124=2,IF(BZ124&lt;=1,0,2),0)),BY124)</f>
        <v>2</v>
      </c>
      <c r="V125" s="1">
        <f>IF(FD125&lt;&gt;FD124,IF(BY124=1,IF(MIN(10,CA124+IF(AND(DG125&lt;&gt;DG124,DH124&lt;&gt;"洞穿",SUMIFS($FE$3:FE124,$DG$3:DG124,DG124)=0,BY124=1),3,0))&gt;=10,2,0),IF(BY124=2,MAX(0,BZ124-1),0)),BZ124)</f>
        <v>1</v>
      </c>
      <c r="W125" s="1">
        <f>IF(AND(FD125&lt;&gt;FD124,BY124=2,BZ124&lt;=1),0,MIN(10,CA124+IF(AND(DG125&lt;&gt;DG124,DH124&lt;&gt;"洞穿",SUMIFS($FE$3:FE124,$DG$3:DG124,DG124)=0,BY124=1),3,0)))</f>
        <v>10</v>
      </c>
      <c r="X125" s="1">
        <f t="shared" si="112"/>
        <v>11</v>
      </c>
      <c r="Y125" s="1">
        <f t="shared" si="113"/>
        <v>1</v>
      </c>
      <c r="Z125" s="1">
        <f t="shared" si="114"/>
        <v>12</v>
      </c>
      <c r="AA125" s="1">
        <f t="shared" si="115"/>
        <v>9</v>
      </c>
      <c r="AB125" s="1">
        <f t="shared" si="116"/>
        <v>10</v>
      </c>
      <c r="AC125" s="1">
        <f t="shared" si="117"/>
        <v>1</v>
      </c>
      <c r="AD125" s="1">
        <f t="shared" si="118"/>
        <v>35</v>
      </c>
      <c r="AE125" s="1">
        <f>IF(D125="",0,IF(DG125&lt;&gt;DG124,IFERROR(INDEX(回合状态!$F$7:$F$17,MATCH(DG125,回合状态!$A$7:$A$17,0)),0),CI124))</f>
        <v>15</v>
      </c>
      <c r="AF125" s="1">
        <f t="shared" si="119"/>
        <v>0.875</v>
      </c>
      <c r="AG125" s="1">
        <f t="shared" si="120"/>
        <v>9</v>
      </c>
      <c r="AH125" s="1">
        <f t="shared" si="121"/>
        <v>9</v>
      </c>
      <c r="AI125" s="1">
        <f t="shared" si="122"/>
        <v>8</v>
      </c>
      <c r="AJ125" s="1">
        <f t="shared" si="123"/>
        <v>9</v>
      </c>
      <c r="AK125" s="1">
        <f t="shared" si="124"/>
        <v>8</v>
      </c>
      <c r="AL125" s="1">
        <f t="shared" si="125"/>
        <v>3</v>
      </c>
      <c r="AM125" s="1">
        <f t="shared" si="126"/>
        <v>30</v>
      </c>
      <c r="AN125" s="1">
        <f t="shared" si="127"/>
        <v>9</v>
      </c>
      <c r="AO125" s="1">
        <f t="shared" si="128"/>
        <v>12</v>
      </c>
      <c r="AP125" s="1">
        <f t="shared" si="129"/>
        <v>0.12</v>
      </c>
      <c r="AQ125" s="1">
        <f t="shared" si="130"/>
        <v>9</v>
      </c>
      <c r="AR125" s="1">
        <f t="shared" si="131"/>
        <v>0.3</v>
      </c>
      <c r="AS125" s="1">
        <f t="shared" si="132"/>
        <v>9</v>
      </c>
      <c r="AT125" s="1">
        <f t="shared" si="133"/>
        <v>0.3</v>
      </c>
      <c r="AU125" s="1">
        <f t="shared" si="134"/>
        <v>9</v>
      </c>
      <c r="AV125" s="1">
        <f>MIN(5,SUMIFS($EL$3:EL125,$B$3:B125,"&gt;="&amp;MAX(1,B125-2),$B$3:B125,"&lt;="&amp;B125)+EC125)</f>
        <v>5</v>
      </c>
      <c r="AW125" s="1">
        <f>MIN(6,SUMIFS($EY$3:EY124,$EX$3:EX124,"&gt;="&amp;MAX(1,EX125-Boss参数!$B$87+1),$EX$3:EX124,"&lt;="&amp;EX125))</f>
        <v>4</v>
      </c>
      <c r="AX125" s="1">
        <f>MIN(4,COUNTIFS($B$3:$B$124,"&gt;="&amp;MAX(1,$B125-2),$B$3:$B$124,"&lt;="&amp;$B125,$L$3:$L$124,"37_FOLLOW"))</f>
        <v>4</v>
      </c>
      <c r="AY125" s="1">
        <f>IF($E125="","",IF($E125="系统",0,ROUNDDOWN(INDEX(角色面板!$C$4:$C$7,MATCH($E125,角色面板!$A$4:$A$7,0))*(1+INDEX(角色面板!$C$11:$C$14,MATCH($E125,角色面板!$A$11:$A$14,0))+IF($E125="小瑞安侬",MAX(IF($B125&lt;=$AQ125,$AP125,0),IF(AND($L125="RHI_ATTACK",$EE125&gt;0),0.11+0.01*$G125,0)),0)+IF($E125="J",$AD125*Boss参数!$B$18,0))+IF(FD125&lt;=$AN125,MIN(Boss参数!$B$21,ROUNDDOWN(角色面板!$C$19*Boss参数!$B$20,0)),0)+IF(AND($B125&lt;=$AK125,$E125&lt;&gt;"小瑞安侬"),$DY125,0),0)))</f>
        <v>3517</v>
      </c>
      <c r="AZ125" s="1">
        <f>IF($E125="","",MAX(0,MIN(1,IFERROR(INDEX(角色面板!$G$18:$G$21,MATCH($E125,角色面板!$A$18:$A$21,0)),0)-FC125*Boss参数!$B$89-Boss参数!$E$4)))</f>
        <v>0.76</v>
      </c>
      <c r="BA125" s="1">
        <f>IF(E125="","",(IF($E125="","",IF($E125="红弩箭",Boss参数!$B$80,IF($E125="J",Boss参数!$B$81,IFERROR(INDEX(角色面板!$H$18:$H$21,MATCH($E125,角色面板!$A$18:$A$21,0)),0)))+IF($B125&lt;=$AI125,Boss参数!$B$13,0)+MIN(30,$AM125)*Boss参数!$B$17+IF(AND($L125="LILYA_ULT",$X125&gt;=6),1,0)+IF(AND($Y125=1,$L125="LILYA_INSIGHT"),IF(MOD($AA125+1,3)=0,Boss参数!$B$83,Boss参数!$B$82),IF(AND($Y125=1,$L125="LILYA_FINISH"),Boss参数!$B$84,0))))-FC125*Boss参数!$B$90)</f>
        <v>2.4780000000000002</v>
      </c>
      <c r="BB125" s="1">
        <f>IF($E125="","",IFERROR(INDEX(角色面板!$M$18:$M$21,MATCH($E125,角色面板!$A$18:$A$21,0)),0)+$AW125*Boss参数!$B$12+IF($B125&lt;=$AG125,$AF125,0)+$EI125+IF($L125="LILYA_DIVE",IF($U125=1,IF($G125=1,0.3,IF($G125=2,0.4,0.5)),IF($U125=2,IF($G125=1,0.6,IF($G125=2,0.8,1)),0)),0)+$R125+IF(AND($E125="J",OR($L125="J_COUNTER",$L125="J_HARD")),Boss参数!$B$79,0)+IF(AND(OR(L125="J_COUNTER",L125="J_HARD"),FA125&gt;=Boss参数!$B$59),FA125*Boss参数!$B$40,0))</f>
        <v>1.2549999999999999</v>
      </c>
      <c r="BC125" s="1">
        <f>IF($E125="","",IFERROR(INDEX(角色面板!$K$18:$K$21,MATCH($E125,角色面板!$A$18:$A$21,0)),0)+IF($B125&lt;=$AH125,Boss参数!$B$46,0)+IF($E125="红弩箭",IF($U125=1,0.6,IF($U125=2,1.2,0))+$W125*0.06,0))-DI125*Boss参数!$B$23</f>
        <v>-0.7</v>
      </c>
      <c r="BD125" s="1">
        <f>IF($E125="","",IFERROR(INDEX(角色面板!$L$18:$L$21,MATCH($E125,角色面板!$A$18:$A$21,0)),0)+IF($B125&lt;=$AH125,Boss参数!$B$46,0)+IF($E125="J",$AL125*Boss参数!$B$16,0)+IF($E125="红弩箭",$X125*0.025,0)+IF(AND($L125="LILYA_ULT",$X125&gt;=6),1,0))-DI125*Boss参数!$B$23</f>
        <v>-0.3</v>
      </c>
      <c r="BE125" s="1">
        <f>IF($E125="","",IF($H125="洞知",IF($E125="红弩箭",$AO125*Boss参数!$B$15,0)+$AX125*Boss参数!$B$14,0))</f>
        <v>0.16</v>
      </c>
      <c r="BF125" s="1">
        <f t="shared" si="71"/>
        <v>0</v>
      </c>
      <c r="BG125" s="1">
        <f>IF($D125="",0,IF(AND($L125&lt;&gt;"LILYA_DIVE",$L125&lt;&gt;"LILYA_ULT",$L125&lt;&gt;"LILYA_INSIGHT",$L125&lt;&gt;"LILYA_FINISH",$L125&lt;&gt;"37_FOLLOW",$L125&lt;&gt;"RHI_ATTACK",$L125&lt;&gt;"RHI_BERRY",$L125&lt;&gt;"J_COUNTER",$L125&lt;&gt;"J_ULT"),$J125,0)+IF($L125="LILYA_DIVE",$J125+IF($U125=1,IF($G125=1,6,IF($G125=2,12,18)),IF($U125=2,IF($G125=1,12,IF($G125=2,24,36)),0)),0)+IF($L125="LILYA_ULT",$J125+IF($X125&gt;=6,18,0),0)+IF($L125="LILYA_INSIGHT",IF($Y125=1,IF(MOD($AA125+1,3)=0,32,15),0),0)+IF($L125="LILYA_FINISH",IF($Y125=1,50+2.5*$Z125,0),0)+IF($L125="37_FOLLOW",$J125,0)+IF($L125="RHI_ATTACK",$J125*IF($B125&lt;=$AJ125,2,1),0)+IF($L125="RHI_BERRY",15+1.5*$AV125,0)+IF($L125="J_COUNTER",$J125+$AD125*Boss参数!$B$39,0)+IF($L125="J_ULT",$J125+Boss参数!$B$45*MAX(0,$AE125+$AD125-Boss参数!$I$4),0)+$S125)</f>
        <v>8</v>
      </c>
      <c r="BH125" s="1">
        <f t="shared" si="72"/>
        <v>0</v>
      </c>
      <c r="BI125" s="1">
        <f>IF(E125="","",IF(DT125=1,1+Boss参数!$B$8+AV125*Boss参数!$B$19,1))</f>
        <v>1.5</v>
      </c>
      <c r="BJ125" s="1">
        <f>IF($I125="现实",Boss参数!$C$4,IF($I125="精神",Boss参数!$D$4,0))</f>
        <v>1000</v>
      </c>
      <c r="BK125" s="1">
        <f>IF($E125="","",MAX($AY125*Boss参数!$B$9,$AY125-$BJ125*(1-$BF125)))</f>
        <v>2517</v>
      </c>
      <c r="BL125" s="1">
        <f>MAX(0,Boss参数!$F$4+IF(DT125=0,Boss参数!$B$27,0)-EJ125)</f>
        <v>0.10000000000000003</v>
      </c>
      <c r="BM125" s="1">
        <f>Boss参数!$G$4+DU125-IF(Y125=1,Boss参数!$B$11,0)</f>
        <v>0.35</v>
      </c>
      <c r="BN125" s="1">
        <f>IF($E125="","",MAX(Boss参数!$B$10,1+IFERROR(INDEX(角色面板!$I$18:$I$21,MATCH($E125,角色面板!$A$18:$A$21,0)),0)+$BB125+Boss参数!$H$4-$BM125))</f>
        <v>1.9099999999999997</v>
      </c>
      <c r="BO125" s="1">
        <f>IF(E125="","",IF(OR(L125="J_COUNTER",L125="J_HARD"),MAX(0,1+INDEX(角色面板!$K$18:$K$21,MATCH(E125,角色面板!$A$18:$A$21,0))-DI125*Boss参数!$B$23+IF(OR(Boss参数!$B$43=1,L125="J_HARD"),IF(B125&lt;=AH125,Boss参数!$B$46,0),0)),MAX(0,IF(OR(H125="术法",L125="RHI_BERRY",AND(L125="37_FOLLOW",Boss参数!$B$31=1)),1+BC125,IF(H125="仪式",1+BD125,IF(H125="洞知",EK125,1))))))</f>
        <v>1.56</v>
      </c>
      <c r="BP125" s="1">
        <f t="shared" si="73"/>
        <v>2.3780000000000001</v>
      </c>
      <c r="BQ125" s="1">
        <f t="shared" si="74"/>
        <v>89995.838399999979</v>
      </c>
      <c r="BR125" s="1">
        <f t="shared" si="75"/>
        <v>214010.10371519995</v>
      </c>
      <c r="BS125" s="1">
        <f>IF(BH125=0,0,ROUNDDOWN(AY125*BH125,0)*DV125*IF(Boss参数!$B$29=1,BN125,1)*IF(Boss参数!$B$33=1,BO125,1)*IF(Boss参数!$B$76=1,1-ES125,1))</f>
        <v>0</v>
      </c>
      <c r="BT125" s="1">
        <f t="shared" si="76"/>
        <v>0</v>
      </c>
      <c r="BU125" s="1">
        <f>IF(D125="",0,MIN(IF(Boss参数!$B$77=1,Boss参数!$B$63*Boss参数!$B$62,Boss参数!$B$61*Boss参数!$B$62),DW125+ROUNDDOWN(BS125,0)+ROUNDDOWN(DW125*Q125,0)))</f>
        <v>35998</v>
      </c>
      <c r="BV125" s="1">
        <f>IF(D125="",0,MIN(IF(Boss参数!$B$77=1,Boss参数!$B$63*Boss参数!$B$62,Boss参数!$B$61*Boss参数!$B$62),DX125+ROUNDDOWN(BT125,0)+ROUNDDOWN(DX125*Q125,0)))</f>
        <v>85604</v>
      </c>
      <c r="BW125" s="1">
        <f t="shared" si="77"/>
        <v>73698</v>
      </c>
      <c r="BX125" s="1" t="str">
        <f t="shared" si="78"/>
        <v/>
      </c>
      <c r="BY125" s="1">
        <f t="shared" si="79"/>
        <v>2</v>
      </c>
      <c r="BZ125" s="1">
        <f t="shared" si="80"/>
        <v>1</v>
      </c>
      <c r="CA125" s="1">
        <f>MIN(10,W125+IF(AND(L125="LILYA_COBRA",COUNTIF($L$3:L125,"LILYA_COBRA")=1),5,0)+IF(AND(L125="LILYA_DIVE",U125=1,COUNTIFS($DG$3:DG125,DG125,$L$3:L125,"LILYA_DIVE")=1),2,0)+IF(AND(FE125=1,U125=1),3,0))</f>
        <v>10</v>
      </c>
      <c r="CB125" s="1">
        <f>MIN(20,MAX(0,X125+IF(L125="LILYA_COBRA",IF(COUNTIF($L$3:L125,"LILYA_COBRA")=1,6,IF(U125=1,MAX(1,G125),IF(U125=2,2*MAX(1,G125),0))),0)+IF(AND(Y125=1,E125="红弩箭",L125&lt;&gt;"ENTER_INSIGHT"),1,0)-IF(AND(L125="LILYA_ULT",X125&gt;=6),6,0)))</f>
        <v>11</v>
      </c>
      <c r="CC125" s="1">
        <f t="shared" si="81"/>
        <v>1</v>
      </c>
      <c r="CD125" s="1">
        <f t="shared" si="82"/>
        <v>13</v>
      </c>
      <c r="CE125" s="1">
        <f t="shared" si="83"/>
        <v>9</v>
      </c>
      <c r="CF125" s="1">
        <f t="shared" si="84"/>
        <v>10</v>
      </c>
      <c r="CG125" s="1">
        <f t="shared" si="85"/>
        <v>1</v>
      </c>
      <c r="CH125" s="1">
        <f>MIN(35,AD125+IF(L125="J_HARD",6,0)+IF(L125="J_COUNTER",Boss参数!$B$30,0))</f>
        <v>35</v>
      </c>
      <c r="CI125" s="1">
        <f>MIN(Boss参数!$I$4,AE125+IF(L125="J_HARD",6,0)+IF(L125="J_ULT",AD125,0)+IF(L125="J_COUNTER",Boss参数!$B$30,0))</f>
        <v>15</v>
      </c>
      <c r="CJ125" s="1">
        <f>IF(L125="J_ULT",AD125*Boss参数!$B$41,IF(B125&lt;=AG125,AF125,0))</f>
        <v>0.875</v>
      </c>
      <c r="CK125" s="1">
        <f t="shared" si="86"/>
        <v>9</v>
      </c>
      <c r="CL125" s="1">
        <f t="shared" si="87"/>
        <v>9</v>
      </c>
      <c r="CM125" s="1">
        <f t="shared" si="88"/>
        <v>8</v>
      </c>
      <c r="CN125" s="1">
        <f t="shared" si="89"/>
        <v>9</v>
      </c>
      <c r="CO125" s="1">
        <f t="shared" si="90"/>
        <v>8</v>
      </c>
      <c r="CP125" s="1">
        <f t="shared" si="91"/>
        <v>3</v>
      </c>
      <c r="CQ125" s="1">
        <f t="shared" si="92"/>
        <v>30</v>
      </c>
      <c r="CR125" s="1">
        <f t="shared" si="93"/>
        <v>9</v>
      </c>
      <c r="CS125" s="1">
        <f t="shared" si="94"/>
        <v>13</v>
      </c>
      <c r="CT125" s="1">
        <f t="shared" si="95"/>
        <v>0.12</v>
      </c>
      <c r="CU125" s="1">
        <f t="shared" si="96"/>
        <v>9</v>
      </c>
      <c r="CV125" s="1">
        <f t="shared" si="97"/>
        <v>0.3</v>
      </c>
      <c r="CW125" s="1">
        <f t="shared" si="98"/>
        <v>9</v>
      </c>
      <c r="CX125" s="1">
        <f t="shared" si="99"/>
        <v>0.3</v>
      </c>
      <c r="CY125" s="1">
        <f t="shared" si="100"/>
        <v>9</v>
      </c>
      <c r="CZ125" s="1"/>
      <c r="DA125" s="1"/>
      <c r="DB125" s="1"/>
      <c r="DC125" s="1"/>
      <c r="DD125" s="1"/>
      <c r="DE125" s="1"/>
      <c r="DF125" s="1"/>
      <c r="DG125" s="1" t="str">
        <f>IF(D125="","",行动模拟!B131)</f>
        <v>洞知2</v>
      </c>
      <c r="DH125" s="1" t="str">
        <f>IF(L125="END_TURN","回合结束",IF(D125="","",IF(INDEX(回合状态!$C$7:$C$17,MATCH(DG125,回合状态!$A$7:$A$17,0))="洞穿","洞穿",IF(OR(L125="J_COUNTER",L125="BOSS_ACTION",L125="BOSS_CONSERVATIVE"),"敌方",IF(AND(L125="37_FOLLOW",DG125=DG124,DH124="敌方"),"敌方",IF(INDEX(回合状态!$C$7:$C$17,MATCH(DG125,回合状态!$A$7:$A$17,0))="普通","出牌",INDEX(回合状态!$C$7:$C$17,MATCH(DG125,回合状态!$A$7:$A$17,0))))))))</f>
        <v>洞穿</v>
      </c>
      <c r="DI125" s="1">
        <f t="shared" si="101"/>
        <v>4</v>
      </c>
      <c r="DJ125" s="1">
        <f>IF(D125="",0,MIN(Boss参数!$B$25,IF(OR(AND(DH125="敌方",OR(DH124&lt;&gt;"敌方",DG125&lt;&gt;DG124)),AND(L125="END_TURN",DH125&lt;&gt;"洞穿"),AND(DG125&lt;&gt;DG124,DH124&lt;&gt;"洞穿",L124&lt;&gt;"END_TURN",COUNTIFS($DG$3:DG124,DG124,$DH$3:DH124,"敌方")=0)),EW125,DN124)))</f>
        <v>0</v>
      </c>
      <c r="DK125" s="1">
        <f>IF(D125="",0,MIN(Boss参数!$B$25,IF(OR(AND(DH125="敌方",OR(DH124&lt;&gt;"敌方",DG125&lt;&gt;DG124)),AND(L125="END_TURN",DH125&lt;&gt;"洞穿"),AND(DG125&lt;&gt;DG124,DH124&lt;&gt;"洞穿",L124&lt;&gt;"END_TURN",COUNTIFS($DG$3:DG124,DG124,$DH$3:DH124,"敌方")=0)),EW125,DO124)))</f>
        <v>4</v>
      </c>
      <c r="DL125" s="1">
        <f>IF(D125="",0,MIN(Boss参数!$B$25,IF(OR(AND(DH125="敌方",OR(DH124&lt;&gt;"敌方",DG125&lt;&gt;DG124)),AND(L125="END_TURN",DH125&lt;&gt;"洞穿"),AND(DG125&lt;&gt;DG124,DH124&lt;&gt;"洞穿",L124&lt;&gt;"END_TURN",COUNTIFS($DG$3:DG124,DG124,$DH$3:DH124,"敌方")=0)),EW125,DP124)))</f>
        <v>5</v>
      </c>
      <c r="DM125" s="1">
        <f>IF(D125="",0,MIN(Boss参数!$B$25,IF(OR(AND(DH125="敌方",OR(DH124&lt;&gt;"敌方",DG125&lt;&gt;DG124)),AND(L125="END_TURN",DH125&lt;&gt;"洞穿"),AND(DG125&lt;&gt;DG124,DH124&lt;&gt;"洞穿",L124&lt;&gt;"END_TURN",COUNTIFS($DG$3:DG124,DG124,$DH$3:DH124,"敌方")=0)),EW125,DQ124)))</f>
        <v>5</v>
      </c>
      <c r="DN125" s="1">
        <f>MAX(0,MIN(Boss参数!$B$25,DJ125+DR125)-IF(E125="红弩箭",2*DR125,0))</f>
        <v>1</v>
      </c>
      <c r="DO125" s="1">
        <f>MAX(0,MIN(Boss参数!$B$25,DK125+DR125)-IF(E125="37",2*DR125,0))</f>
        <v>3</v>
      </c>
      <c r="DP125" s="1">
        <f>MAX(0,MIN(Boss参数!$B$25,DL125+DR125)-IF(E125="小瑞安侬",2*DR125,0))</f>
        <v>5</v>
      </c>
      <c r="DQ125" s="1">
        <f>MAX(0,MIN(Boss参数!$B$25,DM125+DR125)-IF(E125="J",2*DR125,0))</f>
        <v>5</v>
      </c>
      <c r="DR125" s="1">
        <f t="shared" si="102"/>
        <v>1</v>
      </c>
      <c r="DS125" s="1">
        <f t="shared" si="103"/>
        <v>1</v>
      </c>
      <c r="DT125" s="1">
        <f>IF(OR(E125="",E125="系统"),0,IF(OR(AND(DS125=1,Boss参数!$B$32=1),L125="RHI_BERRY",OR(AND(INDEX(角色面板!$B$18:$B$21,MATCH(E125,角色面板!$A$18:$A$21,0))="星",Boss参数!$B$4="岩"),AND(INDEX(角色面板!$B$18:$B$21,MATCH(E125,角色面板!$A$18:$A$21,0))="岩",Boss参数!$B$4="兽"),AND(INDEX(角色面板!$B$18:$B$21,MATCH(E125,角色面板!$A$18:$A$21,0))="兽",Boss参数!$B$4="木"),AND(INDEX(角色面板!$B$18:$B$21,MATCH(E125,角色面板!$A$18:$A$21,0))="木",Boss参数!$B$4="星"),AND(INDEX(角色面板!$B$18:$B$21,MATCH(E125,角色面板!$A$18:$A$21,0))="智",Boss参数!$B$4="灵"),AND(INDEX(角色面板!$B$18:$B$21,MATCH(E125,角色面板!$A$18:$A$21,0))="灵",Boss参数!$B$4="智"))),1,0))</f>
        <v>1</v>
      </c>
      <c r="DU125" s="1">
        <f>IF(D125="",0,INDEX(回合状态!$E$7:$E$17,MATCH(DG125,回合状态!$A$7:$A$17,0))+IF(AND(DH125="敌方",OR(INDEX(回合状态!$C$7:$C$17,MATCH(DG125,回合状态!$A$7:$A$17,0))="普通",INDEX(回合状态!$C$7:$C$17,MATCH(DG125,回合状态!$A$7:$A$17,0))="额外")),0.05,0))</f>
        <v>0.35</v>
      </c>
      <c r="DV125" s="1">
        <f>MAX(Boss参数!$B$28,1+IF(AND(E125="37",AC125&gt;0,BH125&gt;0),Boss参数!$B$42,0)-DI125*Boss参数!$B$24+EA125-ER125)</f>
        <v>0</v>
      </c>
      <c r="DW125" s="1">
        <f>MIN(IF(Boss参数!$B$77=1,Boss参数!$B$63*Boss参数!$B$62,Boss参数!$B$61*Boss参数!$B$62),ROUNDDOWN(BQ125*(1-ES125),0))</f>
        <v>35998</v>
      </c>
      <c r="DX125" s="1">
        <f>MIN(IF(Boss参数!$B$77=1,Boss参数!$B$63*Boss参数!$B$62,Boss参数!$B$61*Boss参数!$B$62),ROUNDDOWN(BR125*(1-ES125),0))</f>
        <v>85604</v>
      </c>
      <c r="DY125" s="1">
        <f t="shared" si="135"/>
        <v>250</v>
      </c>
      <c r="DZ125" s="1">
        <f>IF(L125="RHI_ULT",MIN(Boss参数!$B$48,ROUNDDOWN(AY125*Boss参数!$B$47,0)),DY125)</f>
        <v>250</v>
      </c>
      <c r="EA125" s="1">
        <v>0</v>
      </c>
      <c r="EB125" s="1">
        <f t="shared" si="104"/>
        <v>0</v>
      </c>
      <c r="EC125" s="1">
        <f>SUMIFS($EB$3:EB125,$B$3:B125,"&gt;="&amp;MAX(1,B125-2),$B$3:B125,"&lt;="&amp;B125)*Boss参数!$B$51</f>
        <v>12</v>
      </c>
      <c r="ED125" s="1">
        <f>IF(D125="",EG124,IF(AND(DG125&lt;&gt;DG124,DH125&lt;&gt;"洞穿"),MIN(Boss参数!$B$55,EG124+2),EG124))</f>
        <v>0</v>
      </c>
      <c r="EE125" s="1">
        <f t="shared" si="105"/>
        <v>0</v>
      </c>
      <c r="EF125" s="1">
        <f>IF(AND(OR(L125="END_TURN",AND(DH125="敌方",OR(DH124&lt;&gt;"敌方",DG125&lt;&gt;DG124))),SUMIFS($EF$3:EF124,$DG$3:DG124,DG125)=0),MIN(1,MAX(0,ED125-EE125)),0)</f>
        <v>0</v>
      </c>
      <c r="EG125" s="1">
        <f t="shared" si="106"/>
        <v>0</v>
      </c>
      <c r="EH125" s="1">
        <f>Boss参数!$B$53-IF(Y125=1,Boss参数!$B$54,0)</f>
        <v>-0.4</v>
      </c>
      <c r="EI125" s="1">
        <f t="shared" si="107"/>
        <v>0.3</v>
      </c>
      <c r="EJ125" s="1">
        <f t="shared" si="108"/>
        <v>0.3</v>
      </c>
      <c r="EK125" s="1">
        <f t="shared" si="109"/>
        <v>1.56</v>
      </c>
      <c r="EL125" s="1">
        <f t="shared" si="136"/>
        <v>0</v>
      </c>
      <c r="EM125" s="1">
        <f>IF(AND(DG125&lt;&gt;DG124,DH125="洞穿"),0,IF(L125="ENTER_INSIGHT",Boss参数!$B$57,EO124))</f>
        <v>0</v>
      </c>
      <c r="EN125" s="1">
        <f>IF(AND(Y125=1,H125="洞知",EM125&gt;0),Boss参数!$B$56,0)</f>
        <v>0</v>
      </c>
      <c r="EO125" s="1">
        <f t="shared" si="110"/>
        <v>1</v>
      </c>
      <c r="EP125" s="1">
        <f t="shared" si="137"/>
        <v>19845471</v>
      </c>
      <c r="EQ125" s="1">
        <f>ROUNDDOWN(EP125/Boss参数!$B$62,0)</f>
        <v>198</v>
      </c>
      <c r="ER125" s="1">
        <f>IF(EQ125&gt;=Boss参数!$B$66,Boss参数!$B$69,IF(EQ125&gt;=Boss参数!$B$65,Boss参数!$B$68,IF(EQ125&gt;=Boss参数!$B$64,Boss参数!$B$67,0)))</f>
        <v>0.9</v>
      </c>
      <c r="ES125" s="1">
        <f>MIN(1,IF(EQ125&gt;=Boss参数!$B$66,Boss参数!$B$72+ROUNDDOWN((EQ125-Boss参数!$B$66)/Boss参数!$B$73,0)*Boss参数!$B$74,IF(EQ125&gt;=Boss参数!$B$65,Boss参数!$B$71,IF(EQ125&gt;=Boss参数!$B$64,Boss参数!$B$70,0))))</f>
        <v>0.6</v>
      </c>
      <c r="ET125" s="1">
        <f>MIN(Boss参数!$B$61*Boss参数!$B$62,EP125+IF(AND(Boss参数!$B$60=1,ISNUMBER(验证表!H131)),验证表!H131,EU125))</f>
        <v>19881469</v>
      </c>
      <c r="EU125" s="1">
        <f>IF(D125="",0,IF(验证表!G131="是",BV125,IF(验证表!G131="否",BU125,BW125)))</f>
        <v>35998</v>
      </c>
      <c r="EV125" s="1">
        <f>IF(EQ125&gt;=Boss参数!$B$66,2,IF(EQ125&gt;=Boss参数!$B$65,1,0))</f>
        <v>2</v>
      </c>
      <c r="EW125" s="1">
        <f t="shared" si="111"/>
        <v>3</v>
      </c>
      <c r="EX125" s="1">
        <f>IF(D125="",0,INDEX(回合状态!$D$7:$D$17,MATCH(DG125,回合状态!$A$7:$A$17,0)))</f>
        <v>8</v>
      </c>
      <c r="EY125" s="1">
        <f>IF(OR(L125="RHI_ATTACK",L125="RHI_BUFF"),1,IF(L125="RHI_ULT",Boss参数!$B$52,0))</f>
        <v>0</v>
      </c>
      <c r="EZ125" s="1">
        <f>MIN(6,SUMIFS($EY$3:EY125,$EX$3:EX125,"&gt;="&amp;MAX(1,EX125-Boss参数!$B$87+1),$EX$3:EX125,"&lt;="&amp;EX125))</f>
        <v>4</v>
      </c>
      <c r="FA125" s="1">
        <f t="shared" si="138"/>
        <v>35</v>
      </c>
      <c r="FB125" s="17">
        <f>IF(L125="BOSS_CONSERVATIVE",B125+Boss参数!$B$91,FB124)</f>
        <v>7</v>
      </c>
      <c r="FC125" s="17">
        <f t="shared" si="139"/>
        <v>0</v>
      </c>
      <c r="FD125" s="17">
        <f>IF(D125="",FD124,FD124+IF(AND(DG125&lt;&gt;DG124,INDEX(回合状态!$C$7:$C$17,MATCH(DG125,回合状态!$A$7:$A$17,0))&lt;&gt;"洞穿"),1,0))</f>
        <v>8</v>
      </c>
      <c r="FE125" s="17">
        <f>IF(D125="",0,IF(AND(OR(L125="END_TURN",DH125="敌方"),INDEX(回合状态!$C$7:$C$17,MATCH(DG125,回合状态!$A$7:$A$17,0))&lt;&gt;"洞穿",SUMIFS($FE$3:FE124,$DG$3:DG124,DG125)=0),1,0))</f>
        <v>0</v>
      </c>
    </row>
    <row r="126" spans="1:161" ht="84.95" customHeight="1">
      <c r="A126" s="1">
        <f>行动模拟!A132</f>
        <v>124</v>
      </c>
      <c r="B126" s="1">
        <f>IF(D126="",0,INDEX(回合状态!$B$7:$B$17,MATCH(DG126,回合状态!$A$7:$A$17,0)))</f>
        <v>7</v>
      </c>
      <c r="C126" s="1">
        <f>行动模拟!C132</f>
        <v>14</v>
      </c>
      <c r="D126" s="1" t="str">
        <f>IF(行动模拟!D132="","",行动模拟!D132)</f>
        <v>红弩箭｜洞知咒语</v>
      </c>
      <c r="E126" s="1" t="str">
        <f>IF($D126="","",IFERROR(INDEX(技能数据库!$B$4:$B$38,MATCH($D126,技能数据库!$A$4:$A$38,0)),""))</f>
        <v>红弩箭</v>
      </c>
      <c r="F126" s="1" t="str">
        <f>IF($D126="","",IFERROR(INDEX(技能数据库!$C$4:$C$38,MATCH($D126,技能数据库!$A$4:$A$38,0)),""))</f>
        <v>洞知咒语</v>
      </c>
      <c r="G126" s="1">
        <f>IF($D126="","",IFERROR(INDEX(技能数据库!$D$4:$D$38,MATCH($D126,技能数据库!$A$4:$A$38,0)),""))</f>
        <v>0</v>
      </c>
      <c r="H126" s="1" t="str">
        <f>IF($D126="","",IFERROR(INDEX(技能数据库!$E$4:$E$38,MATCH($D126,技能数据库!$A$4:$A$38,0)),""))</f>
        <v>洞知</v>
      </c>
      <c r="I126" s="1" t="str">
        <f>IF($D126="","",IFERROR(INDEX(技能数据库!$F$4:$F$38,MATCH($D126,技能数据库!$A$4:$A$38,0)),""))</f>
        <v>现实</v>
      </c>
      <c r="J126" s="1">
        <f>IF($D126="","",IFERROR(INDEX(技能数据库!$G$4:$G$38,MATCH($D126,技能数据库!$A$4:$A$38,0)),""))</f>
        <v>15</v>
      </c>
      <c r="K126" s="1">
        <f>IF($D126="","",IFERROR(INDEX(技能数据库!$H$4:$H$38,MATCH($D126,技能数据库!$A$4:$A$38,0)),""))</f>
        <v>0</v>
      </c>
      <c r="L126" s="1" t="str">
        <f>IF($D126="","",IFERROR(INDEX(技能数据库!$I$4:$I$38,MATCH($D126,技能数据库!$A$4:$A$38,0)),""))</f>
        <v>LILYA_INSIGHT</v>
      </c>
      <c r="M126" s="1">
        <v>1</v>
      </c>
      <c r="N126" s="1"/>
      <c r="O126" s="1"/>
      <c r="P126" s="1"/>
      <c r="Q126" s="1">
        <f t="shared" si="70"/>
        <v>0.4</v>
      </c>
      <c r="R126" s="1">
        <v>0</v>
      </c>
      <c r="S126" s="1">
        <v>0</v>
      </c>
      <c r="T126" s="1" t="str">
        <f>行动模拟!I132</f>
        <v>原G列数值属于稳态附加，移至H列；实测总伤不变</v>
      </c>
      <c r="U126" s="1">
        <f>IF(FD126&lt;&gt;FD125,IF(BY125=1,IF(MIN(10,CA125+IF(AND(DG126&lt;&gt;DG125,DH125&lt;&gt;"洞穿",SUMIFS($FE$3:FE125,$DG$3:DG125,DG125)=0,BY125=1),3,0))&gt;=10,2,1),IF(BY125=2,IF(BZ125&lt;=1,0,2),0)),BY125)</f>
        <v>2</v>
      </c>
      <c r="V126" s="1">
        <f>IF(FD126&lt;&gt;FD125,IF(BY125=1,IF(MIN(10,CA125+IF(AND(DG126&lt;&gt;DG125,DH125&lt;&gt;"洞穿",SUMIFS($FE$3:FE125,$DG$3:DG125,DG125)=0,BY125=1),3,0))&gt;=10,2,0),IF(BY125=2,MAX(0,BZ125-1),0)),BZ125)</f>
        <v>1</v>
      </c>
      <c r="W126" s="1">
        <f>IF(AND(FD126&lt;&gt;FD125,BY125=2,BZ125&lt;=1),0,MIN(10,CA125+IF(AND(DG126&lt;&gt;DG125,DH125&lt;&gt;"洞穿",SUMIFS($FE$3:FE125,$DG$3:DG125,DG125)=0,BY125=1),3,0)))</f>
        <v>10</v>
      </c>
      <c r="X126" s="1">
        <f t="shared" si="112"/>
        <v>11</v>
      </c>
      <c r="Y126" s="1">
        <f t="shared" si="113"/>
        <v>1</v>
      </c>
      <c r="Z126" s="1">
        <f t="shared" si="114"/>
        <v>13</v>
      </c>
      <c r="AA126" s="1">
        <f t="shared" si="115"/>
        <v>9</v>
      </c>
      <c r="AB126" s="1">
        <f t="shared" si="116"/>
        <v>10</v>
      </c>
      <c r="AC126" s="1">
        <f t="shared" si="117"/>
        <v>1</v>
      </c>
      <c r="AD126" s="1">
        <f t="shared" si="118"/>
        <v>35</v>
      </c>
      <c r="AE126" s="1">
        <f>IF(D126="",0,IF(DG126&lt;&gt;DG125,IFERROR(INDEX(回合状态!$F$7:$F$17,MATCH(DG126,回合状态!$A$7:$A$17,0)),0),CI125))</f>
        <v>15</v>
      </c>
      <c r="AF126" s="1">
        <f t="shared" si="119"/>
        <v>0.875</v>
      </c>
      <c r="AG126" s="1">
        <f t="shared" si="120"/>
        <v>9</v>
      </c>
      <c r="AH126" s="1">
        <f t="shared" si="121"/>
        <v>9</v>
      </c>
      <c r="AI126" s="1">
        <f t="shared" si="122"/>
        <v>8</v>
      </c>
      <c r="AJ126" s="1">
        <f t="shared" si="123"/>
        <v>9</v>
      </c>
      <c r="AK126" s="1">
        <f t="shared" si="124"/>
        <v>8</v>
      </c>
      <c r="AL126" s="1">
        <f t="shared" si="125"/>
        <v>3</v>
      </c>
      <c r="AM126" s="1">
        <f t="shared" si="126"/>
        <v>30</v>
      </c>
      <c r="AN126" s="1">
        <f t="shared" si="127"/>
        <v>9</v>
      </c>
      <c r="AO126" s="1">
        <f t="shared" si="128"/>
        <v>13</v>
      </c>
      <c r="AP126" s="1">
        <f t="shared" si="129"/>
        <v>0.12</v>
      </c>
      <c r="AQ126" s="1">
        <f t="shared" si="130"/>
        <v>9</v>
      </c>
      <c r="AR126" s="1">
        <f t="shared" si="131"/>
        <v>0.3</v>
      </c>
      <c r="AS126" s="1">
        <f t="shared" si="132"/>
        <v>9</v>
      </c>
      <c r="AT126" s="1">
        <f t="shared" si="133"/>
        <v>0.3</v>
      </c>
      <c r="AU126" s="1">
        <f t="shared" si="134"/>
        <v>9</v>
      </c>
      <c r="AV126" s="1">
        <f>MIN(5,SUMIFS($EL$3:EL126,$B$3:B126,"&gt;="&amp;MAX(1,B126-2),$B$3:B126,"&lt;="&amp;B126)+EC126)</f>
        <v>5</v>
      </c>
      <c r="AW126" s="1">
        <f>MIN(6,SUMIFS($EY$3:EY125,$EX$3:EX125,"&gt;="&amp;MAX(1,EX126-Boss参数!$B$87+1),$EX$3:EX125,"&lt;="&amp;EX126))</f>
        <v>4</v>
      </c>
      <c r="AX126" s="1">
        <f>MIN(4,COUNTIFS($B$3:$B$125,"&gt;="&amp;MAX(1,$B126-2),$B$3:$B$125,"&lt;="&amp;$B126,$L$3:$L$125,"37_FOLLOW"))</f>
        <v>4</v>
      </c>
      <c r="AY126" s="1">
        <f>IF($E126="","",IF($E126="系统",0,ROUNDDOWN(INDEX(角色面板!$C$4:$C$7,MATCH($E126,角色面板!$A$4:$A$7,0))*(1+INDEX(角色面板!$C$11:$C$14,MATCH($E126,角色面板!$A$11:$A$14,0))+IF($E126="小瑞安侬",MAX(IF($B126&lt;=$AQ126,$AP126,0),IF(AND($L126="RHI_ATTACK",$EE126&gt;0),0.11+0.01*$G126,0)),0)+IF($E126="J",$AD126*Boss参数!$B$18,0))+IF(FD126&lt;=$AN126,MIN(Boss参数!$B$21,ROUNDDOWN(角色面板!$C$19*Boss参数!$B$20,0)),0)+IF(AND($B126&lt;=$AK126,$E126&lt;&gt;"小瑞安侬"),$DY126,0),0)))</f>
        <v>3505</v>
      </c>
      <c r="AZ126" s="1">
        <f>IF($E126="","",MAX(0,MIN(1,IFERROR(INDEX(角色面板!$G$18:$G$21,MATCH($E126,角色面板!$A$18:$A$21,0)),0)-FC126*Boss参数!$B$89-Boss参数!$E$4)))</f>
        <v>1</v>
      </c>
      <c r="BA126" s="1">
        <f>IF(E126="","",(IF($E126="","",IF($E126="红弩箭",Boss参数!$B$80,IF($E126="J",Boss参数!$B$81,IFERROR(INDEX(角色面板!$H$18:$H$21,MATCH($E126,角色面板!$A$18:$A$21,0)),0)))+IF($B126&lt;=$AI126,Boss参数!$B$13,0)+MIN(30,$AM126)*Boss参数!$B$17+IF(AND($L126="LILYA_ULT",$X126&gt;=6),1,0)+IF(AND($Y126=1,$L126="LILYA_INSIGHT"),IF(MOD($AA126+1,3)=0,Boss参数!$B$83,Boss参数!$B$82),IF(AND($Y126=1,$L126="LILYA_FINISH"),Boss参数!$B$84,0))))-FC126*Boss参数!$B$90)</f>
        <v>2.9050000000000002</v>
      </c>
      <c r="BB126" s="1">
        <f>IF($E126="","",IFERROR(INDEX(角色面板!$M$18:$M$21,MATCH($E126,角色面板!$A$18:$A$21,0)),0)+$AW126*Boss参数!$B$12+IF($B126&lt;=$AG126,$AF126,0)+$EI126+IF($L126="LILYA_DIVE",IF($U126=1,IF($G126=1,0.3,IF($G126=2,0.4,0.5)),IF($U126=2,IF($G126=1,0.6,IF($G126=2,0.8,1)),0)),0)+$R126+IF(AND($E126="J",OR($L126="J_COUNTER",$L126="J_HARD")),Boss参数!$B$79,0)+IF(AND(OR(L126="J_COUNTER",L126="J_HARD"),FA126&gt;=Boss参数!$B$59),FA126*Boss参数!$B$40,0))</f>
        <v>1.4950000000000001</v>
      </c>
      <c r="BC126" s="1">
        <f>IF($E126="","",IFERROR(INDEX(角色面板!$K$18:$K$21,MATCH($E126,角色面板!$A$18:$A$21,0)),0)+IF($B126&lt;=$AH126,Boss参数!$B$46,0)+IF($E126="红弩箭",IF($U126=1,0.6,IF($U126=2,1.2,0))+$W126*0.06,0))-DI126*Boss参数!$B$23</f>
        <v>1.5499999999999998</v>
      </c>
      <c r="BD126" s="1">
        <f>IF($E126="","",IFERROR(INDEX(角色面板!$L$18:$L$21,MATCH($E126,角色面板!$A$18:$A$21,0)),0)+IF($B126&lt;=$AH126,Boss参数!$B$46,0)+IF($E126="J",$AL126*Boss参数!$B$16,0)+IF($E126="红弩箭",$X126*0.025,0)+IF(AND($L126="LILYA_ULT",$X126&gt;=6),1,0))-DI126*Boss参数!$B$23</f>
        <v>0.42499999999999993</v>
      </c>
      <c r="BE126" s="1">
        <f>IF($E126="","",IF($H126="洞知",IF($E126="红弩箭",$AO126*Boss参数!$B$15,0)+$AX126*Boss参数!$B$14,0))</f>
        <v>0.94000000000000006</v>
      </c>
      <c r="BF126" s="1">
        <f t="shared" si="71"/>
        <v>0</v>
      </c>
      <c r="BG126" s="1">
        <f>IF($D126="",0,IF(AND($L126&lt;&gt;"LILYA_DIVE",$L126&lt;&gt;"LILYA_ULT",$L126&lt;&gt;"LILYA_INSIGHT",$L126&lt;&gt;"LILYA_FINISH",$L126&lt;&gt;"37_FOLLOW",$L126&lt;&gt;"RHI_ATTACK",$L126&lt;&gt;"RHI_BERRY",$L126&lt;&gt;"J_COUNTER",$L126&lt;&gt;"J_ULT"),$J126,0)+IF($L126="LILYA_DIVE",$J126+IF($U126=1,IF($G126=1,6,IF($G126=2,12,18)),IF($U126=2,IF($G126=1,12,IF($G126=2,24,36)),0)),0)+IF($L126="LILYA_ULT",$J126+IF($X126&gt;=6,18,0),0)+IF($L126="LILYA_INSIGHT",IF($Y126=1,IF(MOD($AA126+1,3)=0,32,15),0),0)+IF($L126="LILYA_FINISH",IF($Y126=1,50+2.5*$Z126,0),0)+IF($L126="37_FOLLOW",$J126,0)+IF($L126="RHI_ATTACK",$J126*IF($B126&lt;=$AJ126,2,1),0)+IF($L126="RHI_BERRY",15+1.5*$AV126,0)+IF($L126="J_COUNTER",$J126+$AD126*Boss参数!$B$39,0)+IF($L126="J_ULT",$J126+Boss参数!$B$45*MAX(0,$AE126+$AD126-Boss参数!$I$4),0)+$S126)</f>
        <v>15</v>
      </c>
      <c r="BH126" s="1">
        <f t="shared" si="72"/>
        <v>0</v>
      </c>
      <c r="BI126" s="1">
        <f>IF(E126="","",IF(DT126=1,1+Boss参数!$B$8+AV126*Boss参数!$B$19,1))</f>
        <v>1.5</v>
      </c>
      <c r="BJ126" s="1">
        <f>IF($I126="现实",Boss参数!$C$4,IF($I126="精神",Boss参数!$D$4,0))</f>
        <v>1200</v>
      </c>
      <c r="BK126" s="1">
        <f>IF($E126="","",MAX($AY126*Boss参数!$B$9,$AY126-$BJ126*(1-$BF126)))</f>
        <v>2305</v>
      </c>
      <c r="BL126" s="1">
        <f>MAX(0,Boss参数!$F$4+IF(DT126=0,Boss参数!$B$27,0)-EJ126)</f>
        <v>0.10000000000000003</v>
      </c>
      <c r="BM126" s="1">
        <f>Boss参数!$G$4+DU126-IF(Y126=1,Boss参数!$B$11,0)</f>
        <v>0.35</v>
      </c>
      <c r="BN126" s="1">
        <f>IF($E126="","",MAX(Boss参数!$B$10,1+IFERROR(INDEX(角色面板!$I$18:$I$21,MATCH($E126,角色面板!$A$18:$A$21,0)),0)+$BB126+Boss参数!$H$4-$BM126))</f>
        <v>2.2450000000000001</v>
      </c>
      <c r="BO126" s="1">
        <f>IF(E126="","",IF(OR(L126="J_COUNTER",L126="J_HARD"),MAX(0,1+INDEX(角色面板!$K$18:$K$21,MATCH(E126,角色面板!$A$18:$A$21,0))-DI126*Boss参数!$B$23+IF(OR(Boss参数!$B$43=1,L126="J_HARD"),IF(B126&lt;=AH126,Boss参数!$B$46,0),0)),MAX(0,IF(OR(H126="术法",L126="RHI_BERRY",AND(L126="37_FOLLOW",Boss参数!$B$31=1)),1+BC126,IF(H126="仪式",1+BD126,IF(H126="洞知",EK126,1))))))</f>
        <v>2.34</v>
      </c>
      <c r="BP126" s="1">
        <f t="shared" si="73"/>
        <v>2.8050000000000002</v>
      </c>
      <c r="BQ126" s="1">
        <f t="shared" si="74"/>
        <v>272449.27124999999</v>
      </c>
      <c r="BR126" s="1">
        <f t="shared" si="75"/>
        <v>764220.20585625002</v>
      </c>
      <c r="BS126" s="1">
        <f>IF(BH126=0,0,ROUNDDOWN(AY126*BH126,0)*DV126*IF(Boss参数!$B$29=1,BN126,1)*IF(Boss参数!$B$33=1,BO126,1)*IF(Boss参数!$B$76=1,1-ES126,1))</f>
        <v>0</v>
      </c>
      <c r="BT126" s="1">
        <f t="shared" si="76"/>
        <v>0</v>
      </c>
      <c r="BU126" s="1">
        <f>IF(D126="",0,MIN(IF(Boss参数!$B$77=1,Boss参数!$B$63*Boss参数!$B$62,Boss参数!$B$61*Boss参数!$B$62),DW126+ROUNDDOWN(BS126,0)+ROUNDDOWN(DW126*Q126,0)))</f>
        <v>152570</v>
      </c>
      <c r="BV126" s="1">
        <f>IF(D126="",0,MIN(IF(Boss参数!$B$77=1,Boss参数!$B$63*Boss参数!$B$62,Boss参数!$B$61*Boss参数!$B$62),DX126+ROUNDDOWN(BT126,0)+ROUNDDOWN(DX126*Q126,0)))</f>
        <v>427963</v>
      </c>
      <c r="BW126" s="1">
        <f t="shared" si="77"/>
        <v>427963</v>
      </c>
      <c r="BX126" s="1" t="str">
        <f t="shared" si="78"/>
        <v/>
      </c>
      <c r="BY126" s="1">
        <f t="shared" si="79"/>
        <v>2</v>
      </c>
      <c r="BZ126" s="1">
        <f t="shared" si="80"/>
        <v>1</v>
      </c>
      <c r="CA126" s="1">
        <f>MIN(10,W126+IF(AND(L126="LILYA_COBRA",COUNTIF($L$3:L126,"LILYA_COBRA")=1),5,0)+IF(AND(L126="LILYA_DIVE",U126=1,COUNTIFS($DG$3:DG126,DG126,$L$3:L126,"LILYA_DIVE")=1),2,0)+IF(AND(FE126=1,U126=1),3,0))</f>
        <v>10</v>
      </c>
      <c r="CB126" s="1">
        <f>MIN(20,MAX(0,X126+IF(L126="LILYA_COBRA",IF(COUNTIF($L$3:L126,"LILYA_COBRA")=1,6,IF(U126=1,MAX(1,G126),IF(U126=2,2*MAX(1,G126),0))),0)+IF(AND(Y126=1,E126="红弩箭",L126&lt;&gt;"ENTER_INSIGHT"),1,0)-IF(AND(L126="LILYA_ULT",X126&gt;=6),6,0)))</f>
        <v>12</v>
      </c>
      <c r="CC126" s="1">
        <f t="shared" si="81"/>
        <v>1</v>
      </c>
      <c r="CD126" s="1">
        <f t="shared" si="82"/>
        <v>14</v>
      </c>
      <c r="CE126" s="1">
        <f t="shared" si="83"/>
        <v>10</v>
      </c>
      <c r="CF126" s="1">
        <f t="shared" si="84"/>
        <v>10</v>
      </c>
      <c r="CG126" s="1">
        <f t="shared" si="85"/>
        <v>1</v>
      </c>
      <c r="CH126" s="1">
        <f>MIN(35,AD126+IF(L126="J_HARD",6,0)+IF(L126="J_COUNTER",Boss参数!$B$30,0))</f>
        <v>35</v>
      </c>
      <c r="CI126" s="1">
        <f>MIN(Boss参数!$I$4,AE126+IF(L126="J_HARD",6,0)+IF(L126="J_ULT",AD126,0)+IF(L126="J_COUNTER",Boss参数!$B$30,0))</f>
        <v>15</v>
      </c>
      <c r="CJ126" s="1">
        <f>IF(L126="J_ULT",AD126*Boss参数!$B$41,IF(B126&lt;=AG126,AF126,0))</f>
        <v>0.875</v>
      </c>
      <c r="CK126" s="1">
        <f t="shared" si="86"/>
        <v>9</v>
      </c>
      <c r="CL126" s="1">
        <f t="shared" si="87"/>
        <v>9</v>
      </c>
      <c r="CM126" s="1">
        <f t="shared" si="88"/>
        <v>8</v>
      </c>
      <c r="CN126" s="1">
        <f t="shared" si="89"/>
        <v>9</v>
      </c>
      <c r="CO126" s="1">
        <f t="shared" si="90"/>
        <v>8</v>
      </c>
      <c r="CP126" s="1">
        <f t="shared" si="91"/>
        <v>3</v>
      </c>
      <c r="CQ126" s="1">
        <f t="shared" si="92"/>
        <v>30</v>
      </c>
      <c r="CR126" s="1">
        <f t="shared" si="93"/>
        <v>9</v>
      </c>
      <c r="CS126" s="1">
        <f t="shared" si="94"/>
        <v>14</v>
      </c>
      <c r="CT126" s="1">
        <f t="shared" si="95"/>
        <v>0.12</v>
      </c>
      <c r="CU126" s="1">
        <f t="shared" si="96"/>
        <v>9</v>
      </c>
      <c r="CV126" s="1">
        <f t="shared" si="97"/>
        <v>0.3</v>
      </c>
      <c r="CW126" s="1">
        <f t="shared" si="98"/>
        <v>9</v>
      </c>
      <c r="CX126" s="1">
        <f t="shared" si="99"/>
        <v>0.3</v>
      </c>
      <c r="CY126" s="1">
        <f t="shared" si="100"/>
        <v>9</v>
      </c>
      <c r="CZ126" s="1"/>
      <c r="DA126" s="1"/>
      <c r="DB126" s="1"/>
      <c r="DC126" s="1"/>
      <c r="DD126" s="1"/>
      <c r="DE126" s="1"/>
      <c r="DF126" s="1"/>
      <c r="DG126" s="1" t="str">
        <f>IF(D126="","",行动模拟!B132)</f>
        <v>洞知2</v>
      </c>
      <c r="DH126" s="1" t="str">
        <f>IF(L126="END_TURN","回合结束",IF(D126="","",IF(INDEX(回合状态!$C$7:$C$17,MATCH(DG126,回合状态!$A$7:$A$17,0))="洞穿","洞穿",IF(OR(L126="J_COUNTER",L126="BOSS_ACTION",L126="BOSS_CONSERVATIVE"),"敌方",IF(AND(L126="37_FOLLOW",DG126=DG125,DH125="敌方"),"敌方",IF(INDEX(回合状态!$C$7:$C$17,MATCH(DG126,回合状态!$A$7:$A$17,0))="普通","出牌",INDEX(回合状态!$C$7:$C$17,MATCH(DG126,回合状态!$A$7:$A$17,0))))))))</f>
        <v>洞穿</v>
      </c>
      <c r="DI126" s="1">
        <f t="shared" si="101"/>
        <v>1</v>
      </c>
      <c r="DJ126" s="1">
        <f>IF(D126="",0,MIN(Boss参数!$B$25,IF(OR(AND(DH126="敌方",OR(DH125&lt;&gt;"敌方",DG126&lt;&gt;DG125)),AND(L126="END_TURN",DH126&lt;&gt;"洞穿"),AND(DG126&lt;&gt;DG125,DH125&lt;&gt;"洞穿",L125&lt;&gt;"END_TURN",COUNTIFS($DG$3:DG125,DG125,$DH$3:DH125,"敌方")=0)),EW126,DN125)))</f>
        <v>1</v>
      </c>
      <c r="DK126" s="1">
        <f>IF(D126="",0,MIN(Boss参数!$B$25,IF(OR(AND(DH126="敌方",OR(DH125&lt;&gt;"敌方",DG126&lt;&gt;DG125)),AND(L126="END_TURN",DH126&lt;&gt;"洞穿"),AND(DG126&lt;&gt;DG125,DH125&lt;&gt;"洞穿",L125&lt;&gt;"END_TURN",COUNTIFS($DG$3:DG125,DG125,$DH$3:DH125,"敌方")=0)),EW126,DO125)))</f>
        <v>3</v>
      </c>
      <c r="DL126" s="1">
        <f>IF(D126="",0,MIN(Boss参数!$B$25,IF(OR(AND(DH126="敌方",OR(DH125&lt;&gt;"敌方",DG126&lt;&gt;DG125)),AND(L126="END_TURN",DH126&lt;&gt;"洞穿"),AND(DG126&lt;&gt;DG125,DH125&lt;&gt;"洞穿",L125&lt;&gt;"END_TURN",COUNTIFS($DG$3:DG125,DG125,$DH$3:DH125,"敌方")=0)),EW126,DP125)))</f>
        <v>5</v>
      </c>
      <c r="DM126" s="1">
        <f>IF(D126="",0,MIN(Boss参数!$B$25,IF(OR(AND(DH126="敌方",OR(DH125&lt;&gt;"敌方",DG126&lt;&gt;DG125)),AND(L126="END_TURN",DH126&lt;&gt;"洞穿"),AND(DG126&lt;&gt;DG125,DH125&lt;&gt;"洞穿",L125&lt;&gt;"END_TURN",COUNTIFS($DG$3:DG125,DG125,$DH$3:DH125,"敌方")=0)),EW126,DQ125)))</f>
        <v>5</v>
      </c>
      <c r="DN126" s="1">
        <f>MAX(0,MIN(Boss参数!$B$25,DJ126+DR126)-IF(E126="红弩箭",2*DR126,0))</f>
        <v>0</v>
      </c>
      <c r="DO126" s="1">
        <f>MAX(0,MIN(Boss参数!$B$25,DK126+DR126)-IF(E126="37",2*DR126,0))</f>
        <v>4</v>
      </c>
      <c r="DP126" s="1">
        <f>MAX(0,MIN(Boss参数!$B$25,DL126+DR126)-IF(E126="小瑞安侬",2*DR126,0))</f>
        <v>5</v>
      </c>
      <c r="DQ126" s="1">
        <f>MAX(0,MIN(Boss参数!$B$25,DM126+DR126)-IF(E126="J",2*DR126,0))</f>
        <v>5</v>
      </c>
      <c r="DR126" s="1">
        <f t="shared" si="102"/>
        <v>1</v>
      </c>
      <c r="DS126" s="1">
        <f t="shared" si="103"/>
        <v>1</v>
      </c>
      <c r="DT126" s="1">
        <f>IF(OR(E126="",E126="系统"),0,IF(OR(AND(DS126=1,Boss参数!$B$32=1),L126="RHI_BERRY",OR(AND(INDEX(角色面板!$B$18:$B$21,MATCH(E126,角色面板!$A$18:$A$21,0))="星",Boss参数!$B$4="岩"),AND(INDEX(角色面板!$B$18:$B$21,MATCH(E126,角色面板!$A$18:$A$21,0))="岩",Boss参数!$B$4="兽"),AND(INDEX(角色面板!$B$18:$B$21,MATCH(E126,角色面板!$A$18:$A$21,0))="兽",Boss参数!$B$4="木"),AND(INDEX(角色面板!$B$18:$B$21,MATCH(E126,角色面板!$A$18:$A$21,0))="木",Boss参数!$B$4="星"),AND(INDEX(角色面板!$B$18:$B$21,MATCH(E126,角色面板!$A$18:$A$21,0))="智",Boss参数!$B$4="灵"),AND(INDEX(角色面板!$B$18:$B$21,MATCH(E126,角色面板!$A$18:$A$21,0))="灵",Boss参数!$B$4="智"))),1,0))</f>
        <v>1</v>
      </c>
      <c r="DU126" s="1">
        <f>IF(D126="",0,INDEX(回合状态!$E$7:$E$17,MATCH(DG126,回合状态!$A$7:$A$17,0))+IF(AND(DH126="敌方",OR(INDEX(回合状态!$C$7:$C$17,MATCH(DG126,回合状态!$A$7:$A$17,0))="普通",INDEX(回合状态!$C$7:$C$17,MATCH(DG126,回合状态!$A$7:$A$17,0))="额外")),0.05,0))</f>
        <v>0.35</v>
      </c>
      <c r="DV126" s="1">
        <f>MAX(Boss参数!$B$28,1+IF(AND(E126="37",AC126&gt;0,BH126&gt;0),Boss参数!$B$42,0)-DI126*Boss参数!$B$24+EA126-ER126)</f>
        <v>0</v>
      </c>
      <c r="DW126" s="1">
        <f>MIN(IF(Boss参数!$B$77=1,Boss参数!$B$63*Boss参数!$B$62,Boss参数!$B$61*Boss参数!$B$62),ROUNDDOWN(BQ126*(1-ES126),0))</f>
        <v>108979</v>
      </c>
      <c r="DX126" s="1">
        <f>MIN(IF(Boss参数!$B$77=1,Boss参数!$B$63*Boss参数!$B$62,Boss参数!$B$61*Boss参数!$B$62),ROUNDDOWN(BR126*(1-ES126),0))</f>
        <v>305688</v>
      </c>
      <c r="DY126" s="1">
        <f t="shared" si="135"/>
        <v>250</v>
      </c>
      <c r="DZ126" s="1">
        <f>IF(L126="RHI_ULT",MIN(Boss参数!$B$48,ROUNDDOWN(AY126*Boss参数!$B$47,0)),DY126)</f>
        <v>250</v>
      </c>
      <c r="EA126" s="1">
        <v>0</v>
      </c>
      <c r="EB126" s="1">
        <f t="shared" si="104"/>
        <v>0</v>
      </c>
      <c r="EC126" s="1">
        <f>SUMIFS($EB$3:EB126,$B$3:B126,"&gt;="&amp;MAX(1,B126-2),$B$3:B126,"&lt;="&amp;B126)*Boss参数!$B$51</f>
        <v>12</v>
      </c>
      <c r="ED126" s="1">
        <f>IF(D126="",EG125,IF(AND(DG126&lt;&gt;DG125,DH126&lt;&gt;"洞穿"),MIN(Boss参数!$B$55,EG125+2),EG125))</f>
        <v>0</v>
      </c>
      <c r="EE126" s="1">
        <f t="shared" si="105"/>
        <v>0</v>
      </c>
      <c r="EF126" s="1">
        <f>IF(AND(OR(L126="END_TURN",AND(DH126="敌方",OR(DH125&lt;&gt;"敌方",DG126&lt;&gt;DG125))),SUMIFS($EF$3:EF125,$DG$3:DG125,DG126)=0),MIN(1,MAX(0,ED126-EE126)),0)</f>
        <v>0</v>
      </c>
      <c r="EG126" s="1">
        <f t="shared" si="106"/>
        <v>0</v>
      </c>
      <c r="EH126" s="1">
        <f>Boss参数!$B$53-IF(Y126=1,Boss参数!$B$54,0)</f>
        <v>-0.4</v>
      </c>
      <c r="EI126" s="1">
        <f t="shared" si="107"/>
        <v>0.3</v>
      </c>
      <c r="EJ126" s="1">
        <f t="shared" si="108"/>
        <v>0.3</v>
      </c>
      <c r="EK126" s="1">
        <f t="shared" si="109"/>
        <v>2.34</v>
      </c>
      <c r="EL126" s="1">
        <f t="shared" si="136"/>
        <v>0</v>
      </c>
      <c r="EM126" s="1">
        <f>IF(AND(DG126&lt;&gt;DG125,DH126="洞穿"),0,IF(L126="ENTER_INSIGHT",Boss参数!$B$57,EO125))</f>
        <v>1</v>
      </c>
      <c r="EN126" s="1">
        <f>IF(AND(Y126=1,H126="洞知",EM126&gt;0),Boss参数!$B$56,0)</f>
        <v>0.4</v>
      </c>
      <c r="EO126" s="1">
        <f t="shared" si="110"/>
        <v>0</v>
      </c>
      <c r="EP126" s="1">
        <f t="shared" si="137"/>
        <v>19881469</v>
      </c>
      <c r="EQ126" s="1">
        <f>ROUNDDOWN(EP126/Boss参数!$B$62,0)</f>
        <v>198</v>
      </c>
      <c r="ER126" s="1">
        <f>IF(EQ126&gt;=Boss参数!$B$66,Boss参数!$B$69,IF(EQ126&gt;=Boss参数!$B$65,Boss参数!$B$68,IF(EQ126&gt;=Boss参数!$B$64,Boss参数!$B$67,0)))</f>
        <v>0.9</v>
      </c>
      <c r="ES126" s="1">
        <f>MIN(1,IF(EQ126&gt;=Boss参数!$B$66,Boss参数!$B$72+ROUNDDOWN((EQ126-Boss参数!$B$66)/Boss参数!$B$73,0)*Boss参数!$B$74,IF(EQ126&gt;=Boss参数!$B$65,Boss参数!$B$71,IF(EQ126&gt;=Boss参数!$B$64,Boss参数!$B$70,0))))</f>
        <v>0.6</v>
      </c>
      <c r="ET126" s="1">
        <f>MIN(Boss参数!$B$61*Boss参数!$B$62,EP126+IF(AND(Boss参数!$B$60=1,ISNUMBER(验证表!H132)),验证表!H132,EU126))</f>
        <v>20309432</v>
      </c>
      <c r="EU126" s="1">
        <f>IF(D126="",0,IF(验证表!G132="是",BV126,IF(验证表!G132="否",BU126,BW126)))</f>
        <v>427963</v>
      </c>
      <c r="EV126" s="1">
        <f>IF(EQ126&gt;=Boss参数!$B$66,2,IF(EQ126&gt;=Boss参数!$B$65,1,0))</f>
        <v>2</v>
      </c>
      <c r="EW126" s="1">
        <f t="shared" si="111"/>
        <v>3</v>
      </c>
      <c r="EX126" s="1">
        <f>IF(D126="",0,INDEX(回合状态!$D$7:$D$17,MATCH(DG126,回合状态!$A$7:$A$17,0)))</f>
        <v>8</v>
      </c>
      <c r="EY126" s="1">
        <f>IF(OR(L126="RHI_ATTACK",L126="RHI_BUFF"),1,IF(L126="RHI_ULT",Boss参数!$B$52,0))</f>
        <v>0</v>
      </c>
      <c r="EZ126" s="1">
        <f>MIN(6,SUMIFS($EY$3:EY126,$EX$3:EX126,"&gt;="&amp;MAX(1,EX126-Boss参数!$B$87+1),$EX$3:EX126,"&lt;="&amp;EX126))</f>
        <v>4</v>
      </c>
      <c r="FA126" s="1">
        <f t="shared" si="138"/>
        <v>35</v>
      </c>
      <c r="FB126" s="17">
        <f>IF(L126="BOSS_CONSERVATIVE",B126+Boss参数!$B$91,FB125)</f>
        <v>7</v>
      </c>
      <c r="FC126" s="17">
        <f t="shared" si="139"/>
        <v>0</v>
      </c>
      <c r="FD126" s="17">
        <f>IF(D126="",FD125,FD125+IF(AND(DG126&lt;&gt;DG125,INDEX(回合状态!$C$7:$C$17,MATCH(DG126,回合状态!$A$7:$A$17,0))&lt;&gt;"洞穿"),1,0))</f>
        <v>8</v>
      </c>
      <c r="FE126" s="17">
        <f>IF(D126="",0,IF(AND(OR(L126="END_TURN",DH126="敌方"),INDEX(回合状态!$C$7:$C$17,MATCH(DG126,回合状态!$A$7:$A$17,0))&lt;&gt;"洞穿",SUMIFS($FE$3:FE125,$DG$3:DG125,DG126)=0),1,0))</f>
        <v>0</v>
      </c>
    </row>
    <row r="127" spans="1:161" ht="84.95" customHeight="1">
      <c r="A127" s="1">
        <f>行动模拟!A133</f>
        <v>125</v>
      </c>
      <c r="B127" s="1">
        <f>IF(D127="",0,INDEX(回合状态!$B$7:$B$17,MATCH(DG127,回合状态!$A$7:$A$17,0)))</f>
        <v>7</v>
      </c>
      <c r="C127" s="1">
        <f>行动模拟!C133</f>
        <v>15</v>
      </c>
      <c r="D127" s="1" t="str">
        <f>IF(行动模拟!D133="","",行动模拟!D133)</f>
        <v>37｜洞知咒语</v>
      </c>
      <c r="E127" s="1" t="str">
        <f>IF($D127="","",IFERROR(INDEX(技能数据库!$B$4:$B$38,MATCH($D127,技能数据库!$A$4:$A$38,0)),""))</f>
        <v>37</v>
      </c>
      <c r="F127" s="1" t="str">
        <f>IF($D127="","",IFERROR(INDEX(技能数据库!$C$4:$C$38,MATCH($D127,技能数据库!$A$4:$A$38,0)),""))</f>
        <v>洞知咒语</v>
      </c>
      <c r="G127" s="1">
        <f>IF($D127="","",IFERROR(INDEX(技能数据库!$D$4:$D$38,MATCH($D127,技能数据库!$A$4:$A$38,0)),""))</f>
        <v>0</v>
      </c>
      <c r="H127" s="1" t="str">
        <f>IF($D127="","",IFERROR(INDEX(技能数据库!$E$4:$E$38,MATCH($D127,技能数据库!$A$4:$A$38,0)),""))</f>
        <v>洞知</v>
      </c>
      <c r="I127" s="1" t="str">
        <f>IF($D127="","",IFERROR(INDEX(技能数据库!$F$4:$F$38,MATCH($D127,技能数据库!$A$4:$A$38,0)),""))</f>
        <v>精神</v>
      </c>
      <c r="J127" s="1">
        <f>IF($D127="","",IFERROR(INDEX(技能数据库!$G$4:$G$38,MATCH($D127,技能数据库!$A$4:$A$38,0)),""))</f>
        <v>8</v>
      </c>
      <c r="K127" s="1">
        <f>IF($D127="","",IFERROR(INDEX(技能数据库!$H$4:$H$38,MATCH($D127,技能数据库!$A$4:$A$38,0)),""))</f>
        <v>0</v>
      </c>
      <c r="L127" s="1" t="str">
        <f>IF($D127="","",IFERROR(INDEX(技能数据库!$I$4:$I$38,MATCH($D127,技能数据库!$A$4:$A$38,0)),""))</f>
        <v>37_INSIGHT</v>
      </c>
      <c r="M127" s="1">
        <v>1</v>
      </c>
      <c r="N127" s="1"/>
      <c r="O127" s="1"/>
      <c r="P127" s="1"/>
      <c r="Q127" s="1">
        <f t="shared" si="70"/>
        <v>0</v>
      </c>
      <c r="R127" s="1">
        <v>0</v>
      </c>
      <c r="S127" s="1">
        <v>0</v>
      </c>
      <c r="T127" s="1">
        <f>行动模拟!I133</f>
        <v>0</v>
      </c>
      <c r="U127" s="1">
        <f>IF(FD127&lt;&gt;FD126,IF(BY126=1,IF(MIN(10,CA126+IF(AND(DG127&lt;&gt;DG126,DH126&lt;&gt;"洞穿",SUMIFS($FE$3:FE126,$DG$3:DG126,DG126)=0,BY126=1),3,0))&gt;=10,2,1),IF(BY126=2,IF(BZ126&lt;=1,0,2),0)),BY126)</f>
        <v>2</v>
      </c>
      <c r="V127" s="1">
        <f>IF(FD127&lt;&gt;FD126,IF(BY126=1,IF(MIN(10,CA126+IF(AND(DG127&lt;&gt;DG126,DH126&lt;&gt;"洞穿",SUMIFS($FE$3:FE126,$DG$3:DG126,DG126)=0,BY126=1),3,0))&gt;=10,2,0),IF(BY126=2,MAX(0,BZ126-1),0)),BZ126)</f>
        <v>1</v>
      </c>
      <c r="W127" s="1">
        <f>IF(AND(FD127&lt;&gt;FD126,BY126=2,BZ126&lt;=1),0,MIN(10,CA126+IF(AND(DG127&lt;&gt;DG126,DH126&lt;&gt;"洞穿",SUMIFS($FE$3:FE126,$DG$3:DG126,DG126)=0,BY126=1),3,0)))</f>
        <v>10</v>
      </c>
      <c r="X127" s="1">
        <f t="shared" si="112"/>
        <v>12</v>
      </c>
      <c r="Y127" s="1">
        <f t="shared" si="113"/>
        <v>1</v>
      </c>
      <c r="Z127" s="1">
        <f t="shared" si="114"/>
        <v>14</v>
      </c>
      <c r="AA127" s="1">
        <f t="shared" si="115"/>
        <v>10</v>
      </c>
      <c r="AB127" s="1">
        <f t="shared" si="116"/>
        <v>10</v>
      </c>
      <c r="AC127" s="1">
        <f t="shared" si="117"/>
        <v>1</v>
      </c>
      <c r="AD127" s="1">
        <f t="shared" si="118"/>
        <v>35</v>
      </c>
      <c r="AE127" s="1">
        <f>IF(D127="",0,IF(DG127&lt;&gt;DG126,IFERROR(INDEX(回合状态!$F$7:$F$17,MATCH(DG127,回合状态!$A$7:$A$17,0)),0),CI126))</f>
        <v>15</v>
      </c>
      <c r="AF127" s="1">
        <f t="shared" si="119"/>
        <v>0.875</v>
      </c>
      <c r="AG127" s="1">
        <f t="shared" si="120"/>
        <v>9</v>
      </c>
      <c r="AH127" s="1">
        <f t="shared" si="121"/>
        <v>9</v>
      </c>
      <c r="AI127" s="1">
        <f t="shared" si="122"/>
        <v>8</v>
      </c>
      <c r="AJ127" s="1">
        <f t="shared" si="123"/>
        <v>9</v>
      </c>
      <c r="AK127" s="1">
        <f t="shared" si="124"/>
        <v>8</v>
      </c>
      <c r="AL127" s="1">
        <f t="shared" si="125"/>
        <v>3</v>
      </c>
      <c r="AM127" s="1">
        <f t="shared" si="126"/>
        <v>30</v>
      </c>
      <c r="AN127" s="1">
        <f t="shared" si="127"/>
        <v>9</v>
      </c>
      <c r="AO127" s="1">
        <f t="shared" si="128"/>
        <v>14</v>
      </c>
      <c r="AP127" s="1">
        <f t="shared" si="129"/>
        <v>0.12</v>
      </c>
      <c r="AQ127" s="1">
        <f t="shared" si="130"/>
        <v>9</v>
      </c>
      <c r="AR127" s="1">
        <f t="shared" si="131"/>
        <v>0.3</v>
      </c>
      <c r="AS127" s="1">
        <f t="shared" si="132"/>
        <v>9</v>
      </c>
      <c r="AT127" s="1">
        <f t="shared" si="133"/>
        <v>0.3</v>
      </c>
      <c r="AU127" s="1">
        <f t="shared" si="134"/>
        <v>9</v>
      </c>
      <c r="AV127" s="1">
        <f>MIN(5,SUMIFS($EL$3:EL127,$B$3:B127,"&gt;="&amp;MAX(1,B127-2),$B$3:B127,"&lt;="&amp;B127)+EC127)</f>
        <v>5</v>
      </c>
      <c r="AW127" s="1">
        <f>MIN(6,SUMIFS($EY$3:EY126,$EX$3:EX126,"&gt;="&amp;MAX(1,EX127-Boss参数!$B$87+1),$EX$3:EX126,"&lt;="&amp;EX127))</f>
        <v>4</v>
      </c>
      <c r="AX127" s="1">
        <f>MIN(4,COUNTIFS($B$3:$B$126,"&gt;="&amp;MAX(1,$B127-2),$B$3:$B$126,"&lt;="&amp;$B127,$L$3:$L$126,"37_FOLLOW"))</f>
        <v>4</v>
      </c>
      <c r="AY127" s="1">
        <f>IF($E127="","",IF($E127="系统",0,ROUNDDOWN(INDEX(角色面板!$C$4:$C$7,MATCH($E127,角色面板!$A$4:$A$7,0))*(1+INDEX(角色面板!$C$11:$C$14,MATCH($E127,角色面板!$A$11:$A$14,0))+IF($E127="小瑞安侬",MAX(IF($B127&lt;=$AQ127,$AP127,0),IF(AND($L127="RHI_ATTACK",$EE127&gt;0),0.11+0.01*$G127,0)),0)+IF($E127="J",$AD127*Boss参数!$B$18,0))+IF(FD127&lt;=$AN127,MIN(Boss参数!$B$21,ROUNDDOWN(角色面板!$C$19*Boss参数!$B$20,0)),0)+IF(AND($B127&lt;=$AK127,$E127&lt;&gt;"小瑞安侬"),$DY127,0),0)))</f>
        <v>3517</v>
      </c>
      <c r="AZ127" s="1">
        <f>IF($E127="","",MAX(0,MIN(1,IFERROR(INDEX(角色面板!$G$18:$G$21,MATCH($E127,角色面板!$A$18:$A$21,0)),0)-FC127*Boss参数!$B$89-Boss参数!$E$4)))</f>
        <v>0.76</v>
      </c>
      <c r="BA127" s="1">
        <f>IF(E127="","",(IF($E127="","",IF($E127="红弩箭",Boss参数!$B$80,IF($E127="J",Boss参数!$B$81,IFERROR(INDEX(角色面板!$H$18:$H$21,MATCH($E127,角色面板!$A$18:$A$21,0)),0)))+IF($B127&lt;=$AI127,Boss参数!$B$13,0)+MIN(30,$AM127)*Boss参数!$B$17+IF(AND($L127="LILYA_ULT",$X127&gt;=6),1,0)+IF(AND($Y127=1,$L127="LILYA_INSIGHT"),IF(MOD($AA127+1,3)=0,Boss参数!$B$83,Boss参数!$B$82),IF(AND($Y127=1,$L127="LILYA_FINISH"),Boss参数!$B$84,0))))-FC127*Boss参数!$B$90)</f>
        <v>2.4780000000000002</v>
      </c>
      <c r="BB127" s="1">
        <f>IF($E127="","",IFERROR(INDEX(角色面板!$M$18:$M$21,MATCH($E127,角色面板!$A$18:$A$21,0)),0)+$AW127*Boss参数!$B$12+IF($B127&lt;=$AG127,$AF127,0)+$EI127+IF($L127="LILYA_DIVE",IF($U127=1,IF($G127=1,0.3,IF($G127=2,0.4,0.5)),IF($U127=2,IF($G127=1,0.6,IF($G127=2,0.8,1)),0)),0)+$R127+IF(AND($E127="J",OR($L127="J_COUNTER",$L127="J_HARD")),Boss参数!$B$79,0)+IF(AND(OR(L127="J_COUNTER",L127="J_HARD"),FA127&gt;=Boss参数!$B$59),FA127*Boss参数!$B$40,0))</f>
        <v>1.2549999999999999</v>
      </c>
      <c r="BC127" s="1">
        <f>IF($E127="","",IFERROR(INDEX(角色面板!$K$18:$K$21,MATCH($E127,角色面板!$A$18:$A$21,0)),0)+IF($B127&lt;=$AH127,Boss参数!$B$46,0)+IF($E127="红弩箭",IF($U127=1,0.6,IF($U127=2,1.2,0))+$W127*0.06,0))-DI127*Boss参数!$B$23</f>
        <v>-0.7</v>
      </c>
      <c r="BD127" s="1">
        <f>IF($E127="","",IFERROR(INDEX(角色面板!$L$18:$L$21,MATCH($E127,角色面板!$A$18:$A$21,0)),0)+IF($B127&lt;=$AH127,Boss参数!$B$46,0)+IF($E127="J",$AL127*Boss参数!$B$16,0)+IF($E127="红弩箭",$X127*0.025,0)+IF(AND($L127="LILYA_ULT",$X127&gt;=6),1,0))-DI127*Boss参数!$B$23</f>
        <v>-0.3</v>
      </c>
      <c r="BE127" s="1">
        <f>IF($E127="","",IF($H127="洞知",IF($E127="红弩箭",$AO127*Boss参数!$B$15,0)+$AX127*Boss参数!$B$14,0))</f>
        <v>0.16</v>
      </c>
      <c r="BF127" s="1">
        <f t="shared" si="71"/>
        <v>0</v>
      </c>
      <c r="BG127" s="1">
        <f>IF($D127="",0,IF(AND($L127&lt;&gt;"LILYA_DIVE",$L127&lt;&gt;"LILYA_ULT",$L127&lt;&gt;"LILYA_INSIGHT",$L127&lt;&gt;"LILYA_FINISH",$L127&lt;&gt;"37_FOLLOW",$L127&lt;&gt;"RHI_ATTACK",$L127&lt;&gt;"RHI_BERRY",$L127&lt;&gt;"J_COUNTER",$L127&lt;&gt;"J_ULT"),$J127,0)+IF($L127="LILYA_DIVE",$J127+IF($U127=1,IF($G127=1,6,IF($G127=2,12,18)),IF($U127=2,IF($G127=1,12,IF($G127=2,24,36)),0)),0)+IF($L127="LILYA_ULT",$J127+IF($X127&gt;=6,18,0),0)+IF($L127="LILYA_INSIGHT",IF($Y127=1,IF(MOD($AA127+1,3)=0,32,15),0),0)+IF($L127="LILYA_FINISH",IF($Y127=1,50+2.5*$Z127,0),0)+IF($L127="37_FOLLOW",$J127,0)+IF($L127="RHI_ATTACK",$J127*IF($B127&lt;=$AJ127,2,1),0)+IF($L127="RHI_BERRY",15+1.5*$AV127,0)+IF($L127="J_COUNTER",$J127+$AD127*Boss参数!$B$39,0)+IF($L127="J_ULT",$J127+Boss参数!$B$45*MAX(0,$AE127+$AD127-Boss参数!$I$4),0)+$S127)</f>
        <v>8</v>
      </c>
      <c r="BH127" s="1">
        <f t="shared" si="72"/>
        <v>0</v>
      </c>
      <c r="BI127" s="1">
        <f>IF(E127="","",IF(DT127=1,1+Boss参数!$B$8+AV127*Boss参数!$B$19,1))</f>
        <v>1.5</v>
      </c>
      <c r="BJ127" s="1">
        <f>IF($I127="现实",Boss参数!$C$4,IF($I127="精神",Boss参数!$D$4,0))</f>
        <v>1000</v>
      </c>
      <c r="BK127" s="1">
        <f>IF($E127="","",MAX($AY127*Boss参数!$B$9,$AY127-$BJ127*(1-$BF127)))</f>
        <v>2517</v>
      </c>
      <c r="BL127" s="1">
        <f>MAX(0,Boss参数!$F$4+IF(DT127=0,Boss参数!$B$27,0)-EJ127)</f>
        <v>0.10000000000000003</v>
      </c>
      <c r="BM127" s="1">
        <f>Boss参数!$G$4+DU127-IF(Y127=1,Boss参数!$B$11,0)</f>
        <v>0.35</v>
      </c>
      <c r="BN127" s="1">
        <f>IF($E127="","",MAX(Boss参数!$B$10,1+IFERROR(INDEX(角色面板!$I$18:$I$21,MATCH($E127,角色面板!$A$18:$A$21,0)),0)+$BB127+Boss参数!$H$4-$BM127))</f>
        <v>1.9099999999999997</v>
      </c>
      <c r="BO127" s="1">
        <f>IF(E127="","",IF(OR(L127="J_COUNTER",L127="J_HARD"),MAX(0,1+INDEX(角色面板!$K$18:$K$21,MATCH(E127,角色面板!$A$18:$A$21,0))-DI127*Boss参数!$B$23+IF(OR(Boss参数!$B$43=1,L127="J_HARD"),IF(B127&lt;=AH127,Boss参数!$B$46,0),0)),MAX(0,IF(OR(H127="术法",L127="RHI_BERRY",AND(L127="37_FOLLOW",Boss参数!$B$31=1)),1+BC127,IF(H127="仪式",1+BD127,IF(H127="洞知",EK127,1))))))</f>
        <v>1.56</v>
      </c>
      <c r="BP127" s="1">
        <f t="shared" si="73"/>
        <v>2.3780000000000001</v>
      </c>
      <c r="BQ127" s="1">
        <f t="shared" si="74"/>
        <v>89995.838399999979</v>
      </c>
      <c r="BR127" s="1">
        <f t="shared" si="75"/>
        <v>214010.10371519995</v>
      </c>
      <c r="BS127" s="1">
        <f>IF(BH127=0,0,ROUNDDOWN(AY127*BH127,0)*DV127*IF(Boss参数!$B$29=1,BN127,1)*IF(Boss参数!$B$33=1,BO127,1)*IF(Boss参数!$B$76=1,1-ES127,1))</f>
        <v>0</v>
      </c>
      <c r="BT127" s="1">
        <f t="shared" si="76"/>
        <v>0</v>
      </c>
      <c r="BU127" s="1">
        <f>IF(D127="",0,MIN(IF(Boss参数!$B$77=1,Boss参数!$B$63*Boss参数!$B$62,Boss参数!$B$61*Boss参数!$B$62),DW127+ROUNDDOWN(BS127,0)+ROUNDDOWN(DW127*Q127,0)))</f>
        <v>31498</v>
      </c>
      <c r="BV127" s="1">
        <f>IF(D127="",0,MIN(IF(Boss参数!$B$77=1,Boss参数!$B$63*Boss参数!$B$62,Boss参数!$B$61*Boss参数!$B$62),DX127+ROUNDDOWN(BT127,0)+ROUNDDOWN(DX127*Q127,0)))</f>
        <v>74903</v>
      </c>
      <c r="BW127" s="1">
        <f t="shared" si="77"/>
        <v>64485</v>
      </c>
      <c r="BX127" s="1" t="str">
        <f t="shared" si="78"/>
        <v/>
      </c>
      <c r="BY127" s="1">
        <f t="shared" si="79"/>
        <v>2</v>
      </c>
      <c r="BZ127" s="1">
        <f t="shared" si="80"/>
        <v>1</v>
      </c>
      <c r="CA127" s="1">
        <f>MIN(10,W127+IF(AND(L127="LILYA_COBRA",COUNTIF($L$3:L127,"LILYA_COBRA")=1),5,0)+IF(AND(L127="LILYA_DIVE",U127=1,COUNTIFS($DG$3:DG127,DG127,$L$3:L127,"LILYA_DIVE")=1),2,0)+IF(AND(FE127=1,U127=1),3,0))</f>
        <v>10</v>
      </c>
      <c r="CB127" s="1">
        <f>MIN(20,MAX(0,X127+IF(L127="LILYA_COBRA",IF(COUNTIF($L$3:L127,"LILYA_COBRA")=1,6,IF(U127=1,MAX(1,G127),IF(U127=2,2*MAX(1,G127),0))),0)+IF(AND(Y127=1,E127="红弩箭",L127&lt;&gt;"ENTER_INSIGHT"),1,0)-IF(AND(L127="LILYA_ULT",X127&gt;=6),6,0)))</f>
        <v>12</v>
      </c>
      <c r="CC127" s="1">
        <f t="shared" si="81"/>
        <v>1</v>
      </c>
      <c r="CD127" s="1">
        <f t="shared" si="82"/>
        <v>15</v>
      </c>
      <c r="CE127" s="1">
        <f t="shared" si="83"/>
        <v>10</v>
      </c>
      <c r="CF127" s="1">
        <f t="shared" si="84"/>
        <v>10</v>
      </c>
      <c r="CG127" s="1">
        <f t="shared" si="85"/>
        <v>1</v>
      </c>
      <c r="CH127" s="1">
        <f>MIN(35,AD127+IF(L127="J_HARD",6,0)+IF(L127="J_COUNTER",Boss参数!$B$30,0))</f>
        <v>35</v>
      </c>
      <c r="CI127" s="1">
        <f>MIN(Boss参数!$I$4,AE127+IF(L127="J_HARD",6,0)+IF(L127="J_ULT",AD127,0)+IF(L127="J_COUNTER",Boss参数!$B$30,0))</f>
        <v>15</v>
      </c>
      <c r="CJ127" s="1">
        <f>IF(L127="J_ULT",AD127*Boss参数!$B$41,IF(B127&lt;=AG127,AF127,0))</f>
        <v>0.875</v>
      </c>
      <c r="CK127" s="1">
        <f t="shared" si="86"/>
        <v>9</v>
      </c>
      <c r="CL127" s="1">
        <f t="shared" si="87"/>
        <v>9</v>
      </c>
      <c r="CM127" s="1">
        <f t="shared" si="88"/>
        <v>8</v>
      </c>
      <c r="CN127" s="1">
        <f t="shared" si="89"/>
        <v>9</v>
      </c>
      <c r="CO127" s="1">
        <f t="shared" si="90"/>
        <v>8</v>
      </c>
      <c r="CP127" s="1">
        <f t="shared" si="91"/>
        <v>3</v>
      </c>
      <c r="CQ127" s="1">
        <f t="shared" si="92"/>
        <v>30</v>
      </c>
      <c r="CR127" s="1">
        <f t="shared" si="93"/>
        <v>9</v>
      </c>
      <c r="CS127" s="1">
        <f t="shared" si="94"/>
        <v>15</v>
      </c>
      <c r="CT127" s="1">
        <f t="shared" si="95"/>
        <v>0.12</v>
      </c>
      <c r="CU127" s="1">
        <f t="shared" si="96"/>
        <v>9</v>
      </c>
      <c r="CV127" s="1">
        <f t="shared" si="97"/>
        <v>0.3</v>
      </c>
      <c r="CW127" s="1">
        <f t="shared" si="98"/>
        <v>9</v>
      </c>
      <c r="CX127" s="1">
        <f t="shared" si="99"/>
        <v>0.3</v>
      </c>
      <c r="CY127" s="1">
        <f t="shared" si="100"/>
        <v>9</v>
      </c>
      <c r="CZ127" s="1"/>
      <c r="DA127" s="1"/>
      <c r="DB127" s="1"/>
      <c r="DC127" s="1"/>
      <c r="DD127" s="1"/>
      <c r="DE127" s="1"/>
      <c r="DF127" s="1"/>
      <c r="DG127" s="1" t="str">
        <f>IF(D127="","",行动模拟!B133)</f>
        <v>洞知2</v>
      </c>
      <c r="DH127" s="1" t="str">
        <f>IF(L127="END_TURN","回合结束",IF(D127="","",IF(INDEX(回合状态!$C$7:$C$17,MATCH(DG127,回合状态!$A$7:$A$17,0))="洞穿","洞穿",IF(OR(L127="J_COUNTER",L127="BOSS_ACTION",L127="BOSS_CONSERVATIVE"),"敌方",IF(AND(L127="37_FOLLOW",DG127=DG126,DH126="敌方"),"敌方",IF(INDEX(回合状态!$C$7:$C$17,MATCH(DG127,回合状态!$A$7:$A$17,0))="普通","出牌",INDEX(回合状态!$C$7:$C$17,MATCH(DG127,回合状态!$A$7:$A$17,0))))))))</f>
        <v>洞穿</v>
      </c>
      <c r="DI127" s="1">
        <f t="shared" si="101"/>
        <v>4</v>
      </c>
      <c r="DJ127" s="1">
        <f>IF(D127="",0,MIN(Boss参数!$B$25,IF(OR(AND(DH127="敌方",OR(DH126&lt;&gt;"敌方",DG127&lt;&gt;DG126)),AND(L127="END_TURN",DH127&lt;&gt;"洞穿"),AND(DG127&lt;&gt;DG126,DH126&lt;&gt;"洞穿",L126&lt;&gt;"END_TURN",COUNTIFS($DG$3:DG126,DG126,$DH$3:DH126,"敌方")=0)),EW127,DN126)))</f>
        <v>0</v>
      </c>
      <c r="DK127" s="1">
        <f>IF(D127="",0,MIN(Boss参数!$B$25,IF(OR(AND(DH127="敌方",OR(DH126&lt;&gt;"敌方",DG127&lt;&gt;DG126)),AND(L127="END_TURN",DH127&lt;&gt;"洞穿"),AND(DG127&lt;&gt;DG126,DH126&lt;&gt;"洞穿",L126&lt;&gt;"END_TURN",COUNTIFS($DG$3:DG126,DG126,$DH$3:DH126,"敌方")=0)),EW127,DO126)))</f>
        <v>4</v>
      </c>
      <c r="DL127" s="1">
        <f>IF(D127="",0,MIN(Boss参数!$B$25,IF(OR(AND(DH127="敌方",OR(DH126&lt;&gt;"敌方",DG127&lt;&gt;DG126)),AND(L127="END_TURN",DH127&lt;&gt;"洞穿"),AND(DG127&lt;&gt;DG126,DH126&lt;&gt;"洞穿",L126&lt;&gt;"END_TURN",COUNTIFS($DG$3:DG126,DG126,$DH$3:DH126,"敌方")=0)),EW127,DP126)))</f>
        <v>5</v>
      </c>
      <c r="DM127" s="1">
        <f>IF(D127="",0,MIN(Boss参数!$B$25,IF(OR(AND(DH127="敌方",OR(DH126&lt;&gt;"敌方",DG127&lt;&gt;DG126)),AND(L127="END_TURN",DH127&lt;&gt;"洞穿"),AND(DG127&lt;&gt;DG126,DH126&lt;&gt;"洞穿",L126&lt;&gt;"END_TURN",COUNTIFS($DG$3:DG126,DG126,$DH$3:DH126,"敌方")=0)),EW127,DQ126)))</f>
        <v>5</v>
      </c>
      <c r="DN127" s="1">
        <f>MAX(0,MIN(Boss参数!$B$25,DJ127+DR127)-IF(E127="红弩箭",2*DR127,0))</f>
        <v>1</v>
      </c>
      <c r="DO127" s="1">
        <f>MAX(0,MIN(Boss参数!$B$25,DK127+DR127)-IF(E127="37",2*DR127,0))</f>
        <v>3</v>
      </c>
      <c r="DP127" s="1">
        <f>MAX(0,MIN(Boss参数!$B$25,DL127+DR127)-IF(E127="小瑞安侬",2*DR127,0))</f>
        <v>5</v>
      </c>
      <c r="DQ127" s="1">
        <f>MAX(0,MIN(Boss参数!$B$25,DM127+DR127)-IF(E127="J",2*DR127,0))</f>
        <v>5</v>
      </c>
      <c r="DR127" s="1">
        <f t="shared" si="102"/>
        <v>1</v>
      </c>
      <c r="DS127" s="1">
        <f t="shared" si="103"/>
        <v>1</v>
      </c>
      <c r="DT127" s="1">
        <f>IF(OR(E127="",E127="系统"),0,IF(OR(AND(DS127=1,Boss参数!$B$32=1),L127="RHI_BERRY",OR(AND(INDEX(角色面板!$B$18:$B$21,MATCH(E127,角色面板!$A$18:$A$21,0))="星",Boss参数!$B$4="岩"),AND(INDEX(角色面板!$B$18:$B$21,MATCH(E127,角色面板!$A$18:$A$21,0))="岩",Boss参数!$B$4="兽"),AND(INDEX(角色面板!$B$18:$B$21,MATCH(E127,角色面板!$A$18:$A$21,0))="兽",Boss参数!$B$4="木"),AND(INDEX(角色面板!$B$18:$B$21,MATCH(E127,角色面板!$A$18:$A$21,0))="木",Boss参数!$B$4="星"),AND(INDEX(角色面板!$B$18:$B$21,MATCH(E127,角色面板!$A$18:$A$21,0))="智",Boss参数!$B$4="灵"),AND(INDEX(角色面板!$B$18:$B$21,MATCH(E127,角色面板!$A$18:$A$21,0))="灵",Boss参数!$B$4="智"))),1,0))</f>
        <v>1</v>
      </c>
      <c r="DU127" s="1">
        <f>IF(D127="",0,INDEX(回合状态!$E$7:$E$17,MATCH(DG127,回合状态!$A$7:$A$17,0))+IF(AND(DH127="敌方",OR(INDEX(回合状态!$C$7:$C$17,MATCH(DG127,回合状态!$A$7:$A$17,0))="普通",INDEX(回合状态!$C$7:$C$17,MATCH(DG127,回合状态!$A$7:$A$17,0))="额外")),0.05,0))</f>
        <v>0.35</v>
      </c>
      <c r="DV127" s="1">
        <f>MAX(Boss参数!$B$28,1+IF(AND(E127="37",AC127&gt;0,BH127&gt;0),Boss参数!$B$42,0)-DI127*Boss参数!$B$24+EA127-ER127)</f>
        <v>0</v>
      </c>
      <c r="DW127" s="1">
        <f>MIN(IF(Boss参数!$B$77=1,Boss参数!$B$63*Boss参数!$B$62,Boss参数!$B$61*Boss参数!$B$62),ROUNDDOWN(BQ127*(1-ES127),0))</f>
        <v>31498</v>
      </c>
      <c r="DX127" s="1">
        <f>MIN(IF(Boss参数!$B$77=1,Boss参数!$B$63*Boss参数!$B$62,Boss参数!$B$61*Boss参数!$B$62),ROUNDDOWN(BR127*(1-ES127),0))</f>
        <v>74903</v>
      </c>
      <c r="DY127" s="1">
        <f t="shared" si="135"/>
        <v>250</v>
      </c>
      <c r="DZ127" s="1">
        <f>IF(L127="RHI_ULT",MIN(Boss参数!$B$48,ROUNDDOWN(AY127*Boss参数!$B$47,0)),DY127)</f>
        <v>250</v>
      </c>
      <c r="EA127" s="1">
        <v>0</v>
      </c>
      <c r="EB127" s="1">
        <f t="shared" si="104"/>
        <v>0</v>
      </c>
      <c r="EC127" s="1">
        <f>SUMIFS($EB$3:EB127,$B$3:B127,"&gt;="&amp;MAX(1,B127-2),$B$3:B127,"&lt;="&amp;B127)*Boss参数!$B$51</f>
        <v>12</v>
      </c>
      <c r="ED127" s="1">
        <f>IF(D127="",EG126,IF(AND(DG127&lt;&gt;DG126,DH127&lt;&gt;"洞穿"),MIN(Boss参数!$B$55,EG126+2),EG126))</f>
        <v>0</v>
      </c>
      <c r="EE127" s="1">
        <f t="shared" si="105"/>
        <v>0</v>
      </c>
      <c r="EF127" s="1">
        <f>IF(AND(OR(L127="END_TURN",AND(DH127="敌方",OR(DH126&lt;&gt;"敌方",DG127&lt;&gt;DG126))),SUMIFS($EF$3:EF126,$DG$3:DG126,DG127)=0),MIN(1,MAX(0,ED127-EE127)),0)</f>
        <v>0</v>
      </c>
      <c r="EG127" s="1">
        <f t="shared" si="106"/>
        <v>0</v>
      </c>
      <c r="EH127" s="1">
        <f>Boss参数!$B$53-IF(Y127=1,Boss参数!$B$54,0)</f>
        <v>-0.4</v>
      </c>
      <c r="EI127" s="1">
        <f t="shared" si="107"/>
        <v>0.3</v>
      </c>
      <c r="EJ127" s="1">
        <f t="shared" si="108"/>
        <v>0.3</v>
      </c>
      <c r="EK127" s="1">
        <f t="shared" si="109"/>
        <v>1.56</v>
      </c>
      <c r="EL127" s="1">
        <f t="shared" si="136"/>
        <v>0</v>
      </c>
      <c r="EM127" s="1">
        <f>IF(AND(DG127&lt;&gt;DG126,DH127="洞穿"),0,IF(L127="ENTER_INSIGHT",Boss参数!$B$57,EO126))</f>
        <v>0</v>
      </c>
      <c r="EN127" s="1">
        <f>IF(AND(Y127=1,H127="洞知",EM127&gt;0),Boss参数!$B$56,0)</f>
        <v>0</v>
      </c>
      <c r="EO127" s="1">
        <f t="shared" si="110"/>
        <v>1</v>
      </c>
      <c r="EP127" s="1">
        <f t="shared" si="137"/>
        <v>20309432</v>
      </c>
      <c r="EQ127" s="1">
        <f>ROUNDDOWN(EP127/Boss参数!$B$62,0)</f>
        <v>203</v>
      </c>
      <c r="ER127" s="1">
        <f>IF(EQ127&gt;=Boss参数!$B$66,Boss参数!$B$69,IF(EQ127&gt;=Boss参数!$B$65,Boss参数!$B$68,IF(EQ127&gt;=Boss参数!$B$64,Boss参数!$B$67,0)))</f>
        <v>0.9</v>
      </c>
      <c r="ES127" s="1">
        <f>MIN(1,IF(EQ127&gt;=Boss参数!$B$66,Boss参数!$B$72+ROUNDDOWN((EQ127-Boss参数!$B$66)/Boss参数!$B$73,0)*Boss参数!$B$74,IF(EQ127&gt;=Boss参数!$B$65,Boss参数!$B$71,IF(EQ127&gt;=Boss参数!$B$64,Boss参数!$B$70,0))))</f>
        <v>0.65</v>
      </c>
      <c r="ET127" s="1">
        <f>MIN(Boss参数!$B$61*Boss参数!$B$62,EP127+IF(AND(Boss参数!$B$60=1,ISNUMBER(验证表!H133)),验证表!H133,EU127))</f>
        <v>20340930</v>
      </c>
      <c r="EU127" s="1">
        <f>IF(D127="",0,IF(验证表!G133="是",BV127,IF(验证表!G133="否",BU127,BW127)))</f>
        <v>31498</v>
      </c>
      <c r="EV127" s="1">
        <f>IF(EQ127&gt;=Boss参数!$B$66,2,IF(EQ127&gt;=Boss参数!$B$65,1,0))</f>
        <v>2</v>
      </c>
      <c r="EW127" s="1">
        <f t="shared" si="111"/>
        <v>3</v>
      </c>
      <c r="EX127" s="1">
        <f>IF(D127="",0,INDEX(回合状态!$D$7:$D$17,MATCH(DG127,回合状态!$A$7:$A$17,0)))</f>
        <v>8</v>
      </c>
      <c r="EY127" s="1">
        <f>IF(OR(L127="RHI_ATTACK",L127="RHI_BUFF"),1,IF(L127="RHI_ULT",Boss参数!$B$52,0))</f>
        <v>0</v>
      </c>
      <c r="EZ127" s="1">
        <f>MIN(6,SUMIFS($EY$3:EY127,$EX$3:EX127,"&gt;="&amp;MAX(1,EX127-Boss参数!$B$87+1),$EX$3:EX127,"&lt;="&amp;EX127))</f>
        <v>4</v>
      </c>
      <c r="FA127" s="1">
        <f t="shared" si="138"/>
        <v>35</v>
      </c>
      <c r="FB127" s="17">
        <f>IF(L127="BOSS_CONSERVATIVE",B127+Boss参数!$B$91,FB126)</f>
        <v>7</v>
      </c>
      <c r="FC127" s="17">
        <f t="shared" si="139"/>
        <v>0</v>
      </c>
      <c r="FD127" s="17">
        <f>IF(D127="",FD126,FD126+IF(AND(DG127&lt;&gt;DG126,INDEX(回合状态!$C$7:$C$17,MATCH(DG127,回合状态!$A$7:$A$17,0))&lt;&gt;"洞穿"),1,0))</f>
        <v>8</v>
      </c>
      <c r="FE127" s="17">
        <f>IF(D127="",0,IF(AND(OR(L127="END_TURN",DH127="敌方"),INDEX(回合状态!$C$7:$C$17,MATCH(DG127,回合状态!$A$7:$A$17,0))&lt;&gt;"洞穿",SUMIFS($FE$3:FE126,$DG$3:DG126,DG127)=0),1,0))</f>
        <v>0</v>
      </c>
    </row>
    <row r="128" spans="1:161" ht="84.95" customHeight="1">
      <c r="A128" s="1">
        <f>行动模拟!A134</f>
        <v>126</v>
      </c>
      <c r="B128" s="1">
        <f>IF(D128="",0,INDEX(回合状态!$B$7:$B$17,MATCH(DG128,回合状态!$A$7:$A$17,0)))</f>
        <v>7</v>
      </c>
      <c r="C128" s="1">
        <f>行动模拟!C134</f>
        <v>16</v>
      </c>
      <c r="D128" s="1" t="str">
        <f>IF(行动模拟!D134="","",行动模拟!D134)</f>
        <v>37｜洞知咒语</v>
      </c>
      <c r="E128" s="1" t="str">
        <f>IF($D128="","",IFERROR(INDEX(技能数据库!$B$4:$B$38,MATCH($D128,技能数据库!$A$4:$A$38,0)),""))</f>
        <v>37</v>
      </c>
      <c r="F128" s="1" t="str">
        <f>IF($D128="","",IFERROR(INDEX(技能数据库!$C$4:$C$38,MATCH($D128,技能数据库!$A$4:$A$38,0)),""))</f>
        <v>洞知咒语</v>
      </c>
      <c r="G128" s="1">
        <f>IF($D128="","",IFERROR(INDEX(技能数据库!$D$4:$D$38,MATCH($D128,技能数据库!$A$4:$A$38,0)),""))</f>
        <v>0</v>
      </c>
      <c r="H128" s="1" t="str">
        <f>IF($D128="","",IFERROR(INDEX(技能数据库!$E$4:$E$38,MATCH($D128,技能数据库!$A$4:$A$38,0)),""))</f>
        <v>洞知</v>
      </c>
      <c r="I128" s="1" t="str">
        <f>IF($D128="","",IFERROR(INDEX(技能数据库!$F$4:$F$38,MATCH($D128,技能数据库!$A$4:$A$38,0)),""))</f>
        <v>精神</v>
      </c>
      <c r="J128" s="1">
        <f>IF($D128="","",IFERROR(INDEX(技能数据库!$G$4:$G$38,MATCH($D128,技能数据库!$A$4:$A$38,0)),""))</f>
        <v>8</v>
      </c>
      <c r="K128" s="1">
        <f>IF($D128="","",IFERROR(INDEX(技能数据库!$H$4:$H$38,MATCH($D128,技能数据库!$A$4:$A$38,0)),""))</f>
        <v>0</v>
      </c>
      <c r="L128" s="1" t="str">
        <f>IF($D128="","",IFERROR(INDEX(技能数据库!$I$4:$I$38,MATCH($D128,技能数据库!$A$4:$A$38,0)),""))</f>
        <v>37_INSIGHT</v>
      </c>
      <c r="M128" s="1">
        <v>1</v>
      </c>
      <c r="N128" s="1"/>
      <c r="O128" s="1"/>
      <c r="P128" s="1"/>
      <c r="Q128" s="1">
        <f t="shared" si="70"/>
        <v>0.4</v>
      </c>
      <c r="R128" s="1">
        <v>0</v>
      </c>
      <c r="S128" s="1">
        <v>0</v>
      </c>
      <c r="T128" s="1" t="str">
        <f>行动模拟!I134</f>
        <v>原G列数值属于稳态附加，移至H列；实测总伤不变</v>
      </c>
      <c r="U128" s="1">
        <f>IF(FD128&lt;&gt;FD127,IF(BY127=1,IF(MIN(10,CA127+IF(AND(DG128&lt;&gt;DG127,DH127&lt;&gt;"洞穿",SUMIFS($FE$3:FE127,$DG$3:DG127,DG127)=0,BY127=1),3,0))&gt;=10,2,1),IF(BY127=2,IF(BZ127&lt;=1,0,2),0)),BY127)</f>
        <v>2</v>
      </c>
      <c r="V128" s="1">
        <f>IF(FD128&lt;&gt;FD127,IF(BY127=1,IF(MIN(10,CA127+IF(AND(DG128&lt;&gt;DG127,DH127&lt;&gt;"洞穿",SUMIFS($FE$3:FE127,$DG$3:DG127,DG127)=0,BY127=1),3,0))&gt;=10,2,0),IF(BY127=2,MAX(0,BZ127-1),0)),BZ127)</f>
        <v>1</v>
      </c>
      <c r="W128" s="1">
        <f>IF(AND(FD128&lt;&gt;FD127,BY127=2,BZ127&lt;=1),0,MIN(10,CA127+IF(AND(DG128&lt;&gt;DG127,DH127&lt;&gt;"洞穿",SUMIFS($FE$3:FE127,$DG$3:DG127,DG127)=0,BY127=1),3,0)))</f>
        <v>10</v>
      </c>
      <c r="X128" s="1">
        <f t="shared" si="112"/>
        <v>12</v>
      </c>
      <c r="Y128" s="1">
        <f t="shared" si="113"/>
        <v>1</v>
      </c>
      <c r="Z128" s="1">
        <f t="shared" si="114"/>
        <v>15</v>
      </c>
      <c r="AA128" s="1">
        <f t="shared" si="115"/>
        <v>10</v>
      </c>
      <c r="AB128" s="1">
        <f t="shared" si="116"/>
        <v>10</v>
      </c>
      <c r="AC128" s="1">
        <f t="shared" si="117"/>
        <v>1</v>
      </c>
      <c r="AD128" s="1">
        <f t="shared" si="118"/>
        <v>35</v>
      </c>
      <c r="AE128" s="1">
        <f>IF(D128="",0,IF(DG128&lt;&gt;DG127,IFERROR(INDEX(回合状态!$F$7:$F$17,MATCH(DG128,回合状态!$A$7:$A$17,0)),0),CI127))</f>
        <v>15</v>
      </c>
      <c r="AF128" s="1">
        <f t="shared" si="119"/>
        <v>0.875</v>
      </c>
      <c r="AG128" s="1">
        <f t="shared" si="120"/>
        <v>9</v>
      </c>
      <c r="AH128" s="1">
        <f t="shared" si="121"/>
        <v>9</v>
      </c>
      <c r="AI128" s="1">
        <f t="shared" si="122"/>
        <v>8</v>
      </c>
      <c r="AJ128" s="1">
        <f t="shared" si="123"/>
        <v>9</v>
      </c>
      <c r="AK128" s="1">
        <f t="shared" si="124"/>
        <v>8</v>
      </c>
      <c r="AL128" s="1">
        <f t="shared" si="125"/>
        <v>3</v>
      </c>
      <c r="AM128" s="1">
        <f t="shared" si="126"/>
        <v>30</v>
      </c>
      <c r="AN128" s="1">
        <f t="shared" si="127"/>
        <v>9</v>
      </c>
      <c r="AO128" s="1">
        <f t="shared" si="128"/>
        <v>15</v>
      </c>
      <c r="AP128" s="1">
        <f t="shared" si="129"/>
        <v>0.12</v>
      </c>
      <c r="AQ128" s="1">
        <f t="shared" si="130"/>
        <v>9</v>
      </c>
      <c r="AR128" s="1">
        <f t="shared" si="131"/>
        <v>0.3</v>
      </c>
      <c r="AS128" s="1">
        <f t="shared" si="132"/>
        <v>9</v>
      </c>
      <c r="AT128" s="1">
        <f t="shared" si="133"/>
        <v>0.3</v>
      </c>
      <c r="AU128" s="1">
        <f t="shared" si="134"/>
        <v>9</v>
      </c>
      <c r="AV128" s="1">
        <f>MIN(5,SUMIFS($EL$3:EL128,$B$3:B128,"&gt;="&amp;MAX(1,B128-2),$B$3:B128,"&lt;="&amp;B128)+EC128)</f>
        <v>5</v>
      </c>
      <c r="AW128" s="1">
        <f>MIN(6,SUMIFS($EY$3:EY127,$EX$3:EX127,"&gt;="&amp;MAX(1,EX128-Boss参数!$B$87+1),$EX$3:EX127,"&lt;="&amp;EX128))</f>
        <v>4</v>
      </c>
      <c r="AX128" s="1">
        <f>MIN(4,COUNTIFS($B$3:$B$127,"&gt;="&amp;MAX(1,$B128-2),$B$3:$B$127,"&lt;="&amp;$B128,$L$3:$L$127,"37_FOLLOW"))</f>
        <v>4</v>
      </c>
      <c r="AY128" s="1">
        <f>IF($E128="","",IF($E128="系统",0,ROUNDDOWN(INDEX(角色面板!$C$4:$C$7,MATCH($E128,角色面板!$A$4:$A$7,0))*(1+INDEX(角色面板!$C$11:$C$14,MATCH($E128,角色面板!$A$11:$A$14,0))+IF($E128="小瑞安侬",MAX(IF($B128&lt;=$AQ128,$AP128,0),IF(AND($L128="RHI_ATTACK",$EE128&gt;0),0.11+0.01*$G128,0)),0)+IF($E128="J",$AD128*Boss参数!$B$18,0))+IF(FD128&lt;=$AN128,MIN(Boss参数!$B$21,ROUNDDOWN(角色面板!$C$19*Boss参数!$B$20,0)),0)+IF(AND($B128&lt;=$AK128,$E128&lt;&gt;"小瑞安侬"),$DY128,0),0)))</f>
        <v>3517</v>
      </c>
      <c r="AZ128" s="1">
        <f>IF($E128="","",MAX(0,MIN(1,IFERROR(INDEX(角色面板!$G$18:$G$21,MATCH($E128,角色面板!$A$18:$A$21,0)),0)-FC128*Boss参数!$B$89-Boss参数!$E$4)))</f>
        <v>0.76</v>
      </c>
      <c r="BA128" s="1">
        <f>IF(E128="","",(IF($E128="","",IF($E128="红弩箭",Boss参数!$B$80,IF($E128="J",Boss参数!$B$81,IFERROR(INDEX(角色面板!$H$18:$H$21,MATCH($E128,角色面板!$A$18:$A$21,0)),0)))+IF($B128&lt;=$AI128,Boss参数!$B$13,0)+MIN(30,$AM128)*Boss参数!$B$17+IF(AND($L128="LILYA_ULT",$X128&gt;=6),1,0)+IF(AND($Y128=1,$L128="LILYA_INSIGHT"),IF(MOD($AA128+1,3)=0,Boss参数!$B$83,Boss参数!$B$82),IF(AND($Y128=1,$L128="LILYA_FINISH"),Boss参数!$B$84,0))))-FC128*Boss参数!$B$90)</f>
        <v>2.4780000000000002</v>
      </c>
      <c r="BB128" s="1">
        <f>IF($E128="","",IFERROR(INDEX(角色面板!$M$18:$M$21,MATCH($E128,角色面板!$A$18:$A$21,0)),0)+$AW128*Boss参数!$B$12+IF($B128&lt;=$AG128,$AF128,0)+$EI128+IF($L128="LILYA_DIVE",IF($U128=1,IF($G128=1,0.3,IF($G128=2,0.4,0.5)),IF($U128=2,IF($G128=1,0.6,IF($G128=2,0.8,1)),0)),0)+$R128+IF(AND($E128="J",OR($L128="J_COUNTER",$L128="J_HARD")),Boss参数!$B$79,0)+IF(AND(OR(L128="J_COUNTER",L128="J_HARD"),FA128&gt;=Boss参数!$B$59),FA128*Boss参数!$B$40,0))</f>
        <v>1.2549999999999999</v>
      </c>
      <c r="BC128" s="1">
        <f>IF($E128="","",IFERROR(INDEX(角色面板!$K$18:$K$21,MATCH($E128,角色面板!$A$18:$A$21,0)),0)+IF($B128&lt;=$AH128,Boss参数!$B$46,0)+IF($E128="红弩箭",IF($U128=1,0.6,IF($U128=2,1.2,0))+$W128*0.06,0))-DI128*Boss参数!$B$23</f>
        <v>-0.55000000000000004</v>
      </c>
      <c r="BD128" s="1">
        <f>IF($E128="","",IFERROR(INDEX(角色面板!$L$18:$L$21,MATCH($E128,角色面板!$A$18:$A$21,0)),0)+IF($B128&lt;=$AH128,Boss参数!$B$46,0)+IF($E128="J",$AL128*Boss参数!$B$16,0)+IF($E128="红弩箭",$X128*0.025,0)+IF(AND($L128="LILYA_ULT",$X128&gt;=6),1,0))-DI128*Boss参数!$B$23</f>
        <v>-0.14999999999999997</v>
      </c>
      <c r="BE128" s="1">
        <f>IF($E128="","",IF($H128="洞知",IF($E128="红弩箭",$AO128*Boss参数!$B$15,0)+$AX128*Boss参数!$B$14,0))</f>
        <v>0.16</v>
      </c>
      <c r="BF128" s="1">
        <f t="shared" si="71"/>
        <v>0</v>
      </c>
      <c r="BG128" s="1">
        <f>IF($D128="",0,IF(AND($L128&lt;&gt;"LILYA_DIVE",$L128&lt;&gt;"LILYA_ULT",$L128&lt;&gt;"LILYA_INSIGHT",$L128&lt;&gt;"LILYA_FINISH",$L128&lt;&gt;"37_FOLLOW",$L128&lt;&gt;"RHI_ATTACK",$L128&lt;&gt;"RHI_BERRY",$L128&lt;&gt;"J_COUNTER",$L128&lt;&gt;"J_ULT"),$J128,0)+IF($L128="LILYA_DIVE",$J128+IF($U128=1,IF($G128=1,6,IF($G128=2,12,18)),IF($U128=2,IF($G128=1,12,IF($G128=2,24,36)),0)),0)+IF($L128="LILYA_ULT",$J128+IF($X128&gt;=6,18,0),0)+IF($L128="LILYA_INSIGHT",IF($Y128=1,IF(MOD($AA128+1,3)=0,32,15),0),0)+IF($L128="LILYA_FINISH",IF($Y128=1,50+2.5*$Z128,0),0)+IF($L128="37_FOLLOW",$J128,0)+IF($L128="RHI_ATTACK",$J128*IF($B128&lt;=$AJ128,2,1),0)+IF($L128="RHI_BERRY",15+1.5*$AV128,0)+IF($L128="J_COUNTER",$J128+$AD128*Boss参数!$B$39,0)+IF($L128="J_ULT",$J128+Boss参数!$B$45*MAX(0,$AE128+$AD128-Boss参数!$I$4),0)+$S128)</f>
        <v>8</v>
      </c>
      <c r="BH128" s="1">
        <f t="shared" si="72"/>
        <v>0</v>
      </c>
      <c r="BI128" s="1">
        <f>IF(E128="","",IF(DT128=1,1+Boss参数!$B$8+AV128*Boss参数!$B$19,1))</f>
        <v>1.5</v>
      </c>
      <c r="BJ128" s="1">
        <f>IF($I128="现实",Boss参数!$C$4,IF($I128="精神",Boss参数!$D$4,0))</f>
        <v>1000</v>
      </c>
      <c r="BK128" s="1">
        <f>IF($E128="","",MAX($AY128*Boss参数!$B$9,$AY128-$BJ128*(1-$BF128)))</f>
        <v>2517</v>
      </c>
      <c r="BL128" s="1">
        <f>MAX(0,Boss参数!$F$4+IF(DT128=0,Boss参数!$B$27,0)-EJ128)</f>
        <v>0.10000000000000003</v>
      </c>
      <c r="BM128" s="1">
        <f>Boss参数!$G$4+DU128-IF(Y128=1,Boss参数!$B$11,0)</f>
        <v>0.35</v>
      </c>
      <c r="BN128" s="1">
        <f>IF($E128="","",MAX(Boss参数!$B$10,1+IFERROR(INDEX(角色面板!$I$18:$I$21,MATCH($E128,角色面板!$A$18:$A$21,0)),0)+$BB128+Boss参数!$H$4-$BM128))</f>
        <v>1.9099999999999997</v>
      </c>
      <c r="BO128" s="1">
        <f>IF(E128="","",IF(OR(L128="J_COUNTER",L128="J_HARD"),MAX(0,1+INDEX(角色面板!$K$18:$K$21,MATCH(E128,角色面板!$A$18:$A$21,0))-DI128*Boss参数!$B$23+IF(OR(Boss参数!$B$43=1,L128="J_HARD"),IF(B128&lt;=AH128,Boss参数!$B$46,0),0)),MAX(0,IF(OR(H128="术法",L128="RHI_BERRY",AND(L128="37_FOLLOW",Boss参数!$B$31=1)),1+BC128,IF(H128="仪式",1+BD128,IF(H128="洞知",EK128,1))))))</f>
        <v>1.56</v>
      </c>
      <c r="BP128" s="1">
        <f t="shared" si="73"/>
        <v>2.3780000000000001</v>
      </c>
      <c r="BQ128" s="1">
        <f t="shared" si="74"/>
        <v>89995.838399999979</v>
      </c>
      <c r="BR128" s="1">
        <f t="shared" si="75"/>
        <v>214010.10371519995</v>
      </c>
      <c r="BS128" s="1">
        <f>IF(BH128=0,0,ROUNDDOWN(AY128*BH128,0)*DV128*IF(Boss参数!$B$29=1,BN128,1)*IF(Boss参数!$B$33=1,BO128,1)*IF(Boss参数!$B$76=1,1-ES128,1))</f>
        <v>0</v>
      </c>
      <c r="BT128" s="1">
        <f t="shared" si="76"/>
        <v>0</v>
      </c>
      <c r="BU128" s="1">
        <f>IF(D128="",0,MIN(IF(Boss参数!$B$77=1,Boss参数!$B$63*Boss参数!$B$62,Boss参数!$B$61*Boss参数!$B$62),DW128+ROUNDDOWN(BS128,0)+ROUNDDOWN(DW128*Q128,0)))</f>
        <v>44097</v>
      </c>
      <c r="BV128" s="1">
        <f>IF(D128="",0,MIN(IF(Boss参数!$B$77=1,Boss参数!$B$63*Boss参数!$B$62,Boss参数!$B$61*Boss参数!$B$62),DX128+ROUNDDOWN(BT128,0)+ROUNDDOWN(DX128*Q128,0)))</f>
        <v>104864</v>
      </c>
      <c r="BW128" s="1">
        <f t="shared" si="77"/>
        <v>90279</v>
      </c>
      <c r="BX128" s="1" t="str">
        <f t="shared" si="78"/>
        <v/>
      </c>
      <c r="BY128" s="1">
        <f t="shared" si="79"/>
        <v>2</v>
      </c>
      <c r="BZ128" s="1">
        <f t="shared" si="80"/>
        <v>1</v>
      </c>
      <c r="CA128" s="1">
        <f>MIN(10,W128+IF(AND(L128="LILYA_COBRA",COUNTIF($L$3:L128,"LILYA_COBRA")=1),5,0)+IF(AND(L128="LILYA_DIVE",U128=1,COUNTIFS($DG$3:DG128,DG128,$L$3:L128,"LILYA_DIVE")=1),2,0)+IF(AND(FE128=1,U128=1),3,0))</f>
        <v>10</v>
      </c>
      <c r="CB128" s="1">
        <f>MIN(20,MAX(0,X128+IF(L128="LILYA_COBRA",IF(COUNTIF($L$3:L128,"LILYA_COBRA")=1,6,IF(U128=1,MAX(1,G128),IF(U128=2,2*MAX(1,G128),0))),0)+IF(AND(Y128=1,E128="红弩箭",L128&lt;&gt;"ENTER_INSIGHT"),1,0)-IF(AND(L128="LILYA_ULT",X128&gt;=6),6,0)))</f>
        <v>12</v>
      </c>
      <c r="CC128" s="1">
        <f t="shared" si="81"/>
        <v>1</v>
      </c>
      <c r="CD128" s="1">
        <f t="shared" si="82"/>
        <v>16</v>
      </c>
      <c r="CE128" s="1">
        <f t="shared" si="83"/>
        <v>10</v>
      </c>
      <c r="CF128" s="1">
        <f t="shared" si="84"/>
        <v>10</v>
      </c>
      <c r="CG128" s="1">
        <f t="shared" si="85"/>
        <v>1</v>
      </c>
      <c r="CH128" s="1">
        <f>MIN(35,AD128+IF(L128="J_HARD",6,0)+IF(L128="J_COUNTER",Boss参数!$B$30,0))</f>
        <v>35</v>
      </c>
      <c r="CI128" s="1">
        <f>MIN(Boss参数!$I$4,AE128+IF(L128="J_HARD",6,0)+IF(L128="J_ULT",AD128,0)+IF(L128="J_COUNTER",Boss参数!$B$30,0))</f>
        <v>15</v>
      </c>
      <c r="CJ128" s="1">
        <f>IF(L128="J_ULT",AD128*Boss参数!$B$41,IF(B128&lt;=AG128,AF128,0))</f>
        <v>0.875</v>
      </c>
      <c r="CK128" s="1">
        <f t="shared" si="86"/>
        <v>9</v>
      </c>
      <c r="CL128" s="1">
        <f t="shared" si="87"/>
        <v>9</v>
      </c>
      <c r="CM128" s="1">
        <f t="shared" si="88"/>
        <v>8</v>
      </c>
      <c r="CN128" s="1">
        <f t="shared" si="89"/>
        <v>9</v>
      </c>
      <c r="CO128" s="1">
        <f t="shared" si="90"/>
        <v>8</v>
      </c>
      <c r="CP128" s="1">
        <f t="shared" si="91"/>
        <v>3</v>
      </c>
      <c r="CQ128" s="1">
        <f t="shared" si="92"/>
        <v>30</v>
      </c>
      <c r="CR128" s="1">
        <f t="shared" si="93"/>
        <v>9</v>
      </c>
      <c r="CS128" s="1">
        <f t="shared" si="94"/>
        <v>16</v>
      </c>
      <c r="CT128" s="1">
        <f t="shared" si="95"/>
        <v>0.12</v>
      </c>
      <c r="CU128" s="1">
        <f t="shared" si="96"/>
        <v>9</v>
      </c>
      <c r="CV128" s="1">
        <f t="shared" si="97"/>
        <v>0.3</v>
      </c>
      <c r="CW128" s="1">
        <f t="shared" si="98"/>
        <v>9</v>
      </c>
      <c r="CX128" s="1">
        <f t="shared" si="99"/>
        <v>0.3</v>
      </c>
      <c r="CY128" s="1">
        <f t="shared" si="100"/>
        <v>9</v>
      </c>
      <c r="CZ128" s="1"/>
      <c r="DA128" s="1"/>
      <c r="DB128" s="1"/>
      <c r="DC128" s="1"/>
      <c r="DD128" s="1"/>
      <c r="DE128" s="1"/>
      <c r="DF128" s="1"/>
      <c r="DG128" s="1" t="str">
        <f>IF(D128="","",行动模拟!B134)</f>
        <v>洞知2</v>
      </c>
      <c r="DH128" s="1" t="str">
        <f>IF(L128="END_TURN","回合结束",IF(D128="","",IF(INDEX(回合状态!$C$7:$C$17,MATCH(DG128,回合状态!$A$7:$A$17,0))="洞穿","洞穿",IF(OR(L128="J_COUNTER",L128="BOSS_ACTION",L128="BOSS_CONSERVATIVE"),"敌方",IF(AND(L128="37_FOLLOW",DG128=DG127,DH127="敌方"),"敌方",IF(INDEX(回合状态!$C$7:$C$17,MATCH(DG128,回合状态!$A$7:$A$17,0))="普通","出牌",INDEX(回合状态!$C$7:$C$17,MATCH(DG128,回合状态!$A$7:$A$17,0))))))))</f>
        <v>洞穿</v>
      </c>
      <c r="DI128" s="1">
        <f t="shared" si="101"/>
        <v>3</v>
      </c>
      <c r="DJ128" s="1">
        <f>IF(D128="",0,MIN(Boss参数!$B$25,IF(OR(AND(DH128="敌方",OR(DH127&lt;&gt;"敌方",DG128&lt;&gt;DG127)),AND(L128="END_TURN",DH128&lt;&gt;"洞穿"),AND(DG128&lt;&gt;DG127,DH127&lt;&gt;"洞穿",L127&lt;&gt;"END_TURN",COUNTIFS($DG$3:DG127,DG127,$DH$3:DH127,"敌方")=0)),EW128,DN127)))</f>
        <v>1</v>
      </c>
      <c r="DK128" s="1">
        <f>IF(D128="",0,MIN(Boss参数!$B$25,IF(OR(AND(DH128="敌方",OR(DH127&lt;&gt;"敌方",DG128&lt;&gt;DG127)),AND(L128="END_TURN",DH128&lt;&gt;"洞穿"),AND(DG128&lt;&gt;DG127,DH127&lt;&gt;"洞穿",L127&lt;&gt;"END_TURN",COUNTIFS($DG$3:DG127,DG127,$DH$3:DH127,"敌方")=0)),EW128,DO127)))</f>
        <v>3</v>
      </c>
      <c r="DL128" s="1">
        <f>IF(D128="",0,MIN(Boss参数!$B$25,IF(OR(AND(DH128="敌方",OR(DH127&lt;&gt;"敌方",DG128&lt;&gt;DG127)),AND(L128="END_TURN",DH128&lt;&gt;"洞穿"),AND(DG128&lt;&gt;DG127,DH127&lt;&gt;"洞穿",L127&lt;&gt;"END_TURN",COUNTIFS($DG$3:DG127,DG127,$DH$3:DH127,"敌方")=0)),EW128,DP127)))</f>
        <v>5</v>
      </c>
      <c r="DM128" s="1">
        <f>IF(D128="",0,MIN(Boss参数!$B$25,IF(OR(AND(DH128="敌方",OR(DH127&lt;&gt;"敌方",DG128&lt;&gt;DG127)),AND(L128="END_TURN",DH128&lt;&gt;"洞穿"),AND(DG128&lt;&gt;DG127,DH127&lt;&gt;"洞穿",L127&lt;&gt;"END_TURN",COUNTIFS($DG$3:DG127,DG127,$DH$3:DH127,"敌方")=0)),EW128,DQ127)))</f>
        <v>5</v>
      </c>
      <c r="DN128" s="1">
        <f>MAX(0,MIN(Boss参数!$B$25,DJ128+DR128)-IF(E128="红弩箭",2*DR128,0))</f>
        <v>2</v>
      </c>
      <c r="DO128" s="1">
        <f>MAX(0,MIN(Boss参数!$B$25,DK128+DR128)-IF(E128="37",2*DR128,0))</f>
        <v>2</v>
      </c>
      <c r="DP128" s="1">
        <f>MAX(0,MIN(Boss参数!$B$25,DL128+DR128)-IF(E128="小瑞安侬",2*DR128,0))</f>
        <v>5</v>
      </c>
      <c r="DQ128" s="1">
        <f>MAX(0,MIN(Boss参数!$B$25,DM128+DR128)-IF(E128="J",2*DR128,0))</f>
        <v>5</v>
      </c>
      <c r="DR128" s="1">
        <f t="shared" si="102"/>
        <v>1</v>
      </c>
      <c r="DS128" s="1">
        <f t="shared" si="103"/>
        <v>1</v>
      </c>
      <c r="DT128" s="1">
        <f>IF(OR(E128="",E128="系统"),0,IF(OR(AND(DS128=1,Boss参数!$B$32=1),L128="RHI_BERRY",OR(AND(INDEX(角色面板!$B$18:$B$21,MATCH(E128,角色面板!$A$18:$A$21,0))="星",Boss参数!$B$4="岩"),AND(INDEX(角色面板!$B$18:$B$21,MATCH(E128,角色面板!$A$18:$A$21,0))="岩",Boss参数!$B$4="兽"),AND(INDEX(角色面板!$B$18:$B$21,MATCH(E128,角色面板!$A$18:$A$21,0))="兽",Boss参数!$B$4="木"),AND(INDEX(角色面板!$B$18:$B$21,MATCH(E128,角色面板!$A$18:$A$21,0))="木",Boss参数!$B$4="星"),AND(INDEX(角色面板!$B$18:$B$21,MATCH(E128,角色面板!$A$18:$A$21,0))="智",Boss参数!$B$4="灵"),AND(INDEX(角色面板!$B$18:$B$21,MATCH(E128,角色面板!$A$18:$A$21,0))="灵",Boss参数!$B$4="智"))),1,0))</f>
        <v>1</v>
      </c>
      <c r="DU128" s="1">
        <f>IF(D128="",0,INDEX(回合状态!$E$7:$E$17,MATCH(DG128,回合状态!$A$7:$A$17,0))+IF(AND(DH128="敌方",OR(INDEX(回合状态!$C$7:$C$17,MATCH(DG128,回合状态!$A$7:$A$17,0))="普通",INDEX(回合状态!$C$7:$C$17,MATCH(DG128,回合状态!$A$7:$A$17,0))="额外")),0.05,0))</f>
        <v>0.35</v>
      </c>
      <c r="DV128" s="1">
        <f>MAX(Boss参数!$B$28,1+IF(AND(E128="37",AC128&gt;0,BH128&gt;0),Boss参数!$B$42,0)-DI128*Boss参数!$B$24+EA128-ER128)</f>
        <v>0</v>
      </c>
      <c r="DW128" s="1">
        <f>MIN(IF(Boss参数!$B$77=1,Boss参数!$B$63*Boss参数!$B$62,Boss参数!$B$61*Boss参数!$B$62),ROUNDDOWN(BQ128*(1-ES128),0))</f>
        <v>31498</v>
      </c>
      <c r="DX128" s="1">
        <f>MIN(IF(Boss参数!$B$77=1,Boss参数!$B$63*Boss参数!$B$62,Boss参数!$B$61*Boss参数!$B$62),ROUNDDOWN(BR128*(1-ES128),0))</f>
        <v>74903</v>
      </c>
      <c r="DY128" s="1">
        <f t="shared" si="135"/>
        <v>250</v>
      </c>
      <c r="DZ128" s="1">
        <f>IF(L128="RHI_ULT",MIN(Boss参数!$B$48,ROUNDDOWN(AY128*Boss参数!$B$47,0)),DY128)</f>
        <v>250</v>
      </c>
      <c r="EA128" s="1">
        <v>0</v>
      </c>
      <c r="EB128" s="1">
        <f t="shared" si="104"/>
        <v>0</v>
      </c>
      <c r="EC128" s="1">
        <f>SUMIFS($EB$3:EB128,$B$3:B128,"&gt;="&amp;MAX(1,B128-2),$B$3:B128,"&lt;="&amp;B128)*Boss参数!$B$51</f>
        <v>12</v>
      </c>
      <c r="ED128" s="1">
        <f>IF(D128="",EG127,IF(AND(DG128&lt;&gt;DG127,DH128&lt;&gt;"洞穿"),MIN(Boss参数!$B$55,EG127+2),EG127))</f>
        <v>0</v>
      </c>
      <c r="EE128" s="1">
        <f t="shared" si="105"/>
        <v>0</v>
      </c>
      <c r="EF128" s="1">
        <f>IF(AND(OR(L128="END_TURN",AND(DH128="敌方",OR(DH127&lt;&gt;"敌方",DG128&lt;&gt;DG127))),SUMIFS($EF$3:EF127,$DG$3:DG127,DG128)=0),MIN(1,MAX(0,ED128-EE128)),0)</f>
        <v>0</v>
      </c>
      <c r="EG128" s="1">
        <f t="shared" si="106"/>
        <v>0</v>
      </c>
      <c r="EH128" s="1">
        <f>Boss参数!$B$53-IF(Y128=1,Boss参数!$B$54,0)</f>
        <v>-0.4</v>
      </c>
      <c r="EI128" s="1">
        <f t="shared" si="107"/>
        <v>0.3</v>
      </c>
      <c r="EJ128" s="1">
        <f t="shared" si="108"/>
        <v>0.3</v>
      </c>
      <c r="EK128" s="1">
        <f t="shared" si="109"/>
        <v>1.56</v>
      </c>
      <c r="EL128" s="1">
        <f t="shared" si="136"/>
        <v>0</v>
      </c>
      <c r="EM128" s="1">
        <f>IF(AND(DG128&lt;&gt;DG127,DH128="洞穿"),0,IF(L128="ENTER_INSIGHT",Boss参数!$B$57,EO127))</f>
        <v>1</v>
      </c>
      <c r="EN128" s="1">
        <f>IF(AND(Y128=1,H128="洞知",EM128&gt;0),Boss参数!$B$56,0)</f>
        <v>0.4</v>
      </c>
      <c r="EO128" s="1">
        <f t="shared" si="110"/>
        <v>1</v>
      </c>
      <c r="EP128" s="1">
        <f t="shared" si="137"/>
        <v>20340930</v>
      </c>
      <c r="EQ128" s="1">
        <f>ROUNDDOWN(EP128/Boss参数!$B$62,0)</f>
        <v>203</v>
      </c>
      <c r="ER128" s="1">
        <f>IF(EQ128&gt;=Boss参数!$B$66,Boss参数!$B$69,IF(EQ128&gt;=Boss参数!$B$65,Boss参数!$B$68,IF(EQ128&gt;=Boss参数!$B$64,Boss参数!$B$67,0)))</f>
        <v>0.9</v>
      </c>
      <c r="ES128" s="1">
        <f>MIN(1,IF(EQ128&gt;=Boss参数!$B$66,Boss参数!$B$72+ROUNDDOWN((EQ128-Boss参数!$B$66)/Boss参数!$B$73,0)*Boss参数!$B$74,IF(EQ128&gt;=Boss参数!$B$65,Boss参数!$B$71,IF(EQ128&gt;=Boss参数!$B$64,Boss参数!$B$70,0))))</f>
        <v>0.65</v>
      </c>
      <c r="ET128" s="1">
        <f>MIN(Boss参数!$B$61*Boss参数!$B$62,EP128+IF(AND(Boss参数!$B$60=1,ISNUMBER(验证表!H134)),验证表!H134,EU128))</f>
        <v>20445794</v>
      </c>
      <c r="EU128" s="1">
        <f>IF(D128="",0,IF(验证表!G134="是",BV128,IF(验证表!G134="否",BU128,BW128)))</f>
        <v>104864</v>
      </c>
      <c r="EV128" s="1">
        <f>IF(EQ128&gt;=Boss参数!$B$66,2,IF(EQ128&gt;=Boss参数!$B$65,1,0))</f>
        <v>2</v>
      </c>
      <c r="EW128" s="1">
        <f t="shared" si="111"/>
        <v>3</v>
      </c>
      <c r="EX128" s="1">
        <f>IF(D128="",0,INDEX(回合状态!$D$7:$D$17,MATCH(DG128,回合状态!$A$7:$A$17,0)))</f>
        <v>8</v>
      </c>
      <c r="EY128" s="1">
        <f>IF(OR(L128="RHI_ATTACK",L128="RHI_BUFF"),1,IF(L128="RHI_ULT",Boss参数!$B$52,0))</f>
        <v>0</v>
      </c>
      <c r="EZ128" s="1">
        <f>MIN(6,SUMIFS($EY$3:EY128,$EX$3:EX128,"&gt;="&amp;MAX(1,EX128-Boss参数!$B$87+1),$EX$3:EX128,"&lt;="&amp;EX128))</f>
        <v>4</v>
      </c>
      <c r="FA128" s="1">
        <f t="shared" si="138"/>
        <v>35</v>
      </c>
      <c r="FB128" s="17">
        <f>IF(L128="BOSS_CONSERVATIVE",B128+Boss参数!$B$91,FB127)</f>
        <v>7</v>
      </c>
      <c r="FC128" s="17">
        <f t="shared" si="139"/>
        <v>0</v>
      </c>
      <c r="FD128" s="17">
        <f>IF(D128="",FD127,FD127+IF(AND(DG128&lt;&gt;DG127,INDEX(回合状态!$C$7:$C$17,MATCH(DG128,回合状态!$A$7:$A$17,0))&lt;&gt;"洞穿"),1,0))</f>
        <v>8</v>
      </c>
      <c r="FE128" s="17">
        <f>IF(D128="",0,IF(AND(OR(L128="END_TURN",DH128="敌方"),INDEX(回合状态!$C$7:$C$17,MATCH(DG128,回合状态!$A$7:$A$17,0))&lt;&gt;"洞穿",SUMIFS($FE$3:FE127,$DG$3:DG127,DG128)=0),1,0))</f>
        <v>0</v>
      </c>
    </row>
    <row r="129" spans="1:161" ht="84.95" customHeight="1">
      <c r="A129" s="1">
        <f>行动模拟!A135</f>
        <v>127</v>
      </c>
      <c r="B129" s="1">
        <f>IF(D129="",0,INDEX(回合状态!$B$7:$B$17,MATCH(DG129,回合状态!$A$7:$A$17,0)))</f>
        <v>7</v>
      </c>
      <c r="C129" s="1">
        <f>行动模拟!C135</f>
        <v>17</v>
      </c>
      <c r="D129" s="1" t="str">
        <f>IF(行动模拟!D135="","",行动模拟!D135)</f>
        <v>红弩箭｜洞知终结</v>
      </c>
      <c r="E129" s="1" t="str">
        <f>IF($D129="","",IFERROR(INDEX(技能数据库!$B$4:$B$38,MATCH($D129,技能数据库!$A$4:$A$38,0)),""))</f>
        <v>红弩箭</v>
      </c>
      <c r="F129" s="1" t="str">
        <f>IF($D129="","",IFERROR(INDEX(技能数据库!$C$4:$C$38,MATCH($D129,技能数据库!$A$4:$A$38,0)),""))</f>
        <v>洞知终结</v>
      </c>
      <c r="G129" s="1">
        <f>IF($D129="","",IFERROR(INDEX(技能数据库!$D$4:$D$38,MATCH($D129,技能数据库!$A$4:$A$38,0)),""))</f>
        <v>0</v>
      </c>
      <c r="H129" s="1" t="str">
        <f>IF($D129="","",IFERROR(INDEX(技能数据库!$E$4:$E$38,MATCH($D129,技能数据库!$A$4:$A$38,0)),""))</f>
        <v>洞知</v>
      </c>
      <c r="I129" s="1" t="str">
        <f>IF($D129="","",IFERROR(INDEX(技能数据库!$F$4:$F$38,MATCH($D129,技能数据库!$A$4:$A$38,0)),""))</f>
        <v>现实</v>
      </c>
      <c r="J129" s="1">
        <f>IF($D129="","",IFERROR(INDEX(技能数据库!$G$4:$G$38,MATCH($D129,技能数据库!$A$4:$A$38,0)),""))</f>
        <v>50</v>
      </c>
      <c r="K129" s="1">
        <f>IF($D129="","",IFERROR(INDEX(技能数据库!$H$4:$H$38,MATCH($D129,技能数据库!$A$4:$A$38,0)),""))</f>
        <v>0</v>
      </c>
      <c r="L129" s="1" t="str">
        <f>IF($D129="","",IFERROR(INDEX(技能数据库!$I$4:$I$38,MATCH($D129,技能数据库!$A$4:$A$38,0)),""))</f>
        <v>LILYA_FINISH</v>
      </c>
      <c r="M129" s="1">
        <v>1</v>
      </c>
      <c r="N129" s="1"/>
      <c r="O129" s="1"/>
      <c r="P129" s="1"/>
      <c r="Q129" s="1">
        <f t="shared" si="70"/>
        <v>0.4</v>
      </c>
      <c r="R129" s="1">
        <v>0</v>
      </c>
      <c r="S129" s="1">
        <v>0</v>
      </c>
      <c r="T129" s="1" t="str">
        <f>行动模拟!I135</f>
        <v>原G列数值属于稳态附加，移至H列；实测总伤不变</v>
      </c>
      <c r="U129" s="1">
        <f>IF(FD129&lt;&gt;FD128,IF(BY128=1,IF(MIN(10,CA128+IF(AND(DG129&lt;&gt;DG128,DH128&lt;&gt;"洞穿",SUMIFS($FE$3:FE128,$DG$3:DG128,DG128)=0,BY128=1),3,0))&gt;=10,2,1),IF(BY128=2,IF(BZ128&lt;=1,0,2),0)),BY128)</f>
        <v>2</v>
      </c>
      <c r="V129" s="1">
        <f>IF(FD129&lt;&gt;FD128,IF(BY128=1,IF(MIN(10,CA128+IF(AND(DG129&lt;&gt;DG128,DH128&lt;&gt;"洞穿",SUMIFS($FE$3:FE128,$DG$3:DG128,DG128)=0,BY128=1),3,0))&gt;=10,2,0),IF(BY128=2,MAX(0,BZ128-1),0)),BZ128)</f>
        <v>1</v>
      </c>
      <c r="W129" s="1">
        <f>IF(AND(FD129&lt;&gt;FD128,BY128=2,BZ128&lt;=1),0,MIN(10,CA128+IF(AND(DG129&lt;&gt;DG128,DH128&lt;&gt;"洞穿",SUMIFS($FE$3:FE128,$DG$3:DG128,DG128)=0,BY128=1),3,0)))</f>
        <v>10</v>
      </c>
      <c r="X129" s="1">
        <f t="shared" si="112"/>
        <v>12</v>
      </c>
      <c r="Y129" s="1">
        <f t="shared" si="113"/>
        <v>1</v>
      </c>
      <c r="Z129" s="1">
        <f t="shared" si="114"/>
        <v>16</v>
      </c>
      <c r="AA129" s="1">
        <f t="shared" si="115"/>
        <v>10</v>
      </c>
      <c r="AB129" s="1">
        <f t="shared" si="116"/>
        <v>10</v>
      </c>
      <c r="AC129" s="1">
        <f t="shared" si="117"/>
        <v>1</v>
      </c>
      <c r="AD129" s="1">
        <f t="shared" si="118"/>
        <v>35</v>
      </c>
      <c r="AE129" s="1">
        <f>IF(D129="",0,IF(DG129&lt;&gt;DG128,IFERROR(INDEX(回合状态!$F$7:$F$17,MATCH(DG129,回合状态!$A$7:$A$17,0)),0),CI128))</f>
        <v>15</v>
      </c>
      <c r="AF129" s="1">
        <f t="shared" si="119"/>
        <v>0.875</v>
      </c>
      <c r="AG129" s="1">
        <f t="shared" si="120"/>
        <v>9</v>
      </c>
      <c r="AH129" s="1">
        <f t="shared" si="121"/>
        <v>9</v>
      </c>
      <c r="AI129" s="1">
        <f t="shared" si="122"/>
        <v>8</v>
      </c>
      <c r="AJ129" s="1">
        <f t="shared" si="123"/>
        <v>9</v>
      </c>
      <c r="AK129" s="1">
        <f t="shared" si="124"/>
        <v>8</v>
      </c>
      <c r="AL129" s="1">
        <f t="shared" si="125"/>
        <v>3</v>
      </c>
      <c r="AM129" s="1">
        <f t="shared" si="126"/>
        <v>30</v>
      </c>
      <c r="AN129" s="1">
        <f t="shared" si="127"/>
        <v>9</v>
      </c>
      <c r="AO129" s="1">
        <f t="shared" si="128"/>
        <v>16</v>
      </c>
      <c r="AP129" s="1">
        <f t="shared" si="129"/>
        <v>0.12</v>
      </c>
      <c r="AQ129" s="1">
        <f t="shared" si="130"/>
        <v>9</v>
      </c>
      <c r="AR129" s="1">
        <f t="shared" si="131"/>
        <v>0.3</v>
      </c>
      <c r="AS129" s="1">
        <f t="shared" si="132"/>
        <v>9</v>
      </c>
      <c r="AT129" s="1">
        <f t="shared" si="133"/>
        <v>0.3</v>
      </c>
      <c r="AU129" s="1">
        <f t="shared" si="134"/>
        <v>9</v>
      </c>
      <c r="AV129" s="1">
        <f>MIN(5,SUMIFS($EL$3:EL129,$B$3:B129,"&gt;="&amp;MAX(1,B129-2),$B$3:B129,"&lt;="&amp;B129)+EC129)</f>
        <v>5</v>
      </c>
      <c r="AW129" s="1">
        <f>MIN(6,SUMIFS($EY$3:EY128,$EX$3:EX128,"&gt;="&amp;MAX(1,EX129-Boss参数!$B$87+1),$EX$3:EX128,"&lt;="&amp;EX129))</f>
        <v>4</v>
      </c>
      <c r="AX129" s="1">
        <f>MIN(4,COUNTIFS($B$3:$B$128,"&gt;="&amp;MAX(1,$B129-2),$B$3:$B$128,"&lt;="&amp;$B129,$L$3:$L$128,"37_FOLLOW"))</f>
        <v>4</v>
      </c>
      <c r="AY129" s="1">
        <f>IF($E129="","",IF($E129="系统",0,ROUNDDOWN(INDEX(角色面板!$C$4:$C$7,MATCH($E129,角色面板!$A$4:$A$7,0))*(1+INDEX(角色面板!$C$11:$C$14,MATCH($E129,角色面板!$A$11:$A$14,0))+IF($E129="小瑞安侬",MAX(IF($B129&lt;=$AQ129,$AP129,0),IF(AND($L129="RHI_ATTACK",$EE129&gt;0),0.11+0.01*$G129,0)),0)+IF($E129="J",$AD129*Boss参数!$B$18,0))+IF(FD129&lt;=$AN129,MIN(Boss参数!$B$21,ROUNDDOWN(角色面板!$C$19*Boss参数!$B$20,0)),0)+IF(AND($B129&lt;=$AK129,$E129&lt;&gt;"小瑞安侬"),$DY129,0),0)))</f>
        <v>3505</v>
      </c>
      <c r="AZ129" s="1">
        <f>IF($E129="","",MAX(0,MIN(1,IFERROR(INDEX(角色面板!$G$18:$G$21,MATCH($E129,角色面板!$A$18:$A$21,0)),0)-FC129*Boss参数!$B$89-Boss参数!$E$4)))</f>
        <v>1</v>
      </c>
      <c r="BA129" s="1">
        <f>IF(E129="","",(IF($E129="","",IF($E129="红弩箭",Boss参数!$B$80,IF($E129="J",Boss参数!$B$81,IFERROR(INDEX(角色面板!$H$18:$H$21,MATCH($E129,角色面板!$A$18:$A$21,0)),0)))+IF($B129&lt;=$AI129,Boss参数!$B$13,0)+MIN(30,$AM129)*Boss参数!$B$17+IF(AND($L129="LILYA_ULT",$X129&gt;=6),1,0)+IF(AND($Y129=1,$L129="LILYA_INSIGHT"),IF(MOD($AA129+1,3)=0,Boss参数!$B$83,Boss参数!$B$82),IF(AND($Y129=1,$L129="LILYA_FINISH"),Boss参数!$B$84,0))))-FC129*Boss参数!$B$90)</f>
        <v>3.3050000000000002</v>
      </c>
      <c r="BB129" s="1">
        <f>IF($E129="","",IFERROR(INDEX(角色面板!$M$18:$M$21,MATCH($E129,角色面板!$A$18:$A$21,0)),0)+$AW129*Boss参数!$B$12+IF($B129&lt;=$AG129,$AF129,0)+$EI129+IF($L129="LILYA_DIVE",IF($U129=1,IF($G129=1,0.3,IF($G129=2,0.4,0.5)),IF($U129=2,IF($G129=1,0.6,IF($G129=2,0.8,1)),0)),0)+$R129+IF(AND($E129="J",OR($L129="J_COUNTER",$L129="J_HARD")),Boss参数!$B$79,0)+IF(AND(OR(L129="J_COUNTER",L129="J_HARD"),FA129&gt;=Boss参数!$B$59),FA129*Boss参数!$B$40,0))</f>
        <v>1.4950000000000001</v>
      </c>
      <c r="BC129" s="1">
        <f>IF($E129="","",IFERROR(INDEX(角色面板!$K$18:$K$21,MATCH($E129,角色面板!$A$18:$A$21,0)),0)+IF($B129&lt;=$AH129,Boss参数!$B$46,0)+IF($E129="红弩箭",IF($U129=1,0.6,IF($U129=2,1.2,0))+$W129*0.06,0))-DI129*Boss参数!$B$23</f>
        <v>1.3999999999999997</v>
      </c>
      <c r="BD129" s="1">
        <f>IF($E129="","",IFERROR(INDEX(角色面板!$L$18:$L$21,MATCH($E129,角色面板!$A$18:$A$21,0)),0)+IF($B129&lt;=$AH129,Boss参数!$B$46,0)+IF($E129="J",$AL129*Boss参数!$B$16,0)+IF($E129="红弩箭",$X129*0.025,0)+IF(AND($L129="LILYA_ULT",$X129&gt;=6),1,0))-DI129*Boss参数!$B$23</f>
        <v>0.3000000000000001</v>
      </c>
      <c r="BE129" s="1">
        <f>IF($E129="","",IF($H129="洞知",IF($E129="红弩箭",$AO129*Boss参数!$B$15,0)+$AX129*Boss参数!$B$14,0))</f>
        <v>1.1199999999999999</v>
      </c>
      <c r="BF129" s="1">
        <f t="shared" si="71"/>
        <v>0</v>
      </c>
      <c r="BG129" s="1">
        <f>IF($D129="",0,IF(AND($L129&lt;&gt;"LILYA_DIVE",$L129&lt;&gt;"LILYA_ULT",$L129&lt;&gt;"LILYA_INSIGHT",$L129&lt;&gt;"LILYA_FINISH",$L129&lt;&gt;"37_FOLLOW",$L129&lt;&gt;"RHI_ATTACK",$L129&lt;&gt;"RHI_BERRY",$L129&lt;&gt;"J_COUNTER",$L129&lt;&gt;"J_ULT"),$J129,0)+IF($L129="LILYA_DIVE",$J129+IF($U129=1,IF($G129=1,6,IF($G129=2,12,18)),IF($U129=2,IF($G129=1,12,IF($G129=2,24,36)),0)),0)+IF($L129="LILYA_ULT",$J129+IF($X129&gt;=6,18,0),0)+IF($L129="LILYA_INSIGHT",IF($Y129=1,IF(MOD($AA129+1,3)=0,32,15),0),0)+IF($L129="LILYA_FINISH",IF($Y129=1,50+2.5*$Z129,0),0)+IF($L129="37_FOLLOW",$J129,0)+IF($L129="RHI_ATTACK",$J129*IF($B129&lt;=$AJ129,2,1),0)+IF($L129="RHI_BERRY",15+1.5*$AV129,0)+IF($L129="J_COUNTER",$J129+$AD129*Boss参数!$B$39,0)+IF($L129="J_ULT",$J129+Boss参数!$B$45*MAX(0,$AE129+$AD129-Boss参数!$I$4),0)+$S129)</f>
        <v>90</v>
      </c>
      <c r="BH129" s="1">
        <f t="shared" si="72"/>
        <v>0</v>
      </c>
      <c r="BI129" s="1">
        <f>IF(E129="","",IF(DT129=1,1+Boss参数!$B$8+AV129*Boss参数!$B$19,1))</f>
        <v>1.5</v>
      </c>
      <c r="BJ129" s="1">
        <f>IF($I129="现实",Boss参数!$C$4,IF($I129="精神",Boss参数!$D$4,0))</f>
        <v>1200</v>
      </c>
      <c r="BK129" s="1">
        <f>IF($E129="","",MAX($AY129*Boss参数!$B$9,$AY129-$BJ129*(1-$BF129)))</f>
        <v>2305</v>
      </c>
      <c r="BL129" s="1">
        <f>MAX(0,Boss参数!$F$4+IF(DT129=0,Boss参数!$B$27,0)-EJ129)</f>
        <v>0.10000000000000003</v>
      </c>
      <c r="BM129" s="1">
        <f>Boss参数!$G$4+DU129-IF(Y129=1,Boss参数!$B$11,0)</f>
        <v>0.35</v>
      </c>
      <c r="BN129" s="1">
        <f>IF($E129="","",MAX(Boss参数!$B$10,1+IFERROR(INDEX(角色面板!$I$18:$I$21,MATCH($E129,角色面板!$A$18:$A$21,0)),0)+$BB129+Boss参数!$H$4-$BM129))</f>
        <v>2.2450000000000001</v>
      </c>
      <c r="BO129" s="1">
        <f>IF(E129="","",IF(OR(L129="J_COUNTER",L129="J_HARD"),MAX(0,1+INDEX(角色面板!$K$18:$K$21,MATCH(E129,角色面板!$A$18:$A$21,0))-DI129*Boss参数!$B$23+IF(OR(Boss参数!$B$43=1,L129="J_HARD"),IF(B129&lt;=AH129,Boss参数!$B$46,0),0)),MAX(0,IF(OR(H129="术法",L129="RHI_BERRY",AND(L129="37_FOLLOW",Boss参数!$B$31=1)),1+BC129,IF(H129="仪式",1+BD129,IF(H129="洞知",EK129,1))))))</f>
        <v>2.52</v>
      </c>
      <c r="BP129" s="1">
        <f t="shared" si="73"/>
        <v>3.2050000000000001</v>
      </c>
      <c r="BQ129" s="1">
        <f t="shared" si="74"/>
        <v>1760441.4450000003</v>
      </c>
      <c r="BR129" s="1">
        <f t="shared" si="75"/>
        <v>5642214.8312250013</v>
      </c>
      <c r="BS129" s="1">
        <f>IF(BH129=0,0,ROUNDDOWN(AY129*BH129,0)*DV129*IF(Boss参数!$B$29=1,BN129,1)*IF(Boss参数!$B$33=1,BO129,1)*IF(Boss参数!$B$76=1,1-ES129,1))</f>
        <v>0</v>
      </c>
      <c r="BT129" s="1">
        <f t="shared" si="76"/>
        <v>0</v>
      </c>
      <c r="BU129" s="1">
        <f>IF(D129="",0,MIN(IF(Boss参数!$B$77=1,Boss参数!$B$63*Boss参数!$B$62,Boss参数!$B$61*Boss参数!$B$62),DW129+ROUNDDOWN(BS129,0)+ROUNDDOWN(DW129*Q129,0)))</f>
        <v>862615</v>
      </c>
      <c r="BV129" s="1">
        <f>IF(D129="",0,MIN(IF(Boss参数!$B$77=1,Boss参数!$B$63*Boss参数!$B$62,Boss参数!$B$61*Boss参数!$B$62),DX129+ROUNDDOWN(BT129,0)+ROUNDDOWN(DX129*Q129,0)))</f>
        <v>2764685</v>
      </c>
      <c r="BW129" s="1">
        <f t="shared" si="77"/>
        <v>2764685</v>
      </c>
      <c r="BX129" s="1" t="str">
        <f t="shared" si="78"/>
        <v/>
      </c>
      <c r="BY129" s="1">
        <f t="shared" si="79"/>
        <v>2</v>
      </c>
      <c r="BZ129" s="1">
        <f t="shared" si="80"/>
        <v>1</v>
      </c>
      <c r="CA129" s="1">
        <f>MIN(10,W129+IF(AND(L129="LILYA_COBRA",COUNTIF($L$3:L129,"LILYA_COBRA")=1),5,0)+IF(AND(L129="LILYA_DIVE",U129=1,COUNTIFS($DG$3:DG129,DG129,$L$3:L129,"LILYA_DIVE")=1),2,0)+IF(AND(FE129=1,U129=1),3,0))</f>
        <v>10</v>
      </c>
      <c r="CB129" s="1">
        <f>MIN(20,MAX(0,X129+IF(L129="LILYA_COBRA",IF(COUNTIF($L$3:L129,"LILYA_COBRA")=1,6,IF(U129=1,MAX(1,G129),IF(U129=2,2*MAX(1,G129),0))),0)+IF(AND(Y129=1,E129="红弩箭",L129&lt;&gt;"ENTER_INSIGHT"),1,0)-IF(AND(L129="LILYA_ULT",X129&gt;=6),6,0)))</f>
        <v>13</v>
      </c>
      <c r="CC129" s="1">
        <f t="shared" si="81"/>
        <v>0</v>
      </c>
      <c r="CD129" s="1">
        <f t="shared" si="82"/>
        <v>0</v>
      </c>
      <c r="CE129" s="1">
        <f t="shared" si="83"/>
        <v>0</v>
      </c>
      <c r="CF129" s="1">
        <f t="shared" si="84"/>
        <v>10</v>
      </c>
      <c r="CG129" s="1">
        <f t="shared" si="85"/>
        <v>1</v>
      </c>
      <c r="CH129" s="1">
        <f>MIN(35,AD129+IF(L129="J_HARD",6,0)+IF(L129="J_COUNTER",Boss参数!$B$30,0))</f>
        <v>35</v>
      </c>
      <c r="CI129" s="1">
        <f>MIN(Boss参数!$I$4,AE129+IF(L129="J_HARD",6,0)+IF(L129="J_ULT",AD129,0)+IF(L129="J_COUNTER",Boss参数!$B$30,0))</f>
        <v>15</v>
      </c>
      <c r="CJ129" s="1">
        <f>IF(L129="J_ULT",AD129*Boss参数!$B$41,IF(B129&lt;=AG129,AF129,0))</f>
        <v>0.875</v>
      </c>
      <c r="CK129" s="1">
        <f t="shared" si="86"/>
        <v>9</v>
      </c>
      <c r="CL129" s="1">
        <f t="shared" si="87"/>
        <v>9</v>
      </c>
      <c r="CM129" s="1">
        <f t="shared" si="88"/>
        <v>8</v>
      </c>
      <c r="CN129" s="1">
        <f t="shared" si="89"/>
        <v>9</v>
      </c>
      <c r="CO129" s="1">
        <f t="shared" si="90"/>
        <v>8</v>
      </c>
      <c r="CP129" s="1">
        <f t="shared" si="91"/>
        <v>3</v>
      </c>
      <c r="CQ129" s="1">
        <f t="shared" si="92"/>
        <v>30</v>
      </c>
      <c r="CR129" s="1">
        <f t="shared" si="93"/>
        <v>9</v>
      </c>
      <c r="CS129" s="1">
        <f t="shared" si="94"/>
        <v>0</v>
      </c>
      <c r="CT129" s="1">
        <f t="shared" si="95"/>
        <v>0.12</v>
      </c>
      <c r="CU129" s="1">
        <f t="shared" si="96"/>
        <v>9</v>
      </c>
      <c r="CV129" s="1">
        <f t="shared" si="97"/>
        <v>0.3</v>
      </c>
      <c r="CW129" s="1">
        <f t="shared" si="98"/>
        <v>9</v>
      </c>
      <c r="CX129" s="1">
        <f t="shared" si="99"/>
        <v>0.3</v>
      </c>
      <c r="CY129" s="1">
        <f t="shared" si="100"/>
        <v>9</v>
      </c>
      <c r="CZ129" s="1"/>
      <c r="DA129" s="1"/>
      <c r="DB129" s="1"/>
      <c r="DC129" s="1"/>
      <c r="DD129" s="1"/>
      <c r="DE129" s="1"/>
      <c r="DF129" s="1"/>
      <c r="DG129" s="1" t="str">
        <f>IF(D129="","",行动模拟!B135)</f>
        <v>洞知2</v>
      </c>
      <c r="DH129" s="1" t="str">
        <f>IF(L129="END_TURN","回合结束",IF(D129="","",IF(INDEX(回合状态!$C$7:$C$17,MATCH(DG129,回合状态!$A$7:$A$17,0))="洞穿","洞穿",IF(OR(L129="J_COUNTER",L129="BOSS_ACTION",L129="BOSS_CONSERVATIVE"),"敌方",IF(AND(L129="37_FOLLOW",DG129=DG128,DH128="敌方"),"敌方",IF(INDEX(回合状态!$C$7:$C$17,MATCH(DG129,回合状态!$A$7:$A$17,0))="普通","出牌",INDEX(回合状态!$C$7:$C$17,MATCH(DG129,回合状态!$A$7:$A$17,0))))))))</f>
        <v>洞穿</v>
      </c>
      <c r="DI129" s="1">
        <f t="shared" si="101"/>
        <v>2</v>
      </c>
      <c r="DJ129" s="1">
        <f>IF(D129="",0,MIN(Boss参数!$B$25,IF(OR(AND(DH129="敌方",OR(DH128&lt;&gt;"敌方",DG129&lt;&gt;DG128)),AND(L129="END_TURN",DH129&lt;&gt;"洞穿"),AND(DG129&lt;&gt;DG128,DH128&lt;&gt;"洞穿",L128&lt;&gt;"END_TURN",COUNTIFS($DG$3:DG128,DG128,$DH$3:DH128,"敌方")=0)),EW129,DN128)))</f>
        <v>2</v>
      </c>
      <c r="DK129" s="1">
        <f>IF(D129="",0,MIN(Boss参数!$B$25,IF(OR(AND(DH129="敌方",OR(DH128&lt;&gt;"敌方",DG129&lt;&gt;DG128)),AND(L129="END_TURN",DH129&lt;&gt;"洞穿"),AND(DG129&lt;&gt;DG128,DH128&lt;&gt;"洞穿",L128&lt;&gt;"END_TURN",COUNTIFS($DG$3:DG128,DG128,$DH$3:DH128,"敌方")=0)),EW129,DO128)))</f>
        <v>2</v>
      </c>
      <c r="DL129" s="1">
        <f>IF(D129="",0,MIN(Boss参数!$B$25,IF(OR(AND(DH129="敌方",OR(DH128&lt;&gt;"敌方",DG129&lt;&gt;DG128)),AND(L129="END_TURN",DH129&lt;&gt;"洞穿"),AND(DG129&lt;&gt;DG128,DH128&lt;&gt;"洞穿",L128&lt;&gt;"END_TURN",COUNTIFS($DG$3:DG128,DG128,$DH$3:DH128,"敌方")=0)),EW129,DP128)))</f>
        <v>5</v>
      </c>
      <c r="DM129" s="1">
        <f>IF(D129="",0,MIN(Boss参数!$B$25,IF(OR(AND(DH129="敌方",OR(DH128&lt;&gt;"敌方",DG129&lt;&gt;DG128)),AND(L129="END_TURN",DH129&lt;&gt;"洞穿"),AND(DG129&lt;&gt;DG128,DH128&lt;&gt;"洞穿",L128&lt;&gt;"END_TURN",COUNTIFS($DG$3:DG128,DG128,$DH$3:DH128,"敌方")=0)),EW129,DQ128)))</f>
        <v>5</v>
      </c>
      <c r="DN129" s="1">
        <f>MAX(0,MIN(Boss参数!$B$25,DJ129+DR129)-IF(E129="红弩箭",2*DR129,0))</f>
        <v>1</v>
      </c>
      <c r="DO129" s="1">
        <f>MAX(0,MIN(Boss参数!$B$25,DK129+DR129)-IF(E129="37",2*DR129,0))</f>
        <v>3</v>
      </c>
      <c r="DP129" s="1">
        <f>MAX(0,MIN(Boss参数!$B$25,DL129+DR129)-IF(E129="小瑞安侬",2*DR129,0))</f>
        <v>5</v>
      </c>
      <c r="DQ129" s="1">
        <f>MAX(0,MIN(Boss参数!$B$25,DM129+DR129)-IF(E129="J",2*DR129,0))</f>
        <v>5</v>
      </c>
      <c r="DR129" s="1">
        <f t="shared" si="102"/>
        <v>1</v>
      </c>
      <c r="DS129" s="1">
        <f t="shared" si="103"/>
        <v>1</v>
      </c>
      <c r="DT129" s="1">
        <f>IF(OR(E129="",E129="系统"),0,IF(OR(AND(DS129=1,Boss参数!$B$32=1),L129="RHI_BERRY",OR(AND(INDEX(角色面板!$B$18:$B$21,MATCH(E129,角色面板!$A$18:$A$21,0))="星",Boss参数!$B$4="岩"),AND(INDEX(角色面板!$B$18:$B$21,MATCH(E129,角色面板!$A$18:$A$21,0))="岩",Boss参数!$B$4="兽"),AND(INDEX(角色面板!$B$18:$B$21,MATCH(E129,角色面板!$A$18:$A$21,0))="兽",Boss参数!$B$4="木"),AND(INDEX(角色面板!$B$18:$B$21,MATCH(E129,角色面板!$A$18:$A$21,0))="木",Boss参数!$B$4="星"),AND(INDEX(角色面板!$B$18:$B$21,MATCH(E129,角色面板!$A$18:$A$21,0))="智",Boss参数!$B$4="灵"),AND(INDEX(角色面板!$B$18:$B$21,MATCH(E129,角色面板!$A$18:$A$21,0))="灵",Boss参数!$B$4="智"))),1,0))</f>
        <v>1</v>
      </c>
      <c r="DU129" s="1">
        <f>IF(D129="",0,INDEX(回合状态!$E$7:$E$17,MATCH(DG129,回合状态!$A$7:$A$17,0))+IF(AND(DH129="敌方",OR(INDEX(回合状态!$C$7:$C$17,MATCH(DG129,回合状态!$A$7:$A$17,0))="普通",INDEX(回合状态!$C$7:$C$17,MATCH(DG129,回合状态!$A$7:$A$17,0))="额外")),0.05,0))</f>
        <v>0.35</v>
      </c>
      <c r="DV129" s="1">
        <f>MAX(Boss参数!$B$28,1+IF(AND(E129="37",AC129&gt;0,BH129&gt;0),Boss参数!$B$42,0)-DI129*Boss参数!$B$24+EA129-ER129)</f>
        <v>0</v>
      </c>
      <c r="DW129" s="1">
        <f>MIN(IF(Boss参数!$B$77=1,Boss参数!$B$63*Boss参数!$B$62,Boss参数!$B$61*Boss参数!$B$62),ROUNDDOWN(BQ129*(1-ES129),0))</f>
        <v>616154</v>
      </c>
      <c r="DX129" s="1">
        <f>MIN(IF(Boss参数!$B$77=1,Boss参数!$B$63*Boss参数!$B$62,Boss参数!$B$61*Boss参数!$B$62),ROUNDDOWN(BR129*(1-ES129),0))</f>
        <v>1974775</v>
      </c>
      <c r="DY129" s="1">
        <f t="shared" si="135"/>
        <v>250</v>
      </c>
      <c r="DZ129" s="1">
        <f>IF(L129="RHI_ULT",MIN(Boss参数!$B$48,ROUNDDOWN(AY129*Boss参数!$B$47,0)),DY129)</f>
        <v>250</v>
      </c>
      <c r="EA129" s="1">
        <v>0</v>
      </c>
      <c r="EB129" s="1">
        <f t="shared" si="104"/>
        <v>0</v>
      </c>
      <c r="EC129" s="1">
        <f>SUMIFS($EB$3:EB129,$B$3:B129,"&gt;="&amp;MAX(1,B129-2),$B$3:B129,"&lt;="&amp;B129)*Boss参数!$B$51</f>
        <v>12</v>
      </c>
      <c r="ED129" s="1">
        <f>IF(D129="",EG128,IF(AND(DG129&lt;&gt;DG128,DH129&lt;&gt;"洞穿"),MIN(Boss参数!$B$55,EG128+2),EG128))</f>
        <v>0</v>
      </c>
      <c r="EE129" s="1">
        <f t="shared" si="105"/>
        <v>0</v>
      </c>
      <c r="EF129" s="1">
        <f>IF(AND(OR(L129="END_TURN",AND(DH129="敌方",OR(DH128&lt;&gt;"敌方",DG129&lt;&gt;DG128))),SUMIFS($EF$3:EF128,$DG$3:DG128,DG129)=0),MIN(1,MAX(0,ED129-EE129)),0)</f>
        <v>0</v>
      </c>
      <c r="EG129" s="1">
        <f t="shared" si="106"/>
        <v>0</v>
      </c>
      <c r="EH129" s="1">
        <f>Boss参数!$B$53-IF(Y129=1,Boss参数!$B$54,0)</f>
        <v>-0.4</v>
      </c>
      <c r="EI129" s="1">
        <f t="shared" si="107"/>
        <v>0.3</v>
      </c>
      <c r="EJ129" s="1">
        <f t="shared" si="108"/>
        <v>0.3</v>
      </c>
      <c r="EK129" s="1">
        <f t="shared" si="109"/>
        <v>2.52</v>
      </c>
      <c r="EL129" s="1">
        <f t="shared" si="136"/>
        <v>0</v>
      </c>
      <c r="EM129" s="1">
        <f>IF(AND(DG129&lt;&gt;DG128,DH129="洞穿"),0,IF(L129="ENTER_INSIGHT",Boss参数!$B$57,EO128))</f>
        <v>1</v>
      </c>
      <c r="EN129" s="1">
        <f>IF(AND(Y129=1,H129="洞知",EM129&gt;0),Boss参数!$B$56,0)</f>
        <v>0.4</v>
      </c>
      <c r="EO129" s="1">
        <f t="shared" si="110"/>
        <v>0</v>
      </c>
      <c r="EP129" s="1">
        <f t="shared" si="137"/>
        <v>20445794</v>
      </c>
      <c r="EQ129" s="1">
        <f>ROUNDDOWN(EP129/Boss参数!$B$62,0)</f>
        <v>204</v>
      </c>
      <c r="ER129" s="1">
        <f>IF(EQ129&gt;=Boss参数!$B$66,Boss参数!$B$69,IF(EQ129&gt;=Boss参数!$B$65,Boss参数!$B$68,IF(EQ129&gt;=Boss参数!$B$64,Boss参数!$B$67,0)))</f>
        <v>0.9</v>
      </c>
      <c r="ES129" s="1">
        <f>MIN(1,IF(EQ129&gt;=Boss参数!$B$66,Boss参数!$B$72+ROUNDDOWN((EQ129-Boss参数!$B$66)/Boss参数!$B$73,0)*Boss参数!$B$74,IF(EQ129&gt;=Boss参数!$B$65,Boss参数!$B$71,IF(EQ129&gt;=Boss参数!$B$64,Boss参数!$B$70,0))))</f>
        <v>0.65</v>
      </c>
      <c r="ET129" s="1">
        <f>MIN(Boss参数!$B$61*Boss参数!$B$62,EP129+IF(AND(Boss参数!$B$60=1,ISNUMBER(验证表!H135)),验证表!H135,EU129))</f>
        <v>23210479</v>
      </c>
      <c r="EU129" s="1">
        <f>IF(D129="",0,IF(验证表!G135="是",BV129,IF(验证表!G135="否",BU129,BW129)))</f>
        <v>2764685</v>
      </c>
      <c r="EV129" s="1">
        <f>IF(EQ129&gt;=Boss参数!$B$66,2,IF(EQ129&gt;=Boss参数!$B$65,1,0))</f>
        <v>2</v>
      </c>
      <c r="EW129" s="1">
        <f t="shared" si="111"/>
        <v>3</v>
      </c>
      <c r="EX129" s="1">
        <f>IF(D129="",0,INDEX(回合状态!$D$7:$D$17,MATCH(DG129,回合状态!$A$7:$A$17,0)))</f>
        <v>8</v>
      </c>
      <c r="EY129" s="1">
        <f>IF(OR(L129="RHI_ATTACK",L129="RHI_BUFF"),1,IF(L129="RHI_ULT",Boss参数!$B$52,0))</f>
        <v>0</v>
      </c>
      <c r="EZ129" s="1">
        <f>MIN(6,SUMIFS($EY$3:EY129,$EX$3:EX129,"&gt;="&amp;MAX(1,EX129-Boss参数!$B$87+1),$EX$3:EX129,"&lt;="&amp;EX129))</f>
        <v>4</v>
      </c>
      <c r="FA129" s="1">
        <f t="shared" si="138"/>
        <v>35</v>
      </c>
      <c r="FB129" s="17">
        <f>IF(L129="BOSS_CONSERVATIVE",B129+Boss参数!$B$91,FB128)</f>
        <v>7</v>
      </c>
      <c r="FC129" s="17">
        <f t="shared" si="139"/>
        <v>0</v>
      </c>
      <c r="FD129" s="17">
        <f>IF(D129="",FD128,FD128+IF(AND(DG129&lt;&gt;DG128,INDEX(回合状态!$C$7:$C$17,MATCH(DG129,回合状态!$A$7:$A$17,0))&lt;&gt;"洞穿"),1,0))</f>
        <v>8</v>
      </c>
      <c r="FE129" s="17">
        <f>IF(D129="",0,IF(AND(OR(L129="END_TURN",DH129="敌方"),INDEX(回合状态!$C$7:$C$17,MATCH(DG129,回合状态!$A$7:$A$17,0))&lt;&gt;"洞穿",SUMIFS($FE$3:FE128,$DG$3:DG128,DG129)=0),1,0))</f>
        <v>0</v>
      </c>
    </row>
    <row r="130" spans="1:161" ht="84.95" customHeight="1">
      <c r="A130" s="1" t="str">
        <f>行动模拟!A136</f>
        <v/>
      </c>
      <c r="B130" s="1">
        <f>IF(D130="",0,INDEX(回合状态!$B$7:$B$17,MATCH(DG130,回合状态!$A$7:$A$17,0)))</f>
        <v>0</v>
      </c>
      <c r="C130" s="1">
        <f>行动模拟!C136</f>
        <v>0</v>
      </c>
      <c r="D130" s="1" t="str">
        <f>IF(行动模拟!D136="","",行动模拟!D136)</f>
        <v/>
      </c>
      <c r="E130" s="1" t="str">
        <f>IF($D130="","",IFERROR(INDEX(技能数据库!$B$4:$B$38,MATCH($D130,技能数据库!$A$4:$A$38,0)),""))</f>
        <v/>
      </c>
      <c r="F130" s="1" t="str">
        <f>IF($D130="","",IFERROR(INDEX(技能数据库!$C$4:$C$38,MATCH($D130,技能数据库!$A$4:$A$38,0)),""))</f>
        <v/>
      </c>
      <c r="G130" s="1" t="str">
        <f>IF($D130="","",IFERROR(INDEX(技能数据库!$D$4:$D$38,MATCH($D130,技能数据库!$A$4:$A$38,0)),""))</f>
        <v/>
      </c>
      <c r="H130" s="1" t="str">
        <f>IF($D130="","",IFERROR(INDEX(技能数据库!$E$4:$E$38,MATCH($D130,技能数据库!$A$4:$A$38,0)),""))</f>
        <v/>
      </c>
      <c r="I130" s="1" t="str">
        <f>IF($D130="","",IFERROR(INDEX(技能数据库!$F$4:$F$38,MATCH($D130,技能数据库!$A$4:$A$38,0)),""))</f>
        <v/>
      </c>
      <c r="J130" s="1" t="str">
        <f>IF($D130="","",IFERROR(INDEX(技能数据库!$G$4:$G$38,MATCH($D130,技能数据库!$A$4:$A$38,0)),""))</f>
        <v/>
      </c>
      <c r="K130" s="1" t="str">
        <f>IF($D130="","",IFERROR(INDEX(技能数据库!$H$4:$H$38,MATCH($D130,技能数据库!$A$4:$A$38,0)),""))</f>
        <v/>
      </c>
      <c r="L130" s="1" t="str">
        <f>IF($D130="","",IFERROR(INDEX(技能数据库!$I$4:$I$38,MATCH($D130,技能数据库!$A$4:$A$38,0)),""))</f>
        <v/>
      </c>
      <c r="M130" s="1">
        <v>1</v>
      </c>
      <c r="N130" s="1"/>
      <c r="O130" s="1"/>
      <c r="P130" s="1"/>
      <c r="Q130" s="1">
        <f t="shared" si="70"/>
        <v>0</v>
      </c>
      <c r="R130" s="1">
        <v>0</v>
      </c>
      <c r="S130" s="1">
        <v>0</v>
      </c>
      <c r="T130" s="1">
        <f>行动模拟!I136</f>
        <v>0</v>
      </c>
      <c r="U130" s="1">
        <f>IF(FD130&lt;&gt;FD129,IF(BY129=1,IF(MIN(10,CA129+IF(AND(DG130&lt;&gt;DG129,DH129&lt;&gt;"洞穿",SUMIFS($FE$3:FE129,$DG$3:DG129,DG129)=0,BY129=1),3,0))&gt;=10,2,1),IF(BY129=2,IF(BZ129&lt;=1,0,2),0)),BY129)</f>
        <v>2</v>
      </c>
      <c r="V130" s="1">
        <f>IF(FD130&lt;&gt;FD129,IF(BY129=1,IF(MIN(10,CA129+IF(AND(DG130&lt;&gt;DG129,DH129&lt;&gt;"洞穿",SUMIFS($FE$3:FE129,$DG$3:DG129,DG129)=0,BY129=1),3,0))&gt;=10,2,0),IF(BY129=2,MAX(0,BZ129-1),0)),BZ129)</f>
        <v>1</v>
      </c>
      <c r="W130" s="1">
        <f>IF(AND(FD130&lt;&gt;FD129,BY129=2,BZ129&lt;=1),0,MIN(10,CA129+IF(AND(DG130&lt;&gt;DG129,DH129&lt;&gt;"洞穿",SUMIFS($FE$3:FE129,$DG$3:DG129,DG129)=0,BY129=1),3,0)))</f>
        <v>10</v>
      </c>
      <c r="X130" s="1">
        <f t="shared" si="112"/>
        <v>13</v>
      </c>
      <c r="Y130" s="1">
        <f t="shared" si="113"/>
        <v>0</v>
      </c>
      <c r="Z130" s="1">
        <f t="shared" si="114"/>
        <v>0</v>
      </c>
      <c r="AA130" s="1">
        <f t="shared" si="115"/>
        <v>0</v>
      </c>
      <c r="AB130" s="1">
        <f t="shared" si="116"/>
        <v>10</v>
      </c>
      <c r="AC130" s="1">
        <f t="shared" si="117"/>
        <v>1</v>
      </c>
      <c r="AD130" s="1">
        <f t="shared" si="118"/>
        <v>35</v>
      </c>
      <c r="AE130" s="1">
        <f>IF(D130="",0,IF(DG130&lt;&gt;DG129,IFERROR(INDEX(回合状态!$F$7:$F$17,MATCH(DG130,回合状态!$A$7:$A$17,0)),0),CI129))</f>
        <v>0</v>
      </c>
      <c r="AF130" s="1">
        <f t="shared" si="119"/>
        <v>0.875</v>
      </c>
      <c r="AG130" s="1">
        <f t="shared" si="120"/>
        <v>9</v>
      </c>
      <c r="AH130" s="1">
        <f t="shared" si="121"/>
        <v>9</v>
      </c>
      <c r="AI130" s="1">
        <f t="shared" si="122"/>
        <v>8</v>
      </c>
      <c r="AJ130" s="1">
        <f t="shared" si="123"/>
        <v>9</v>
      </c>
      <c r="AK130" s="1">
        <f t="shared" si="124"/>
        <v>8</v>
      </c>
      <c r="AL130" s="1">
        <f t="shared" si="125"/>
        <v>3</v>
      </c>
      <c r="AM130" s="1">
        <f t="shared" si="126"/>
        <v>30</v>
      </c>
      <c r="AN130" s="1">
        <f t="shared" si="127"/>
        <v>9</v>
      </c>
      <c r="AO130" s="1">
        <f t="shared" si="128"/>
        <v>0</v>
      </c>
      <c r="AP130" s="1">
        <f t="shared" si="129"/>
        <v>0.12</v>
      </c>
      <c r="AQ130" s="1">
        <f t="shared" si="130"/>
        <v>9</v>
      </c>
      <c r="AR130" s="1">
        <f t="shared" si="131"/>
        <v>0.3</v>
      </c>
      <c r="AS130" s="1">
        <f t="shared" si="132"/>
        <v>9</v>
      </c>
      <c r="AT130" s="1">
        <f t="shared" si="133"/>
        <v>0.3</v>
      </c>
      <c r="AU130" s="1">
        <f t="shared" si="134"/>
        <v>9</v>
      </c>
      <c r="AV130" s="1">
        <f>MIN(5,SUMIFS($EL$3:EL130,$B$3:B130,"&gt;="&amp;MAX(1,B130-2),$B$3:B130,"&lt;="&amp;B130)+EC130)</f>
        <v>0</v>
      </c>
      <c r="AW130" s="1">
        <f>MIN(6,SUMIFS($EY$3:EY129,$EX$3:EX129,"&gt;="&amp;MAX(1,EX130-Boss参数!$B$87+1),$EX$3:EX129,"&lt;="&amp;EX130))</f>
        <v>0</v>
      </c>
      <c r="AX130" s="1">
        <f>MIN(4,COUNTIFS($B$3:$B$129,"&gt;="&amp;MAX(1,$B130-2),$B$3:$B$129,"&lt;="&amp;$B130,$L$3:$L$129,"37_FOLLOW"))</f>
        <v>0</v>
      </c>
      <c r="AY130" s="1" t="str">
        <f>IF($E130="","",IF($E130="系统",0,ROUNDDOWN(INDEX(角色面板!$C$4:$C$7,MATCH($E130,角色面板!$A$4:$A$7,0))*(1+INDEX(角色面板!$C$11:$C$14,MATCH($E130,角色面板!$A$11:$A$14,0))+IF($E130="小瑞安侬",MAX(IF($B130&lt;=$AQ130,$AP130,0),IF(AND($L130="RHI_ATTACK",$EE130&gt;0),0.11+0.01*$G130,0)),0)+IF($E130="J",$AD130*Boss参数!$B$18,0))+IF(FD130&lt;=$AN130,MIN(Boss参数!$B$21,ROUNDDOWN(角色面板!$C$19*Boss参数!$B$20,0)),0)+IF(AND($B130&lt;=$AK130,$E130&lt;&gt;"小瑞安侬"),$DY130,0),0)))</f>
        <v/>
      </c>
      <c r="AZ130" s="1" t="str">
        <f>IF($E130="","",MAX(0,MIN(1,IFERROR(INDEX(角色面板!$G$18:$G$21,MATCH($E130,角色面板!$A$18:$A$21,0)),0)-FC130*Boss参数!$B$89-Boss参数!$E$4)))</f>
        <v/>
      </c>
      <c r="BA130" s="1" t="str">
        <f>IF(E130="","",(IF($E130="","",IF($E130="红弩箭",Boss参数!$B$80,IF($E130="J",Boss参数!$B$81,IFERROR(INDEX(角色面板!$H$18:$H$21,MATCH($E130,角色面板!$A$18:$A$21,0)),0)))+IF($B130&lt;=$AI130,Boss参数!$B$13,0)+MIN(30,$AM130)*Boss参数!$B$17+IF(AND($L130="LILYA_ULT",$X130&gt;=6),1,0)+IF(AND($Y130=1,$L130="LILYA_INSIGHT"),IF(MOD($AA130+1,3)=0,Boss参数!$B$83,Boss参数!$B$82),IF(AND($Y130=1,$L130="LILYA_FINISH"),Boss参数!$B$84,0))))-FC130*Boss参数!$B$90)</f>
        <v/>
      </c>
      <c r="BB130" s="1" t="str">
        <f>IF($E130="","",IFERROR(INDEX(角色面板!$M$18:$M$21,MATCH($E130,角色面板!$A$18:$A$21,0)),0)+$AW130*Boss参数!$B$12+IF($B130&lt;=$AG130,$AF130,0)+$EI130+IF($L130="LILYA_DIVE",IF($U130=1,IF($G130=1,0.3,IF($G130=2,0.4,0.5)),IF($U130=2,IF($G130=1,0.6,IF($G130=2,0.8,1)),0)),0)+$R130+IF(AND($E130="J",OR($L130="J_COUNTER",$L130="J_HARD")),Boss参数!$B$79,0)+IF(AND(OR(L130="J_COUNTER",L130="J_HARD"),FA130&gt;=Boss参数!$B$59),FA130*Boss参数!$B$40,0))</f>
        <v/>
      </c>
      <c r="BC130" s="1" t="e">
        <f>IF($E130="","",IFERROR(INDEX(角色面板!$K$18:$K$21,MATCH($E130,角色面板!$A$18:$A$21,0)),0)+IF($B130&lt;=$AH130,Boss参数!$B$46,0)+IF($E130="红弩箭",IF($U130=1,0.6,IF($U130=2,1.2,0))+$W130*0.06,0))-DI130*Boss参数!$B$23</f>
        <v>#VALUE!</v>
      </c>
      <c r="BD130" s="1" t="e">
        <f>IF($E130="","",IFERROR(INDEX(角色面板!$L$18:$L$21,MATCH($E130,角色面板!$A$18:$A$21,0)),0)+IF($B130&lt;=$AH130,Boss参数!$B$46,0)+IF($E130="J",$AL130*Boss参数!$B$16,0)+IF($E130="红弩箭",$X130*0.025,0)+IF(AND($L130="LILYA_ULT",$X130&gt;=6),1,0))-DI130*Boss参数!$B$23</f>
        <v>#VALUE!</v>
      </c>
      <c r="BE130" s="1" t="str">
        <f>IF($E130="","",IF($H130="洞知",IF($E130="红弩箭",$AO130*Boss参数!$B$15,0)+$AX130*Boss参数!$B$14,0))</f>
        <v/>
      </c>
      <c r="BF130" s="1">
        <f t="shared" si="71"/>
        <v>0</v>
      </c>
      <c r="BG130" s="1">
        <f>IF($D130="",0,IF(AND($L130&lt;&gt;"LILYA_DIVE",$L130&lt;&gt;"LILYA_ULT",$L130&lt;&gt;"LILYA_INSIGHT",$L130&lt;&gt;"LILYA_FINISH",$L130&lt;&gt;"37_FOLLOW",$L130&lt;&gt;"RHI_ATTACK",$L130&lt;&gt;"RHI_BERRY",$L130&lt;&gt;"J_COUNTER",$L130&lt;&gt;"J_ULT"),$J130,0)+IF($L130="LILYA_DIVE",$J130+IF($U130=1,IF($G130=1,6,IF($G130=2,12,18)),IF($U130=2,IF($G130=1,12,IF($G130=2,24,36)),0)),0)+IF($L130="LILYA_ULT",$J130+IF($X130&gt;=6,18,0),0)+IF($L130="LILYA_INSIGHT",IF($Y130=1,IF(MOD($AA130+1,3)=0,32,15),0),0)+IF($L130="LILYA_FINISH",IF($Y130=1,50+2.5*$Z130,0),0)+IF($L130="37_FOLLOW",$J130,0)+IF($L130="RHI_ATTACK",$J130*IF($B130&lt;=$AJ130,2,1),0)+IF($L130="RHI_BERRY",15+1.5*$AV130,0)+IF($L130="J_COUNTER",$J130+$AD130*Boss参数!$B$39,0)+IF($L130="J_ULT",$J130+Boss参数!$B$45*MAX(0,$AE130+$AD130-Boss参数!$I$4),0)+$S130)</f>
        <v>0</v>
      </c>
      <c r="BH130" s="1">
        <f t="shared" si="72"/>
        <v>0</v>
      </c>
      <c r="BI130" s="1" t="str">
        <f>IF(E130="","",IF(DT130=1,1+Boss参数!$B$8+AV130*Boss参数!$B$19,1))</f>
        <v/>
      </c>
      <c r="BJ130" s="1">
        <f>IF($I130="现实",Boss参数!$C$4,IF($I130="精神",Boss参数!$D$4,0))</f>
        <v>0</v>
      </c>
      <c r="BK130" s="1" t="str">
        <f>IF($E130="","",MAX($AY130*Boss参数!$B$9,$AY130-$BJ130*(1-$BF130)))</f>
        <v/>
      </c>
      <c r="BL130" s="1">
        <f>MAX(0,Boss参数!$F$4+IF(DT130=0,Boss参数!$B$27,0)-EJ130)</f>
        <v>1.25</v>
      </c>
      <c r="BM130" s="1">
        <f>Boss参数!$G$4+DU130-IF(Y130=1,Boss参数!$B$11,0)</f>
        <v>0.4</v>
      </c>
      <c r="BN130" s="1" t="str">
        <f>IF($E130="","",MAX(Boss参数!$B$10,1+IFERROR(INDEX(角色面板!$I$18:$I$21,MATCH($E130,角色面板!$A$18:$A$21,0)),0)+$BB130+Boss参数!$H$4-$BM130))</f>
        <v/>
      </c>
      <c r="BO130" s="1" t="str">
        <f>IF(E130="","",IF(OR(L130="J_COUNTER",L130="J_HARD"),MAX(0,1+INDEX(角色面板!$K$18:$K$21,MATCH(E130,角色面板!$A$18:$A$21,0))-DI130*Boss参数!$B$23+IF(OR(Boss参数!$B$43=1,L130="J_HARD"),IF(B130&lt;=AH130,Boss参数!$B$46,0),0)),MAX(0,IF(OR(H130="术法",L130="RHI_BERRY",AND(L130="37_FOLLOW",Boss参数!$B$31=1)),1+BC130,IF(H130="仪式",1+BD130,IF(H130="洞知",EK130,1))))))</f>
        <v/>
      </c>
      <c r="BP130" s="1" t="str">
        <f t="shared" si="73"/>
        <v/>
      </c>
      <c r="BQ130" s="1">
        <f t="shared" si="74"/>
        <v>0</v>
      </c>
      <c r="BR130" s="1">
        <f t="shared" si="75"/>
        <v>0</v>
      </c>
      <c r="BS130" s="1">
        <f>IF(BH130=0,0,ROUNDDOWN(AY130*BH130,0)*DV130*IF(Boss参数!$B$29=1,BN130,1)*IF(Boss参数!$B$33=1,BO130,1)*IF(Boss参数!$B$76=1,1-ES130,1))</f>
        <v>0</v>
      </c>
      <c r="BT130" s="1">
        <f t="shared" si="76"/>
        <v>0</v>
      </c>
      <c r="BU130" s="1">
        <f>IF(D130="",0,MIN(IF(Boss参数!$B$77=1,Boss参数!$B$63*Boss参数!$B$62,Boss参数!$B$61*Boss参数!$B$62),DW130+ROUNDDOWN(BS130,0)+ROUNDDOWN(DW130*Q130,0)))</f>
        <v>0</v>
      </c>
      <c r="BV130" s="1">
        <f>IF(D130="",0,MIN(IF(Boss参数!$B$77=1,Boss参数!$B$63*Boss参数!$B$62,Boss参数!$B$61*Boss参数!$B$62),DX130+ROUNDDOWN(BT130,0)+ROUNDDOWN(DX130*Q130,0)))</f>
        <v>0</v>
      </c>
      <c r="BW130" s="1">
        <f t="shared" si="77"/>
        <v>0</v>
      </c>
      <c r="BX130" s="1" t="str">
        <f t="shared" si="78"/>
        <v/>
      </c>
      <c r="BY130" s="1">
        <f t="shared" si="79"/>
        <v>2</v>
      </c>
      <c r="BZ130" s="1">
        <f t="shared" si="80"/>
        <v>1</v>
      </c>
      <c r="CA130" s="1">
        <f>MIN(10,W130+IF(AND(L130="LILYA_COBRA",COUNTIF($L$3:L130,"LILYA_COBRA")=1),5,0)+IF(AND(L130="LILYA_DIVE",U130=1,COUNTIFS($DG$3:DG130,DG130,$L$3:L130,"LILYA_DIVE")=1),2,0)+IF(AND(FE130=1,U130=1),3,0))</f>
        <v>10</v>
      </c>
      <c r="CB130" s="1">
        <f>MIN(20,MAX(0,X130+IF(L130="LILYA_COBRA",IF(COUNTIF($L$3:L130,"LILYA_COBRA")=1,6,IF(U130=1,MAX(1,G130),IF(U130=2,2*MAX(1,G130),0))),0)+IF(AND(Y130=1,E130="红弩箭",L130&lt;&gt;"ENTER_INSIGHT"),1,0)-IF(AND(L130="LILYA_ULT",X130&gt;=6),6,0)))</f>
        <v>13</v>
      </c>
      <c r="CC130" s="1">
        <f t="shared" si="81"/>
        <v>0</v>
      </c>
      <c r="CD130" s="1">
        <f t="shared" si="82"/>
        <v>0</v>
      </c>
      <c r="CE130" s="1">
        <f t="shared" si="83"/>
        <v>0</v>
      </c>
      <c r="CF130" s="1">
        <f t="shared" si="84"/>
        <v>10</v>
      </c>
      <c r="CG130" s="1">
        <f t="shared" si="85"/>
        <v>1</v>
      </c>
      <c r="CH130" s="1">
        <f>MIN(35,AD130+IF(L130="J_HARD",6,0)+IF(L130="J_COUNTER",Boss参数!$B$30,0))</f>
        <v>35</v>
      </c>
      <c r="CI130" s="1">
        <f>MIN(Boss参数!$I$4,AE130+IF(L130="J_HARD",6,0)+IF(L130="J_ULT",AD130,0)+IF(L130="J_COUNTER",Boss参数!$B$30,0))</f>
        <v>0</v>
      </c>
      <c r="CJ130" s="1">
        <f>IF(L130="J_ULT",AD130*Boss参数!$B$41,IF(B130&lt;=AG130,AF130,0))</f>
        <v>0.875</v>
      </c>
      <c r="CK130" s="1">
        <f t="shared" si="86"/>
        <v>9</v>
      </c>
      <c r="CL130" s="1">
        <f t="shared" si="87"/>
        <v>9</v>
      </c>
      <c r="CM130" s="1">
        <f t="shared" si="88"/>
        <v>8</v>
      </c>
      <c r="CN130" s="1">
        <f t="shared" si="89"/>
        <v>9</v>
      </c>
      <c r="CO130" s="1">
        <f t="shared" si="90"/>
        <v>8</v>
      </c>
      <c r="CP130" s="1">
        <f t="shared" si="91"/>
        <v>3</v>
      </c>
      <c r="CQ130" s="1">
        <f t="shared" si="92"/>
        <v>30</v>
      </c>
      <c r="CR130" s="1">
        <f t="shared" si="93"/>
        <v>9</v>
      </c>
      <c r="CS130" s="1">
        <f t="shared" si="94"/>
        <v>0</v>
      </c>
      <c r="CT130" s="1">
        <f t="shared" si="95"/>
        <v>0.12</v>
      </c>
      <c r="CU130" s="1" t="e">
        <f t="shared" si="96"/>
        <v>#VALUE!</v>
      </c>
      <c r="CV130" s="1">
        <f t="shared" si="97"/>
        <v>0.3</v>
      </c>
      <c r="CW130" s="1">
        <f t="shared" si="98"/>
        <v>9</v>
      </c>
      <c r="CX130" s="1">
        <f t="shared" si="99"/>
        <v>0.3</v>
      </c>
      <c r="CY130" s="1">
        <f t="shared" si="100"/>
        <v>9</v>
      </c>
      <c r="CZ130" s="1"/>
      <c r="DA130" s="1"/>
      <c r="DB130" s="1"/>
      <c r="DC130" s="1"/>
      <c r="DD130" s="1"/>
      <c r="DE130" s="1"/>
      <c r="DF130" s="1"/>
      <c r="DG130" s="1" t="str">
        <f>IF(D130="","",行动模拟!B136)</f>
        <v/>
      </c>
      <c r="DH130" s="1" t="str">
        <f>IF(L130="END_TURN","回合结束",IF(D130="","",IF(INDEX(回合状态!$C$7:$C$17,MATCH(DG130,回合状态!$A$7:$A$17,0))="洞穿","洞穿",IF(OR(L130="J_COUNTER",L130="BOSS_ACTION",L130="BOSS_CONSERVATIVE"),"敌方",IF(AND(L130="37_FOLLOW",DG130=DG129,DH129="敌方"),"敌方",IF(INDEX(回合状态!$C$7:$C$17,MATCH(DG130,回合状态!$A$7:$A$17,0))="普通","出牌",INDEX(回合状态!$C$7:$C$17,MATCH(DG130,回合状态!$A$7:$A$17,0))))))))</f>
        <v/>
      </c>
      <c r="DI130" s="1">
        <f t="shared" si="101"/>
        <v>0</v>
      </c>
      <c r="DJ130" s="1">
        <f>IF(D130="",0,MIN(Boss参数!$B$25,IF(OR(AND(DH130="敌方",OR(DH129&lt;&gt;"敌方",DG130&lt;&gt;DG129)),AND(L130="END_TURN",DH130&lt;&gt;"洞穿"),AND(DG130&lt;&gt;DG129,DH129&lt;&gt;"洞穿",L129&lt;&gt;"END_TURN",COUNTIFS($DG$3:DG129,DG129,$DH$3:DH129,"敌方")=0)),EW130,DN129)))</f>
        <v>0</v>
      </c>
      <c r="DK130" s="1">
        <f>IF(D130="",0,MIN(Boss参数!$B$25,IF(OR(AND(DH130="敌方",OR(DH129&lt;&gt;"敌方",DG130&lt;&gt;DG129)),AND(L130="END_TURN",DH130&lt;&gt;"洞穿"),AND(DG130&lt;&gt;DG129,DH129&lt;&gt;"洞穿",L129&lt;&gt;"END_TURN",COUNTIFS($DG$3:DG129,DG129,$DH$3:DH129,"敌方")=0)),EW130,DO129)))</f>
        <v>0</v>
      </c>
      <c r="DL130" s="1">
        <f>IF(D130="",0,MIN(Boss参数!$B$25,IF(OR(AND(DH130="敌方",OR(DH129&lt;&gt;"敌方",DG130&lt;&gt;DG129)),AND(L130="END_TURN",DH130&lt;&gt;"洞穿"),AND(DG130&lt;&gt;DG129,DH129&lt;&gt;"洞穿",L129&lt;&gt;"END_TURN",COUNTIFS($DG$3:DG129,DG129,$DH$3:DH129,"敌方")=0)),EW130,DP129)))</f>
        <v>0</v>
      </c>
      <c r="DM130" s="1">
        <f>IF(D130="",0,MIN(Boss参数!$B$25,IF(OR(AND(DH130="敌方",OR(DH129&lt;&gt;"敌方",DG130&lt;&gt;DG129)),AND(L130="END_TURN",DH130&lt;&gt;"洞穿"),AND(DG130&lt;&gt;DG129,DH129&lt;&gt;"洞穿",L129&lt;&gt;"END_TURN",COUNTIFS($DG$3:DG129,DG129,$DH$3:DH129,"敌方")=0)),EW130,DQ129)))</f>
        <v>0</v>
      </c>
      <c r="DN130" s="1">
        <f>MAX(0,MIN(Boss参数!$B$25,DJ130+DR130)-IF(E130="红弩箭",2*DR130,0))</f>
        <v>0</v>
      </c>
      <c r="DO130" s="1">
        <f>MAX(0,MIN(Boss参数!$B$25,DK130+DR130)-IF(E130="37",2*DR130,0))</f>
        <v>0</v>
      </c>
      <c r="DP130" s="1">
        <f>MAX(0,MIN(Boss参数!$B$25,DL130+DR130)-IF(E130="小瑞安侬",2*DR130,0))</f>
        <v>0</v>
      </c>
      <c r="DQ130" s="1">
        <f>MAX(0,MIN(Boss参数!$B$25,DM130+DR130)-IF(E130="J",2*DR130,0))</f>
        <v>0</v>
      </c>
      <c r="DR130" s="1">
        <f t="shared" si="102"/>
        <v>0</v>
      </c>
      <c r="DS130" s="1">
        <f t="shared" si="103"/>
        <v>0</v>
      </c>
      <c r="DT130" s="1">
        <f>IF(OR(E130="",E130="系统"),0,IF(OR(AND(DS130=1,Boss参数!$B$32=1),L130="RHI_BERRY",OR(AND(INDEX(角色面板!$B$18:$B$21,MATCH(E130,角色面板!$A$18:$A$21,0))="星",Boss参数!$B$4="岩"),AND(INDEX(角色面板!$B$18:$B$21,MATCH(E130,角色面板!$A$18:$A$21,0))="岩",Boss参数!$B$4="兽"),AND(INDEX(角色面板!$B$18:$B$21,MATCH(E130,角色面板!$A$18:$A$21,0))="兽",Boss参数!$B$4="木"),AND(INDEX(角色面板!$B$18:$B$21,MATCH(E130,角色面板!$A$18:$A$21,0))="木",Boss参数!$B$4="星"),AND(INDEX(角色面板!$B$18:$B$21,MATCH(E130,角色面板!$A$18:$A$21,0))="智",Boss参数!$B$4="灵"),AND(INDEX(角色面板!$B$18:$B$21,MATCH(E130,角色面板!$A$18:$A$21,0))="灵",Boss参数!$B$4="智"))),1,0))</f>
        <v>0</v>
      </c>
      <c r="DU130" s="1">
        <f>IF(D130="",0,INDEX(回合状态!$E$7:$E$17,MATCH(DG130,回合状态!$A$7:$A$17,0))+IF(AND(DH130="敌方",OR(INDEX(回合状态!$C$7:$C$17,MATCH(DG130,回合状态!$A$7:$A$17,0))="普通",INDEX(回合状态!$C$7:$C$17,MATCH(DG130,回合状态!$A$7:$A$17,0))="额外")),0.05,0))</f>
        <v>0</v>
      </c>
      <c r="DV130" s="1">
        <f>MAX(Boss参数!$B$28,1+IF(AND(E130="37",AC130&gt;0,BH130&gt;0),Boss参数!$B$42,0)-DI130*Boss参数!$B$24+EA130-ER130)</f>
        <v>9.9999999999999978E-2</v>
      </c>
      <c r="DW130" s="1">
        <f>MIN(IF(Boss参数!$B$77=1,Boss参数!$B$63*Boss参数!$B$62,Boss参数!$B$61*Boss参数!$B$62),ROUNDDOWN(BQ130*(1-ES130),0))</f>
        <v>0</v>
      </c>
      <c r="DX130" s="1">
        <f>MIN(IF(Boss参数!$B$77=1,Boss参数!$B$63*Boss参数!$B$62,Boss参数!$B$61*Boss参数!$B$62),ROUNDDOWN(BR130*(1-ES130),0))</f>
        <v>0</v>
      </c>
      <c r="DY130" s="1">
        <f t="shared" si="135"/>
        <v>250</v>
      </c>
      <c r="DZ130" s="1">
        <f>IF(L130="RHI_ULT",MIN(Boss参数!$B$48,ROUNDDOWN(AY130*Boss参数!$B$47,0)),DY130)</f>
        <v>250</v>
      </c>
      <c r="EA130" s="1">
        <v>0</v>
      </c>
      <c r="EB130" s="1">
        <f t="shared" si="104"/>
        <v>0</v>
      </c>
      <c r="EC130" s="1">
        <f>SUMIFS($EB$3:EB130,$B$3:B130,"&gt;="&amp;MAX(1,B130-2),$B$3:B130,"&lt;="&amp;B130)*Boss参数!$B$51</f>
        <v>0</v>
      </c>
      <c r="ED130" s="1">
        <f>IF(D130="",EG129,IF(AND(DG130&lt;&gt;DG129,DH130&lt;&gt;"洞穿"),MIN(Boss参数!$B$55,EG129+2),EG129))</f>
        <v>0</v>
      </c>
      <c r="EE130" s="1">
        <f t="shared" si="105"/>
        <v>0</v>
      </c>
      <c r="EF130" s="1">
        <f>IF(AND(OR(L130="END_TURN",AND(DH130="敌方",OR(DH129&lt;&gt;"敌方",DG130&lt;&gt;DG129))),SUMIFS($EF$3:EF129,$DG$3:DG129,DG130)=0),MIN(1,MAX(0,ED130-EE130)),0)</f>
        <v>0</v>
      </c>
      <c r="EG130" s="1">
        <f t="shared" si="106"/>
        <v>0</v>
      </c>
      <c r="EH130" s="1">
        <f>Boss参数!$B$53-IF(Y130=1,Boss参数!$B$54,0)</f>
        <v>0</v>
      </c>
      <c r="EI130" s="1">
        <f t="shared" si="107"/>
        <v>0.15</v>
      </c>
      <c r="EJ130" s="1">
        <f t="shared" si="108"/>
        <v>0.15</v>
      </c>
      <c r="EK130" s="1" t="e">
        <f t="shared" si="109"/>
        <v>#VALUE!</v>
      </c>
      <c r="EL130" s="1">
        <f t="shared" si="136"/>
        <v>0</v>
      </c>
      <c r="EM130" s="1">
        <f>IF(AND(DG130&lt;&gt;DG129,DH130="洞穿"),0,IF(L130="ENTER_INSIGHT",Boss参数!$B$57,EO129))</f>
        <v>0</v>
      </c>
      <c r="EN130" s="1">
        <f>IF(AND(Y130=1,H130="洞知",EM130&gt;0),Boss参数!$B$56,0)</f>
        <v>0</v>
      </c>
      <c r="EO130" s="1">
        <f t="shared" si="110"/>
        <v>0</v>
      </c>
      <c r="EP130" s="1">
        <f t="shared" si="137"/>
        <v>23210479</v>
      </c>
      <c r="EQ130" s="1">
        <f>ROUNDDOWN(EP130/Boss参数!$B$62,0)</f>
        <v>232</v>
      </c>
      <c r="ER130" s="1">
        <f>IF(EQ130&gt;=Boss参数!$B$66,Boss参数!$B$69,IF(EQ130&gt;=Boss参数!$B$65,Boss参数!$B$68,IF(EQ130&gt;=Boss参数!$B$64,Boss参数!$B$67,0)))</f>
        <v>0.9</v>
      </c>
      <c r="ES130" s="1">
        <f>MIN(1,IF(EQ130&gt;=Boss参数!$B$66,Boss参数!$B$72+ROUNDDOWN((EQ130-Boss参数!$B$66)/Boss参数!$B$73,0)*Boss参数!$B$74,IF(EQ130&gt;=Boss参数!$B$65,Boss参数!$B$71,IF(EQ130&gt;=Boss参数!$B$64,Boss参数!$B$70,0))))</f>
        <v>0.65</v>
      </c>
      <c r="ET130" s="1">
        <f>MIN(Boss参数!$B$61*Boss参数!$B$62,EP130+IF(AND(Boss参数!$B$60=1,ISNUMBER(验证表!H136)),验证表!H136,EU130))</f>
        <v>23210479</v>
      </c>
      <c r="EU130" s="1">
        <f>IF(D130="",0,IF(验证表!G136="是",BV130,IF(验证表!G136="否",BU130,BW130)))</f>
        <v>0</v>
      </c>
      <c r="EV130" s="1">
        <f>IF(EQ130&gt;=Boss参数!$B$66,2,IF(EQ130&gt;=Boss参数!$B$65,1,0))</f>
        <v>2</v>
      </c>
      <c r="EW130" s="1">
        <f t="shared" si="111"/>
        <v>3</v>
      </c>
      <c r="EX130" s="1">
        <f>IF(D130="",0,INDEX(回合状态!$D$7:$D$17,MATCH(DG130,回合状态!$A$7:$A$17,0)))</f>
        <v>0</v>
      </c>
      <c r="EY130" s="1">
        <f>IF(OR(L130="RHI_ATTACK",L130="RHI_BUFF"),1,IF(L130="RHI_ULT",Boss参数!$B$52,0))</f>
        <v>0</v>
      </c>
      <c r="EZ130" s="1">
        <f>MIN(6,SUMIFS($EY$3:EY130,$EX$3:EX130,"&gt;="&amp;MAX(1,EX130-Boss参数!$B$87+1),$EX$3:EX130,"&lt;="&amp;EX130))</f>
        <v>0</v>
      </c>
      <c r="FA130" s="1">
        <f t="shared" si="138"/>
        <v>0</v>
      </c>
      <c r="FB130" s="17">
        <f>IF(L130="BOSS_CONSERVATIVE",B130+Boss参数!$B$91,FB129)</f>
        <v>7</v>
      </c>
      <c r="FC130" s="17">
        <f t="shared" si="139"/>
        <v>0</v>
      </c>
      <c r="FD130" s="17">
        <f>IF(D130="",FD129,FD129+IF(AND(DG130&lt;&gt;DG129,INDEX(回合状态!$C$7:$C$17,MATCH(DG130,回合状态!$A$7:$A$17,0))&lt;&gt;"洞穿"),1,0))</f>
        <v>8</v>
      </c>
      <c r="FE130" s="17">
        <f>IF(D130="",0,IF(AND(OR(L130="END_TURN",DH130="敌方"),INDEX(回合状态!$C$7:$C$17,MATCH(DG130,回合状态!$A$7:$A$17,0))&lt;&gt;"洞穿",SUMIFS($FE$3:FE129,$DG$3:DG129,DG130)=0),1,0))</f>
        <v>0</v>
      </c>
    </row>
    <row r="131" spans="1:161" ht="84.95" customHeight="1">
      <c r="A131" s="1" t="str">
        <f>行动模拟!A137</f>
        <v/>
      </c>
      <c r="B131" s="1">
        <f>IF(D131="",0,INDEX(回合状态!$B$7:$B$17,MATCH(DG131,回合状态!$A$7:$A$17,0)))</f>
        <v>0</v>
      </c>
      <c r="C131" s="1">
        <f>行动模拟!C137</f>
        <v>0</v>
      </c>
      <c r="D131" s="1" t="str">
        <f>IF(行动模拟!D137="","",行动模拟!D137)</f>
        <v/>
      </c>
      <c r="E131" s="1" t="str">
        <f>IF($D131="","",IFERROR(INDEX(技能数据库!$B$4:$B$38,MATCH($D131,技能数据库!$A$4:$A$38,0)),""))</f>
        <v/>
      </c>
      <c r="F131" s="1" t="str">
        <f>IF($D131="","",IFERROR(INDEX(技能数据库!$C$4:$C$38,MATCH($D131,技能数据库!$A$4:$A$38,0)),""))</f>
        <v/>
      </c>
      <c r="G131" s="1" t="str">
        <f>IF($D131="","",IFERROR(INDEX(技能数据库!$D$4:$D$38,MATCH($D131,技能数据库!$A$4:$A$38,0)),""))</f>
        <v/>
      </c>
      <c r="H131" s="1" t="str">
        <f>IF($D131="","",IFERROR(INDEX(技能数据库!$E$4:$E$38,MATCH($D131,技能数据库!$A$4:$A$38,0)),""))</f>
        <v/>
      </c>
      <c r="I131" s="1" t="str">
        <f>IF($D131="","",IFERROR(INDEX(技能数据库!$F$4:$F$38,MATCH($D131,技能数据库!$A$4:$A$38,0)),""))</f>
        <v/>
      </c>
      <c r="J131" s="1" t="str">
        <f>IF($D131="","",IFERROR(INDEX(技能数据库!$G$4:$G$38,MATCH($D131,技能数据库!$A$4:$A$38,0)),""))</f>
        <v/>
      </c>
      <c r="K131" s="1" t="str">
        <f>IF($D131="","",IFERROR(INDEX(技能数据库!$H$4:$H$38,MATCH($D131,技能数据库!$A$4:$A$38,0)),""))</f>
        <v/>
      </c>
      <c r="L131" s="1" t="str">
        <f>IF($D131="","",IFERROR(INDEX(技能数据库!$I$4:$I$38,MATCH($D131,技能数据库!$A$4:$A$38,0)),""))</f>
        <v/>
      </c>
      <c r="M131" s="1">
        <v>1</v>
      </c>
      <c r="N131" s="1"/>
      <c r="O131" s="1"/>
      <c r="P131" s="1"/>
      <c r="Q131" s="1">
        <f t="shared" ref="Q131:Q194" si="140">EN131</f>
        <v>0</v>
      </c>
      <c r="R131" s="1">
        <v>0</v>
      </c>
      <c r="S131" s="1">
        <v>0</v>
      </c>
      <c r="T131" s="1">
        <f>行动模拟!I137</f>
        <v>0</v>
      </c>
      <c r="U131" s="1">
        <f>IF(FD131&lt;&gt;FD130,IF(BY130=1,IF(MIN(10,CA130+IF(AND(DG131&lt;&gt;DG130,DH130&lt;&gt;"洞穿",SUMIFS($FE$3:FE130,$DG$3:DG130,DG130)=0,BY130=1),3,0))&gt;=10,2,1),IF(BY130=2,IF(BZ130&lt;=1,0,2),0)),BY130)</f>
        <v>2</v>
      </c>
      <c r="V131" s="1">
        <f>IF(FD131&lt;&gt;FD130,IF(BY130=1,IF(MIN(10,CA130+IF(AND(DG131&lt;&gt;DG130,DH130&lt;&gt;"洞穿",SUMIFS($FE$3:FE130,$DG$3:DG130,DG130)=0,BY130=1),3,0))&gt;=10,2,0),IF(BY130=2,MAX(0,BZ130-1),0)),BZ130)</f>
        <v>1</v>
      </c>
      <c r="W131" s="1">
        <f>IF(AND(FD131&lt;&gt;FD130,BY130=2,BZ130&lt;=1),0,MIN(10,CA130+IF(AND(DG131&lt;&gt;DG130,DH130&lt;&gt;"洞穿",SUMIFS($FE$3:FE130,$DG$3:DG130,DG130)=0,BY130=1),3,0)))</f>
        <v>10</v>
      </c>
      <c r="X131" s="1">
        <f t="shared" si="112"/>
        <v>13</v>
      </c>
      <c r="Y131" s="1">
        <f t="shared" si="113"/>
        <v>0</v>
      </c>
      <c r="Z131" s="1">
        <f t="shared" si="114"/>
        <v>0</v>
      </c>
      <c r="AA131" s="1">
        <f t="shared" si="115"/>
        <v>0</v>
      </c>
      <c r="AB131" s="1">
        <f t="shared" si="116"/>
        <v>10</v>
      </c>
      <c r="AC131" s="1">
        <f t="shared" si="117"/>
        <v>1</v>
      </c>
      <c r="AD131" s="1">
        <f t="shared" si="118"/>
        <v>35</v>
      </c>
      <c r="AE131" s="1">
        <f>IF(D131="",0,IF(DG131&lt;&gt;DG130,IFERROR(INDEX(回合状态!$F$7:$F$17,MATCH(DG131,回合状态!$A$7:$A$17,0)),0),CI130))</f>
        <v>0</v>
      </c>
      <c r="AF131" s="1">
        <f t="shared" si="119"/>
        <v>0.875</v>
      </c>
      <c r="AG131" s="1">
        <f t="shared" si="120"/>
        <v>9</v>
      </c>
      <c r="AH131" s="1">
        <f t="shared" si="121"/>
        <v>9</v>
      </c>
      <c r="AI131" s="1">
        <f t="shared" si="122"/>
        <v>8</v>
      </c>
      <c r="AJ131" s="1">
        <f t="shared" si="123"/>
        <v>9</v>
      </c>
      <c r="AK131" s="1">
        <f t="shared" si="124"/>
        <v>8</v>
      </c>
      <c r="AL131" s="1">
        <f t="shared" si="125"/>
        <v>3</v>
      </c>
      <c r="AM131" s="1">
        <f t="shared" si="126"/>
        <v>30</v>
      </c>
      <c r="AN131" s="1">
        <f t="shared" si="127"/>
        <v>9</v>
      </c>
      <c r="AO131" s="1">
        <f t="shared" si="128"/>
        <v>0</v>
      </c>
      <c r="AP131" s="1">
        <f t="shared" si="129"/>
        <v>0.12</v>
      </c>
      <c r="AQ131" s="1" t="e">
        <f t="shared" si="130"/>
        <v>#VALUE!</v>
      </c>
      <c r="AR131" s="1">
        <f t="shared" si="131"/>
        <v>0.3</v>
      </c>
      <c r="AS131" s="1">
        <f t="shared" si="132"/>
        <v>9</v>
      </c>
      <c r="AT131" s="1">
        <f t="shared" si="133"/>
        <v>0.3</v>
      </c>
      <c r="AU131" s="1">
        <f t="shared" si="134"/>
        <v>9</v>
      </c>
      <c r="AV131" s="1">
        <f>MIN(5,SUMIFS($EL$3:EL131,$B$3:B131,"&gt;="&amp;MAX(1,B131-2),$B$3:B131,"&lt;="&amp;B131)+EC131)</f>
        <v>0</v>
      </c>
      <c r="AW131" s="1">
        <f>MIN(6,SUMIFS($EY$3:EY130,$EX$3:EX130,"&gt;="&amp;MAX(1,EX131-Boss参数!$B$87+1),$EX$3:EX130,"&lt;="&amp;EX131))</f>
        <v>0</v>
      </c>
      <c r="AX131" s="1">
        <f>MIN(4,COUNTIFS($B$3:$B$130,"&gt;="&amp;MAX(1,$B131-2),$B$3:$B$130,"&lt;="&amp;$B131,$L$3:$L$130,"37_FOLLOW"))</f>
        <v>0</v>
      </c>
      <c r="AY131" s="1" t="str">
        <f>IF($E131="","",IF($E131="系统",0,ROUNDDOWN(INDEX(角色面板!$C$4:$C$7,MATCH($E131,角色面板!$A$4:$A$7,0))*(1+INDEX(角色面板!$C$11:$C$14,MATCH($E131,角色面板!$A$11:$A$14,0))+IF($E131="小瑞安侬",MAX(IF($B131&lt;=$AQ131,$AP131,0),IF(AND($L131="RHI_ATTACK",$EE131&gt;0),0.11+0.01*$G131,0)),0)+IF($E131="J",$AD131*Boss参数!$B$18,0))+IF(FD131&lt;=$AN131,MIN(Boss参数!$B$21,ROUNDDOWN(角色面板!$C$19*Boss参数!$B$20,0)),0)+IF(AND($B131&lt;=$AK131,$E131&lt;&gt;"小瑞安侬"),$DY131,0),0)))</f>
        <v/>
      </c>
      <c r="AZ131" s="1" t="str">
        <f>IF($E131="","",MAX(0,MIN(1,IFERROR(INDEX(角色面板!$G$18:$G$21,MATCH($E131,角色面板!$A$18:$A$21,0)),0)-FC131*Boss参数!$B$89-Boss参数!$E$4)))</f>
        <v/>
      </c>
      <c r="BA131" s="1" t="str">
        <f>IF(E131="","",(IF($E131="","",IF($E131="红弩箭",Boss参数!$B$80,IF($E131="J",Boss参数!$B$81,IFERROR(INDEX(角色面板!$H$18:$H$21,MATCH($E131,角色面板!$A$18:$A$21,0)),0)))+IF($B131&lt;=$AI131,Boss参数!$B$13,0)+MIN(30,$AM131)*Boss参数!$B$17+IF(AND($L131="LILYA_ULT",$X131&gt;=6),1,0)+IF(AND($Y131=1,$L131="LILYA_INSIGHT"),IF(MOD($AA131+1,3)=0,Boss参数!$B$83,Boss参数!$B$82),IF(AND($Y131=1,$L131="LILYA_FINISH"),Boss参数!$B$84,0))))-FC131*Boss参数!$B$90)</f>
        <v/>
      </c>
      <c r="BB131" s="1" t="str">
        <f>IF($E131="","",IFERROR(INDEX(角色面板!$M$18:$M$21,MATCH($E131,角色面板!$A$18:$A$21,0)),0)+$AW131*Boss参数!$B$12+IF($B131&lt;=$AG131,$AF131,0)+$EI131+IF($L131="LILYA_DIVE",IF($U131=1,IF($G131=1,0.3,IF($G131=2,0.4,0.5)),IF($U131=2,IF($G131=1,0.6,IF($G131=2,0.8,1)),0)),0)+$R131+IF(AND($E131="J",OR($L131="J_COUNTER",$L131="J_HARD")),Boss参数!$B$79,0)+IF(AND(OR(L131="J_COUNTER",L131="J_HARD"),FA131&gt;=Boss参数!$B$59),FA131*Boss参数!$B$40,0))</f>
        <v/>
      </c>
      <c r="BC131" s="1" t="e">
        <f>IF($E131="","",IFERROR(INDEX(角色面板!$K$18:$K$21,MATCH($E131,角色面板!$A$18:$A$21,0)),0)+IF($B131&lt;=$AH131,Boss参数!$B$46,0)+IF($E131="红弩箭",IF($U131=1,0.6,IF($U131=2,1.2,0))+$W131*0.06,0))-DI131*Boss参数!$B$23</f>
        <v>#VALUE!</v>
      </c>
      <c r="BD131" s="1" t="e">
        <f>IF($E131="","",IFERROR(INDEX(角色面板!$L$18:$L$21,MATCH($E131,角色面板!$A$18:$A$21,0)),0)+IF($B131&lt;=$AH131,Boss参数!$B$46,0)+IF($E131="J",$AL131*Boss参数!$B$16,0)+IF($E131="红弩箭",$X131*0.025,0)+IF(AND($L131="LILYA_ULT",$X131&gt;=6),1,0))-DI131*Boss参数!$B$23</f>
        <v>#VALUE!</v>
      </c>
      <c r="BE131" s="1" t="str">
        <f>IF($E131="","",IF($H131="洞知",IF($E131="红弩箭",$AO131*Boss参数!$B$15,0)+$AX131*Boss参数!$B$14,0))</f>
        <v/>
      </c>
      <c r="BF131" s="1">
        <f t="shared" ref="BF131:BF194" si="141">IF(AND($L131="LILYA_ULT",$X131&gt;=6),0.2,0)</f>
        <v>0</v>
      </c>
      <c r="BG131" s="1">
        <f>IF($D131="",0,IF(AND($L131&lt;&gt;"LILYA_DIVE",$L131&lt;&gt;"LILYA_ULT",$L131&lt;&gt;"LILYA_INSIGHT",$L131&lt;&gt;"LILYA_FINISH",$L131&lt;&gt;"37_FOLLOW",$L131&lt;&gt;"RHI_ATTACK",$L131&lt;&gt;"RHI_BERRY",$L131&lt;&gt;"J_COUNTER",$L131&lt;&gt;"J_ULT"),$J131,0)+IF($L131="LILYA_DIVE",$J131+IF($U131=1,IF($G131=1,6,IF($G131=2,12,18)),IF($U131=2,IF($G131=1,12,IF($G131=2,24,36)),0)),0)+IF($L131="LILYA_ULT",$J131+IF($X131&gt;=6,18,0),0)+IF($L131="LILYA_INSIGHT",IF($Y131=1,IF(MOD($AA131+1,3)=0,32,15),0),0)+IF($L131="LILYA_FINISH",IF($Y131=1,50+2.5*$Z131,0),0)+IF($L131="37_FOLLOW",$J131,0)+IF($L131="RHI_ATTACK",$J131*IF($B131&lt;=$AJ131,2,1),0)+IF($L131="RHI_BERRY",15+1.5*$AV131,0)+IF($L131="J_COUNTER",$J131+$AD131*Boss参数!$B$39,0)+IF($L131="J_ULT",$J131+Boss参数!$B$45*MAX(0,$AE131+$AD131-Boss参数!$I$4),0)+$S131)</f>
        <v>0</v>
      </c>
      <c r="BH131" s="1">
        <f t="shared" ref="BH131:BH194" si="142">IF(D131="",0,K131)</f>
        <v>0</v>
      </c>
      <c r="BI131" s="1" t="str">
        <f>IF(E131="","",IF(DT131=1,1+Boss参数!$B$8+AV131*Boss参数!$B$19,1))</f>
        <v/>
      </c>
      <c r="BJ131" s="1">
        <f>IF($I131="现实",Boss参数!$C$4,IF($I131="精神",Boss参数!$D$4,0))</f>
        <v>0</v>
      </c>
      <c r="BK131" s="1" t="str">
        <f>IF($E131="","",MAX($AY131*Boss参数!$B$9,$AY131-$BJ131*(1-$BF131)))</f>
        <v/>
      </c>
      <c r="BL131" s="1">
        <f>MAX(0,Boss参数!$F$4+IF(DT131=0,Boss参数!$B$27,0)-EJ131)</f>
        <v>1.25</v>
      </c>
      <c r="BM131" s="1">
        <f>Boss参数!$G$4+DU131-IF(Y131=1,Boss参数!$B$11,0)</f>
        <v>0.4</v>
      </c>
      <c r="BN131" s="1" t="str">
        <f>IF($E131="","",MAX(Boss参数!$B$10,1+IFERROR(INDEX(角色面板!$I$18:$I$21,MATCH($E131,角色面板!$A$18:$A$21,0)),0)+$BB131+Boss参数!$H$4-$BM131))</f>
        <v/>
      </c>
      <c r="BO131" s="1" t="str">
        <f>IF(E131="","",IF(OR(L131="J_COUNTER",L131="J_HARD"),MAX(0,1+INDEX(角色面板!$K$18:$K$21,MATCH(E131,角色面板!$A$18:$A$21,0))-DI131*Boss参数!$B$23+IF(OR(Boss参数!$B$43=1,L131="J_HARD"),IF(B131&lt;=AH131,Boss参数!$B$46,0),0)),MAX(0,IF(OR(H131="术法",L131="RHI_BERRY",AND(L131="37_FOLLOW",Boss参数!$B$31=1)),1+BC131,IF(H131="仪式",1+BD131,IF(H131="洞知",EK131,1))))))</f>
        <v/>
      </c>
      <c r="BP131" s="1" t="str">
        <f t="shared" ref="BP131:BP194" si="143">IF($E131="","",MAX(1.1,$BA131-$BL131))</f>
        <v/>
      </c>
      <c r="BQ131" s="1">
        <f t="shared" ref="BQ131:BQ194" si="144">IF($BG131=0,0,$BK131*$BG131*$BN131*$BO131*$BI131)</f>
        <v>0</v>
      </c>
      <c r="BR131" s="1">
        <f t="shared" ref="BR131:BR194" si="145">IF($BG131=0,0,$BQ131*$BP131)</f>
        <v>0</v>
      </c>
      <c r="BS131" s="1">
        <f>IF(BH131=0,0,ROUNDDOWN(AY131*BH131,0)*DV131*IF(Boss参数!$B$29=1,BN131,1)*IF(Boss参数!$B$33=1,BO131,1)*IF(Boss参数!$B$76=1,1-ES131,1))</f>
        <v>0</v>
      </c>
      <c r="BT131" s="1">
        <f t="shared" ref="BT131:BT194" si="146">IF($BH131=0,0,$BS131*IF($E131="37",$BP131,1))</f>
        <v>0</v>
      </c>
      <c r="BU131" s="1">
        <f>IF(D131="",0,MIN(IF(Boss参数!$B$77=1,Boss参数!$B$63*Boss参数!$B$62,Boss参数!$B$61*Boss参数!$B$62),DW131+ROUNDDOWN(BS131,0)+ROUNDDOWN(DW131*Q131,0)))</f>
        <v>0</v>
      </c>
      <c r="BV131" s="1">
        <f>IF(D131="",0,MIN(IF(Boss参数!$B$77=1,Boss参数!$B$63*Boss参数!$B$62,Boss参数!$B$61*Boss参数!$B$62),DX131+ROUNDDOWN(BT131,0)+ROUNDDOWN(DX131*Q131,0)))</f>
        <v>0</v>
      </c>
      <c r="BW131" s="1">
        <f t="shared" ref="BW131:BW194" si="147">IF($D131="",0,ROUNDDOWN($BU131*(1-$AZ131)+$BV131*$AZ131,0))</f>
        <v>0</v>
      </c>
      <c r="BX131" s="1" t="str">
        <f t="shared" ref="BX131:BX194" si="148">IF($D131="","",IF(AND($L131="37_FOLLOW",$AB131&lt;5),"检查：37灵光不足5",IF(AND($L131="LILYA_INSIGHT",$Y131=0),"检查：未进入弱点洞穿",IF(AND($L131="LILYA_FINISH",$Y131=0),"检查：未进入弱点洞穿",""))))</f>
        <v/>
      </c>
      <c r="BY131" s="1">
        <f t="shared" ref="BY131:BY194" si="149">IF($L131="LILYA_COBRA",IF($U131=0,1,$U131),$U131)</f>
        <v>2</v>
      </c>
      <c r="BZ131" s="1">
        <f t="shared" ref="BZ131:BZ194" si="150">$V131</f>
        <v>1</v>
      </c>
      <c r="CA131" s="1">
        <f>MIN(10,W131+IF(AND(L131="LILYA_COBRA",COUNTIF($L$3:L131,"LILYA_COBRA")=1),5,0)+IF(AND(L131="LILYA_DIVE",U131=1,COUNTIFS($DG$3:DG131,DG131,$L$3:L131,"LILYA_DIVE")=1),2,0)+IF(AND(FE131=1,U131=1),3,0))</f>
        <v>10</v>
      </c>
      <c r="CB131" s="1">
        <f>MIN(20,MAX(0,X131+IF(L131="LILYA_COBRA",IF(COUNTIF($L$3:L131,"LILYA_COBRA")=1,6,IF(U131=1,MAX(1,G131),IF(U131=2,2*MAX(1,G131),0))),0)+IF(AND(Y131=1,E131="红弩箭",L131&lt;&gt;"ENTER_INSIGHT"),1,0)-IF(AND(L131="LILYA_ULT",X131&gt;=6),6,0)))</f>
        <v>13</v>
      </c>
      <c r="CC131" s="1">
        <f t="shared" ref="CC131:CC194" si="151">IF($L131="ENTER_INSIGHT",1,IF($L131="LILYA_FINISH",0,$Y131))</f>
        <v>0</v>
      </c>
      <c r="CD131" s="1">
        <f t="shared" ref="CD131:CD194" si="152">IF(OR($L131="ENTER_INSIGHT",$L131="LILYA_FINISH"),0,IF(AND($Y131=1,$D131&lt;&gt;"",$E131&lt;&gt;"系统"),$Z131+1,$Z131))</f>
        <v>0</v>
      </c>
      <c r="CE131" s="1">
        <f t="shared" ref="CE131:CE194" si="153">IF(OR($L131="ENTER_INSIGHT",$L131="LILYA_FINISH"),0,IF($L131="LILYA_INSIGHT",$AA131+1,$AA131))</f>
        <v>0</v>
      </c>
      <c r="CF131" s="1">
        <f t="shared" ref="CF131:CF194" si="154">IF(OR($D131="",$E131="系统"),$AB131,IF($L131="37_FOLLOW",MAX(0,$AB131-5),MIN(10,$AB131+1+IF($L131="37_ULT",2,0))))</f>
        <v>10</v>
      </c>
      <c r="CG131" s="1">
        <f t="shared" ref="CG131:CG194" si="155">MAX(0,$AC131-IF(AND($E131="37",$BH131&gt;0,$AC131&gt;0),1,0)+IF($L131="37_ULT",2,0)+IF($L131="37_TRIANGLE",IF($G131=3,2,1),0))</f>
        <v>1</v>
      </c>
      <c r="CH131" s="1">
        <f>MIN(35,AD131+IF(L131="J_HARD",6,0)+IF(L131="J_COUNTER",Boss参数!$B$30,0))</f>
        <v>35</v>
      </c>
      <c r="CI131" s="1">
        <f>MIN(Boss参数!$I$4,AE131+IF(L131="J_HARD",6,0)+IF(L131="J_ULT",AD131,0)+IF(L131="J_COUNTER",Boss参数!$B$30,0))</f>
        <v>0</v>
      </c>
      <c r="CJ131" s="1">
        <f>IF(L131="J_ULT",AD131*Boss参数!$B$41,IF(B131&lt;=AG131,AF131,0))</f>
        <v>0.875</v>
      </c>
      <c r="CK131" s="1">
        <f t="shared" ref="CK131:CK194" si="156">IF(L131="J_ULT",B131+2,AG131)</f>
        <v>9</v>
      </c>
      <c r="CL131" s="1">
        <f t="shared" ref="CL131:CL194" si="157">IF($L131="RHI_BUFF",$B131+2,$AH131)</f>
        <v>9</v>
      </c>
      <c r="CM131" s="1">
        <f t="shared" ref="CM131:CM194" si="158">IF($L131="RHI_ULT",$B131+2,$AI131)</f>
        <v>8</v>
      </c>
      <c r="CN131" s="1">
        <f t="shared" ref="CN131:CN194" si="159">IF($L131="RHI_ULT",$B131+3,$AJ131)</f>
        <v>9</v>
      </c>
      <c r="CO131" s="1">
        <f t="shared" ref="CO131:CO194" si="160">IF($L131="RHI_ULT",$B131+2,$AK131)</f>
        <v>8</v>
      </c>
      <c r="CP131" s="1">
        <f t="shared" ref="CP131:CP194" si="161">MIN(3,$AL131+IF(OR($L131="J_COUNTER",$L131="J_HARD"),1,0))</f>
        <v>3</v>
      </c>
      <c r="CQ131" s="1">
        <f t="shared" ref="CQ131:CQ194" si="162">MIN(30,$AM131+IF($H131="仪式",5,0))</f>
        <v>30</v>
      </c>
      <c r="CR131" s="1">
        <f t="shared" ref="CR131:CR194" si="163">IF(L131="37_ULT",FD131+1,AN131)</f>
        <v>9</v>
      </c>
      <c r="CS131" s="1">
        <f t="shared" ref="CS131:CS194" si="164">IF(OR(L131="ENTER_INSIGHT",L131="LILYA_FINISH"),0,IF(AND(Y131=1,H131="洞知"),AO131+1,AO131))</f>
        <v>0</v>
      </c>
      <c r="CT131" s="1" t="e">
        <f t="shared" ref="CT131:CT194" si="165">IF(AND($L131="RHI_ATTACK",$EE131&gt;0),MAX(IF($B131&lt;=$AQ131,$AP131,0),0.11+0.01*$G131),IF($B131&lt;=$AQ131,$AP131,0))</f>
        <v>#VALUE!</v>
      </c>
      <c r="CU131" s="1" t="e">
        <f t="shared" ref="CU131:CU194" si="166">IF(AND($L131="RHI_ATTACK",$EE131&gt;0,0.11+0.01*$G131&gt;=IF($B131&lt;=$AQ131,$AP131,0)),$B131+2,$AQ131)</f>
        <v>#VALUE!</v>
      </c>
      <c r="CV131" s="1">
        <f t="shared" ref="CV131:CV194" si="167">IF(AND($L131="RHI_ATTACK",$B131&lt;=$AJ131),0.15+MIN(0.15,$AV131*0.03),IF($B131&lt;=$AS131,$AR131,0))</f>
        <v>0.3</v>
      </c>
      <c r="CW131" s="1">
        <f t="shared" ref="CW131:CW194" si="168">IF(AND($L131="RHI_ATTACK",$B131&lt;=$AJ131),$B131+2,$AS131)</f>
        <v>9</v>
      </c>
      <c r="CX131" s="1">
        <f t="shared" ref="CX131:CX194" si="169">IF(AND($L131="RHI_BUFF",$B131&lt;=$AJ131),0.15+MIN(0.15,$AV131*0.03),IF($B131&lt;=$AU131,$AT131,0))</f>
        <v>0.3</v>
      </c>
      <c r="CY131" s="1">
        <f t="shared" ref="CY131:CY194" si="170">IF(AND($L131="RHI_BUFF",$B131&lt;=$AJ131),$B131+2,$AU131)</f>
        <v>9</v>
      </c>
      <c r="CZ131" s="1"/>
      <c r="DA131" s="1"/>
      <c r="DB131" s="1"/>
      <c r="DC131" s="1"/>
      <c r="DD131" s="1"/>
      <c r="DE131" s="1"/>
      <c r="DF131" s="1"/>
      <c r="DG131" s="1" t="str">
        <f>IF(D131="","",行动模拟!B137)</f>
        <v/>
      </c>
      <c r="DH131" s="1" t="str">
        <f>IF(L131="END_TURN","回合结束",IF(D131="","",IF(INDEX(回合状态!$C$7:$C$17,MATCH(DG131,回合状态!$A$7:$A$17,0))="洞穿","洞穿",IF(OR(L131="J_COUNTER",L131="BOSS_ACTION",L131="BOSS_CONSERVATIVE"),"敌方",IF(AND(L131="37_FOLLOW",DG131=DG130,DH130="敌方"),"敌方",IF(INDEX(回合状态!$C$7:$C$17,MATCH(DG131,回合状态!$A$7:$A$17,0))="普通","出牌",INDEX(回合状态!$C$7:$C$17,MATCH(DG131,回合状态!$A$7:$A$17,0))))))))</f>
        <v/>
      </c>
      <c r="DI131" s="1">
        <f t="shared" ref="DI131:DI194" si="171">IF(E131="红弩箭",DJ131,IF(E131="37",DK131,IF(E131="小瑞安侬",DL131,IF(E131="J",DM131,0))))</f>
        <v>0</v>
      </c>
      <c r="DJ131" s="1">
        <f>IF(D131="",0,MIN(Boss参数!$B$25,IF(OR(AND(DH131="敌方",OR(DH130&lt;&gt;"敌方",DG131&lt;&gt;DG130)),AND(L131="END_TURN",DH131&lt;&gt;"洞穿"),AND(DG131&lt;&gt;DG130,DH130&lt;&gt;"洞穿",L130&lt;&gt;"END_TURN",COUNTIFS($DG$3:DG130,DG130,$DH$3:DH130,"敌方")=0)),EW131,DN130)))</f>
        <v>0</v>
      </c>
      <c r="DK131" s="1">
        <f>IF(D131="",0,MIN(Boss参数!$B$25,IF(OR(AND(DH131="敌方",OR(DH130&lt;&gt;"敌方",DG131&lt;&gt;DG130)),AND(L131="END_TURN",DH131&lt;&gt;"洞穿"),AND(DG131&lt;&gt;DG130,DH130&lt;&gt;"洞穿",L130&lt;&gt;"END_TURN",COUNTIFS($DG$3:DG130,DG130,$DH$3:DH130,"敌方")=0)),EW131,DO130)))</f>
        <v>0</v>
      </c>
      <c r="DL131" s="1">
        <f>IF(D131="",0,MIN(Boss参数!$B$25,IF(OR(AND(DH131="敌方",OR(DH130&lt;&gt;"敌方",DG131&lt;&gt;DG130)),AND(L131="END_TURN",DH131&lt;&gt;"洞穿"),AND(DG131&lt;&gt;DG130,DH130&lt;&gt;"洞穿",L130&lt;&gt;"END_TURN",COUNTIFS($DG$3:DG130,DG130,$DH$3:DH130,"敌方")=0)),EW131,DP130)))</f>
        <v>0</v>
      </c>
      <c r="DM131" s="1">
        <f>IF(D131="",0,MIN(Boss参数!$B$25,IF(OR(AND(DH131="敌方",OR(DH130&lt;&gt;"敌方",DG131&lt;&gt;DG130)),AND(L131="END_TURN",DH131&lt;&gt;"洞穿"),AND(DG131&lt;&gt;DG130,DH130&lt;&gt;"洞穿",L130&lt;&gt;"END_TURN",COUNTIFS($DG$3:DG130,DG130,$DH$3:DH130,"敌方")=0)),EW131,DQ130)))</f>
        <v>0</v>
      </c>
      <c r="DN131" s="1">
        <f>MAX(0,MIN(Boss参数!$B$25,DJ131+DR131)-IF(E131="红弩箭",2*DR131,0))</f>
        <v>0</v>
      </c>
      <c r="DO131" s="1">
        <f>MAX(0,MIN(Boss参数!$B$25,DK131+DR131)-IF(E131="37",2*DR131,0))</f>
        <v>0</v>
      </c>
      <c r="DP131" s="1">
        <f>MAX(0,MIN(Boss参数!$B$25,DL131+DR131)-IF(E131="小瑞安侬",2*DR131,0))</f>
        <v>0</v>
      </c>
      <c r="DQ131" s="1">
        <f>MAX(0,MIN(Boss参数!$B$25,DM131+DR131)-IF(E131="J",2*DR131,0))</f>
        <v>0</v>
      </c>
      <c r="DR131" s="1">
        <f t="shared" ref="DR131:DR194" si="172">IF(AND(OR(J131&gt;0,K131&gt;0),DI131&gt;0),1,0)</f>
        <v>0</v>
      </c>
      <c r="DS131" s="1">
        <f t="shared" ref="DS131:DS194" si="173">IF(AND(OR(J131&gt;0,K131&gt;0),OR(H131="术法",H131="仪式",H131="洞知",H131="特殊")),1,0)</f>
        <v>0</v>
      </c>
      <c r="DT131" s="1">
        <f>IF(OR(E131="",E131="系统"),0,IF(OR(AND(DS131=1,Boss参数!$B$32=1),L131="RHI_BERRY",OR(AND(INDEX(角色面板!$B$18:$B$21,MATCH(E131,角色面板!$A$18:$A$21,0))="星",Boss参数!$B$4="岩"),AND(INDEX(角色面板!$B$18:$B$21,MATCH(E131,角色面板!$A$18:$A$21,0))="岩",Boss参数!$B$4="兽"),AND(INDEX(角色面板!$B$18:$B$21,MATCH(E131,角色面板!$A$18:$A$21,0))="兽",Boss参数!$B$4="木"),AND(INDEX(角色面板!$B$18:$B$21,MATCH(E131,角色面板!$A$18:$A$21,0))="木",Boss参数!$B$4="星"),AND(INDEX(角色面板!$B$18:$B$21,MATCH(E131,角色面板!$A$18:$A$21,0))="智",Boss参数!$B$4="灵"),AND(INDEX(角色面板!$B$18:$B$21,MATCH(E131,角色面板!$A$18:$A$21,0))="灵",Boss参数!$B$4="智"))),1,0))</f>
        <v>0</v>
      </c>
      <c r="DU131" s="1">
        <f>IF(D131="",0,INDEX(回合状态!$E$7:$E$17,MATCH(DG131,回合状态!$A$7:$A$17,0))+IF(AND(DH131="敌方",OR(INDEX(回合状态!$C$7:$C$17,MATCH(DG131,回合状态!$A$7:$A$17,0))="普通",INDEX(回合状态!$C$7:$C$17,MATCH(DG131,回合状态!$A$7:$A$17,0))="额外")),0.05,0))</f>
        <v>0</v>
      </c>
      <c r="DV131" s="1">
        <f>MAX(Boss参数!$B$28,1+IF(AND(E131="37",AC131&gt;0,BH131&gt;0),Boss参数!$B$42,0)-DI131*Boss参数!$B$24+EA131-ER131)</f>
        <v>9.9999999999999978E-2</v>
      </c>
      <c r="DW131" s="1">
        <f>MIN(IF(Boss参数!$B$77=1,Boss参数!$B$63*Boss参数!$B$62,Boss参数!$B$61*Boss参数!$B$62),ROUNDDOWN(BQ131*(1-ES131),0))</f>
        <v>0</v>
      </c>
      <c r="DX131" s="1">
        <f>MIN(IF(Boss参数!$B$77=1,Boss参数!$B$63*Boss参数!$B$62,Boss参数!$B$61*Boss参数!$B$62),ROUNDDOWN(BR131*(1-ES131),0))</f>
        <v>0</v>
      </c>
      <c r="DY131" s="1">
        <f t="shared" si="135"/>
        <v>250</v>
      </c>
      <c r="DZ131" s="1">
        <f>IF(L131="RHI_ULT",MIN(Boss参数!$B$48,ROUNDDOWN(AY131*Boss参数!$B$47,0)),DY131)</f>
        <v>250</v>
      </c>
      <c r="EA131" s="1">
        <v>0</v>
      </c>
      <c r="EB131" s="1">
        <f t="shared" ref="EB131:EB194" si="174">EE131+EF131</f>
        <v>0</v>
      </c>
      <c r="EC131" s="1">
        <f>SUMIFS($EB$3:EB131,$B$3:B131,"&gt;="&amp;MAX(1,B131-2),$B$3:B131,"&lt;="&amp;B131)*Boss参数!$B$51</f>
        <v>0</v>
      </c>
      <c r="ED131" s="1">
        <f>IF(D131="",EG130,IF(AND(DG131&lt;&gt;DG130,DH131&lt;&gt;"洞穿"),MIN(Boss参数!$B$55,EG130+2),EG130))</f>
        <v>0</v>
      </c>
      <c r="EE131" s="1">
        <f t="shared" ref="EE131:EE194" si="175">IF(OR(L131="RHI_ATTACK",L131="RHI_BUFF"),MIN(1,ED131),0)</f>
        <v>0</v>
      </c>
      <c r="EF131" s="1">
        <f>IF(AND(OR(L131="END_TURN",AND(DH131="敌方",OR(DH130&lt;&gt;"敌方",DG131&lt;&gt;DG130))),SUMIFS($EF$3:EF130,$DG$3:DG130,DG131)=0),MIN(1,MAX(0,ED131-EE131)),0)</f>
        <v>0</v>
      </c>
      <c r="EG131" s="1">
        <f t="shared" ref="EG131:EG194" si="176">MAX(0,ED131-EE131-EF131)</f>
        <v>0</v>
      </c>
      <c r="EH131" s="1">
        <f>Boss参数!$B$53-IF(Y131=1,Boss参数!$B$54,0)</f>
        <v>0</v>
      </c>
      <c r="EI131" s="1">
        <f t="shared" ref="EI131:EI194" si="177">IF(B131&lt;=AU131,0.15+MIN(0.15,AV131*0.03),0)</f>
        <v>0.15</v>
      </c>
      <c r="EJ131" s="1">
        <f t="shared" ref="EJ131:EJ194" si="178">IF(B131&lt;=AS131,0.15+MIN(0.15,AV131*0.03),0)</f>
        <v>0.15</v>
      </c>
      <c r="EK131" s="1" t="e">
        <f t="shared" ref="EK131:EK194" si="179">MAX(0,1+BE131-EH131)</f>
        <v>#VALUE!</v>
      </c>
      <c r="EL131" s="1">
        <f t="shared" si="136"/>
        <v>0</v>
      </c>
      <c r="EM131" s="1">
        <f>IF(AND(DG131&lt;&gt;DG130,DH131="洞穿"),0,IF(L131="ENTER_INSIGHT",Boss参数!$B$57,EO130))</f>
        <v>0</v>
      </c>
      <c r="EN131" s="1">
        <f>IF(AND(Y131=1,H131="洞知",EM131&gt;0),Boss参数!$B$56,0)</f>
        <v>0</v>
      </c>
      <c r="EO131" s="1">
        <f t="shared" ref="EO131:EO194" si="180">MAX(0,EM131-IF(AND(Y131=1,H131="洞知",Q131&gt;0),1,0))+IF(AND(Y131=1,L131="37_INSIGHT"),1,0)</f>
        <v>0</v>
      </c>
      <c r="EP131" s="1">
        <f t="shared" si="137"/>
        <v>23210479</v>
      </c>
      <c r="EQ131" s="1">
        <f>ROUNDDOWN(EP131/Boss参数!$B$62,0)</f>
        <v>232</v>
      </c>
      <c r="ER131" s="1">
        <f>IF(EQ131&gt;=Boss参数!$B$66,Boss参数!$B$69,IF(EQ131&gt;=Boss参数!$B$65,Boss参数!$B$68,IF(EQ131&gt;=Boss参数!$B$64,Boss参数!$B$67,0)))</f>
        <v>0.9</v>
      </c>
      <c r="ES131" s="1">
        <f>MIN(1,IF(EQ131&gt;=Boss参数!$B$66,Boss参数!$B$72+ROUNDDOWN((EQ131-Boss参数!$B$66)/Boss参数!$B$73,0)*Boss参数!$B$74,IF(EQ131&gt;=Boss参数!$B$65,Boss参数!$B$71,IF(EQ131&gt;=Boss参数!$B$64,Boss参数!$B$70,0))))</f>
        <v>0.65</v>
      </c>
      <c r="ET131" s="1">
        <f>MIN(Boss参数!$B$61*Boss参数!$B$62,EP131+IF(AND(Boss参数!$B$60=1,ISNUMBER(验证表!H137)),验证表!H137,EU131))</f>
        <v>23210479</v>
      </c>
      <c r="EU131" s="1">
        <f>IF(D131="",0,IF(验证表!G137="是",BV131,IF(验证表!G137="否",BU131,BW131)))</f>
        <v>0</v>
      </c>
      <c r="EV131" s="1">
        <f>IF(EQ131&gt;=Boss参数!$B$66,2,IF(EQ131&gt;=Boss参数!$B$65,1,0))</f>
        <v>2</v>
      </c>
      <c r="EW131" s="1">
        <f t="shared" ref="EW131:EW194" si="181">1+EV131</f>
        <v>3</v>
      </c>
      <c r="EX131" s="1">
        <f>IF(D131="",0,INDEX(回合状态!$D$7:$D$17,MATCH(DG131,回合状态!$A$7:$A$17,0)))</f>
        <v>0</v>
      </c>
      <c r="EY131" s="1">
        <f>IF(OR(L131="RHI_ATTACK",L131="RHI_BUFF"),1,IF(L131="RHI_ULT",Boss参数!$B$52,0))</f>
        <v>0</v>
      </c>
      <c r="EZ131" s="1">
        <f>MIN(6,SUMIFS($EY$3:EY131,$EX$3:EX131,"&gt;="&amp;MAX(1,EX131-Boss参数!$B$87+1),$EX$3:EX131,"&lt;="&amp;EX131))</f>
        <v>0</v>
      </c>
      <c r="FA131" s="1">
        <f t="shared" si="138"/>
        <v>0</v>
      </c>
      <c r="FB131" s="17">
        <f>IF(L131="BOSS_CONSERVATIVE",B131+Boss参数!$B$91,FB130)</f>
        <v>7</v>
      </c>
      <c r="FC131" s="17">
        <f t="shared" si="139"/>
        <v>0</v>
      </c>
      <c r="FD131" s="17">
        <f>IF(D131="",FD130,FD130+IF(AND(DG131&lt;&gt;DG130,INDEX(回合状态!$C$7:$C$17,MATCH(DG131,回合状态!$A$7:$A$17,0))&lt;&gt;"洞穿"),1,0))</f>
        <v>8</v>
      </c>
      <c r="FE131" s="17">
        <f>IF(D131="",0,IF(AND(OR(L131="END_TURN",DH131="敌方"),INDEX(回合状态!$C$7:$C$17,MATCH(DG131,回合状态!$A$7:$A$17,0))&lt;&gt;"洞穿",SUMIFS($FE$3:FE130,$DG$3:DG130,DG131)=0),1,0))</f>
        <v>0</v>
      </c>
    </row>
    <row r="132" spans="1:161" ht="84.95" customHeight="1">
      <c r="A132" s="1" t="str">
        <f>行动模拟!A138</f>
        <v/>
      </c>
      <c r="B132" s="1">
        <f>IF(D132="",0,INDEX(回合状态!$B$7:$B$17,MATCH(DG132,回合状态!$A$7:$A$17,0)))</f>
        <v>0</v>
      </c>
      <c r="C132" s="1">
        <f>行动模拟!C138</f>
        <v>0</v>
      </c>
      <c r="D132" s="1" t="str">
        <f>IF(行动模拟!D138="","",行动模拟!D138)</f>
        <v/>
      </c>
      <c r="E132" s="1" t="str">
        <f>IF($D132="","",IFERROR(INDEX(技能数据库!$B$4:$B$38,MATCH($D132,技能数据库!$A$4:$A$38,0)),""))</f>
        <v/>
      </c>
      <c r="F132" s="1" t="str">
        <f>IF($D132="","",IFERROR(INDEX(技能数据库!$C$4:$C$38,MATCH($D132,技能数据库!$A$4:$A$38,0)),""))</f>
        <v/>
      </c>
      <c r="G132" s="1" t="str">
        <f>IF($D132="","",IFERROR(INDEX(技能数据库!$D$4:$D$38,MATCH($D132,技能数据库!$A$4:$A$38,0)),""))</f>
        <v/>
      </c>
      <c r="H132" s="1" t="str">
        <f>IF($D132="","",IFERROR(INDEX(技能数据库!$E$4:$E$38,MATCH($D132,技能数据库!$A$4:$A$38,0)),""))</f>
        <v/>
      </c>
      <c r="I132" s="1" t="str">
        <f>IF($D132="","",IFERROR(INDEX(技能数据库!$F$4:$F$38,MATCH($D132,技能数据库!$A$4:$A$38,0)),""))</f>
        <v/>
      </c>
      <c r="J132" s="1" t="str">
        <f>IF($D132="","",IFERROR(INDEX(技能数据库!$G$4:$G$38,MATCH($D132,技能数据库!$A$4:$A$38,0)),""))</f>
        <v/>
      </c>
      <c r="K132" s="1" t="str">
        <f>IF($D132="","",IFERROR(INDEX(技能数据库!$H$4:$H$38,MATCH($D132,技能数据库!$A$4:$A$38,0)),""))</f>
        <v/>
      </c>
      <c r="L132" s="1" t="str">
        <f>IF($D132="","",IFERROR(INDEX(技能数据库!$I$4:$I$38,MATCH($D132,技能数据库!$A$4:$A$38,0)),""))</f>
        <v/>
      </c>
      <c r="M132" s="1">
        <v>1</v>
      </c>
      <c r="N132" s="1"/>
      <c r="O132" s="1"/>
      <c r="P132" s="1"/>
      <c r="Q132" s="1">
        <f t="shared" si="140"/>
        <v>0</v>
      </c>
      <c r="R132" s="1">
        <v>0</v>
      </c>
      <c r="S132" s="1">
        <v>0</v>
      </c>
      <c r="T132" s="1">
        <f>行动模拟!I138</f>
        <v>0</v>
      </c>
      <c r="U132" s="1">
        <f>IF(FD132&lt;&gt;FD131,IF(BY131=1,IF(MIN(10,CA131+IF(AND(DG132&lt;&gt;DG131,DH131&lt;&gt;"洞穿",SUMIFS($FE$3:FE131,$DG$3:DG131,DG131)=0,BY131=1),3,0))&gt;=10,2,1),IF(BY131=2,IF(BZ131&lt;=1,0,2),0)),BY131)</f>
        <v>2</v>
      </c>
      <c r="V132" s="1">
        <f>IF(FD132&lt;&gt;FD131,IF(BY131=1,IF(MIN(10,CA131+IF(AND(DG132&lt;&gt;DG131,DH131&lt;&gt;"洞穿",SUMIFS($FE$3:FE131,$DG$3:DG131,DG131)=0,BY131=1),3,0))&gt;=10,2,0),IF(BY131=2,MAX(0,BZ131-1),0)),BZ131)</f>
        <v>1</v>
      </c>
      <c r="W132" s="1">
        <f>IF(AND(FD132&lt;&gt;FD131,BY131=2,BZ131&lt;=1),0,MIN(10,CA131+IF(AND(DG132&lt;&gt;DG131,DH131&lt;&gt;"洞穿",SUMIFS($FE$3:FE131,$DG$3:DG131,DG131)=0,BY131=1),3,0)))</f>
        <v>10</v>
      </c>
      <c r="X132" s="1">
        <f t="shared" ref="X132:X195" si="182">$CB131</f>
        <v>13</v>
      </c>
      <c r="Y132" s="1">
        <f t="shared" ref="Y132:Y195" si="183">IF(AND(DG132&lt;&gt;DG131,DH132="洞穿"),1,$CC131)</f>
        <v>0</v>
      </c>
      <c r="Z132" s="1">
        <f t="shared" ref="Z132:Z195" si="184">IF(AND(DG132&lt;&gt;DG131,DH132="洞穿"),0,$CD131)</f>
        <v>0</v>
      </c>
      <c r="AA132" s="1">
        <f t="shared" ref="AA132:AA195" si="185">IF(AND(DG132&lt;&gt;DG131,DH132="洞穿"),0,$CE131)</f>
        <v>0</v>
      </c>
      <c r="AB132" s="1">
        <f t="shared" ref="AB132:AB195" si="186">$CF131</f>
        <v>10</v>
      </c>
      <c r="AC132" s="1">
        <f t="shared" ref="AC132:AC195" si="187">$CG131</f>
        <v>1</v>
      </c>
      <c r="AD132" s="1">
        <f t="shared" ref="AD132:AD195" si="188">CH131</f>
        <v>35</v>
      </c>
      <c r="AE132" s="1">
        <f>IF(D132="",0,IF(DG132&lt;&gt;DG131,IFERROR(INDEX(回合状态!$F$7:$F$17,MATCH(DG132,回合状态!$A$7:$A$17,0)),0),CI131))</f>
        <v>0</v>
      </c>
      <c r="AF132" s="1">
        <f t="shared" ref="AF132:AF195" si="189">$CJ131</f>
        <v>0.875</v>
      </c>
      <c r="AG132" s="1">
        <f t="shared" ref="AG132:AG195" si="190">$CK131</f>
        <v>9</v>
      </c>
      <c r="AH132" s="1">
        <f t="shared" ref="AH132:AH195" si="191">$CL131</f>
        <v>9</v>
      </c>
      <c r="AI132" s="1">
        <f t="shared" ref="AI132:AI195" si="192">$CM131</f>
        <v>8</v>
      </c>
      <c r="AJ132" s="1">
        <f t="shared" ref="AJ132:AJ195" si="193">$CN131</f>
        <v>9</v>
      </c>
      <c r="AK132" s="1">
        <f t="shared" ref="AK132:AK195" si="194">$CO131</f>
        <v>8</v>
      </c>
      <c r="AL132" s="1">
        <f t="shared" ref="AL132:AL195" si="195">$CP131</f>
        <v>3</v>
      </c>
      <c r="AM132" s="1">
        <f t="shared" ref="AM132:AM195" si="196">$CQ131</f>
        <v>30</v>
      </c>
      <c r="AN132" s="1">
        <f t="shared" ref="AN132:AN195" si="197">CR131</f>
        <v>9</v>
      </c>
      <c r="AO132" s="1">
        <f t="shared" ref="AO132:AO195" si="198">$CS131</f>
        <v>0</v>
      </c>
      <c r="AP132" s="1" t="e">
        <f t="shared" ref="AP132:AP195" si="199">$CT131</f>
        <v>#VALUE!</v>
      </c>
      <c r="AQ132" s="1" t="e">
        <f t="shared" ref="AQ132:AQ195" si="200">$CU131</f>
        <v>#VALUE!</v>
      </c>
      <c r="AR132" s="1">
        <f t="shared" ref="AR132:AR195" si="201">$CV131</f>
        <v>0.3</v>
      </c>
      <c r="AS132" s="1">
        <f t="shared" ref="AS132:AS195" si="202">$CW131</f>
        <v>9</v>
      </c>
      <c r="AT132" s="1">
        <f t="shared" ref="AT132:AT195" si="203">$CX131</f>
        <v>0.3</v>
      </c>
      <c r="AU132" s="1">
        <f t="shared" ref="AU132:AU195" si="204">$CY131</f>
        <v>9</v>
      </c>
      <c r="AV132" s="1">
        <f>MIN(5,SUMIFS($EL$3:EL132,$B$3:B132,"&gt;="&amp;MAX(1,B132-2),$B$3:B132,"&lt;="&amp;B132)+EC132)</f>
        <v>0</v>
      </c>
      <c r="AW132" s="1">
        <f>MIN(6,SUMIFS($EY$3:EY131,$EX$3:EX131,"&gt;="&amp;MAX(1,EX132-Boss参数!$B$87+1),$EX$3:EX131,"&lt;="&amp;EX132))</f>
        <v>0</v>
      </c>
      <c r="AX132" s="1">
        <f>MIN(4,COUNTIFS($B$3:$B$131,"&gt;="&amp;MAX(1,$B132-2),$B$3:$B$131,"&lt;="&amp;$B132,$L$3:$L$131,"37_FOLLOW"))</f>
        <v>0</v>
      </c>
      <c r="AY132" s="1" t="str">
        <f>IF($E132="","",IF($E132="系统",0,ROUNDDOWN(INDEX(角色面板!$C$4:$C$7,MATCH($E132,角色面板!$A$4:$A$7,0))*(1+INDEX(角色面板!$C$11:$C$14,MATCH($E132,角色面板!$A$11:$A$14,0))+IF($E132="小瑞安侬",MAX(IF($B132&lt;=$AQ132,$AP132,0),IF(AND($L132="RHI_ATTACK",$EE132&gt;0),0.11+0.01*$G132,0)),0)+IF($E132="J",$AD132*Boss参数!$B$18,0))+IF(FD132&lt;=$AN132,MIN(Boss参数!$B$21,ROUNDDOWN(角色面板!$C$19*Boss参数!$B$20,0)),0)+IF(AND($B132&lt;=$AK132,$E132&lt;&gt;"小瑞安侬"),$DY132,0),0)))</f>
        <v/>
      </c>
      <c r="AZ132" s="1" t="str">
        <f>IF($E132="","",MAX(0,MIN(1,IFERROR(INDEX(角色面板!$G$18:$G$21,MATCH($E132,角色面板!$A$18:$A$21,0)),0)-FC132*Boss参数!$B$89-Boss参数!$E$4)))</f>
        <v/>
      </c>
      <c r="BA132" s="1" t="str">
        <f>IF(E132="","",(IF($E132="","",IF($E132="红弩箭",Boss参数!$B$80,IF($E132="J",Boss参数!$B$81,IFERROR(INDEX(角色面板!$H$18:$H$21,MATCH($E132,角色面板!$A$18:$A$21,0)),0)))+IF($B132&lt;=$AI132,Boss参数!$B$13,0)+MIN(30,$AM132)*Boss参数!$B$17+IF(AND($L132="LILYA_ULT",$X132&gt;=6),1,0)+IF(AND($Y132=1,$L132="LILYA_INSIGHT"),IF(MOD($AA132+1,3)=0,Boss参数!$B$83,Boss参数!$B$82),IF(AND($Y132=1,$L132="LILYA_FINISH"),Boss参数!$B$84,0))))-FC132*Boss参数!$B$90)</f>
        <v/>
      </c>
      <c r="BB132" s="1" t="str">
        <f>IF($E132="","",IFERROR(INDEX(角色面板!$M$18:$M$21,MATCH($E132,角色面板!$A$18:$A$21,0)),0)+$AW132*Boss参数!$B$12+IF($B132&lt;=$AG132,$AF132,0)+$EI132+IF($L132="LILYA_DIVE",IF($U132=1,IF($G132=1,0.3,IF($G132=2,0.4,0.5)),IF($U132=2,IF($G132=1,0.6,IF($G132=2,0.8,1)),0)),0)+$R132+IF(AND($E132="J",OR($L132="J_COUNTER",$L132="J_HARD")),Boss参数!$B$79,0)+IF(AND(OR(L132="J_COUNTER",L132="J_HARD"),FA132&gt;=Boss参数!$B$59),FA132*Boss参数!$B$40,0))</f>
        <v/>
      </c>
      <c r="BC132" s="1" t="e">
        <f>IF($E132="","",IFERROR(INDEX(角色面板!$K$18:$K$21,MATCH($E132,角色面板!$A$18:$A$21,0)),0)+IF($B132&lt;=$AH132,Boss参数!$B$46,0)+IF($E132="红弩箭",IF($U132=1,0.6,IF($U132=2,1.2,0))+$W132*0.06,0))-DI132*Boss参数!$B$23</f>
        <v>#VALUE!</v>
      </c>
      <c r="BD132" s="1" t="e">
        <f>IF($E132="","",IFERROR(INDEX(角色面板!$L$18:$L$21,MATCH($E132,角色面板!$A$18:$A$21,0)),0)+IF($B132&lt;=$AH132,Boss参数!$B$46,0)+IF($E132="J",$AL132*Boss参数!$B$16,0)+IF($E132="红弩箭",$X132*0.025,0)+IF(AND($L132="LILYA_ULT",$X132&gt;=6),1,0))-DI132*Boss参数!$B$23</f>
        <v>#VALUE!</v>
      </c>
      <c r="BE132" s="1" t="str">
        <f>IF($E132="","",IF($H132="洞知",IF($E132="红弩箭",$AO132*Boss参数!$B$15,0)+$AX132*Boss参数!$B$14,0))</f>
        <v/>
      </c>
      <c r="BF132" s="1">
        <f t="shared" si="141"/>
        <v>0</v>
      </c>
      <c r="BG132" s="1">
        <f>IF($D132="",0,IF(AND($L132&lt;&gt;"LILYA_DIVE",$L132&lt;&gt;"LILYA_ULT",$L132&lt;&gt;"LILYA_INSIGHT",$L132&lt;&gt;"LILYA_FINISH",$L132&lt;&gt;"37_FOLLOW",$L132&lt;&gt;"RHI_ATTACK",$L132&lt;&gt;"RHI_BERRY",$L132&lt;&gt;"J_COUNTER",$L132&lt;&gt;"J_ULT"),$J132,0)+IF($L132="LILYA_DIVE",$J132+IF($U132=1,IF($G132=1,6,IF($G132=2,12,18)),IF($U132=2,IF($G132=1,12,IF($G132=2,24,36)),0)),0)+IF($L132="LILYA_ULT",$J132+IF($X132&gt;=6,18,0),0)+IF($L132="LILYA_INSIGHT",IF($Y132=1,IF(MOD($AA132+1,3)=0,32,15),0),0)+IF($L132="LILYA_FINISH",IF($Y132=1,50+2.5*$Z132,0),0)+IF($L132="37_FOLLOW",$J132,0)+IF($L132="RHI_ATTACK",$J132*IF($B132&lt;=$AJ132,2,1),0)+IF($L132="RHI_BERRY",15+1.5*$AV132,0)+IF($L132="J_COUNTER",$J132+$AD132*Boss参数!$B$39,0)+IF($L132="J_ULT",$J132+Boss参数!$B$45*MAX(0,$AE132+$AD132-Boss参数!$I$4),0)+$S132)</f>
        <v>0</v>
      </c>
      <c r="BH132" s="1">
        <f t="shared" si="142"/>
        <v>0</v>
      </c>
      <c r="BI132" s="1" t="str">
        <f>IF(E132="","",IF(DT132=1,1+Boss参数!$B$8+AV132*Boss参数!$B$19,1))</f>
        <v/>
      </c>
      <c r="BJ132" s="1">
        <f>IF($I132="现实",Boss参数!$C$4,IF($I132="精神",Boss参数!$D$4,0))</f>
        <v>0</v>
      </c>
      <c r="BK132" s="1" t="str">
        <f>IF($E132="","",MAX($AY132*Boss参数!$B$9,$AY132-$BJ132*(1-$BF132)))</f>
        <v/>
      </c>
      <c r="BL132" s="1">
        <f>MAX(0,Boss参数!$F$4+IF(DT132=0,Boss参数!$B$27,0)-EJ132)</f>
        <v>1.25</v>
      </c>
      <c r="BM132" s="1">
        <f>Boss参数!$G$4+DU132-IF(Y132=1,Boss参数!$B$11,0)</f>
        <v>0.4</v>
      </c>
      <c r="BN132" s="1" t="str">
        <f>IF($E132="","",MAX(Boss参数!$B$10,1+IFERROR(INDEX(角色面板!$I$18:$I$21,MATCH($E132,角色面板!$A$18:$A$21,0)),0)+$BB132+Boss参数!$H$4-$BM132))</f>
        <v/>
      </c>
      <c r="BO132" s="1" t="str">
        <f>IF(E132="","",IF(OR(L132="J_COUNTER",L132="J_HARD"),MAX(0,1+INDEX(角色面板!$K$18:$K$21,MATCH(E132,角色面板!$A$18:$A$21,0))-DI132*Boss参数!$B$23+IF(OR(Boss参数!$B$43=1,L132="J_HARD"),IF(B132&lt;=AH132,Boss参数!$B$46,0),0)),MAX(0,IF(OR(H132="术法",L132="RHI_BERRY",AND(L132="37_FOLLOW",Boss参数!$B$31=1)),1+BC132,IF(H132="仪式",1+BD132,IF(H132="洞知",EK132,1))))))</f>
        <v/>
      </c>
      <c r="BP132" s="1" t="str">
        <f t="shared" si="143"/>
        <v/>
      </c>
      <c r="BQ132" s="1">
        <f t="shared" si="144"/>
        <v>0</v>
      </c>
      <c r="BR132" s="1">
        <f t="shared" si="145"/>
        <v>0</v>
      </c>
      <c r="BS132" s="1">
        <f>IF(BH132=0,0,ROUNDDOWN(AY132*BH132,0)*DV132*IF(Boss参数!$B$29=1,BN132,1)*IF(Boss参数!$B$33=1,BO132,1)*IF(Boss参数!$B$76=1,1-ES132,1))</f>
        <v>0</v>
      </c>
      <c r="BT132" s="1">
        <f t="shared" si="146"/>
        <v>0</v>
      </c>
      <c r="BU132" s="1">
        <f>IF(D132="",0,MIN(IF(Boss参数!$B$77=1,Boss参数!$B$63*Boss参数!$B$62,Boss参数!$B$61*Boss参数!$B$62),DW132+ROUNDDOWN(BS132,0)+ROUNDDOWN(DW132*Q132,0)))</f>
        <v>0</v>
      </c>
      <c r="BV132" s="1">
        <f>IF(D132="",0,MIN(IF(Boss参数!$B$77=1,Boss参数!$B$63*Boss参数!$B$62,Boss参数!$B$61*Boss参数!$B$62),DX132+ROUNDDOWN(BT132,0)+ROUNDDOWN(DX132*Q132,0)))</f>
        <v>0</v>
      </c>
      <c r="BW132" s="1">
        <f t="shared" si="147"/>
        <v>0</v>
      </c>
      <c r="BX132" s="1" t="str">
        <f t="shared" si="148"/>
        <v/>
      </c>
      <c r="BY132" s="1">
        <f t="shared" si="149"/>
        <v>2</v>
      </c>
      <c r="BZ132" s="1">
        <f t="shared" si="150"/>
        <v>1</v>
      </c>
      <c r="CA132" s="1">
        <f>MIN(10,W132+IF(AND(L132="LILYA_COBRA",COUNTIF($L$3:L132,"LILYA_COBRA")=1),5,0)+IF(AND(L132="LILYA_DIVE",U132=1,COUNTIFS($DG$3:DG132,DG132,$L$3:L132,"LILYA_DIVE")=1),2,0)+IF(AND(FE132=1,U132=1),3,0))</f>
        <v>10</v>
      </c>
      <c r="CB132" s="1">
        <f>MIN(20,MAX(0,X132+IF(L132="LILYA_COBRA",IF(COUNTIF($L$3:L132,"LILYA_COBRA")=1,6,IF(U132=1,MAX(1,G132),IF(U132=2,2*MAX(1,G132),0))),0)+IF(AND(Y132=1,E132="红弩箭",L132&lt;&gt;"ENTER_INSIGHT"),1,0)-IF(AND(L132="LILYA_ULT",X132&gt;=6),6,0)))</f>
        <v>13</v>
      </c>
      <c r="CC132" s="1">
        <f t="shared" si="151"/>
        <v>0</v>
      </c>
      <c r="CD132" s="1">
        <f t="shared" si="152"/>
        <v>0</v>
      </c>
      <c r="CE132" s="1">
        <f t="shared" si="153"/>
        <v>0</v>
      </c>
      <c r="CF132" s="1">
        <f t="shared" si="154"/>
        <v>10</v>
      </c>
      <c r="CG132" s="1">
        <f t="shared" si="155"/>
        <v>1</v>
      </c>
      <c r="CH132" s="1">
        <f>MIN(35,AD132+IF(L132="J_HARD",6,0)+IF(L132="J_COUNTER",Boss参数!$B$30,0))</f>
        <v>35</v>
      </c>
      <c r="CI132" s="1">
        <f>MIN(Boss参数!$I$4,AE132+IF(L132="J_HARD",6,0)+IF(L132="J_ULT",AD132,0)+IF(L132="J_COUNTER",Boss参数!$B$30,0))</f>
        <v>0</v>
      </c>
      <c r="CJ132" s="1">
        <f>IF(L132="J_ULT",AD132*Boss参数!$B$41,IF(B132&lt;=AG132,AF132,0))</f>
        <v>0.875</v>
      </c>
      <c r="CK132" s="1">
        <f t="shared" si="156"/>
        <v>9</v>
      </c>
      <c r="CL132" s="1">
        <f t="shared" si="157"/>
        <v>9</v>
      </c>
      <c r="CM132" s="1">
        <f t="shared" si="158"/>
        <v>8</v>
      </c>
      <c r="CN132" s="1">
        <f t="shared" si="159"/>
        <v>9</v>
      </c>
      <c r="CO132" s="1">
        <f t="shared" si="160"/>
        <v>8</v>
      </c>
      <c r="CP132" s="1">
        <f t="shared" si="161"/>
        <v>3</v>
      </c>
      <c r="CQ132" s="1">
        <f t="shared" si="162"/>
        <v>30</v>
      </c>
      <c r="CR132" s="1">
        <f t="shared" si="163"/>
        <v>9</v>
      </c>
      <c r="CS132" s="1">
        <f t="shared" si="164"/>
        <v>0</v>
      </c>
      <c r="CT132" s="1" t="e">
        <f t="shared" si="165"/>
        <v>#VALUE!</v>
      </c>
      <c r="CU132" s="1" t="e">
        <f t="shared" si="166"/>
        <v>#VALUE!</v>
      </c>
      <c r="CV132" s="1">
        <f t="shared" si="167"/>
        <v>0.3</v>
      </c>
      <c r="CW132" s="1">
        <f t="shared" si="168"/>
        <v>9</v>
      </c>
      <c r="CX132" s="1">
        <f t="shared" si="169"/>
        <v>0.3</v>
      </c>
      <c r="CY132" s="1">
        <f t="shared" si="170"/>
        <v>9</v>
      </c>
      <c r="CZ132" s="1"/>
      <c r="DA132" s="1"/>
      <c r="DB132" s="1"/>
      <c r="DC132" s="1"/>
      <c r="DD132" s="1"/>
      <c r="DE132" s="1"/>
      <c r="DF132" s="1"/>
      <c r="DG132" s="1" t="str">
        <f>IF(D132="","",行动模拟!B138)</f>
        <v/>
      </c>
      <c r="DH132" s="1" t="str">
        <f>IF(L132="END_TURN","回合结束",IF(D132="","",IF(INDEX(回合状态!$C$7:$C$17,MATCH(DG132,回合状态!$A$7:$A$17,0))="洞穿","洞穿",IF(OR(L132="J_COUNTER",L132="BOSS_ACTION",L132="BOSS_CONSERVATIVE"),"敌方",IF(AND(L132="37_FOLLOW",DG132=DG131,DH131="敌方"),"敌方",IF(INDEX(回合状态!$C$7:$C$17,MATCH(DG132,回合状态!$A$7:$A$17,0))="普通","出牌",INDEX(回合状态!$C$7:$C$17,MATCH(DG132,回合状态!$A$7:$A$17,0))))))))</f>
        <v/>
      </c>
      <c r="DI132" s="1">
        <f t="shared" si="171"/>
        <v>0</v>
      </c>
      <c r="DJ132" s="1">
        <f>IF(D132="",0,MIN(Boss参数!$B$25,IF(OR(AND(DH132="敌方",OR(DH131&lt;&gt;"敌方",DG132&lt;&gt;DG131)),AND(L132="END_TURN",DH132&lt;&gt;"洞穿"),AND(DG132&lt;&gt;DG131,DH131&lt;&gt;"洞穿",L131&lt;&gt;"END_TURN",COUNTIFS($DG$3:DG131,DG131,$DH$3:DH131,"敌方")=0)),EW132,DN131)))</f>
        <v>0</v>
      </c>
      <c r="DK132" s="1">
        <f>IF(D132="",0,MIN(Boss参数!$B$25,IF(OR(AND(DH132="敌方",OR(DH131&lt;&gt;"敌方",DG132&lt;&gt;DG131)),AND(L132="END_TURN",DH132&lt;&gt;"洞穿"),AND(DG132&lt;&gt;DG131,DH131&lt;&gt;"洞穿",L131&lt;&gt;"END_TURN",COUNTIFS($DG$3:DG131,DG131,$DH$3:DH131,"敌方")=0)),EW132,DO131)))</f>
        <v>0</v>
      </c>
      <c r="DL132" s="1">
        <f>IF(D132="",0,MIN(Boss参数!$B$25,IF(OR(AND(DH132="敌方",OR(DH131&lt;&gt;"敌方",DG132&lt;&gt;DG131)),AND(L132="END_TURN",DH132&lt;&gt;"洞穿"),AND(DG132&lt;&gt;DG131,DH131&lt;&gt;"洞穿",L131&lt;&gt;"END_TURN",COUNTIFS($DG$3:DG131,DG131,$DH$3:DH131,"敌方")=0)),EW132,DP131)))</f>
        <v>0</v>
      </c>
      <c r="DM132" s="1">
        <f>IF(D132="",0,MIN(Boss参数!$B$25,IF(OR(AND(DH132="敌方",OR(DH131&lt;&gt;"敌方",DG132&lt;&gt;DG131)),AND(L132="END_TURN",DH132&lt;&gt;"洞穿"),AND(DG132&lt;&gt;DG131,DH131&lt;&gt;"洞穿",L131&lt;&gt;"END_TURN",COUNTIFS($DG$3:DG131,DG131,$DH$3:DH131,"敌方")=0)),EW132,DQ131)))</f>
        <v>0</v>
      </c>
      <c r="DN132" s="1">
        <f>MAX(0,MIN(Boss参数!$B$25,DJ132+DR132)-IF(E132="红弩箭",2*DR132,0))</f>
        <v>0</v>
      </c>
      <c r="DO132" s="1">
        <f>MAX(0,MIN(Boss参数!$B$25,DK132+DR132)-IF(E132="37",2*DR132,0))</f>
        <v>0</v>
      </c>
      <c r="DP132" s="1">
        <f>MAX(0,MIN(Boss参数!$B$25,DL132+DR132)-IF(E132="小瑞安侬",2*DR132,0))</f>
        <v>0</v>
      </c>
      <c r="DQ132" s="1">
        <f>MAX(0,MIN(Boss参数!$B$25,DM132+DR132)-IF(E132="J",2*DR132,0))</f>
        <v>0</v>
      </c>
      <c r="DR132" s="1">
        <f t="shared" si="172"/>
        <v>0</v>
      </c>
      <c r="DS132" s="1">
        <f t="shared" si="173"/>
        <v>0</v>
      </c>
      <c r="DT132" s="1">
        <f>IF(OR(E132="",E132="系统"),0,IF(OR(AND(DS132=1,Boss参数!$B$32=1),L132="RHI_BERRY",OR(AND(INDEX(角色面板!$B$18:$B$21,MATCH(E132,角色面板!$A$18:$A$21,0))="星",Boss参数!$B$4="岩"),AND(INDEX(角色面板!$B$18:$B$21,MATCH(E132,角色面板!$A$18:$A$21,0))="岩",Boss参数!$B$4="兽"),AND(INDEX(角色面板!$B$18:$B$21,MATCH(E132,角色面板!$A$18:$A$21,0))="兽",Boss参数!$B$4="木"),AND(INDEX(角色面板!$B$18:$B$21,MATCH(E132,角色面板!$A$18:$A$21,0))="木",Boss参数!$B$4="星"),AND(INDEX(角色面板!$B$18:$B$21,MATCH(E132,角色面板!$A$18:$A$21,0))="智",Boss参数!$B$4="灵"),AND(INDEX(角色面板!$B$18:$B$21,MATCH(E132,角色面板!$A$18:$A$21,0))="灵",Boss参数!$B$4="智"))),1,0))</f>
        <v>0</v>
      </c>
      <c r="DU132" s="1">
        <f>IF(D132="",0,INDEX(回合状态!$E$7:$E$17,MATCH(DG132,回合状态!$A$7:$A$17,0))+IF(AND(DH132="敌方",OR(INDEX(回合状态!$C$7:$C$17,MATCH(DG132,回合状态!$A$7:$A$17,0))="普通",INDEX(回合状态!$C$7:$C$17,MATCH(DG132,回合状态!$A$7:$A$17,0))="额外")),0.05,0))</f>
        <v>0</v>
      </c>
      <c r="DV132" s="1">
        <f>MAX(Boss参数!$B$28,1+IF(AND(E132="37",AC132&gt;0,BH132&gt;0),Boss参数!$B$42,0)-DI132*Boss参数!$B$24+EA132-ER132)</f>
        <v>9.9999999999999978E-2</v>
      </c>
      <c r="DW132" s="1">
        <f>MIN(IF(Boss参数!$B$77=1,Boss参数!$B$63*Boss参数!$B$62,Boss参数!$B$61*Boss参数!$B$62),ROUNDDOWN(BQ132*(1-ES132),0))</f>
        <v>0</v>
      </c>
      <c r="DX132" s="1">
        <f>MIN(IF(Boss参数!$B$77=1,Boss参数!$B$63*Boss参数!$B$62,Boss参数!$B$61*Boss参数!$B$62),ROUNDDOWN(BR132*(1-ES132),0))</f>
        <v>0</v>
      </c>
      <c r="DY132" s="1">
        <f t="shared" ref="DY132:DY195" si="205">DZ131</f>
        <v>250</v>
      </c>
      <c r="DZ132" s="1">
        <f>IF(L132="RHI_ULT",MIN(Boss参数!$B$48,ROUNDDOWN(AY132*Boss参数!$B$47,0)),DY132)</f>
        <v>250</v>
      </c>
      <c r="EA132" s="1">
        <v>0</v>
      </c>
      <c r="EB132" s="1">
        <f t="shared" si="174"/>
        <v>0</v>
      </c>
      <c r="EC132" s="1">
        <f>SUMIFS($EB$3:EB132,$B$3:B132,"&gt;="&amp;MAX(1,B132-2),$B$3:B132,"&lt;="&amp;B132)*Boss参数!$B$51</f>
        <v>0</v>
      </c>
      <c r="ED132" s="1">
        <f>IF(D132="",EG131,IF(AND(DG132&lt;&gt;DG131,DH132&lt;&gt;"洞穿"),MIN(Boss参数!$B$55,EG131+2),EG131))</f>
        <v>0</v>
      </c>
      <c r="EE132" s="1">
        <f t="shared" si="175"/>
        <v>0</v>
      </c>
      <c r="EF132" s="1">
        <f>IF(AND(OR(L132="END_TURN",AND(DH132="敌方",OR(DH131&lt;&gt;"敌方",DG132&lt;&gt;DG131))),SUMIFS($EF$3:EF131,$DG$3:DG131,DG132)=0),MIN(1,MAX(0,ED132-EE132)),0)</f>
        <v>0</v>
      </c>
      <c r="EG132" s="1">
        <f t="shared" si="176"/>
        <v>0</v>
      </c>
      <c r="EH132" s="1">
        <f>Boss参数!$B$53-IF(Y132=1,Boss参数!$B$54,0)</f>
        <v>0</v>
      </c>
      <c r="EI132" s="1">
        <f t="shared" si="177"/>
        <v>0.15</v>
      </c>
      <c r="EJ132" s="1">
        <f t="shared" si="178"/>
        <v>0.15</v>
      </c>
      <c r="EK132" s="1" t="e">
        <f t="shared" si="179"/>
        <v>#VALUE!</v>
      </c>
      <c r="EL132" s="1">
        <f t="shared" ref="EL132:EL195" si="206">IF(AND(D132&lt;&gt;"",DG132&lt;&gt;DG131,DH132&lt;&gt;"洞穿"),1,0)</f>
        <v>0</v>
      </c>
      <c r="EM132" s="1">
        <f>IF(AND(DG132&lt;&gt;DG131,DH132="洞穿"),0,IF(L132="ENTER_INSIGHT",Boss参数!$B$57,EO131))</f>
        <v>0</v>
      </c>
      <c r="EN132" s="1">
        <f>IF(AND(Y132=1,H132="洞知",EM132&gt;0),Boss参数!$B$56,0)</f>
        <v>0</v>
      </c>
      <c r="EO132" s="1">
        <f t="shared" si="180"/>
        <v>0</v>
      </c>
      <c r="EP132" s="1">
        <f t="shared" ref="EP132:EP195" si="207">ET131</f>
        <v>23210479</v>
      </c>
      <c r="EQ132" s="1">
        <f>ROUNDDOWN(EP132/Boss参数!$B$62,0)</f>
        <v>232</v>
      </c>
      <c r="ER132" s="1">
        <f>IF(EQ132&gt;=Boss参数!$B$66,Boss参数!$B$69,IF(EQ132&gt;=Boss参数!$B$65,Boss参数!$B$68,IF(EQ132&gt;=Boss参数!$B$64,Boss参数!$B$67,0)))</f>
        <v>0.9</v>
      </c>
      <c r="ES132" s="1">
        <f>MIN(1,IF(EQ132&gt;=Boss参数!$B$66,Boss参数!$B$72+ROUNDDOWN((EQ132-Boss参数!$B$66)/Boss参数!$B$73,0)*Boss参数!$B$74,IF(EQ132&gt;=Boss参数!$B$65,Boss参数!$B$71,IF(EQ132&gt;=Boss参数!$B$64,Boss参数!$B$70,0))))</f>
        <v>0.65</v>
      </c>
      <c r="ET132" s="1">
        <f>MIN(Boss参数!$B$61*Boss参数!$B$62,EP132+IF(AND(Boss参数!$B$60=1,ISNUMBER(验证表!H138)),验证表!H138,EU132))</f>
        <v>23210479</v>
      </c>
      <c r="EU132" s="1">
        <f>IF(D132="",0,IF(验证表!G138="是",BV132,IF(验证表!G138="否",BU132,BW132)))</f>
        <v>0</v>
      </c>
      <c r="EV132" s="1">
        <f>IF(EQ132&gt;=Boss参数!$B$66,2,IF(EQ132&gt;=Boss参数!$B$65,1,0))</f>
        <v>2</v>
      </c>
      <c r="EW132" s="1">
        <f t="shared" si="181"/>
        <v>3</v>
      </c>
      <c r="EX132" s="1">
        <f>IF(D132="",0,INDEX(回合状态!$D$7:$D$17,MATCH(DG132,回合状态!$A$7:$A$17,0)))</f>
        <v>0</v>
      </c>
      <c r="EY132" s="1">
        <f>IF(OR(L132="RHI_ATTACK",L132="RHI_BUFF"),1,IF(L132="RHI_ULT",Boss参数!$B$52,0))</f>
        <v>0</v>
      </c>
      <c r="EZ132" s="1">
        <f>MIN(6,SUMIFS($EY$3:EY132,$EX$3:EX132,"&gt;="&amp;MAX(1,EX132-Boss参数!$B$87+1),$EX$3:EX132,"&lt;="&amp;EX132))</f>
        <v>0</v>
      </c>
      <c r="FA132" s="1">
        <f t="shared" ref="FA132:FA195" si="208">IF(D132="",0,IF(DG132&lt;&gt;DG131,AD132,FA131))</f>
        <v>0</v>
      </c>
      <c r="FB132" s="17">
        <f>IF(L132="BOSS_CONSERVATIVE",B132+Boss参数!$B$91,FB131)</f>
        <v>7</v>
      </c>
      <c r="FC132" s="17">
        <f t="shared" ref="FC132:FC195" si="209">IF(AND(D132&lt;&gt;"",B132&lt;=FB131,FB131&gt;0,OR(L132="J_COUNTER",L132="37_FOLLOW",L132="RHI_BERRY")),1,0)</f>
        <v>0</v>
      </c>
      <c r="FD132" s="17">
        <f>IF(D132="",FD131,FD131+IF(AND(DG132&lt;&gt;DG131,INDEX(回合状态!$C$7:$C$17,MATCH(DG132,回合状态!$A$7:$A$17,0))&lt;&gt;"洞穿"),1,0))</f>
        <v>8</v>
      </c>
      <c r="FE132" s="17">
        <f>IF(D132="",0,IF(AND(OR(L132="END_TURN",DH132="敌方"),INDEX(回合状态!$C$7:$C$17,MATCH(DG132,回合状态!$A$7:$A$17,0))&lt;&gt;"洞穿",SUMIFS($FE$3:FE131,$DG$3:DG131,DG132)=0),1,0))</f>
        <v>0</v>
      </c>
    </row>
    <row r="133" spans="1:161" ht="84.95" customHeight="1">
      <c r="A133" s="1" t="str">
        <f>行动模拟!A139</f>
        <v/>
      </c>
      <c r="B133" s="1">
        <f>IF(D133="",0,INDEX(回合状态!$B$7:$B$17,MATCH(DG133,回合状态!$A$7:$A$17,0)))</f>
        <v>0</v>
      </c>
      <c r="C133" s="1">
        <f>行动模拟!C139</f>
        <v>0</v>
      </c>
      <c r="D133" s="1" t="str">
        <f>IF(行动模拟!D139="","",行动模拟!D139)</f>
        <v/>
      </c>
      <c r="E133" s="1" t="str">
        <f>IF($D133="","",IFERROR(INDEX(技能数据库!$B$4:$B$38,MATCH($D133,技能数据库!$A$4:$A$38,0)),""))</f>
        <v/>
      </c>
      <c r="F133" s="1" t="str">
        <f>IF($D133="","",IFERROR(INDEX(技能数据库!$C$4:$C$38,MATCH($D133,技能数据库!$A$4:$A$38,0)),""))</f>
        <v/>
      </c>
      <c r="G133" s="1" t="str">
        <f>IF($D133="","",IFERROR(INDEX(技能数据库!$D$4:$D$38,MATCH($D133,技能数据库!$A$4:$A$38,0)),""))</f>
        <v/>
      </c>
      <c r="H133" s="1" t="str">
        <f>IF($D133="","",IFERROR(INDEX(技能数据库!$E$4:$E$38,MATCH($D133,技能数据库!$A$4:$A$38,0)),""))</f>
        <v/>
      </c>
      <c r="I133" s="1" t="str">
        <f>IF($D133="","",IFERROR(INDEX(技能数据库!$F$4:$F$38,MATCH($D133,技能数据库!$A$4:$A$38,0)),""))</f>
        <v/>
      </c>
      <c r="J133" s="1" t="str">
        <f>IF($D133="","",IFERROR(INDEX(技能数据库!$G$4:$G$38,MATCH($D133,技能数据库!$A$4:$A$38,0)),""))</f>
        <v/>
      </c>
      <c r="K133" s="1" t="str">
        <f>IF($D133="","",IFERROR(INDEX(技能数据库!$H$4:$H$38,MATCH($D133,技能数据库!$A$4:$A$38,0)),""))</f>
        <v/>
      </c>
      <c r="L133" s="1" t="str">
        <f>IF($D133="","",IFERROR(INDEX(技能数据库!$I$4:$I$38,MATCH($D133,技能数据库!$A$4:$A$38,0)),""))</f>
        <v/>
      </c>
      <c r="M133" s="1">
        <v>1</v>
      </c>
      <c r="N133" s="1"/>
      <c r="O133" s="1"/>
      <c r="P133" s="1"/>
      <c r="Q133" s="1">
        <f t="shared" si="140"/>
        <v>0</v>
      </c>
      <c r="R133" s="1">
        <v>0</v>
      </c>
      <c r="S133" s="1">
        <v>0</v>
      </c>
      <c r="T133" s="1">
        <f>行动模拟!I139</f>
        <v>0</v>
      </c>
      <c r="U133" s="1">
        <f>IF(FD133&lt;&gt;FD132,IF(BY132=1,IF(MIN(10,CA132+IF(AND(DG133&lt;&gt;DG132,DH132&lt;&gt;"洞穿",SUMIFS($FE$3:FE132,$DG$3:DG132,DG132)=0,BY132=1),3,0))&gt;=10,2,1),IF(BY132=2,IF(BZ132&lt;=1,0,2),0)),BY132)</f>
        <v>2</v>
      </c>
      <c r="V133" s="1">
        <f>IF(FD133&lt;&gt;FD132,IF(BY132=1,IF(MIN(10,CA132+IF(AND(DG133&lt;&gt;DG132,DH132&lt;&gt;"洞穿",SUMIFS($FE$3:FE132,$DG$3:DG132,DG132)=0,BY132=1),3,0))&gt;=10,2,0),IF(BY132=2,MAX(0,BZ132-1),0)),BZ132)</f>
        <v>1</v>
      </c>
      <c r="W133" s="1">
        <f>IF(AND(FD133&lt;&gt;FD132,BY132=2,BZ132&lt;=1),0,MIN(10,CA132+IF(AND(DG133&lt;&gt;DG132,DH132&lt;&gt;"洞穿",SUMIFS($FE$3:FE132,$DG$3:DG132,DG132)=0,BY132=1),3,0)))</f>
        <v>10</v>
      </c>
      <c r="X133" s="1">
        <f t="shared" si="182"/>
        <v>13</v>
      </c>
      <c r="Y133" s="1">
        <f t="shared" si="183"/>
        <v>0</v>
      </c>
      <c r="Z133" s="1">
        <f t="shared" si="184"/>
        <v>0</v>
      </c>
      <c r="AA133" s="1">
        <f t="shared" si="185"/>
        <v>0</v>
      </c>
      <c r="AB133" s="1">
        <f t="shared" si="186"/>
        <v>10</v>
      </c>
      <c r="AC133" s="1">
        <f t="shared" si="187"/>
        <v>1</v>
      </c>
      <c r="AD133" s="1">
        <f t="shared" si="188"/>
        <v>35</v>
      </c>
      <c r="AE133" s="1">
        <f>IF(D133="",0,IF(DG133&lt;&gt;DG132,IFERROR(INDEX(回合状态!$F$7:$F$17,MATCH(DG133,回合状态!$A$7:$A$17,0)),0),CI132))</f>
        <v>0</v>
      </c>
      <c r="AF133" s="1">
        <f t="shared" si="189"/>
        <v>0.875</v>
      </c>
      <c r="AG133" s="1">
        <f t="shared" si="190"/>
        <v>9</v>
      </c>
      <c r="AH133" s="1">
        <f t="shared" si="191"/>
        <v>9</v>
      </c>
      <c r="AI133" s="1">
        <f t="shared" si="192"/>
        <v>8</v>
      </c>
      <c r="AJ133" s="1">
        <f t="shared" si="193"/>
        <v>9</v>
      </c>
      <c r="AK133" s="1">
        <f t="shared" si="194"/>
        <v>8</v>
      </c>
      <c r="AL133" s="1">
        <f t="shared" si="195"/>
        <v>3</v>
      </c>
      <c r="AM133" s="1">
        <f t="shared" si="196"/>
        <v>30</v>
      </c>
      <c r="AN133" s="1">
        <f t="shared" si="197"/>
        <v>9</v>
      </c>
      <c r="AO133" s="1">
        <f t="shared" si="198"/>
        <v>0</v>
      </c>
      <c r="AP133" s="1" t="e">
        <f t="shared" si="199"/>
        <v>#VALUE!</v>
      </c>
      <c r="AQ133" s="1" t="e">
        <f t="shared" si="200"/>
        <v>#VALUE!</v>
      </c>
      <c r="AR133" s="1">
        <f t="shared" si="201"/>
        <v>0.3</v>
      </c>
      <c r="AS133" s="1">
        <f t="shared" si="202"/>
        <v>9</v>
      </c>
      <c r="AT133" s="1">
        <f t="shared" si="203"/>
        <v>0.3</v>
      </c>
      <c r="AU133" s="1">
        <f t="shared" si="204"/>
        <v>9</v>
      </c>
      <c r="AV133" s="1">
        <f>MIN(5,SUMIFS($EL$3:EL133,$B$3:B133,"&gt;="&amp;MAX(1,B133-2),$B$3:B133,"&lt;="&amp;B133)+EC133)</f>
        <v>0</v>
      </c>
      <c r="AW133" s="1">
        <f>MIN(6,SUMIFS($EY$3:EY132,$EX$3:EX132,"&gt;="&amp;MAX(1,EX133-Boss参数!$B$87+1),$EX$3:EX132,"&lt;="&amp;EX133))</f>
        <v>0</v>
      </c>
      <c r="AX133" s="1">
        <f>MIN(4,COUNTIFS($B$3:$B$132,"&gt;="&amp;MAX(1,$B133-2),$B$3:$B$132,"&lt;="&amp;$B133,$L$3:$L$132,"37_FOLLOW"))</f>
        <v>0</v>
      </c>
      <c r="AY133" s="1" t="str">
        <f>IF($E133="","",IF($E133="系统",0,ROUNDDOWN(INDEX(角色面板!$C$4:$C$7,MATCH($E133,角色面板!$A$4:$A$7,0))*(1+INDEX(角色面板!$C$11:$C$14,MATCH($E133,角色面板!$A$11:$A$14,0))+IF($E133="小瑞安侬",MAX(IF($B133&lt;=$AQ133,$AP133,0),IF(AND($L133="RHI_ATTACK",$EE133&gt;0),0.11+0.01*$G133,0)),0)+IF($E133="J",$AD133*Boss参数!$B$18,0))+IF(FD133&lt;=$AN133,MIN(Boss参数!$B$21,ROUNDDOWN(角色面板!$C$19*Boss参数!$B$20,0)),0)+IF(AND($B133&lt;=$AK133,$E133&lt;&gt;"小瑞安侬"),$DY133,0),0)))</f>
        <v/>
      </c>
      <c r="AZ133" s="1" t="str">
        <f>IF($E133="","",MAX(0,MIN(1,IFERROR(INDEX(角色面板!$G$18:$G$21,MATCH($E133,角色面板!$A$18:$A$21,0)),0)-FC133*Boss参数!$B$89-Boss参数!$E$4)))</f>
        <v/>
      </c>
      <c r="BA133" s="1" t="str">
        <f>IF(E133="","",(IF($E133="","",IF($E133="红弩箭",Boss参数!$B$80,IF($E133="J",Boss参数!$B$81,IFERROR(INDEX(角色面板!$H$18:$H$21,MATCH($E133,角色面板!$A$18:$A$21,0)),0)))+IF($B133&lt;=$AI133,Boss参数!$B$13,0)+MIN(30,$AM133)*Boss参数!$B$17+IF(AND($L133="LILYA_ULT",$X133&gt;=6),1,0)+IF(AND($Y133=1,$L133="LILYA_INSIGHT"),IF(MOD($AA133+1,3)=0,Boss参数!$B$83,Boss参数!$B$82),IF(AND($Y133=1,$L133="LILYA_FINISH"),Boss参数!$B$84,0))))-FC133*Boss参数!$B$90)</f>
        <v/>
      </c>
      <c r="BB133" s="1" t="str">
        <f>IF($E133="","",IFERROR(INDEX(角色面板!$M$18:$M$21,MATCH($E133,角色面板!$A$18:$A$21,0)),0)+$AW133*Boss参数!$B$12+IF($B133&lt;=$AG133,$AF133,0)+$EI133+IF($L133="LILYA_DIVE",IF($U133=1,IF($G133=1,0.3,IF($G133=2,0.4,0.5)),IF($U133=2,IF($G133=1,0.6,IF($G133=2,0.8,1)),0)),0)+$R133+IF(AND($E133="J",OR($L133="J_COUNTER",$L133="J_HARD")),Boss参数!$B$79,0)+IF(AND(OR(L133="J_COUNTER",L133="J_HARD"),FA133&gt;=Boss参数!$B$59),FA133*Boss参数!$B$40,0))</f>
        <v/>
      </c>
      <c r="BC133" s="1" t="e">
        <f>IF($E133="","",IFERROR(INDEX(角色面板!$K$18:$K$21,MATCH($E133,角色面板!$A$18:$A$21,0)),0)+IF($B133&lt;=$AH133,Boss参数!$B$46,0)+IF($E133="红弩箭",IF($U133=1,0.6,IF($U133=2,1.2,0))+$W133*0.06,0))-DI133*Boss参数!$B$23</f>
        <v>#VALUE!</v>
      </c>
      <c r="BD133" s="1" t="e">
        <f>IF($E133="","",IFERROR(INDEX(角色面板!$L$18:$L$21,MATCH($E133,角色面板!$A$18:$A$21,0)),0)+IF($B133&lt;=$AH133,Boss参数!$B$46,0)+IF($E133="J",$AL133*Boss参数!$B$16,0)+IF($E133="红弩箭",$X133*0.025,0)+IF(AND($L133="LILYA_ULT",$X133&gt;=6),1,0))-DI133*Boss参数!$B$23</f>
        <v>#VALUE!</v>
      </c>
      <c r="BE133" s="1" t="str">
        <f>IF($E133="","",IF($H133="洞知",IF($E133="红弩箭",$AO133*Boss参数!$B$15,0)+$AX133*Boss参数!$B$14,0))</f>
        <v/>
      </c>
      <c r="BF133" s="1">
        <f t="shared" si="141"/>
        <v>0</v>
      </c>
      <c r="BG133" s="1">
        <f>IF($D133="",0,IF(AND($L133&lt;&gt;"LILYA_DIVE",$L133&lt;&gt;"LILYA_ULT",$L133&lt;&gt;"LILYA_INSIGHT",$L133&lt;&gt;"LILYA_FINISH",$L133&lt;&gt;"37_FOLLOW",$L133&lt;&gt;"RHI_ATTACK",$L133&lt;&gt;"RHI_BERRY",$L133&lt;&gt;"J_COUNTER",$L133&lt;&gt;"J_ULT"),$J133,0)+IF($L133="LILYA_DIVE",$J133+IF($U133=1,IF($G133=1,6,IF($G133=2,12,18)),IF($U133=2,IF($G133=1,12,IF($G133=2,24,36)),0)),0)+IF($L133="LILYA_ULT",$J133+IF($X133&gt;=6,18,0),0)+IF($L133="LILYA_INSIGHT",IF($Y133=1,IF(MOD($AA133+1,3)=0,32,15),0),0)+IF($L133="LILYA_FINISH",IF($Y133=1,50+2.5*$Z133,0),0)+IF($L133="37_FOLLOW",$J133,0)+IF($L133="RHI_ATTACK",$J133*IF($B133&lt;=$AJ133,2,1),0)+IF($L133="RHI_BERRY",15+1.5*$AV133,0)+IF($L133="J_COUNTER",$J133+$AD133*Boss参数!$B$39,0)+IF($L133="J_ULT",$J133+Boss参数!$B$45*MAX(0,$AE133+$AD133-Boss参数!$I$4),0)+$S133)</f>
        <v>0</v>
      </c>
      <c r="BH133" s="1">
        <f t="shared" si="142"/>
        <v>0</v>
      </c>
      <c r="BI133" s="1" t="str">
        <f>IF(E133="","",IF(DT133=1,1+Boss参数!$B$8+AV133*Boss参数!$B$19,1))</f>
        <v/>
      </c>
      <c r="BJ133" s="1">
        <f>IF($I133="现实",Boss参数!$C$4,IF($I133="精神",Boss参数!$D$4,0))</f>
        <v>0</v>
      </c>
      <c r="BK133" s="1" t="str">
        <f>IF($E133="","",MAX($AY133*Boss参数!$B$9,$AY133-$BJ133*(1-$BF133)))</f>
        <v/>
      </c>
      <c r="BL133" s="1">
        <f>MAX(0,Boss参数!$F$4+IF(DT133=0,Boss参数!$B$27,0)-EJ133)</f>
        <v>1.25</v>
      </c>
      <c r="BM133" s="1">
        <f>Boss参数!$G$4+DU133-IF(Y133=1,Boss参数!$B$11,0)</f>
        <v>0.4</v>
      </c>
      <c r="BN133" s="1" t="str">
        <f>IF($E133="","",MAX(Boss参数!$B$10,1+IFERROR(INDEX(角色面板!$I$18:$I$21,MATCH($E133,角色面板!$A$18:$A$21,0)),0)+$BB133+Boss参数!$H$4-$BM133))</f>
        <v/>
      </c>
      <c r="BO133" s="1" t="str">
        <f>IF(E133="","",IF(OR(L133="J_COUNTER",L133="J_HARD"),MAX(0,1+INDEX(角色面板!$K$18:$K$21,MATCH(E133,角色面板!$A$18:$A$21,0))-DI133*Boss参数!$B$23+IF(OR(Boss参数!$B$43=1,L133="J_HARD"),IF(B133&lt;=AH133,Boss参数!$B$46,0),0)),MAX(0,IF(OR(H133="术法",L133="RHI_BERRY",AND(L133="37_FOLLOW",Boss参数!$B$31=1)),1+BC133,IF(H133="仪式",1+BD133,IF(H133="洞知",EK133,1))))))</f>
        <v/>
      </c>
      <c r="BP133" s="1" t="str">
        <f t="shared" si="143"/>
        <v/>
      </c>
      <c r="BQ133" s="1">
        <f t="shared" si="144"/>
        <v>0</v>
      </c>
      <c r="BR133" s="1">
        <f t="shared" si="145"/>
        <v>0</v>
      </c>
      <c r="BS133" s="1">
        <f>IF(BH133=0,0,ROUNDDOWN(AY133*BH133,0)*DV133*IF(Boss参数!$B$29=1,BN133,1)*IF(Boss参数!$B$33=1,BO133,1)*IF(Boss参数!$B$76=1,1-ES133,1))</f>
        <v>0</v>
      </c>
      <c r="BT133" s="1">
        <f t="shared" si="146"/>
        <v>0</v>
      </c>
      <c r="BU133" s="1">
        <f>IF(D133="",0,MIN(IF(Boss参数!$B$77=1,Boss参数!$B$63*Boss参数!$B$62,Boss参数!$B$61*Boss参数!$B$62),DW133+ROUNDDOWN(BS133,0)+ROUNDDOWN(DW133*Q133,0)))</f>
        <v>0</v>
      </c>
      <c r="BV133" s="1">
        <f>IF(D133="",0,MIN(IF(Boss参数!$B$77=1,Boss参数!$B$63*Boss参数!$B$62,Boss参数!$B$61*Boss参数!$B$62),DX133+ROUNDDOWN(BT133,0)+ROUNDDOWN(DX133*Q133,0)))</f>
        <v>0</v>
      </c>
      <c r="BW133" s="1">
        <f t="shared" si="147"/>
        <v>0</v>
      </c>
      <c r="BX133" s="1" t="str">
        <f t="shared" si="148"/>
        <v/>
      </c>
      <c r="BY133" s="1">
        <f t="shared" si="149"/>
        <v>2</v>
      </c>
      <c r="BZ133" s="1">
        <f t="shared" si="150"/>
        <v>1</v>
      </c>
      <c r="CA133" s="1">
        <f>MIN(10,W133+IF(AND(L133="LILYA_COBRA",COUNTIF($L$3:L133,"LILYA_COBRA")=1),5,0)+IF(AND(L133="LILYA_DIVE",U133=1,COUNTIFS($DG$3:DG133,DG133,$L$3:L133,"LILYA_DIVE")=1),2,0)+IF(AND(FE133=1,U133=1),3,0))</f>
        <v>10</v>
      </c>
      <c r="CB133" s="1">
        <f>MIN(20,MAX(0,X133+IF(L133="LILYA_COBRA",IF(COUNTIF($L$3:L133,"LILYA_COBRA")=1,6,IF(U133=1,MAX(1,G133),IF(U133=2,2*MAX(1,G133),0))),0)+IF(AND(Y133=1,E133="红弩箭",L133&lt;&gt;"ENTER_INSIGHT"),1,0)-IF(AND(L133="LILYA_ULT",X133&gt;=6),6,0)))</f>
        <v>13</v>
      </c>
      <c r="CC133" s="1">
        <f t="shared" si="151"/>
        <v>0</v>
      </c>
      <c r="CD133" s="1">
        <f t="shared" si="152"/>
        <v>0</v>
      </c>
      <c r="CE133" s="1">
        <f t="shared" si="153"/>
        <v>0</v>
      </c>
      <c r="CF133" s="1">
        <f t="shared" si="154"/>
        <v>10</v>
      </c>
      <c r="CG133" s="1">
        <f t="shared" si="155"/>
        <v>1</v>
      </c>
      <c r="CH133" s="1">
        <f>MIN(35,AD133+IF(L133="J_HARD",6,0)+IF(L133="J_COUNTER",Boss参数!$B$30,0))</f>
        <v>35</v>
      </c>
      <c r="CI133" s="1">
        <f>MIN(Boss参数!$I$4,AE133+IF(L133="J_HARD",6,0)+IF(L133="J_ULT",AD133,0)+IF(L133="J_COUNTER",Boss参数!$B$30,0))</f>
        <v>0</v>
      </c>
      <c r="CJ133" s="1">
        <f>IF(L133="J_ULT",AD133*Boss参数!$B$41,IF(B133&lt;=AG133,AF133,0))</f>
        <v>0.875</v>
      </c>
      <c r="CK133" s="1">
        <f t="shared" si="156"/>
        <v>9</v>
      </c>
      <c r="CL133" s="1">
        <f t="shared" si="157"/>
        <v>9</v>
      </c>
      <c r="CM133" s="1">
        <f t="shared" si="158"/>
        <v>8</v>
      </c>
      <c r="CN133" s="1">
        <f t="shared" si="159"/>
        <v>9</v>
      </c>
      <c r="CO133" s="1">
        <f t="shared" si="160"/>
        <v>8</v>
      </c>
      <c r="CP133" s="1">
        <f t="shared" si="161"/>
        <v>3</v>
      </c>
      <c r="CQ133" s="1">
        <f t="shared" si="162"/>
        <v>30</v>
      </c>
      <c r="CR133" s="1">
        <f t="shared" si="163"/>
        <v>9</v>
      </c>
      <c r="CS133" s="1">
        <f t="shared" si="164"/>
        <v>0</v>
      </c>
      <c r="CT133" s="1" t="e">
        <f t="shared" si="165"/>
        <v>#VALUE!</v>
      </c>
      <c r="CU133" s="1" t="e">
        <f t="shared" si="166"/>
        <v>#VALUE!</v>
      </c>
      <c r="CV133" s="1">
        <f t="shared" si="167"/>
        <v>0.3</v>
      </c>
      <c r="CW133" s="1">
        <f t="shared" si="168"/>
        <v>9</v>
      </c>
      <c r="CX133" s="1">
        <f t="shared" si="169"/>
        <v>0.3</v>
      </c>
      <c r="CY133" s="1">
        <f t="shared" si="170"/>
        <v>9</v>
      </c>
      <c r="CZ133" s="1"/>
      <c r="DA133" s="1"/>
      <c r="DB133" s="1"/>
      <c r="DC133" s="1"/>
      <c r="DD133" s="1"/>
      <c r="DE133" s="1"/>
      <c r="DF133" s="1"/>
      <c r="DG133" s="1" t="str">
        <f>IF(D133="","",行动模拟!B139)</f>
        <v/>
      </c>
      <c r="DH133" s="1" t="str">
        <f>IF(L133="END_TURN","回合结束",IF(D133="","",IF(INDEX(回合状态!$C$7:$C$17,MATCH(DG133,回合状态!$A$7:$A$17,0))="洞穿","洞穿",IF(OR(L133="J_COUNTER",L133="BOSS_ACTION",L133="BOSS_CONSERVATIVE"),"敌方",IF(AND(L133="37_FOLLOW",DG133=DG132,DH132="敌方"),"敌方",IF(INDEX(回合状态!$C$7:$C$17,MATCH(DG133,回合状态!$A$7:$A$17,0))="普通","出牌",INDEX(回合状态!$C$7:$C$17,MATCH(DG133,回合状态!$A$7:$A$17,0))))))))</f>
        <v/>
      </c>
      <c r="DI133" s="1">
        <f t="shared" si="171"/>
        <v>0</v>
      </c>
      <c r="DJ133" s="1">
        <f>IF(D133="",0,MIN(Boss参数!$B$25,IF(OR(AND(DH133="敌方",OR(DH132&lt;&gt;"敌方",DG133&lt;&gt;DG132)),AND(L133="END_TURN",DH133&lt;&gt;"洞穿"),AND(DG133&lt;&gt;DG132,DH132&lt;&gt;"洞穿",L132&lt;&gt;"END_TURN",COUNTIFS($DG$3:DG132,DG132,$DH$3:DH132,"敌方")=0)),EW133,DN132)))</f>
        <v>0</v>
      </c>
      <c r="DK133" s="1">
        <f>IF(D133="",0,MIN(Boss参数!$B$25,IF(OR(AND(DH133="敌方",OR(DH132&lt;&gt;"敌方",DG133&lt;&gt;DG132)),AND(L133="END_TURN",DH133&lt;&gt;"洞穿"),AND(DG133&lt;&gt;DG132,DH132&lt;&gt;"洞穿",L132&lt;&gt;"END_TURN",COUNTIFS($DG$3:DG132,DG132,$DH$3:DH132,"敌方")=0)),EW133,DO132)))</f>
        <v>0</v>
      </c>
      <c r="DL133" s="1">
        <f>IF(D133="",0,MIN(Boss参数!$B$25,IF(OR(AND(DH133="敌方",OR(DH132&lt;&gt;"敌方",DG133&lt;&gt;DG132)),AND(L133="END_TURN",DH133&lt;&gt;"洞穿"),AND(DG133&lt;&gt;DG132,DH132&lt;&gt;"洞穿",L132&lt;&gt;"END_TURN",COUNTIFS($DG$3:DG132,DG132,$DH$3:DH132,"敌方")=0)),EW133,DP132)))</f>
        <v>0</v>
      </c>
      <c r="DM133" s="1">
        <f>IF(D133="",0,MIN(Boss参数!$B$25,IF(OR(AND(DH133="敌方",OR(DH132&lt;&gt;"敌方",DG133&lt;&gt;DG132)),AND(L133="END_TURN",DH133&lt;&gt;"洞穿"),AND(DG133&lt;&gt;DG132,DH132&lt;&gt;"洞穿",L132&lt;&gt;"END_TURN",COUNTIFS($DG$3:DG132,DG132,$DH$3:DH132,"敌方")=0)),EW133,DQ132)))</f>
        <v>0</v>
      </c>
      <c r="DN133" s="1">
        <f>MAX(0,MIN(Boss参数!$B$25,DJ133+DR133)-IF(E133="红弩箭",2*DR133,0))</f>
        <v>0</v>
      </c>
      <c r="DO133" s="1">
        <f>MAX(0,MIN(Boss参数!$B$25,DK133+DR133)-IF(E133="37",2*DR133,0))</f>
        <v>0</v>
      </c>
      <c r="DP133" s="1">
        <f>MAX(0,MIN(Boss参数!$B$25,DL133+DR133)-IF(E133="小瑞安侬",2*DR133,0))</f>
        <v>0</v>
      </c>
      <c r="DQ133" s="1">
        <f>MAX(0,MIN(Boss参数!$B$25,DM133+DR133)-IF(E133="J",2*DR133,0))</f>
        <v>0</v>
      </c>
      <c r="DR133" s="1">
        <f t="shared" si="172"/>
        <v>0</v>
      </c>
      <c r="DS133" s="1">
        <f t="shared" si="173"/>
        <v>0</v>
      </c>
      <c r="DT133" s="1">
        <f>IF(OR(E133="",E133="系统"),0,IF(OR(AND(DS133=1,Boss参数!$B$32=1),L133="RHI_BERRY",OR(AND(INDEX(角色面板!$B$18:$B$21,MATCH(E133,角色面板!$A$18:$A$21,0))="星",Boss参数!$B$4="岩"),AND(INDEX(角色面板!$B$18:$B$21,MATCH(E133,角色面板!$A$18:$A$21,0))="岩",Boss参数!$B$4="兽"),AND(INDEX(角色面板!$B$18:$B$21,MATCH(E133,角色面板!$A$18:$A$21,0))="兽",Boss参数!$B$4="木"),AND(INDEX(角色面板!$B$18:$B$21,MATCH(E133,角色面板!$A$18:$A$21,0))="木",Boss参数!$B$4="星"),AND(INDEX(角色面板!$B$18:$B$21,MATCH(E133,角色面板!$A$18:$A$21,0))="智",Boss参数!$B$4="灵"),AND(INDEX(角色面板!$B$18:$B$21,MATCH(E133,角色面板!$A$18:$A$21,0))="灵",Boss参数!$B$4="智"))),1,0))</f>
        <v>0</v>
      </c>
      <c r="DU133" s="1">
        <f>IF(D133="",0,INDEX(回合状态!$E$7:$E$17,MATCH(DG133,回合状态!$A$7:$A$17,0))+IF(AND(DH133="敌方",OR(INDEX(回合状态!$C$7:$C$17,MATCH(DG133,回合状态!$A$7:$A$17,0))="普通",INDEX(回合状态!$C$7:$C$17,MATCH(DG133,回合状态!$A$7:$A$17,0))="额外")),0.05,0))</f>
        <v>0</v>
      </c>
      <c r="DV133" s="1">
        <f>MAX(Boss参数!$B$28,1+IF(AND(E133="37",AC133&gt;0,BH133&gt;0),Boss参数!$B$42,0)-DI133*Boss参数!$B$24+EA133-ER133)</f>
        <v>9.9999999999999978E-2</v>
      </c>
      <c r="DW133" s="1">
        <f>MIN(IF(Boss参数!$B$77=1,Boss参数!$B$63*Boss参数!$B$62,Boss参数!$B$61*Boss参数!$B$62),ROUNDDOWN(BQ133*(1-ES133),0))</f>
        <v>0</v>
      </c>
      <c r="DX133" s="1">
        <f>MIN(IF(Boss参数!$B$77=1,Boss参数!$B$63*Boss参数!$B$62,Boss参数!$B$61*Boss参数!$B$62),ROUNDDOWN(BR133*(1-ES133),0))</f>
        <v>0</v>
      </c>
      <c r="DY133" s="1">
        <f t="shared" si="205"/>
        <v>250</v>
      </c>
      <c r="DZ133" s="1">
        <f>IF(L133="RHI_ULT",MIN(Boss参数!$B$48,ROUNDDOWN(AY133*Boss参数!$B$47,0)),DY133)</f>
        <v>250</v>
      </c>
      <c r="EA133" s="1">
        <v>0</v>
      </c>
      <c r="EB133" s="1">
        <f t="shared" si="174"/>
        <v>0</v>
      </c>
      <c r="EC133" s="1">
        <f>SUMIFS($EB$3:EB133,$B$3:B133,"&gt;="&amp;MAX(1,B133-2),$B$3:B133,"&lt;="&amp;B133)*Boss参数!$B$51</f>
        <v>0</v>
      </c>
      <c r="ED133" s="1">
        <f>IF(D133="",EG132,IF(AND(DG133&lt;&gt;DG132,DH133&lt;&gt;"洞穿"),MIN(Boss参数!$B$55,EG132+2),EG132))</f>
        <v>0</v>
      </c>
      <c r="EE133" s="1">
        <f t="shared" si="175"/>
        <v>0</v>
      </c>
      <c r="EF133" s="1">
        <f>IF(AND(OR(L133="END_TURN",AND(DH133="敌方",OR(DH132&lt;&gt;"敌方",DG133&lt;&gt;DG132))),SUMIFS($EF$3:EF132,$DG$3:DG132,DG133)=0),MIN(1,MAX(0,ED133-EE133)),0)</f>
        <v>0</v>
      </c>
      <c r="EG133" s="1">
        <f t="shared" si="176"/>
        <v>0</v>
      </c>
      <c r="EH133" s="1">
        <f>Boss参数!$B$53-IF(Y133=1,Boss参数!$B$54,0)</f>
        <v>0</v>
      </c>
      <c r="EI133" s="1">
        <f t="shared" si="177"/>
        <v>0.15</v>
      </c>
      <c r="EJ133" s="1">
        <f t="shared" si="178"/>
        <v>0.15</v>
      </c>
      <c r="EK133" s="1" t="e">
        <f t="shared" si="179"/>
        <v>#VALUE!</v>
      </c>
      <c r="EL133" s="1">
        <f t="shared" si="206"/>
        <v>0</v>
      </c>
      <c r="EM133" s="1">
        <f>IF(AND(DG133&lt;&gt;DG132,DH133="洞穿"),0,IF(L133="ENTER_INSIGHT",Boss参数!$B$57,EO132))</f>
        <v>0</v>
      </c>
      <c r="EN133" s="1">
        <f>IF(AND(Y133=1,H133="洞知",EM133&gt;0),Boss参数!$B$56,0)</f>
        <v>0</v>
      </c>
      <c r="EO133" s="1">
        <f t="shared" si="180"/>
        <v>0</v>
      </c>
      <c r="EP133" s="1">
        <f t="shared" si="207"/>
        <v>23210479</v>
      </c>
      <c r="EQ133" s="1">
        <f>ROUNDDOWN(EP133/Boss参数!$B$62,0)</f>
        <v>232</v>
      </c>
      <c r="ER133" s="1">
        <f>IF(EQ133&gt;=Boss参数!$B$66,Boss参数!$B$69,IF(EQ133&gt;=Boss参数!$B$65,Boss参数!$B$68,IF(EQ133&gt;=Boss参数!$B$64,Boss参数!$B$67,0)))</f>
        <v>0.9</v>
      </c>
      <c r="ES133" s="1">
        <f>MIN(1,IF(EQ133&gt;=Boss参数!$B$66,Boss参数!$B$72+ROUNDDOWN((EQ133-Boss参数!$B$66)/Boss参数!$B$73,0)*Boss参数!$B$74,IF(EQ133&gt;=Boss参数!$B$65,Boss参数!$B$71,IF(EQ133&gt;=Boss参数!$B$64,Boss参数!$B$70,0))))</f>
        <v>0.65</v>
      </c>
      <c r="ET133" s="1">
        <f>MIN(Boss参数!$B$61*Boss参数!$B$62,EP133+IF(AND(Boss参数!$B$60=1,ISNUMBER(验证表!H139)),验证表!H139,EU133))</f>
        <v>23210479</v>
      </c>
      <c r="EU133" s="1">
        <f>IF(D133="",0,IF(验证表!G139="是",BV133,IF(验证表!G139="否",BU133,BW133)))</f>
        <v>0</v>
      </c>
      <c r="EV133" s="1">
        <f>IF(EQ133&gt;=Boss参数!$B$66,2,IF(EQ133&gt;=Boss参数!$B$65,1,0))</f>
        <v>2</v>
      </c>
      <c r="EW133" s="1">
        <f t="shared" si="181"/>
        <v>3</v>
      </c>
      <c r="EX133" s="1">
        <f>IF(D133="",0,INDEX(回合状态!$D$7:$D$17,MATCH(DG133,回合状态!$A$7:$A$17,0)))</f>
        <v>0</v>
      </c>
      <c r="EY133" s="1">
        <f>IF(OR(L133="RHI_ATTACK",L133="RHI_BUFF"),1,IF(L133="RHI_ULT",Boss参数!$B$52,0))</f>
        <v>0</v>
      </c>
      <c r="EZ133" s="1">
        <f>MIN(6,SUMIFS($EY$3:EY133,$EX$3:EX133,"&gt;="&amp;MAX(1,EX133-Boss参数!$B$87+1),$EX$3:EX133,"&lt;="&amp;EX133))</f>
        <v>0</v>
      </c>
      <c r="FA133" s="1">
        <f t="shared" si="208"/>
        <v>0</v>
      </c>
      <c r="FB133" s="17">
        <f>IF(L133="BOSS_CONSERVATIVE",B133+Boss参数!$B$91,FB132)</f>
        <v>7</v>
      </c>
      <c r="FC133" s="17">
        <f t="shared" si="209"/>
        <v>0</v>
      </c>
      <c r="FD133" s="17">
        <f>IF(D133="",FD132,FD132+IF(AND(DG133&lt;&gt;DG132,INDEX(回合状态!$C$7:$C$17,MATCH(DG133,回合状态!$A$7:$A$17,0))&lt;&gt;"洞穿"),1,0))</f>
        <v>8</v>
      </c>
      <c r="FE133" s="17">
        <f>IF(D133="",0,IF(AND(OR(L133="END_TURN",DH133="敌方"),INDEX(回合状态!$C$7:$C$17,MATCH(DG133,回合状态!$A$7:$A$17,0))&lt;&gt;"洞穿",SUMIFS($FE$3:FE132,$DG$3:DG132,DG133)=0),1,0))</f>
        <v>0</v>
      </c>
    </row>
    <row r="134" spans="1:161" ht="84.95" customHeight="1">
      <c r="A134" s="1" t="str">
        <f>行动模拟!A140</f>
        <v/>
      </c>
      <c r="B134" s="1">
        <f>IF(D134="",0,INDEX(回合状态!$B$7:$B$17,MATCH(DG134,回合状态!$A$7:$A$17,0)))</f>
        <v>0</v>
      </c>
      <c r="C134" s="1">
        <f>行动模拟!C140</f>
        <v>0</v>
      </c>
      <c r="D134" s="1" t="str">
        <f>IF(行动模拟!D140="","",行动模拟!D140)</f>
        <v/>
      </c>
      <c r="E134" s="1" t="str">
        <f>IF($D134="","",IFERROR(INDEX(技能数据库!$B$4:$B$38,MATCH($D134,技能数据库!$A$4:$A$38,0)),""))</f>
        <v/>
      </c>
      <c r="F134" s="1" t="str">
        <f>IF($D134="","",IFERROR(INDEX(技能数据库!$C$4:$C$38,MATCH($D134,技能数据库!$A$4:$A$38,0)),""))</f>
        <v/>
      </c>
      <c r="G134" s="1" t="str">
        <f>IF($D134="","",IFERROR(INDEX(技能数据库!$D$4:$D$38,MATCH($D134,技能数据库!$A$4:$A$38,0)),""))</f>
        <v/>
      </c>
      <c r="H134" s="1" t="str">
        <f>IF($D134="","",IFERROR(INDEX(技能数据库!$E$4:$E$38,MATCH($D134,技能数据库!$A$4:$A$38,0)),""))</f>
        <v/>
      </c>
      <c r="I134" s="1" t="str">
        <f>IF($D134="","",IFERROR(INDEX(技能数据库!$F$4:$F$38,MATCH($D134,技能数据库!$A$4:$A$38,0)),""))</f>
        <v/>
      </c>
      <c r="J134" s="1" t="str">
        <f>IF($D134="","",IFERROR(INDEX(技能数据库!$G$4:$G$38,MATCH($D134,技能数据库!$A$4:$A$38,0)),""))</f>
        <v/>
      </c>
      <c r="K134" s="1" t="str">
        <f>IF($D134="","",IFERROR(INDEX(技能数据库!$H$4:$H$38,MATCH($D134,技能数据库!$A$4:$A$38,0)),""))</f>
        <v/>
      </c>
      <c r="L134" s="1" t="str">
        <f>IF($D134="","",IFERROR(INDEX(技能数据库!$I$4:$I$38,MATCH($D134,技能数据库!$A$4:$A$38,0)),""))</f>
        <v/>
      </c>
      <c r="M134" s="1">
        <v>1</v>
      </c>
      <c r="N134" s="1"/>
      <c r="O134" s="1"/>
      <c r="P134" s="1"/>
      <c r="Q134" s="1">
        <f t="shared" si="140"/>
        <v>0</v>
      </c>
      <c r="R134" s="1">
        <v>0</v>
      </c>
      <c r="S134" s="1">
        <v>0</v>
      </c>
      <c r="T134" s="1">
        <f>行动模拟!I140</f>
        <v>0</v>
      </c>
      <c r="U134" s="1">
        <f>IF(FD134&lt;&gt;FD133,IF(BY133=1,IF(MIN(10,CA133+IF(AND(DG134&lt;&gt;DG133,DH133&lt;&gt;"洞穿",SUMIFS($FE$3:FE133,$DG$3:DG133,DG133)=0,BY133=1),3,0))&gt;=10,2,1),IF(BY133=2,IF(BZ133&lt;=1,0,2),0)),BY133)</f>
        <v>2</v>
      </c>
      <c r="V134" s="1">
        <f>IF(FD134&lt;&gt;FD133,IF(BY133=1,IF(MIN(10,CA133+IF(AND(DG134&lt;&gt;DG133,DH133&lt;&gt;"洞穿",SUMIFS($FE$3:FE133,$DG$3:DG133,DG133)=0,BY133=1),3,0))&gt;=10,2,0),IF(BY133=2,MAX(0,BZ133-1),0)),BZ133)</f>
        <v>1</v>
      </c>
      <c r="W134" s="1">
        <f>IF(AND(FD134&lt;&gt;FD133,BY133=2,BZ133&lt;=1),0,MIN(10,CA133+IF(AND(DG134&lt;&gt;DG133,DH133&lt;&gt;"洞穿",SUMIFS($FE$3:FE133,$DG$3:DG133,DG133)=0,BY133=1),3,0)))</f>
        <v>10</v>
      </c>
      <c r="X134" s="1">
        <f t="shared" si="182"/>
        <v>13</v>
      </c>
      <c r="Y134" s="1">
        <f t="shared" si="183"/>
        <v>0</v>
      </c>
      <c r="Z134" s="1">
        <f t="shared" si="184"/>
        <v>0</v>
      </c>
      <c r="AA134" s="1">
        <f t="shared" si="185"/>
        <v>0</v>
      </c>
      <c r="AB134" s="1">
        <f t="shared" si="186"/>
        <v>10</v>
      </c>
      <c r="AC134" s="1">
        <f t="shared" si="187"/>
        <v>1</v>
      </c>
      <c r="AD134" s="1">
        <f t="shared" si="188"/>
        <v>35</v>
      </c>
      <c r="AE134" s="1">
        <f>IF(D134="",0,IF(DG134&lt;&gt;DG133,IFERROR(INDEX(回合状态!$F$7:$F$17,MATCH(DG134,回合状态!$A$7:$A$17,0)),0),CI133))</f>
        <v>0</v>
      </c>
      <c r="AF134" s="1">
        <f t="shared" si="189"/>
        <v>0.875</v>
      </c>
      <c r="AG134" s="1">
        <f t="shared" si="190"/>
        <v>9</v>
      </c>
      <c r="AH134" s="1">
        <f t="shared" si="191"/>
        <v>9</v>
      </c>
      <c r="AI134" s="1">
        <f t="shared" si="192"/>
        <v>8</v>
      </c>
      <c r="AJ134" s="1">
        <f t="shared" si="193"/>
        <v>9</v>
      </c>
      <c r="AK134" s="1">
        <f t="shared" si="194"/>
        <v>8</v>
      </c>
      <c r="AL134" s="1">
        <f t="shared" si="195"/>
        <v>3</v>
      </c>
      <c r="AM134" s="1">
        <f t="shared" si="196"/>
        <v>30</v>
      </c>
      <c r="AN134" s="1">
        <f t="shared" si="197"/>
        <v>9</v>
      </c>
      <c r="AO134" s="1">
        <f t="shared" si="198"/>
        <v>0</v>
      </c>
      <c r="AP134" s="1" t="e">
        <f t="shared" si="199"/>
        <v>#VALUE!</v>
      </c>
      <c r="AQ134" s="1" t="e">
        <f t="shared" si="200"/>
        <v>#VALUE!</v>
      </c>
      <c r="AR134" s="1">
        <f t="shared" si="201"/>
        <v>0.3</v>
      </c>
      <c r="AS134" s="1">
        <f t="shared" si="202"/>
        <v>9</v>
      </c>
      <c r="AT134" s="1">
        <f t="shared" si="203"/>
        <v>0.3</v>
      </c>
      <c r="AU134" s="1">
        <f t="shared" si="204"/>
        <v>9</v>
      </c>
      <c r="AV134" s="1">
        <f>MIN(5,SUMIFS($EL$3:EL134,$B$3:B134,"&gt;="&amp;MAX(1,B134-2),$B$3:B134,"&lt;="&amp;B134)+EC134)</f>
        <v>0</v>
      </c>
      <c r="AW134" s="1">
        <f>MIN(6,SUMIFS($EY$3:EY133,$EX$3:EX133,"&gt;="&amp;MAX(1,EX134-Boss参数!$B$87+1),$EX$3:EX133,"&lt;="&amp;EX134))</f>
        <v>0</v>
      </c>
      <c r="AX134" s="1">
        <f>MIN(4,COUNTIFS($B$3:$B$133,"&gt;="&amp;MAX(1,$B134-2),$B$3:$B$133,"&lt;="&amp;$B134,$L$3:$L$133,"37_FOLLOW"))</f>
        <v>0</v>
      </c>
      <c r="AY134" s="1" t="str">
        <f>IF($E134="","",IF($E134="系统",0,ROUNDDOWN(INDEX(角色面板!$C$4:$C$7,MATCH($E134,角色面板!$A$4:$A$7,0))*(1+INDEX(角色面板!$C$11:$C$14,MATCH($E134,角色面板!$A$11:$A$14,0))+IF($E134="小瑞安侬",MAX(IF($B134&lt;=$AQ134,$AP134,0),IF(AND($L134="RHI_ATTACK",$EE134&gt;0),0.11+0.01*$G134,0)),0)+IF($E134="J",$AD134*Boss参数!$B$18,0))+IF(FD134&lt;=$AN134,MIN(Boss参数!$B$21,ROUNDDOWN(角色面板!$C$19*Boss参数!$B$20,0)),0)+IF(AND($B134&lt;=$AK134,$E134&lt;&gt;"小瑞安侬"),$DY134,0),0)))</f>
        <v/>
      </c>
      <c r="AZ134" s="1" t="str">
        <f>IF($E134="","",MAX(0,MIN(1,IFERROR(INDEX(角色面板!$G$18:$G$21,MATCH($E134,角色面板!$A$18:$A$21,0)),0)-FC134*Boss参数!$B$89-Boss参数!$E$4)))</f>
        <v/>
      </c>
      <c r="BA134" s="1" t="str">
        <f>IF(E134="","",(IF($E134="","",IF($E134="红弩箭",Boss参数!$B$80,IF($E134="J",Boss参数!$B$81,IFERROR(INDEX(角色面板!$H$18:$H$21,MATCH($E134,角色面板!$A$18:$A$21,0)),0)))+IF($B134&lt;=$AI134,Boss参数!$B$13,0)+MIN(30,$AM134)*Boss参数!$B$17+IF(AND($L134="LILYA_ULT",$X134&gt;=6),1,0)+IF(AND($Y134=1,$L134="LILYA_INSIGHT"),IF(MOD($AA134+1,3)=0,Boss参数!$B$83,Boss参数!$B$82),IF(AND($Y134=1,$L134="LILYA_FINISH"),Boss参数!$B$84,0))))-FC134*Boss参数!$B$90)</f>
        <v/>
      </c>
      <c r="BB134" s="1" t="str">
        <f>IF($E134="","",IFERROR(INDEX(角色面板!$M$18:$M$21,MATCH($E134,角色面板!$A$18:$A$21,0)),0)+$AW134*Boss参数!$B$12+IF($B134&lt;=$AG134,$AF134,0)+$EI134+IF($L134="LILYA_DIVE",IF($U134=1,IF($G134=1,0.3,IF($G134=2,0.4,0.5)),IF($U134=2,IF($G134=1,0.6,IF($G134=2,0.8,1)),0)),0)+$R134+IF(AND($E134="J",OR($L134="J_COUNTER",$L134="J_HARD")),Boss参数!$B$79,0)+IF(AND(OR(L134="J_COUNTER",L134="J_HARD"),FA134&gt;=Boss参数!$B$59),FA134*Boss参数!$B$40,0))</f>
        <v/>
      </c>
      <c r="BC134" s="1" t="e">
        <f>IF($E134="","",IFERROR(INDEX(角色面板!$K$18:$K$21,MATCH($E134,角色面板!$A$18:$A$21,0)),0)+IF($B134&lt;=$AH134,Boss参数!$B$46,0)+IF($E134="红弩箭",IF($U134=1,0.6,IF($U134=2,1.2,0))+$W134*0.06,0))-DI134*Boss参数!$B$23</f>
        <v>#VALUE!</v>
      </c>
      <c r="BD134" s="1" t="e">
        <f>IF($E134="","",IFERROR(INDEX(角色面板!$L$18:$L$21,MATCH($E134,角色面板!$A$18:$A$21,0)),0)+IF($B134&lt;=$AH134,Boss参数!$B$46,0)+IF($E134="J",$AL134*Boss参数!$B$16,0)+IF($E134="红弩箭",$X134*0.025,0)+IF(AND($L134="LILYA_ULT",$X134&gt;=6),1,0))-DI134*Boss参数!$B$23</f>
        <v>#VALUE!</v>
      </c>
      <c r="BE134" s="1" t="str">
        <f>IF($E134="","",IF($H134="洞知",IF($E134="红弩箭",$AO134*Boss参数!$B$15,0)+$AX134*Boss参数!$B$14,0))</f>
        <v/>
      </c>
      <c r="BF134" s="1">
        <f t="shared" si="141"/>
        <v>0</v>
      </c>
      <c r="BG134" s="1">
        <f>IF($D134="",0,IF(AND($L134&lt;&gt;"LILYA_DIVE",$L134&lt;&gt;"LILYA_ULT",$L134&lt;&gt;"LILYA_INSIGHT",$L134&lt;&gt;"LILYA_FINISH",$L134&lt;&gt;"37_FOLLOW",$L134&lt;&gt;"RHI_ATTACK",$L134&lt;&gt;"RHI_BERRY",$L134&lt;&gt;"J_COUNTER",$L134&lt;&gt;"J_ULT"),$J134,0)+IF($L134="LILYA_DIVE",$J134+IF($U134=1,IF($G134=1,6,IF($G134=2,12,18)),IF($U134=2,IF($G134=1,12,IF($G134=2,24,36)),0)),0)+IF($L134="LILYA_ULT",$J134+IF($X134&gt;=6,18,0),0)+IF($L134="LILYA_INSIGHT",IF($Y134=1,IF(MOD($AA134+1,3)=0,32,15),0),0)+IF($L134="LILYA_FINISH",IF($Y134=1,50+2.5*$Z134,0),0)+IF($L134="37_FOLLOW",$J134,0)+IF($L134="RHI_ATTACK",$J134*IF($B134&lt;=$AJ134,2,1),0)+IF($L134="RHI_BERRY",15+1.5*$AV134,0)+IF($L134="J_COUNTER",$J134+$AD134*Boss参数!$B$39,0)+IF($L134="J_ULT",$J134+Boss参数!$B$45*MAX(0,$AE134+$AD134-Boss参数!$I$4),0)+$S134)</f>
        <v>0</v>
      </c>
      <c r="BH134" s="1">
        <f t="shared" si="142"/>
        <v>0</v>
      </c>
      <c r="BI134" s="1" t="str">
        <f>IF(E134="","",IF(DT134=1,1+Boss参数!$B$8+AV134*Boss参数!$B$19,1))</f>
        <v/>
      </c>
      <c r="BJ134" s="1">
        <f>IF($I134="现实",Boss参数!$C$4,IF($I134="精神",Boss参数!$D$4,0))</f>
        <v>0</v>
      </c>
      <c r="BK134" s="1" t="str">
        <f>IF($E134="","",MAX($AY134*Boss参数!$B$9,$AY134-$BJ134*(1-$BF134)))</f>
        <v/>
      </c>
      <c r="BL134" s="1">
        <f>MAX(0,Boss参数!$F$4+IF(DT134=0,Boss参数!$B$27,0)-EJ134)</f>
        <v>1.25</v>
      </c>
      <c r="BM134" s="1">
        <f>Boss参数!$G$4+DU134-IF(Y134=1,Boss参数!$B$11,0)</f>
        <v>0.4</v>
      </c>
      <c r="BN134" s="1" t="str">
        <f>IF($E134="","",MAX(Boss参数!$B$10,1+IFERROR(INDEX(角色面板!$I$18:$I$21,MATCH($E134,角色面板!$A$18:$A$21,0)),0)+$BB134+Boss参数!$H$4-$BM134))</f>
        <v/>
      </c>
      <c r="BO134" s="1" t="str">
        <f>IF(E134="","",IF(OR(L134="J_COUNTER",L134="J_HARD"),MAX(0,1+INDEX(角色面板!$K$18:$K$21,MATCH(E134,角色面板!$A$18:$A$21,0))-DI134*Boss参数!$B$23+IF(OR(Boss参数!$B$43=1,L134="J_HARD"),IF(B134&lt;=AH134,Boss参数!$B$46,0),0)),MAX(0,IF(OR(H134="术法",L134="RHI_BERRY",AND(L134="37_FOLLOW",Boss参数!$B$31=1)),1+BC134,IF(H134="仪式",1+BD134,IF(H134="洞知",EK134,1))))))</f>
        <v/>
      </c>
      <c r="BP134" s="1" t="str">
        <f t="shared" si="143"/>
        <v/>
      </c>
      <c r="BQ134" s="1">
        <f t="shared" si="144"/>
        <v>0</v>
      </c>
      <c r="BR134" s="1">
        <f t="shared" si="145"/>
        <v>0</v>
      </c>
      <c r="BS134" s="1">
        <f>IF(BH134=0,0,ROUNDDOWN(AY134*BH134,0)*DV134*IF(Boss参数!$B$29=1,BN134,1)*IF(Boss参数!$B$33=1,BO134,1)*IF(Boss参数!$B$76=1,1-ES134,1))</f>
        <v>0</v>
      </c>
      <c r="BT134" s="1">
        <f t="shared" si="146"/>
        <v>0</v>
      </c>
      <c r="BU134" s="1">
        <f>IF(D134="",0,MIN(IF(Boss参数!$B$77=1,Boss参数!$B$63*Boss参数!$B$62,Boss参数!$B$61*Boss参数!$B$62),DW134+ROUNDDOWN(BS134,0)+ROUNDDOWN(DW134*Q134,0)))</f>
        <v>0</v>
      </c>
      <c r="BV134" s="1">
        <f>IF(D134="",0,MIN(IF(Boss参数!$B$77=1,Boss参数!$B$63*Boss参数!$B$62,Boss参数!$B$61*Boss参数!$B$62),DX134+ROUNDDOWN(BT134,0)+ROUNDDOWN(DX134*Q134,0)))</f>
        <v>0</v>
      </c>
      <c r="BW134" s="1">
        <f t="shared" si="147"/>
        <v>0</v>
      </c>
      <c r="BX134" s="1" t="str">
        <f t="shared" si="148"/>
        <v/>
      </c>
      <c r="BY134" s="1">
        <f t="shared" si="149"/>
        <v>2</v>
      </c>
      <c r="BZ134" s="1">
        <f t="shared" si="150"/>
        <v>1</v>
      </c>
      <c r="CA134" s="1">
        <f>MIN(10,W134+IF(AND(L134="LILYA_COBRA",COUNTIF($L$3:L134,"LILYA_COBRA")=1),5,0)+IF(AND(L134="LILYA_DIVE",U134=1,COUNTIFS($DG$3:DG134,DG134,$L$3:L134,"LILYA_DIVE")=1),2,0)+IF(AND(FE134=1,U134=1),3,0))</f>
        <v>10</v>
      </c>
      <c r="CB134" s="1">
        <f>MIN(20,MAX(0,X134+IF(L134="LILYA_COBRA",IF(COUNTIF($L$3:L134,"LILYA_COBRA")=1,6,IF(U134=1,MAX(1,G134),IF(U134=2,2*MAX(1,G134),0))),0)+IF(AND(Y134=1,E134="红弩箭",L134&lt;&gt;"ENTER_INSIGHT"),1,0)-IF(AND(L134="LILYA_ULT",X134&gt;=6),6,0)))</f>
        <v>13</v>
      </c>
      <c r="CC134" s="1">
        <f t="shared" si="151"/>
        <v>0</v>
      </c>
      <c r="CD134" s="1">
        <f t="shared" si="152"/>
        <v>0</v>
      </c>
      <c r="CE134" s="1">
        <f t="shared" si="153"/>
        <v>0</v>
      </c>
      <c r="CF134" s="1">
        <f t="shared" si="154"/>
        <v>10</v>
      </c>
      <c r="CG134" s="1">
        <f t="shared" si="155"/>
        <v>1</v>
      </c>
      <c r="CH134" s="1">
        <f>MIN(35,AD134+IF(L134="J_HARD",6,0)+IF(L134="J_COUNTER",Boss参数!$B$30,0))</f>
        <v>35</v>
      </c>
      <c r="CI134" s="1">
        <f>MIN(Boss参数!$I$4,AE134+IF(L134="J_HARD",6,0)+IF(L134="J_ULT",AD134,0)+IF(L134="J_COUNTER",Boss参数!$B$30,0))</f>
        <v>0</v>
      </c>
      <c r="CJ134" s="1">
        <f>IF(L134="J_ULT",AD134*Boss参数!$B$41,IF(B134&lt;=AG134,AF134,0))</f>
        <v>0.875</v>
      </c>
      <c r="CK134" s="1">
        <f t="shared" si="156"/>
        <v>9</v>
      </c>
      <c r="CL134" s="1">
        <f t="shared" si="157"/>
        <v>9</v>
      </c>
      <c r="CM134" s="1">
        <f t="shared" si="158"/>
        <v>8</v>
      </c>
      <c r="CN134" s="1">
        <f t="shared" si="159"/>
        <v>9</v>
      </c>
      <c r="CO134" s="1">
        <f t="shared" si="160"/>
        <v>8</v>
      </c>
      <c r="CP134" s="1">
        <f t="shared" si="161"/>
        <v>3</v>
      </c>
      <c r="CQ134" s="1">
        <f t="shared" si="162"/>
        <v>30</v>
      </c>
      <c r="CR134" s="1">
        <f t="shared" si="163"/>
        <v>9</v>
      </c>
      <c r="CS134" s="1">
        <f t="shared" si="164"/>
        <v>0</v>
      </c>
      <c r="CT134" s="1" t="e">
        <f t="shared" si="165"/>
        <v>#VALUE!</v>
      </c>
      <c r="CU134" s="1" t="e">
        <f t="shared" si="166"/>
        <v>#VALUE!</v>
      </c>
      <c r="CV134" s="1">
        <f t="shared" si="167"/>
        <v>0.3</v>
      </c>
      <c r="CW134" s="1">
        <f t="shared" si="168"/>
        <v>9</v>
      </c>
      <c r="CX134" s="1">
        <f t="shared" si="169"/>
        <v>0.3</v>
      </c>
      <c r="CY134" s="1">
        <f t="shared" si="170"/>
        <v>9</v>
      </c>
      <c r="CZ134" s="1"/>
      <c r="DA134" s="1"/>
      <c r="DB134" s="1"/>
      <c r="DC134" s="1"/>
      <c r="DD134" s="1"/>
      <c r="DE134" s="1"/>
      <c r="DF134" s="1"/>
      <c r="DG134" s="1" t="str">
        <f>IF(D134="","",行动模拟!B140)</f>
        <v/>
      </c>
      <c r="DH134" s="1" t="str">
        <f>IF(L134="END_TURN","回合结束",IF(D134="","",IF(INDEX(回合状态!$C$7:$C$17,MATCH(DG134,回合状态!$A$7:$A$17,0))="洞穿","洞穿",IF(OR(L134="J_COUNTER",L134="BOSS_ACTION",L134="BOSS_CONSERVATIVE"),"敌方",IF(AND(L134="37_FOLLOW",DG134=DG133,DH133="敌方"),"敌方",IF(INDEX(回合状态!$C$7:$C$17,MATCH(DG134,回合状态!$A$7:$A$17,0))="普通","出牌",INDEX(回合状态!$C$7:$C$17,MATCH(DG134,回合状态!$A$7:$A$17,0))))))))</f>
        <v/>
      </c>
      <c r="DI134" s="1">
        <f t="shared" si="171"/>
        <v>0</v>
      </c>
      <c r="DJ134" s="1">
        <f>IF(D134="",0,MIN(Boss参数!$B$25,IF(OR(AND(DH134="敌方",OR(DH133&lt;&gt;"敌方",DG134&lt;&gt;DG133)),AND(L134="END_TURN",DH134&lt;&gt;"洞穿"),AND(DG134&lt;&gt;DG133,DH133&lt;&gt;"洞穿",L133&lt;&gt;"END_TURN",COUNTIFS($DG$3:DG133,DG133,$DH$3:DH133,"敌方")=0)),EW134,DN133)))</f>
        <v>0</v>
      </c>
      <c r="DK134" s="1">
        <f>IF(D134="",0,MIN(Boss参数!$B$25,IF(OR(AND(DH134="敌方",OR(DH133&lt;&gt;"敌方",DG134&lt;&gt;DG133)),AND(L134="END_TURN",DH134&lt;&gt;"洞穿"),AND(DG134&lt;&gt;DG133,DH133&lt;&gt;"洞穿",L133&lt;&gt;"END_TURN",COUNTIFS($DG$3:DG133,DG133,$DH$3:DH133,"敌方")=0)),EW134,DO133)))</f>
        <v>0</v>
      </c>
      <c r="DL134" s="1">
        <f>IF(D134="",0,MIN(Boss参数!$B$25,IF(OR(AND(DH134="敌方",OR(DH133&lt;&gt;"敌方",DG134&lt;&gt;DG133)),AND(L134="END_TURN",DH134&lt;&gt;"洞穿"),AND(DG134&lt;&gt;DG133,DH133&lt;&gt;"洞穿",L133&lt;&gt;"END_TURN",COUNTIFS($DG$3:DG133,DG133,$DH$3:DH133,"敌方")=0)),EW134,DP133)))</f>
        <v>0</v>
      </c>
      <c r="DM134" s="1">
        <f>IF(D134="",0,MIN(Boss参数!$B$25,IF(OR(AND(DH134="敌方",OR(DH133&lt;&gt;"敌方",DG134&lt;&gt;DG133)),AND(L134="END_TURN",DH134&lt;&gt;"洞穿"),AND(DG134&lt;&gt;DG133,DH133&lt;&gt;"洞穿",L133&lt;&gt;"END_TURN",COUNTIFS($DG$3:DG133,DG133,$DH$3:DH133,"敌方")=0)),EW134,DQ133)))</f>
        <v>0</v>
      </c>
      <c r="DN134" s="1">
        <f>MAX(0,MIN(Boss参数!$B$25,DJ134+DR134)-IF(E134="红弩箭",2*DR134,0))</f>
        <v>0</v>
      </c>
      <c r="DO134" s="1">
        <f>MAX(0,MIN(Boss参数!$B$25,DK134+DR134)-IF(E134="37",2*DR134,0))</f>
        <v>0</v>
      </c>
      <c r="DP134" s="1">
        <f>MAX(0,MIN(Boss参数!$B$25,DL134+DR134)-IF(E134="小瑞安侬",2*DR134,0))</f>
        <v>0</v>
      </c>
      <c r="DQ134" s="1">
        <f>MAX(0,MIN(Boss参数!$B$25,DM134+DR134)-IF(E134="J",2*DR134,0))</f>
        <v>0</v>
      </c>
      <c r="DR134" s="1">
        <f t="shared" si="172"/>
        <v>0</v>
      </c>
      <c r="DS134" s="1">
        <f t="shared" si="173"/>
        <v>0</v>
      </c>
      <c r="DT134" s="1">
        <f>IF(OR(E134="",E134="系统"),0,IF(OR(AND(DS134=1,Boss参数!$B$32=1),L134="RHI_BERRY",OR(AND(INDEX(角色面板!$B$18:$B$21,MATCH(E134,角色面板!$A$18:$A$21,0))="星",Boss参数!$B$4="岩"),AND(INDEX(角色面板!$B$18:$B$21,MATCH(E134,角色面板!$A$18:$A$21,0))="岩",Boss参数!$B$4="兽"),AND(INDEX(角色面板!$B$18:$B$21,MATCH(E134,角色面板!$A$18:$A$21,0))="兽",Boss参数!$B$4="木"),AND(INDEX(角色面板!$B$18:$B$21,MATCH(E134,角色面板!$A$18:$A$21,0))="木",Boss参数!$B$4="星"),AND(INDEX(角色面板!$B$18:$B$21,MATCH(E134,角色面板!$A$18:$A$21,0))="智",Boss参数!$B$4="灵"),AND(INDEX(角色面板!$B$18:$B$21,MATCH(E134,角色面板!$A$18:$A$21,0))="灵",Boss参数!$B$4="智"))),1,0))</f>
        <v>0</v>
      </c>
      <c r="DU134" s="1">
        <f>IF(D134="",0,INDEX(回合状态!$E$7:$E$17,MATCH(DG134,回合状态!$A$7:$A$17,0))+IF(AND(DH134="敌方",OR(INDEX(回合状态!$C$7:$C$17,MATCH(DG134,回合状态!$A$7:$A$17,0))="普通",INDEX(回合状态!$C$7:$C$17,MATCH(DG134,回合状态!$A$7:$A$17,0))="额外")),0.05,0))</f>
        <v>0</v>
      </c>
      <c r="DV134" s="1">
        <f>MAX(Boss参数!$B$28,1+IF(AND(E134="37",AC134&gt;0,BH134&gt;0),Boss参数!$B$42,0)-DI134*Boss参数!$B$24+EA134-ER134)</f>
        <v>9.9999999999999978E-2</v>
      </c>
      <c r="DW134" s="1">
        <f>MIN(IF(Boss参数!$B$77=1,Boss参数!$B$63*Boss参数!$B$62,Boss参数!$B$61*Boss参数!$B$62),ROUNDDOWN(BQ134*(1-ES134),0))</f>
        <v>0</v>
      </c>
      <c r="DX134" s="1">
        <f>MIN(IF(Boss参数!$B$77=1,Boss参数!$B$63*Boss参数!$B$62,Boss参数!$B$61*Boss参数!$B$62),ROUNDDOWN(BR134*(1-ES134),0))</f>
        <v>0</v>
      </c>
      <c r="DY134" s="1">
        <f t="shared" si="205"/>
        <v>250</v>
      </c>
      <c r="DZ134" s="1">
        <f>IF(L134="RHI_ULT",MIN(Boss参数!$B$48,ROUNDDOWN(AY134*Boss参数!$B$47,0)),DY134)</f>
        <v>250</v>
      </c>
      <c r="EA134" s="1">
        <v>0</v>
      </c>
      <c r="EB134" s="1">
        <f t="shared" si="174"/>
        <v>0</v>
      </c>
      <c r="EC134" s="1">
        <f>SUMIFS($EB$3:EB134,$B$3:B134,"&gt;="&amp;MAX(1,B134-2),$B$3:B134,"&lt;="&amp;B134)*Boss参数!$B$51</f>
        <v>0</v>
      </c>
      <c r="ED134" s="1">
        <f>IF(D134="",EG133,IF(AND(DG134&lt;&gt;DG133,DH134&lt;&gt;"洞穿"),MIN(Boss参数!$B$55,EG133+2),EG133))</f>
        <v>0</v>
      </c>
      <c r="EE134" s="1">
        <f t="shared" si="175"/>
        <v>0</v>
      </c>
      <c r="EF134" s="1">
        <f>IF(AND(OR(L134="END_TURN",AND(DH134="敌方",OR(DH133&lt;&gt;"敌方",DG134&lt;&gt;DG133))),SUMIFS($EF$3:EF133,$DG$3:DG133,DG134)=0),MIN(1,MAX(0,ED134-EE134)),0)</f>
        <v>0</v>
      </c>
      <c r="EG134" s="1">
        <f t="shared" si="176"/>
        <v>0</v>
      </c>
      <c r="EH134" s="1">
        <f>Boss参数!$B$53-IF(Y134=1,Boss参数!$B$54,0)</f>
        <v>0</v>
      </c>
      <c r="EI134" s="1">
        <f t="shared" si="177"/>
        <v>0.15</v>
      </c>
      <c r="EJ134" s="1">
        <f t="shared" si="178"/>
        <v>0.15</v>
      </c>
      <c r="EK134" s="1" t="e">
        <f t="shared" si="179"/>
        <v>#VALUE!</v>
      </c>
      <c r="EL134" s="1">
        <f t="shared" si="206"/>
        <v>0</v>
      </c>
      <c r="EM134" s="1">
        <f>IF(AND(DG134&lt;&gt;DG133,DH134="洞穿"),0,IF(L134="ENTER_INSIGHT",Boss参数!$B$57,EO133))</f>
        <v>0</v>
      </c>
      <c r="EN134" s="1">
        <f>IF(AND(Y134=1,H134="洞知",EM134&gt;0),Boss参数!$B$56,0)</f>
        <v>0</v>
      </c>
      <c r="EO134" s="1">
        <f t="shared" si="180"/>
        <v>0</v>
      </c>
      <c r="EP134" s="1">
        <f t="shared" si="207"/>
        <v>23210479</v>
      </c>
      <c r="EQ134" s="1">
        <f>ROUNDDOWN(EP134/Boss参数!$B$62,0)</f>
        <v>232</v>
      </c>
      <c r="ER134" s="1">
        <f>IF(EQ134&gt;=Boss参数!$B$66,Boss参数!$B$69,IF(EQ134&gt;=Boss参数!$B$65,Boss参数!$B$68,IF(EQ134&gt;=Boss参数!$B$64,Boss参数!$B$67,0)))</f>
        <v>0.9</v>
      </c>
      <c r="ES134" s="1">
        <f>MIN(1,IF(EQ134&gt;=Boss参数!$B$66,Boss参数!$B$72+ROUNDDOWN((EQ134-Boss参数!$B$66)/Boss参数!$B$73,0)*Boss参数!$B$74,IF(EQ134&gt;=Boss参数!$B$65,Boss参数!$B$71,IF(EQ134&gt;=Boss参数!$B$64,Boss参数!$B$70,0))))</f>
        <v>0.65</v>
      </c>
      <c r="ET134" s="1">
        <f>MIN(Boss参数!$B$61*Boss参数!$B$62,EP134+IF(AND(Boss参数!$B$60=1,ISNUMBER(验证表!H140)),验证表!H140,EU134))</f>
        <v>23210479</v>
      </c>
      <c r="EU134" s="1">
        <f>IF(D134="",0,IF(验证表!G140="是",BV134,IF(验证表!G140="否",BU134,BW134)))</f>
        <v>0</v>
      </c>
      <c r="EV134" s="1">
        <f>IF(EQ134&gt;=Boss参数!$B$66,2,IF(EQ134&gt;=Boss参数!$B$65,1,0))</f>
        <v>2</v>
      </c>
      <c r="EW134" s="1">
        <f t="shared" si="181"/>
        <v>3</v>
      </c>
      <c r="EX134" s="1">
        <f>IF(D134="",0,INDEX(回合状态!$D$7:$D$17,MATCH(DG134,回合状态!$A$7:$A$17,0)))</f>
        <v>0</v>
      </c>
      <c r="EY134" s="1">
        <f>IF(OR(L134="RHI_ATTACK",L134="RHI_BUFF"),1,IF(L134="RHI_ULT",Boss参数!$B$52,0))</f>
        <v>0</v>
      </c>
      <c r="EZ134" s="1">
        <f>MIN(6,SUMIFS($EY$3:EY134,$EX$3:EX134,"&gt;="&amp;MAX(1,EX134-Boss参数!$B$87+1),$EX$3:EX134,"&lt;="&amp;EX134))</f>
        <v>0</v>
      </c>
      <c r="FA134" s="1">
        <f t="shared" si="208"/>
        <v>0</v>
      </c>
      <c r="FB134" s="17">
        <f>IF(L134="BOSS_CONSERVATIVE",B134+Boss参数!$B$91,FB133)</f>
        <v>7</v>
      </c>
      <c r="FC134" s="17">
        <f t="shared" si="209"/>
        <v>0</v>
      </c>
      <c r="FD134" s="17">
        <f>IF(D134="",FD133,FD133+IF(AND(DG134&lt;&gt;DG133,INDEX(回合状态!$C$7:$C$17,MATCH(DG134,回合状态!$A$7:$A$17,0))&lt;&gt;"洞穿"),1,0))</f>
        <v>8</v>
      </c>
      <c r="FE134" s="17">
        <f>IF(D134="",0,IF(AND(OR(L134="END_TURN",DH134="敌方"),INDEX(回合状态!$C$7:$C$17,MATCH(DG134,回合状态!$A$7:$A$17,0))&lt;&gt;"洞穿",SUMIFS($FE$3:FE133,$DG$3:DG133,DG134)=0),1,0))</f>
        <v>0</v>
      </c>
    </row>
    <row r="135" spans="1:161" ht="84.95" customHeight="1">
      <c r="A135" s="1" t="str">
        <f>行动模拟!A141</f>
        <v/>
      </c>
      <c r="B135" s="1">
        <f>IF(D135="",0,INDEX(回合状态!$B$7:$B$17,MATCH(DG135,回合状态!$A$7:$A$17,0)))</f>
        <v>0</v>
      </c>
      <c r="C135" s="1">
        <f>行动模拟!C141</f>
        <v>0</v>
      </c>
      <c r="D135" s="1" t="str">
        <f>IF(行动模拟!D141="","",行动模拟!D141)</f>
        <v/>
      </c>
      <c r="E135" s="1" t="str">
        <f>IF($D135="","",IFERROR(INDEX(技能数据库!$B$4:$B$38,MATCH($D135,技能数据库!$A$4:$A$38,0)),""))</f>
        <v/>
      </c>
      <c r="F135" s="1" t="str">
        <f>IF($D135="","",IFERROR(INDEX(技能数据库!$C$4:$C$38,MATCH($D135,技能数据库!$A$4:$A$38,0)),""))</f>
        <v/>
      </c>
      <c r="G135" s="1" t="str">
        <f>IF($D135="","",IFERROR(INDEX(技能数据库!$D$4:$D$38,MATCH($D135,技能数据库!$A$4:$A$38,0)),""))</f>
        <v/>
      </c>
      <c r="H135" s="1" t="str">
        <f>IF($D135="","",IFERROR(INDEX(技能数据库!$E$4:$E$38,MATCH($D135,技能数据库!$A$4:$A$38,0)),""))</f>
        <v/>
      </c>
      <c r="I135" s="1" t="str">
        <f>IF($D135="","",IFERROR(INDEX(技能数据库!$F$4:$F$38,MATCH($D135,技能数据库!$A$4:$A$38,0)),""))</f>
        <v/>
      </c>
      <c r="J135" s="1" t="str">
        <f>IF($D135="","",IFERROR(INDEX(技能数据库!$G$4:$G$38,MATCH($D135,技能数据库!$A$4:$A$38,0)),""))</f>
        <v/>
      </c>
      <c r="K135" s="1" t="str">
        <f>IF($D135="","",IFERROR(INDEX(技能数据库!$H$4:$H$38,MATCH($D135,技能数据库!$A$4:$A$38,0)),""))</f>
        <v/>
      </c>
      <c r="L135" s="1" t="str">
        <f>IF($D135="","",IFERROR(INDEX(技能数据库!$I$4:$I$38,MATCH($D135,技能数据库!$A$4:$A$38,0)),""))</f>
        <v/>
      </c>
      <c r="M135" s="1">
        <v>1</v>
      </c>
      <c r="N135" s="1"/>
      <c r="O135" s="1"/>
      <c r="P135" s="1"/>
      <c r="Q135" s="1">
        <f t="shared" si="140"/>
        <v>0</v>
      </c>
      <c r="R135" s="1">
        <v>0</v>
      </c>
      <c r="S135" s="1">
        <v>0</v>
      </c>
      <c r="T135" s="1">
        <f>行动模拟!I141</f>
        <v>0</v>
      </c>
      <c r="U135" s="1">
        <f>IF(FD135&lt;&gt;FD134,IF(BY134=1,IF(MIN(10,CA134+IF(AND(DG135&lt;&gt;DG134,DH134&lt;&gt;"洞穿",SUMIFS($FE$3:FE134,$DG$3:DG134,DG134)=0,BY134=1),3,0))&gt;=10,2,1),IF(BY134=2,IF(BZ134&lt;=1,0,2),0)),BY134)</f>
        <v>2</v>
      </c>
      <c r="V135" s="1">
        <f>IF(FD135&lt;&gt;FD134,IF(BY134=1,IF(MIN(10,CA134+IF(AND(DG135&lt;&gt;DG134,DH134&lt;&gt;"洞穿",SUMIFS($FE$3:FE134,$DG$3:DG134,DG134)=0,BY134=1),3,0))&gt;=10,2,0),IF(BY134=2,MAX(0,BZ134-1),0)),BZ134)</f>
        <v>1</v>
      </c>
      <c r="W135" s="1">
        <f>IF(AND(FD135&lt;&gt;FD134,BY134=2,BZ134&lt;=1),0,MIN(10,CA134+IF(AND(DG135&lt;&gt;DG134,DH134&lt;&gt;"洞穿",SUMIFS($FE$3:FE134,$DG$3:DG134,DG134)=0,BY134=1),3,0)))</f>
        <v>10</v>
      </c>
      <c r="X135" s="1">
        <f t="shared" si="182"/>
        <v>13</v>
      </c>
      <c r="Y135" s="1">
        <f t="shared" si="183"/>
        <v>0</v>
      </c>
      <c r="Z135" s="1">
        <f t="shared" si="184"/>
        <v>0</v>
      </c>
      <c r="AA135" s="1">
        <f t="shared" si="185"/>
        <v>0</v>
      </c>
      <c r="AB135" s="1">
        <f t="shared" si="186"/>
        <v>10</v>
      </c>
      <c r="AC135" s="1">
        <f t="shared" si="187"/>
        <v>1</v>
      </c>
      <c r="AD135" s="1">
        <f t="shared" si="188"/>
        <v>35</v>
      </c>
      <c r="AE135" s="1">
        <f>IF(D135="",0,IF(DG135&lt;&gt;DG134,IFERROR(INDEX(回合状态!$F$7:$F$17,MATCH(DG135,回合状态!$A$7:$A$17,0)),0),CI134))</f>
        <v>0</v>
      </c>
      <c r="AF135" s="1">
        <f t="shared" si="189"/>
        <v>0.875</v>
      </c>
      <c r="AG135" s="1">
        <f t="shared" si="190"/>
        <v>9</v>
      </c>
      <c r="AH135" s="1">
        <f t="shared" si="191"/>
        <v>9</v>
      </c>
      <c r="AI135" s="1">
        <f t="shared" si="192"/>
        <v>8</v>
      </c>
      <c r="AJ135" s="1">
        <f t="shared" si="193"/>
        <v>9</v>
      </c>
      <c r="AK135" s="1">
        <f t="shared" si="194"/>
        <v>8</v>
      </c>
      <c r="AL135" s="1">
        <f t="shared" si="195"/>
        <v>3</v>
      </c>
      <c r="AM135" s="1">
        <f t="shared" si="196"/>
        <v>30</v>
      </c>
      <c r="AN135" s="1">
        <f t="shared" si="197"/>
        <v>9</v>
      </c>
      <c r="AO135" s="1">
        <f t="shared" si="198"/>
        <v>0</v>
      </c>
      <c r="AP135" s="1" t="e">
        <f t="shared" si="199"/>
        <v>#VALUE!</v>
      </c>
      <c r="AQ135" s="1" t="e">
        <f t="shared" si="200"/>
        <v>#VALUE!</v>
      </c>
      <c r="AR135" s="1">
        <f t="shared" si="201"/>
        <v>0.3</v>
      </c>
      <c r="AS135" s="1">
        <f t="shared" si="202"/>
        <v>9</v>
      </c>
      <c r="AT135" s="1">
        <f t="shared" si="203"/>
        <v>0.3</v>
      </c>
      <c r="AU135" s="1">
        <f t="shared" si="204"/>
        <v>9</v>
      </c>
      <c r="AV135" s="1">
        <f>MIN(5,SUMIFS($EL$3:EL135,$B$3:B135,"&gt;="&amp;MAX(1,B135-2),$B$3:B135,"&lt;="&amp;B135)+EC135)</f>
        <v>0</v>
      </c>
      <c r="AW135" s="1">
        <f>MIN(6,SUMIFS($EY$3:EY134,$EX$3:EX134,"&gt;="&amp;MAX(1,EX135-Boss参数!$B$87+1),$EX$3:EX134,"&lt;="&amp;EX135))</f>
        <v>0</v>
      </c>
      <c r="AX135" s="1">
        <f>MIN(4,COUNTIFS($B$3:$B$134,"&gt;="&amp;MAX(1,$B135-2),$B$3:$B$134,"&lt;="&amp;$B135,$L$3:$L$134,"37_FOLLOW"))</f>
        <v>0</v>
      </c>
      <c r="AY135" s="1" t="str">
        <f>IF($E135="","",IF($E135="系统",0,ROUNDDOWN(INDEX(角色面板!$C$4:$C$7,MATCH($E135,角色面板!$A$4:$A$7,0))*(1+INDEX(角色面板!$C$11:$C$14,MATCH($E135,角色面板!$A$11:$A$14,0))+IF($E135="小瑞安侬",MAX(IF($B135&lt;=$AQ135,$AP135,0),IF(AND($L135="RHI_ATTACK",$EE135&gt;0),0.11+0.01*$G135,0)),0)+IF($E135="J",$AD135*Boss参数!$B$18,0))+IF(FD135&lt;=$AN135,MIN(Boss参数!$B$21,ROUNDDOWN(角色面板!$C$19*Boss参数!$B$20,0)),0)+IF(AND($B135&lt;=$AK135,$E135&lt;&gt;"小瑞安侬"),$DY135,0),0)))</f>
        <v/>
      </c>
      <c r="AZ135" s="1" t="str">
        <f>IF($E135="","",MAX(0,MIN(1,IFERROR(INDEX(角色面板!$G$18:$G$21,MATCH($E135,角色面板!$A$18:$A$21,0)),0)-FC135*Boss参数!$B$89-Boss参数!$E$4)))</f>
        <v/>
      </c>
      <c r="BA135" s="1" t="str">
        <f>IF(E135="","",(IF($E135="","",IF($E135="红弩箭",Boss参数!$B$80,IF($E135="J",Boss参数!$B$81,IFERROR(INDEX(角色面板!$H$18:$H$21,MATCH($E135,角色面板!$A$18:$A$21,0)),0)))+IF($B135&lt;=$AI135,Boss参数!$B$13,0)+MIN(30,$AM135)*Boss参数!$B$17+IF(AND($L135="LILYA_ULT",$X135&gt;=6),1,0)+IF(AND($Y135=1,$L135="LILYA_INSIGHT"),IF(MOD($AA135+1,3)=0,Boss参数!$B$83,Boss参数!$B$82),IF(AND($Y135=1,$L135="LILYA_FINISH"),Boss参数!$B$84,0))))-FC135*Boss参数!$B$90)</f>
        <v/>
      </c>
      <c r="BB135" s="1" t="str">
        <f>IF($E135="","",IFERROR(INDEX(角色面板!$M$18:$M$21,MATCH($E135,角色面板!$A$18:$A$21,0)),0)+$AW135*Boss参数!$B$12+IF($B135&lt;=$AG135,$AF135,0)+$EI135+IF($L135="LILYA_DIVE",IF($U135=1,IF($G135=1,0.3,IF($G135=2,0.4,0.5)),IF($U135=2,IF($G135=1,0.6,IF($G135=2,0.8,1)),0)),0)+$R135+IF(AND($E135="J",OR($L135="J_COUNTER",$L135="J_HARD")),Boss参数!$B$79,0)+IF(AND(OR(L135="J_COUNTER",L135="J_HARD"),FA135&gt;=Boss参数!$B$59),FA135*Boss参数!$B$40,0))</f>
        <v/>
      </c>
      <c r="BC135" s="1" t="e">
        <f>IF($E135="","",IFERROR(INDEX(角色面板!$K$18:$K$21,MATCH($E135,角色面板!$A$18:$A$21,0)),0)+IF($B135&lt;=$AH135,Boss参数!$B$46,0)+IF($E135="红弩箭",IF($U135=1,0.6,IF($U135=2,1.2,0))+$W135*0.06,0))-DI135*Boss参数!$B$23</f>
        <v>#VALUE!</v>
      </c>
      <c r="BD135" s="1" t="e">
        <f>IF($E135="","",IFERROR(INDEX(角色面板!$L$18:$L$21,MATCH($E135,角色面板!$A$18:$A$21,0)),0)+IF($B135&lt;=$AH135,Boss参数!$B$46,0)+IF($E135="J",$AL135*Boss参数!$B$16,0)+IF($E135="红弩箭",$X135*0.025,0)+IF(AND($L135="LILYA_ULT",$X135&gt;=6),1,0))-DI135*Boss参数!$B$23</f>
        <v>#VALUE!</v>
      </c>
      <c r="BE135" s="1" t="str">
        <f>IF($E135="","",IF($H135="洞知",IF($E135="红弩箭",$AO135*Boss参数!$B$15,0)+$AX135*Boss参数!$B$14,0))</f>
        <v/>
      </c>
      <c r="BF135" s="1">
        <f t="shared" si="141"/>
        <v>0</v>
      </c>
      <c r="BG135" s="1">
        <f>IF($D135="",0,IF(AND($L135&lt;&gt;"LILYA_DIVE",$L135&lt;&gt;"LILYA_ULT",$L135&lt;&gt;"LILYA_INSIGHT",$L135&lt;&gt;"LILYA_FINISH",$L135&lt;&gt;"37_FOLLOW",$L135&lt;&gt;"RHI_ATTACK",$L135&lt;&gt;"RHI_BERRY",$L135&lt;&gt;"J_COUNTER",$L135&lt;&gt;"J_ULT"),$J135,0)+IF($L135="LILYA_DIVE",$J135+IF($U135=1,IF($G135=1,6,IF($G135=2,12,18)),IF($U135=2,IF($G135=1,12,IF($G135=2,24,36)),0)),0)+IF($L135="LILYA_ULT",$J135+IF($X135&gt;=6,18,0),0)+IF($L135="LILYA_INSIGHT",IF($Y135=1,IF(MOD($AA135+1,3)=0,32,15),0),0)+IF($L135="LILYA_FINISH",IF($Y135=1,50+2.5*$Z135,0),0)+IF($L135="37_FOLLOW",$J135,0)+IF($L135="RHI_ATTACK",$J135*IF($B135&lt;=$AJ135,2,1),0)+IF($L135="RHI_BERRY",15+1.5*$AV135,0)+IF($L135="J_COUNTER",$J135+$AD135*Boss参数!$B$39,0)+IF($L135="J_ULT",$J135+Boss参数!$B$45*MAX(0,$AE135+$AD135-Boss参数!$I$4),0)+$S135)</f>
        <v>0</v>
      </c>
      <c r="BH135" s="1">
        <f t="shared" si="142"/>
        <v>0</v>
      </c>
      <c r="BI135" s="1" t="str">
        <f>IF(E135="","",IF(DT135=1,1+Boss参数!$B$8+AV135*Boss参数!$B$19,1))</f>
        <v/>
      </c>
      <c r="BJ135" s="1">
        <f>IF($I135="现实",Boss参数!$C$4,IF($I135="精神",Boss参数!$D$4,0))</f>
        <v>0</v>
      </c>
      <c r="BK135" s="1" t="str">
        <f>IF($E135="","",MAX($AY135*Boss参数!$B$9,$AY135-$BJ135*(1-$BF135)))</f>
        <v/>
      </c>
      <c r="BL135" s="1">
        <f>MAX(0,Boss参数!$F$4+IF(DT135=0,Boss参数!$B$27,0)-EJ135)</f>
        <v>1.25</v>
      </c>
      <c r="BM135" s="1">
        <f>Boss参数!$G$4+DU135-IF(Y135=1,Boss参数!$B$11,0)</f>
        <v>0.4</v>
      </c>
      <c r="BN135" s="1" t="str">
        <f>IF($E135="","",MAX(Boss参数!$B$10,1+IFERROR(INDEX(角色面板!$I$18:$I$21,MATCH($E135,角色面板!$A$18:$A$21,0)),0)+$BB135+Boss参数!$H$4-$BM135))</f>
        <v/>
      </c>
      <c r="BO135" s="1" t="str">
        <f>IF(E135="","",IF(OR(L135="J_COUNTER",L135="J_HARD"),MAX(0,1+INDEX(角色面板!$K$18:$K$21,MATCH(E135,角色面板!$A$18:$A$21,0))-DI135*Boss参数!$B$23+IF(OR(Boss参数!$B$43=1,L135="J_HARD"),IF(B135&lt;=AH135,Boss参数!$B$46,0),0)),MAX(0,IF(OR(H135="术法",L135="RHI_BERRY",AND(L135="37_FOLLOW",Boss参数!$B$31=1)),1+BC135,IF(H135="仪式",1+BD135,IF(H135="洞知",EK135,1))))))</f>
        <v/>
      </c>
      <c r="BP135" s="1" t="str">
        <f t="shared" si="143"/>
        <v/>
      </c>
      <c r="BQ135" s="1">
        <f t="shared" si="144"/>
        <v>0</v>
      </c>
      <c r="BR135" s="1">
        <f t="shared" si="145"/>
        <v>0</v>
      </c>
      <c r="BS135" s="1">
        <f>IF(BH135=0,0,ROUNDDOWN(AY135*BH135,0)*DV135*IF(Boss参数!$B$29=1,BN135,1)*IF(Boss参数!$B$33=1,BO135,1)*IF(Boss参数!$B$76=1,1-ES135,1))</f>
        <v>0</v>
      </c>
      <c r="BT135" s="1">
        <f t="shared" si="146"/>
        <v>0</v>
      </c>
      <c r="BU135" s="1">
        <f>IF(D135="",0,MIN(IF(Boss参数!$B$77=1,Boss参数!$B$63*Boss参数!$B$62,Boss参数!$B$61*Boss参数!$B$62),DW135+ROUNDDOWN(BS135,0)+ROUNDDOWN(DW135*Q135,0)))</f>
        <v>0</v>
      </c>
      <c r="BV135" s="1">
        <f>IF(D135="",0,MIN(IF(Boss参数!$B$77=1,Boss参数!$B$63*Boss参数!$B$62,Boss参数!$B$61*Boss参数!$B$62),DX135+ROUNDDOWN(BT135,0)+ROUNDDOWN(DX135*Q135,0)))</f>
        <v>0</v>
      </c>
      <c r="BW135" s="1">
        <f t="shared" si="147"/>
        <v>0</v>
      </c>
      <c r="BX135" s="1" t="str">
        <f t="shared" si="148"/>
        <v/>
      </c>
      <c r="BY135" s="1">
        <f t="shared" si="149"/>
        <v>2</v>
      </c>
      <c r="BZ135" s="1">
        <f t="shared" si="150"/>
        <v>1</v>
      </c>
      <c r="CA135" s="1">
        <f>MIN(10,W135+IF(AND(L135="LILYA_COBRA",COUNTIF($L$3:L135,"LILYA_COBRA")=1),5,0)+IF(AND(L135="LILYA_DIVE",U135=1,COUNTIFS($DG$3:DG135,DG135,$L$3:L135,"LILYA_DIVE")=1),2,0)+IF(AND(FE135=1,U135=1),3,0))</f>
        <v>10</v>
      </c>
      <c r="CB135" s="1">
        <f>MIN(20,MAX(0,X135+IF(L135="LILYA_COBRA",IF(COUNTIF($L$3:L135,"LILYA_COBRA")=1,6,IF(U135=1,MAX(1,G135),IF(U135=2,2*MAX(1,G135),0))),0)+IF(AND(Y135=1,E135="红弩箭",L135&lt;&gt;"ENTER_INSIGHT"),1,0)-IF(AND(L135="LILYA_ULT",X135&gt;=6),6,0)))</f>
        <v>13</v>
      </c>
      <c r="CC135" s="1">
        <f t="shared" si="151"/>
        <v>0</v>
      </c>
      <c r="CD135" s="1">
        <f t="shared" si="152"/>
        <v>0</v>
      </c>
      <c r="CE135" s="1">
        <f t="shared" si="153"/>
        <v>0</v>
      </c>
      <c r="CF135" s="1">
        <f t="shared" si="154"/>
        <v>10</v>
      </c>
      <c r="CG135" s="1">
        <f t="shared" si="155"/>
        <v>1</v>
      </c>
      <c r="CH135" s="1">
        <f>MIN(35,AD135+IF(L135="J_HARD",6,0)+IF(L135="J_COUNTER",Boss参数!$B$30,0))</f>
        <v>35</v>
      </c>
      <c r="CI135" s="1">
        <f>MIN(Boss参数!$I$4,AE135+IF(L135="J_HARD",6,0)+IF(L135="J_ULT",AD135,0)+IF(L135="J_COUNTER",Boss参数!$B$30,0))</f>
        <v>0</v>
      </c>
      <c r="CJ135" s="1">
        <f>IF(L135="J_ULT",AD135*Boss参数!$B$41,IF(B135&lt;=AG135,AF135,0))</f>
        <v>0.875</v>
      </c>
      <c r="CK135" s="1">
        <f t="shared" si="156"/>
        <v>9</v>
      </c>
      <c r="CL135" s="1">
        <f t="shared" si="157"/>
        <v>9</v>
      </c>
      <c r="CM135" s="1">
        <f t="shared" si="158"/>
        <v>8</v>
      </c>
      <c r="CN135" s="1">
        <f t="shared" si="159"/>
        <v>9</v>
      </c>
      <c r="CO135" s="1">
        <f t="shared" si="160"/>
        <v>8</v>
      </c>
      <c r="CP135" s="1">
        <f t="shared" si="161"/>
        <v>3</v>
      </c>
      <c r="CQ135" s="1">
        <f t="shared" si="162"/>
        <v>30</v>
      </c>
      <c r="CR135" s="1">
        <f t="shared" si="163"/>
        <v>9</v>
      </c>
      <c r="CS135" s="1">
        <f t="shared" si="164"/>
        <v>0</v>
      </c>
      <c r="CT135" s="1" t="e">
        <f t="shared" si="165"/>
        <v>#VALUE!</v>
      </c>
      <c r="CU135" s="1" t="e">
        <f t="shared" si="166"/>
        <v>#VALUE!</v>
      </c>
      <c r="CV135" s="1">
        <f t="shared" si="167"/>
        <v>0.3</v>
      </c>
      <c r="CW135" s="1">
        <f t="shared" si="168"/>
        <v>9</v>
      </c>
      <c r="CX135" s="1">
        <f t="shared" si="169"/>
        <v>0.3</v>
      </c>
      <c r="CY135" s="1">
        <f t="shared" si="170"/>
        <v>9</v>
      </c>
      <c r="CZ135" s="1"/>
      <c r="DA135" s="1"/>
      <c r="DB135" s="1"/>
      <c r="DC135" s="1"/>
      <c r="DD135" s="1"/>
      <c r="DE135" s="1"/>
      <c r="DF135" s="1"/>
      <c r="DG135" s="1" t="str">
        <f>IF(D135="","",行动模拟!B141)</f>
        <v/>
      </c>
      <c r="DH135" s="1" t="str">
        <f>IF(L135="END_TURN","回合结束",IF(D135="","",IF(INDEX(回合状态!$C$7:$C$17,MATCH(DG135,回合状态!$A$7:$A$17,0))="洞穿","洞穿",IF(OR(L135="J_COUNTER",L135="BOSS_ACTION",L135="BOSS_CONSERVATIVE"),"敌方",IF(AND(L135="37_FOLLOW",DG135=DG134,DH134="敌方"),"敌方",IF(INDEX(回合状态!$C$7:$C$17,MATCH(DG135,回合状态!$A$7:$A$17,0))="普通","出牌",INDEX(回合状态!$C$7:$C$17,MATCH(DG135,回合状态!$A$7:$A$17,0))))))))</f>
        <v/>
      </c>
      <c r="DI135" s="1">
        <f t="shared" si="171"/>
        <v>0</v>
      </c>
      <c r="DJ135" s="1">
        <f>IF(D135="",0,MIN(Boss参数!$B$25,IF(OR(AND(DH135="敌方",OR(DH134&lt;&gt;"敌方",DG135&lt;&gt;DG134)),AND(L135="END_TURN",DH135&lt;&gt;"洞穿"),AND(DG135&lt;&gt;DG134,DH134&lt;&gt;"洞穿",L134&lt;&gt;"END_TURN",COUNTIFS($DG$3:DG134,DG134,$DH$3:DH134,"敌方")=0)),EW135,DN134)))</f>
        <v>0</v>
      </c>
      <c r="DK135" s="1">
        <f>IF(D135="",0,MIN(Boss参数!$B$25,IF(OR(AND(DH135="敌方",OR(DH134&lt;&gt;"敌方",DG135&lt;&gt;DG134)),AND(L135="END_TURN",DH135&lt;&gt;"洞穿"),AND(DG135&lt;&gt;DG134,DH134&lt;&gt;"洞穿",L134&lt;&gt;"END_TURN",COUNTIFS($DG$3:DG134,DG134,$DH$3:DH134,"敌方")=0)),EW135,DO134)))</f>
        <v>0</v>
      </c>
      <c r="DL135" s="1">
        <f>IF(D135="",0,MIN(Boss参数!$B$25,IF(OR(AND(DH135="敌方",OR(DH134&lt;&gt;"敌方",DG135&lt;&gt;DG134)),AND(L135="END_TURN",DH135&lt;&gt;"洞穿"),AND(DG135&lt;&gt;DG134,DH134&lt;&gt;"洞穿",L134&lt;&gt;"END_TURN",COUNTIFS($DG$3:DG134,DG134,$DH$3:DH134,"敌方")=0)),EW135,DP134)))</f>
        <v>0</v>
      </c>
      <c r="DM135" s="1">
        <f>IF(D135="",0,MIN(Boss参数!$B$25,IF(OR(AND(DH135="敌方",OR(DH134&lt;&gt;"敌方",DG135&lt;&gt;DG134)),AND(L135="END_TURN",DH135&lt;&gt;"洞穿"),AND(DG135&lt;&gt;DG134,DH134&lt;&gt;"洞穿",L134&lt;&gt;"END_TURN",COUNTIFS($DG$3:DG134,DG134,$DH$3:DH134,"敌方")=0)),EW135,DQ134)))</f>
        <v>0</v>
      </c>
      <c r="DN135" s="1">
        <f>MAX(0,MIN(Boss参数!$B$25,DJ135+DR135)-IF(E135="红弩箭",2*DR135,0))</f>
        <v>0</v>
      </c>
      <c r="DO135" s="1">
        <f>MAX(0,MIN(Boss参数!$B$25,DK135+DR135)-IF(E135="37",2*DR135,0))</f>
        <v>0</v>
      </c>
      <c r="DP135" s="1">
        <f>MAX(0,MIN(Boss参数!$B$25,DL135+DR135)-IF(E135="小瑞安侬",2*DR135,0))</f>
        <v>0</v>
      </c>
      <c r="DQ135" s="1">
        <f>MAX(0,MIN(Boss参数!$B$25,DM135+DR135)-IF(E135="J",2*DR135,0))</f>
        <v>0</v>
      </c>
      <c r="DR135" s="1">
        <f t="shared" si="172"/>
        <v>0</v>
      </c>
      <c r="DS135" s="1">
        <f t="shared" si="173"/>
        <v>0</v>
      </c>
      <c r="DT135" s="1">
        <f>IF(OR(E135="",E135="系统"),0,IF(OR(AND(DS135=1,Boss参数!$B$32=1),L135="RHI_BERRY",OR(AND(INDEX(角色面板!$B$18:$B$21,MATCH(E135,角色面板!$A$18:$A$21,0))="星",Boss参数!$B$4="岩"),AND(INDEX(角色面板!$B$18:$B$21,MATCH(E135,角色面板!$A$18:$A$21,0))="岩",Boss参数!$B$4="兽"),AND(INDEX(角色面板!$B$18:$B$21,MATCH(E135,角色面板!$A$18:$A$21,0))="兽",Boss参数!$B$4="木"),AND(INDEX(角色面板!$B$18:$B$21,MATCH(E135,角色面板!$A$18:$A$21,0))="木",Boss参数!$B$4="星"),AND(INDEX(角色面板!$B$18:$B$21,MATCH(E135,角色面板!$A$18:$A$21,0))="智",Boss参数!$B$4="灵"),AND(INDEX(角色面板!$B$18:$B$21,MATCH(E135,角色面板!$A$18:$A$21,0))="灵",Boss参数!$B$4="智"))),1,0))</f>
        <v>0</v>
      </c>
      <c r="DU135" s="1">
        <f>IF(D135="",0,INDEX(回合状态!$E$7:$E$17,MATCH(DG135,回合状态!$A$7:$A$17,0))+IF(AND(DH135="敌方",OR(INDEX(回合状态!$C$7:$C$17,MATCH(DG135,回合状态!$A$7:$A$17,0))="普通",INDEX(回合状态!$C$7:$C$17,MATCH(DG135,回合状态!$A$7:$A$17,0))="额外")),0.05,0))</f>
        <v>0</v>
      </c>
      <c r="DV135" s="1">
        <f>MAX(Boss参数!$B$28,1+IF(AND(E135="37",AC135&gt;0,BH135&gt;0),Boss参数!$B$42,0)-DI135*Boss参数!$B$24+EA135-ER135)</f>
        <v>9.9999999999999978E-2</v>
      </c>
      <c r="DW135" s="1">
        <f>MIN(IF(Boss参数!$B$77=1,Boss参数!$B$63*Boss参数!$B$62,Boss参数!$B$61*Boss参数!$B$62),ROUNDDOWN(BQ135*(1-ES135),0))</f>
        <v>0</v>
      </c>
      <c r="DX135" s="1">
        <f>MIN(IF(Boss参数!$B$77=1,Boss参数!$B$63*Boss参数!$B$62,Boss参数!$B$61*Boss参数!$B$62),ROUNDDOWN(BR135*(1-ES135),0))</f>
        <v>0</v>
      </c>
      <c r="DY135" s="1">
        <f t="shared" si="205"/>
        <v>250</v>
      </c>
      <c r="DZ135" s="1">
        <f>IF(L135="RHI_ULT",MIN(Boss参数!$B$48,ROUNDDOWN(AY135*Boss参数!$B$47,0)),DY135)</f>
        <v>250</v>
      </c>
      <c r="EA135" s="1">
        <v>0</v>
      </c>
      <c r="EB135" s="1">
        <f t="shared" si="174"/>
        <v>0</v>
      </c>
      <c r="EC135" s="1">
        <f>SUMIFS($EB$3:EB135,$B$3:B135,"&gt;="&amp;MAX(1,B135-2),$B$3:B135,"&lt;="&amp;B135)*Boss参数!$B$51</f>
        <v>0</v>
      </c>
      <c r="ED135" s="1">
        <f>IF(D135="",EG134,IF(AND(DG135&lt;&gt;DG134,DH135&lt;&gt;"洞穿"),MIN(Boss参数!$B$55,EG134+2),EG134))</f>
        <v>0</v>
      </c>
      <c r="EE135" s="1">
        <f t="shared" si="175"/>
        <v>0</v>
      </c>
      <c r="EF135" s="1">
        <f>IF(AND(OR(L135="END_TURN",AND(DH135="敌方",OR(DH134&lt;&gt;"敌方",DG135&lt;&gt;DG134))),SUMIFS($EF$3:EF134,$DG$3:DG134,DG135)=0),MIN(1,MAX(0,ED135-EE135)),0)</f>
        <v>0</v>
      </c>
      <c r="EG135" s="1">
        <f t="shared" si="176"/>
        <v>0</v>
      </c>
      <c r="EH135" s="1">
        <f>Boss参数!$B$53-IF(Y135=1,Boss参数!$B$54,0)</f>
        <v>0</v>
      </c>
      <c r="EI135" s="1">
        <f t="shared" si="177"/>
        <v>0.15</v>
      </c>
      <c r="EJ135" s="1">
        <f t="shared" si="178"/>
        <v>0.15</v>
      </c>
      <c r="EK135" s="1" t="e">
        <f t="shared" si="179"/>
        <v>#VALUE!</v>
      </c>
      <c r="EL135" s="1">
        <f t="shared" si="206"/>
        <v>0</v>
      </c>
      <c r="EM135" s="1">
        <f>IF(AND(DG135&lt;&gt;DG134,DH135="洞穿"),0,IF(L135="ENTER_INSIGHT",Boss参数!$B$57,EO134))</f>
        <v>0</v>
      </c>
      <c r="EN135" s="1">
        <f>IF(AND(Y135=1,H135="洞知",EM135&gt;0),Boss参数!$B$56,0)</f>
        <v>0</v>
      </c>
      <c r="EO135" s="1">
        <f t="shared" si="180"/>
        <v>0</v>
      </c>
      <c r="EP135" s="1">
        <f t="shared" si="207"/>
        <v>23210479</v>
      </c>
      <c r="EQ135" s="1">
        <f>ROUNDDOWN(EP135/Boss参数!$B$62,0)</f>
        <v>232</v>
      </c>
      <c r="ER135" s="1">
        <f>IF(EQ135&gt;=Boss参数!$B$66,Boss参数!$B$69,IF(EQ135&gt;=Boss参数!$B$65,Boss参数!$B$68,IF(EQ135&gt;=Boss参数!$B$64,Boss参数!$B$67,0)))</f>
        <v>0.9</v>
      </c>
      <c r="ES135" s="1">
        <f>MIN(1,IF(EQ135&gt;=Boss参数!$B$66,Boss参数!$B$72+ROUNDDOWN((EQ135-Boss参数!$B$66)/Boss参数!$B$73,0)*Boss参数!$B$74,IF(EQ135&gt;=Boss参数!$B$65,Boss参数!$B$71,IF(EQ135&gt;=Boss参数!$B$64,Boss参数!$B$70,0))))</f>
        <v>0.65</v>
      </c>
      <c r="ET135" s="1">
        <f>MIN(Boss参数!$B$61*Boss参数!$B$62,EP135+IF(AND(Boss参数!$B$60=1,ISNUMBER(验证表!H141)),验证表!H141,EU135))</f>
        <v>23210479</v>
      </c>
      <c r="EU135" s="1">
        <f>IF(D135="",0,IF(验证表!G141="是",BV135,IF(验证表!G141="否",BU135,BW135)))</f>
        <v>0</v>
      </c>
      <c r="EV135" s="1">
        <f>IF(EQ135&gt;=Boss参数!$B$66,2,IF(EQ135&gt;=Boss参数!$B$65,1,0))</f>
        <v>2</v>
      </c>
      <c r="EW135" s="1">
        <f t="shared" si="181"/>
        <v>3</v>
      </c>
      <c r="EX135" s="1">
        <f>IF(D135="",0,INDEX(回合状态!$D$7:$D$17,MATCH(DG135,回合状态!$A$7:$A$17,0)))</f>
        <v>0</v>
      </c>
      <c r="EY135" s="1">
        <f>IF(OR(L135="RHI_ATTACK",L135="RHI_BUFF"),1,IF(L135="RHI_ULT",Boss参数!$B$52,0))</f>
        <v>0</v>
      </c>
      <c r="EZ135" s="1">
        <f>MIN(6,SUMIFS($EY$3:EY135,$EX$3:EX135,"&gt;="&amp;MAX(1,EX135-Boss参数!$B$87+1),$EX$3:EX135,"&lt;="&amp;EX135))</f>
        <v>0</v>
      </c>
      <c r="FA135" s="1">
        <f t="shared" si="208"/>
        <v>0</v>
      </c>
      <c r="FB135" s="17">
        <f>IF(L135="BOSS_CONSERVATIVE",B135+Boss参数!$B$91,FB134)</f>
        <v>7</v>
      </c>
      <c r="FC135" s="17">
        <f t="shared" si="209"/>
        <v>0</v>
      </c>
      <c r="FD135" s="17">
        <f>IF(D135="",FD134,FD134+IF(AND(DG135&lt;&gt;DG134,INDEX(回合状态!$C$7:$C$17,MATCH(DG135,回合状态!$A$7:$A$17,0))&lt;&gt;"洞穿"),1,0))</f>
        <v>8</v>
      </c>
      <c r="FE135" s="17">
        <f>IF(D135="",0,IF(AND(OR(L135="END_TURN",DH135="敌方"),INDEX(回合状态!$C$7:$C$17,MATCH(DG135,回合状态!$A$7:$A$17,0))&lt;&gt;"洞穿",SUMIFS($FE$3:FE134,$DG$3:DG134,DG135)=0),1,0))</f>
        <v>0</v>
      </c>
    </row>
    <row r="136" spans="1:161" ht="84.95" customHeight="1">
      <c r="A136" s="1" t="str">
        <f>行动模拟!A142</f>
        <v/>
      </c>
      <c r="B136" s="1">
        <f>IF(D136="",0,INDEX(回合状态!$B$7:$B$17,MATCH(DG136,回合状态!$A$7:$A$17,0)))</f>
        <v>0</v>
      </c>
      <c r="C136" s="1">
        <f>行动模拟!C142</f>
        <v>0</v>
      </c>
      <c r="D136" s="1" t="str">
        <f>IF(行动模拟!D142="","",行动模拟!D142)</f>
        <v/>
      </c>
      <c r="E136" s="1" t="str">
        <f>IF($D136="","",IFERROR(INDEX(技能数据库!$B$4:$B$38,MATCH($D136,技能数据库!$A$4:$A$38,0)),""))</f>
        <v/>
      </c>
      <c r="F136" s="1" t="str">
        <f>IF($D136="","",IFERROR(INDEX(技能数据库!$C$4:$C$38,MATCH($D136,技能数据库!$A$4:$A$38,0)),""))</f>
        <v/>
      </c>
      <c r="G136" s="1" t="str">
        <f>IF($D136="","",IFERROR(INDEX(技能数据库!$D$4:$D$38,MATCH($D136,技能数据库!$A$4:$A$38,0)),""))</f>
        <v/>
      </c>
      <c r="H136" s="1" t="str">
        <f>IF($D136="","",IFERROR(INDEX(技能数据库!$E$4:$E$38,MATCH($D136,技能数据库!$A$4:$A$38,0)),""))</f>
        <v/>
      </c>
      <c r="I136" s="1" t="str">
        <f>IF($D136="","",IFERROR(INDEX(技能数据库!$F$4:$F$38,MATCH($D136,技能数据库!$A$4:$A$38,0)),""))</f>
        <v/>
      </c>
      <c r="J136" s="1" t="str">
        <f>IF($D136="","",IFERROR(INDEX(技能数据库!$G$4:$G$38,MATCH($D136,技能数据库!$A$4:$A$38,0)),""))</f>
        <v/>
      </c>
      <c r="K136" s="1" t="str">
        <f>IF($D136="","",IFERROR(INDEX(技能数据库!$H$4:$H$38,MATCH($D136,技能数据库!$A$4:$A$38,0)),""))</f>
        <v/>
      </c>
      <c r="L136" s="1" t="str">
        <f>IF($D136="","",IFERROR(INDEX(技能数据库!$I$4:$I$38,MATCH($D136,技能数据库!$A$4:$A$38,0)),""))</f>
        <v/>
      </c>
      <c r="M136" s="1">
        <v>1</v>
      </c>
      <c r="N136" s="1"/>
      <c r="O136" s="1"/>
      <c r="P136" s="1"/>
      <c r="Q136" s="1">
        <f t="shared" si="140"/>
        <v>0</v>
      </c>
      <c r="R136" s="1">
        <v>0</v>
      </c>
      <c r="S136" s="1">
        <v>0</v>
      </c>
      <c r="T136" s="1">
        <f>行动模拟!I142</f>
        <v>0</v>
      </c>
      <c r="U136" s="1">
        <f>IF(FD136&lt;&gt;FD135,IF(BY135=1,IF(MIN(10,CA135+IF(AND(DG136&lt;&gt;DG135,DH135&lt;&gt;"洞穿",SUMIFS($FE$3:FE135,$DG$3:DG135,DG135)=0,BY135=1),3,0))&gt;=10,2,1),IF(BY135=2,IF(BZ135&lt;=1,0,2),0)),BY135)</f>
        <v>2</v>
      </c>
      <c r="V136" s="1">
        <f>IF(FD136&lt;&gt;FD135,IF(BY135=1,IF(MIN(10,CA135+IF(AND(DG136&lt;&gt;DG135,DH135&lt;&gt;"洞穿",SUMIFS($FE$3:FE135,$DG$3:DG135,DG135)=0,BY135=1),3,0))&gt;=10,2,0),IF(BY135=2,MAX(0,BZ135-1),0)),BZ135)</f>
        <v>1</v>
      </c>
      <c r="W136" s="1">
        <f>IF(AND(FD136&lt;&gt;FD135,BY135=2,BZ135&lt;=1),0,MIN(10,CA135+IF(AND(DG136&lt;&gt;DG135,DH135&lt;&gt;"洞穿",SUMIFS($FE$3:FE135,$DG$3:DG135,DG135)=0,BY135=1),3,0)))</f>
        <v>10</v>
      </c>
      <c r="X136" s="1">
        <f t="shared" si="182"/>
        <v>13</v>
      </c>
      <c r="Y136" s="1">
        <f t="shared" si="183"/>
        <v>0</v>
      </c>
      <c r="Z136" s="1">
        <f t="shared" si="184"/>
        <v>0</v>
      </c>
      <c r="AA136" s="1">
        <f t="shared" si="185"/>
        <v>0</v>
      </c>
      <c r="AB136" s="1">
        <f t="shared" si="186"/>
        <v>10</v>
      </c>
      <c r="AC136" s="1">
        <f t="shared" si="187"/>
        <v>1</v>
      </c>
      <c r="AD136" s="1">
        <f t="shared" si="188"/>
        <v>35</v>
      </c>
      <c r="AE136" s="1">
        <f>IF(D136="",0,IF(DG136&lt;&gt;DG135,IFERROR(INDEX(回合状态!$F$7:$F$17,MATCH(DG136,回合状态!$A$7:$A$17,0)),0),CI135))</f>
        <v>0</v>
      </c>
      <c r="AF136" s="1">
        <f t="shared" si="189"/>
        <v>0.875</v>
      </c>
      <c r="AG136" s="1">
        <f t="shared" si="190"/>
        <v>9</v>
      </c>
      <c r="AH136" s="1">
        <f t="shared" si="191"/>
        <v>9</v>
      </c>
      <c r="AI136" s="1">
        <f t="shared" si="192"/>
        <v>8</v>
      </c>
      <c r="AJ136" s="1">
        <f t="shared" si="193"/>
        <v>9</v>
      </c>
      <c r="AK136" s="1">
        <f t="shared" si="194"/>
        <v>8</v>
      </c>
      <c r="AL136" s="1">
        <f t="shared" si="195"/>
        <v>3</v>
      </c>
      <c r="AM136" s="1">
        <f t="shared" si="196"/>
        <v>30</v>
      </c>
      <c r="AN136" s="1">
        <f t="shared" si="197"/>
        <v>9</v>
      </c>
      <c r="AO136" s="1">
        <f t="shared" si="198"/>
        <v>0</v>
      </c>
      <c r="AP136" s="1" t="e">
        <f t="shared" si="199"/>
        <v>#VALUE!</v>
      </c>
      <c r="AQ136" s="1" t="e">
        <f t="shared" si="200"/>
        <v>#VALUE!</v>
      </c>
      <c r="AR136" s="1">
        <f t="shared" si="201"/>
        <v>0.3</v>
      </c>
      <c r="AS136" s="1">
        <f t="shared" si="202"/>
        <v>9</v>
      </c>
      <c r="AT136" s="1">
        <f t="shared" si="203"/>
        <v>0.3</v>
      </c>
      <c r="AU136" s="1">
        <f t="shared" si="204"/>
        <v>9</v>
      </c>
      <c r="AV136" s="1">
        <f>MIN(5,SUMIFS($EL$3:EL136,$B$3:B136,"&gt;="&amp;MAX(1,B136-2),$B$3:B136,"&lt;="&amp;B136)+EC136)</f>
        <v>0</v>
      </c>
      <c r="AW136" s="1">
        <f>MIN(6,SUMIFS($EY$3:EY135,$EX$3:EX135,"&gt;="&amp;MAX(1,EX136-Boss参数!$B$87+1),$EX$3:EX135,"&lt;="&amp;EX136))</f>
        <v>0</v>
      </c>
      <c r="AX136" s="1">
        <f>MIN(4,COUNTIFS($B$3:$B$135,"&gt;="&amp;MAX(1,$B136-2),$B$3:$B$135,"&lt;="&amp;$B136,$L$3:$L$135,"37_FOLLOW"))</f>
        <v>0</v>
      </c>
      <c r="AY136" s="1" t="str">
        <f>IF($E136="","",IF($E136="系统",0,ROUNDDOWN(INDEX(角色面板!$C$4:$C$7,MATCH($E136,角色面板!$A$4:$A$7,0))*(1+INDEX(角色面板!$C$11:$C$14,MATCH($E136,角色面板!$A$11:$A$14,0))+IF($E136="小瑞安侬",MAX(IF($B136&lt;=$AQ136,$AP136,0),IF(AND($L136="RHI_ATTACK",$EE136&gt;0),0.11+0.01*$G136,0)),0)+IF($E136="J",$AD136*Boss参数!$B$18,0))+IF(FD136&lt;=$AN136,MIN(Boss参数!$B$21,ROUNDDOWN(角色面板!$C$19*Boss参数!$B$20,0)),0)+IF(AND($B136&lt;=$AK136,$E136&lt;&gt;"小瑞安侬"),$DY136,0),0)))</f>
        <v/>
      </c>
      <c r="AZ136" s="1" t="str">
        <f>IF($E136="","",MAX(0,MIN(1,IFERROR(INDEX(角色面板!$G$18:$G$21,MATCH($E136,角色面板!$A$18:$A$21,0)),0)-FC136*Boss参数!$B$89-Boss参数!$E$4)))</f>
        <v/>
      </c>
      <c r="BA136" s="1" t="str">
        <f>IF(E136="","",(IF($E136="","",IF($E136="红弩箭",Boss参数!$B$80,IF($E136="J",Boss参数!$B$81,IFERROR(INDEX(角色面板!$H$18:$H$21,MATCH($E136,角色面板!$A$18:$A$21,0)),0)))+IF($B136&lt;=$AI136,Boss参数!$B$13,0)+MIN(30,$AM136)*Boss参数!$B$17+IF(AND($L136="LILYA_ULT",$X136&gt;=6),1,0)+IF(AND($Y136=1,$L136="LILYA_INSIGHT"),IF(MOD($AA136+1,3)=0,Boss参数!$B$83,Boss参数!$B$82),IF(AND($Y136=1,$L136="LILYA_FINISH"),Boss参数!$B$84,0))))-FC136*Boss参数!$B$90)</f>
        <v/>
      </c>
      <c r="BB136" s="1" t="str">
        <f>IF($E136="","",IFERROR(INDEX(角色面板!$M$18:$M$21,MATCH($E136,角色面板!$A$18:$A$21,0)),0)+$AW136*Boss参数!$B$12+IF($B136&lt;=$AG136,$AF136,0)+$EI136+IF($L136="LILYA_DIVE",IF($U136=1,IF($G136=1,0.3,IF($G136=2,0.4,0.5)),IF($U136=2,IF($G136=1,0.6,IF($G136=2,0.8,1)),0)),0)+$R136+IF(AND($E136="J",OR($L136="J_COUNTER",$L136="J_HARD")),Boss参数!$B$79,0)+IF(AND(OR(L136="J_COUNTER",L136="J_HARD"),FA136&gt;=Boss参数!$B$59),FA136*Boss参数!$B$40,0))</f>
        <v/>
      </c>
      <c r="BC136" s="1" t="e">
        <f>IF($E136="","",IFERROR(INDEX(角色面板!$K$18:$K$21,MATCH($E136,角色面板!$A$18:$A$21,0)),0)+IF($B136&lt;=$AH136,Boss参数!$B$46,0)+IF($E136="红弩箭",IF($U136=1,0.6,IF($U136=2,1.2,0))+$W136*0.06,0))-DI136*Boss参数!$B$23</f>
        <v>#VALUE!</v>
      </c>
      <c r="BD136" s="1" t="e">
        <f>IF($E136="","",IFERROR(INDEX(角色面板!$L$18:$L$21,MATCH($E136,角色面板!$A$18:$A$21,0)),0)+IF($B136&lt;=$AH136,Boss参数!$B$46,0)+IF($E136="J",$AL136*Boss参数!$B$16,0)+IF($E136="红弩箭",$X136*0.025,0)+IF(AND($L136="LILYA_ULT",$X136&gt;=6),1,0))-DI136*Boss参数!$B$23</f>
        <v>#VALUE!</v>
      </c>
      <c r="BE136" s="1" t="str">
        <f>IF($E136="","",IF($H136="洞知",IF($E136="红弩箭",$AO136*Boss参数!$B$15,0)+$AX136*Boss参数!$B$14,0))</f>
        <v/>
      </c>
      <c r="BF136" s="1">
        <f t="shared" si="141"/>
        <v>0</v>
      </c>
      <c r="BG136" s="1">
        <f>IF($D136="",0,IF(AND($L136&lt;&gt;"LILYA_DIVE",$L136&lt;&gt;"LILYA_ULT",$L136&lt;&gt;"LILYA_INSIGHT",$L136&lt;&gt;"LILYA_FINISH",$L136&lt;&gt;"37_FOLLOW",$L136&lt;&gt;"RHI_ATTACK",$L136&lt;&gt;"RHI_BERRY",$L136&lt;&gt;"J_COUNTER",$L136&lt;&gt;"J_ULT"),$J136,0)+IF($L136="LILYA_DIVE",$J136+IF($U136=1,IF($G136=1,6,IF($G136=2,12,18)),IF($U136=2,IF($G136=1,12,IF($G136=2,24,36)),0)),0)+IF($L136="LILYA_ULT",$J136+IF($X136&gt;=6,18,0),0)+IF($L136="LILYA_INSIGHT",IF($Y136=1,IF(MOD($AA136+1,3)=0,32,15),0),0)+IF($L136="LILYA_FINISH",IF($Y136=1,50+2.5*$Z136,0),0)+IF($L136="37_FOLLOW",$J136,0)+IF($L136="RHI_ATTACK",$J136*IF($B136&lt;=$AJ136,2,1),0)+IF($L136="RHI_BERRY",15+1.5*$AV136,0)+IF($L136="J_COUNTER",$J136+$AD136*Boss参数!$B$39,0)+IF($L136="J_ULT",$J136+Boss参数!$B$45*MAX(0,$AE136+$AD136-Boss参数!$I$4),0)+$S136)</f>
        <v>0</v>
      </c>
      <c r="BH136" s="1">
        <f t="shared" si="142"/>
        <v>0</v>
      </c>
      <c r="BI136" s="1" t="str">
        <f>IF(E136="","",IF(DT136=1,1+Boss参数!$B$8+AV136*Boss参数!$B$19,1))</f>
        <v/>
      </c>
      <c r="BJ136" s="1">
        <f>IF($I136="现实",Boss参数!$C$4,IF($I136="精神",Boss参数!$D$4,0))</f>
        <v>0</v>
      </c>
      <c r="BK136" s="1" t="str">
        <f>IF($E136="","",MAX($AY136*Boss参数!$B$9,$AY136-$BJ136*(1-$BF136)))</f>
        <v/>
      </c>
      <c r="BL136" s="1">
        <f>MAX(0,Boss参数!$F$4+IF(DT136=0,Boss参数!$B$27,0)-EJ136)</f>
        <v>1.25</v>
      </c>
      <c r="BM136" s="1">
        <f>Boss参数!$G$4+DU136-IF(Y136=1,Boss参数!$B$11,0)</f>
        <v>0.4</v>
      </c>
      <c r="BN136" s="1" t="str">
        <f>IF($E136="","",MAX(Boss参数!$B$10,1+IFERROR(INDEX(角色面板!$I$18:$I$21,MATCH($E136,角色面板!$A$18:$A$21,0)),0)+$BB136+Boss参数!$H$4-$BM136))</f>
        <v/>
      </c>
      <c r="BO136" s="1" t="str">
        <f>IF(E136="","",IF(OR(L136="J_COUNTER",L136="J_HARD"),MAX(0,1+INDEX(角色面板!$K$18:$K$21,MATCH(E136,角色面板!$A$18:$A$21,0))-DI136*Boss参数!$B$23+IF(OR(Boss参数!$B$43=1,L136="J_HARD"),IF(B136&lt;=AH136,Boss参数!$B$46,0),0)),MAX(0,IF(OR(H136="术法",L136="RHI_BERRY",AND(L136="37_FOLLOW",Boss参数!$B$31=1)),1+BC136,IF(H136="仪式",1+BD136,IF(H136="洞知",EK136,1))))))</f>
        <v/>
      </c>
      <c r="BP136" s="1" t="str">
        <f t="shared" si="143"/>
        <v/>
      </c>
      <c r="BQ136" s="1">
        <f t="shared" si="144"/>
        <v>0</v>
      </c>
      <c r="BR136" s="1">
        <f t="shared" si="145"/>
        <v>0</v>
      </c>
      <c r="BS136" s="1">
        <f>IF(BH136=0,0,ROUNDDOWN(AY136*BH136,0)*DV136*IF(Boss参数!$B$29=1,BN136,1)*IF(Boss参数!$B$33=1,BO136,1)*IF(Boss参数!$B$76=1,1-ES136,1))</f>
        <v>0</v>
      </c>
      <c r="BT136" s="1">
        <f t="shared" si="146"/>
        <v>0</v>
      </c>
      <c r="BU136" s="1">
        <f>IF(D136="",0,MIN(IF(Boss参数!$B$77=1,Boss参数!$B$63*Boss参数!$B$62,Boss参数!$B$61*Boss参数!$B$62),DW136+ROUNDDOWN(BS136,0)+ROUNDDOWN(DW136*Q136,0)))</f>
        <v>0</v>
      </c>
      <c r="BV136" s="1">
        <f>IF(D136="",0,MIN(IF(Boss参数!$B$77=1,Boss参数!$B$63*Boss参数!$B$62,Boss参数!$B$61*Boss参数!$B$62),DX136+ROUNDDOWN(BT136,0)+ROUNDDOWN(DX136*Q136,0)))</f>
        <v>0</v>
      </c>
      <c r="BW136" s="1">
        <f t="shared" si="147"/>
        <v>0</v>
      </c>
      <c r="BX136" s="1" t="str">
        <f t="shared" si="148"/>
        <v/>
      </c>
      <c r="BY136" s="1">
        <f t="shared" si="149"/>
        <v>2</v>
      </c>
      <c r="BZ136" s="1">
        <f t="shared" si="150"/>
        <v>1</v>
      </c>
      <c r="CA136" s="1">
        <f>MIN(10,W136+IF(AND(L136="LILYA_COBRA",COUNTIF($L$3:L136,"LILYA_COBRA")=1),5,0)+IF(AND(L136="LILYA_DIVE",U136=1,COUNTIFS($DG$3:DG136,DG136,$L$3:L136,"LILYA_DIVE")=1),2,0)+IF(AND(FE136=1,U136=1),3,0))</f>
        <v>10</v>
      </c>
      <c r="CB136" s="1">
        <f>MIN(20,MAX(0,X136+IF(L136="LILYA_COBRA",IF(COUNTIF($L$3:L136,"LILYA_COBRA")=1,6,IF(U136=1,MAX(1,G136),IF(U136=2,2*MAX(1,G136),0))),0)+IF(AND(Y136=1,E136="红弩箭",L136&lt;&gt;"ENTER_INSIGHT"),1,0)-IF(AND(L136="LILYA_ULT",X136&gt;=6),6,0)))</f>
        <v>13</v>
      </c>
      <c r="CC136" s="1">
        <f t="shared" si="151"/>
        <v>0</v>
      </c>
      <c r="CD136" s="1">
        <f t="shared" si="152"/>
        <v>0</v>
      </c>
      <c r="CE136" s="1">
        <f t="shared" si="153"/>
        <v>0</v>
      </c>
      <c r="CF136" s="1">
        <f t="shared" si="154"/>
        <v>10</v>
      </c>
      <c r="CG136" s="1">
        <f t="shared" si="155"/>
        <v>1</v>
      </c>
      <c r="CH136" s="1">
        <f>MIN(35,AD136+IF(L136="J_HARD",6,0)+IF(L136="J_COUNTER",Boss参数!$B$30,0))</f>
        <v>35</v>
      </c>
      <c r="CI136" s="1">
        <f>MIN(Boss参数!$I$4,AE136+IF(L136="J_HARD",6,0)+IF(L136="J_ULT",AD136,0)+IF(L136="J_COUNTER",Boss参数!$B$30,0))</f>
        <v>0</v>
      </c>
      <c r="CJ136" s="1">
        <f>IF(L136="J_ULT",AD136*Boss参数!$B$41,IF(B136&lt;=AG136,AF136,0))</f>
        <v>0.875</v>
      </c>
      <c r="CK136" s="1">
        <f t="shared" si="156"/>
        <v>9</v>
      </c>
      <c r="CL136" s="1">
        <f t="shared" si="157"/>
        <v>9</v>
      </c>
      <c r="CM136" s="1">
        <f t="shared" si="158"/>
        <v>8</v>
      </c>
      <c r="CN136" s="1">
        <f t="shared" si="159"/>
        <v>9</v>
      </c>
      <c r="CO136" s="1">
        <f t="shared" si="160"/>
        <v>8</v>
      </c>
      <c r="CP136" s="1">
        <f t="shared" si="161"/>
        <v>3</v>
      </c>
      <c r="CQ136" s="1">
        <f t="shared" si="162"/>
        <v>30</v>
      </c>
      <c r="CR136" s="1">
        <f t="shared" si="163"/>
        <v>9</v>
      </c>
      <c r="CS136" s="1">
        <f t="shared" si="164"/>
        <v>0</v>
      </c>
      <c r="CT136" s="1" t="e">
        <f t="shared" si="165"/>
        <v>#VALUE!</v>
      </c>
      <c r="CU136" s="1" t="e">
        <f t="shared" si="166"/>
        <v>#VALUE!</v>
      </c>
      <c r="CV136" s="1">
        <f t="shared" si="167"/>
        <v>0.3</v>
      </c>
      <c r="CW136" s="1">
        <f t="shared" si="168"/>
        <v>9</v>
      </c>
      <c r="CX136" s="1">
        <f t="shared" si="169"/>
        <v>0.3</v>
      </c>
      <c r="CY136" s="1">
        <f t="shared" si="170"/>
        <v>9</v>
      </c>
      <c r="CZ136" s="1"/>
      <c r="DA136" s="1"/>
      <c r="DB136" s="1"/>
      <c r="DC136" s="1"/>
      <c r="DD136" s="1"/>
      <c r="DE136" s="1"/>
      <c r="DF136" s="1"/>
      <c r="DG136" s="1" t="str">
        <f>IF(D136="","",行动模拟!B142)</f>
        <v/>
      </c>
      <c r="DH136" s="1" t="str">
        <f>IF(L136="END_TURN","回合结束",IF(D136="","",IF(INDEX(回合状态!$C$7:$C$17,MATCH(DG136,回合状态!$A$7:$A$17,0))="洞穿","洞穿",IF(OR(L136="J_COUNTER",L136="BOSS_ACTION",L136="BOSS_CONSERVATIVE"),"敌方",IF(AND(L136="37_FOLLOW",DG136=DG135,DH135="敌方"),"敌方",IF(INDEX(回合状态!$C$7:$C$17,MATCH(DG136,回合状态!$A$7:$A$17,0))="普通","出牌",INDEX(回合状态!$C$7:$C$17,MATCH(DG136,回合状态!$A$7:$A$17,0))))))))</f>
        <v/>
      </c>
      <c r="DI136" s="1">
        <f t="shared" si="171"/>
        <v>0</v>
      </c>
      <c r="DJ136" s="1">
        <f>IF(D136="",0,MIN(Boss参数!$B$25,IF(OR(AND(DH136="敌方",OR(DH135&lt;&gt;"敌方",DG136&lt;&gt;DG135)),AND(L136="END_TURN",DH136&lt;&gt;"洞穿"),AND(DG136&lt;&gt;DG135,DH135&lt;&gt;"洞穿",L135&lt;&gt;"END_TURN",COUNTIFS($DG$3:DG135,DG135,$DH$3:DH135,"敌方")=0)),EW136,DN135)))</f>
        <v>0</v>
      </c>
      <c r="DK136" s="1">
        <f>IF(D136="",0,MIN(Boss参数!$B$25,IF(OR(AND(DH136="敌方",OR(DH135&lt;&gt;"敌方",DG136&lt;&gt;DG135)),AND(L136="END_TURN",DH136&lt;&gt;"洞穿"),AND(DG136&lt;&gt;DG135,DH135&lt;&gt;"洞穿",L135&lt;&gt;"END_TURN",COUNTIFS($DG$3:DG135,DG135,$DH$3:DH135,"敌方")=0)),EW136,DO135)))</f>
        <v>0</v>
      </c>
      <c r="DL136" s="1">
        <f>IF(D136="",0,MIN(Boss参数!$B$25,IF(OR(AND(DH136="敌方",OR(DH135&lt;&gt;"敌方",DG136&lt;&gt;DG135)),AND(L136="END_TURN",DH136&lt;&gt;"洞穿"),AND(DG136&lt;&gt;DG135,DH135&lt;&gt;"洞穿",L135&lt;&gt;"END_TURN",COUNTIFS($DG$3:DG135,DG135,$DH$3:DH135,"敌方")=0)),EW136,DP135)))</f>
        <v>0</v>
      </c>
      <c r="DM136" s="1">
        <f>IF(D136="",0,MIN(Boss参数!$B$25,IF(OR(AND(DH136="敌方",OR(DH135&lt;&gt;"敌方",DG136&lt;&gt;DG135)),AND(L136="END_TURN",DH136&lt;&gt;"洞穿"),AND(DG136&lt;&gt;DG135,DH135&lt;&gt;"洞穿",L135&lt;&gt;"END_TURN",COUNTIFS($DG$3:DG135,DG135,$DH$3:DH135,"敌方")=0)),EW136,DQ135)))</f>
        <v>0</v>
      </c>
      <c r="DN136" s="1">
        <f>MAX(0,MIN(Boss参数!$B$25,DJ136+DR136)-IF(E136="红弩箭",2*DR136,0))</f>
        <v>0</v>
      </c>
      <c r="DO136" s="1">
        <f>MAX(0,MIN(Boss参数!$B$25,DK136+DR136)-IF(E136="37",2*DR136,0))</f>
        <v>0</v>
      </c>
      <c r="DP136" s="1">
        <f>MAX(0,MIN(Boss参数!$B$25,DL136+DR136)-IF(E136="小瑞安侬",2*DR136,0))</f>
        <v>0</v>
      </c>
      <c r="DQ136" s="1">
        <f>MAX(0,MIN(Boss参数!$B$25,DM136+DR136)-IF(E136="J",2*DR136,0))</f>
        <v>0</v>
      </c>
      <c r="DR136" s="1">
        <f t="shared" si="172"/>
        <v>0</v>
      </c>
      <c r="DS136" s="1">
        <f t="shared" si="173"/>
        <v>0</v>
      </c>
      <c r="DT136" s="1">
        <f>IF(OR(E136="",E136="系统"),0,IF(OR(AND(DS136=1,Boss参数!$B$32=1),L136="RHI_BERRY",OR(AND(INDEX(角色面板!$B$18:$B$21,MATCH(E136,角色面板!$A$18:$A$21,0))="星",Boss参数!$B$4="岩"),AND(INDEX(角色面板!$B$18:$B$21,MATCH(E136,角色面板!$A$18:$A$21,0))="岩",Boss参数!$B$4="兽"),AND(INDEX(角色面板!$B$18:$B$21,MATCH(E136,角色面板!$A$18:$A$21,0))="兽",Boss参数!$B$4="木"),AND(INDEX(角色面板!$B$18:$B$21,MATCH(E136,角色面板!$A$18:$A$21,0))="木",Boss参数!$B$4="星"),AND(INDEX(角色面板!$B$18:$B$21,MATCH(E136,角色面板!$A$18:$A$21,0))="智",Boss参数!$B$4="灵"),AND(INDEX(角色面板!$B$18:$B$21,MATCH(E136,角色面板!$A$18:$A$21,0))="灵",Boss参数!$B$4="智"))),1,0))</f>
        <v>0</v>
      </c>
      <c r="DU136" s="1">
        <f>IF(D136="",0,INDEX(回合状态!$E$7:$E$17,MATCH(DG136,回合状态!$A$7:$A$17,0))+IF(AND(DH136="敌方",OR(INDEX(回合状态!$C$7:$C$17,MATCH(DG136,回合状态!$A$7:$A$17,0))="普通",INDEX(回合状态!$C$7:$C$17,MATCH(DG136,回合状态!$A$7:$A$17,0))="额外")),0.05,0))</f>
        <v>0</v>
      </c>
      <c r="DV136" s="1">
        <f>MAX(Boss参数!$B$28,1+IF(AND(E136="37",AC136&gt;0,BH136&gt;0),Boss参数!$B$42,0)-DI136*Boss参数!$B$24+EA136-ER136)</f>
        <v>9.9999999999999978E-2</v>
      </c>
      <c r="DW136" s="1">
        <f>MIN(IF(Boss参数!$B$77=1,Boss参数!$B$63*Boss参数!$B$62,Boss参数!$B$61*Boss参数!$B$62),ROUNDDOWN(BQ136*(1-ES136),0))</f>
        <v>0</v>
      </c>
      <c r="DX136" s="1">
        <f>MIN(IF(Boss参数!$B$77=1,Boss参数!$B$63*Boss参数!$B$62,Boss参数!$B$61*Boss参数!$B$62),ROUNDDOWN(BR136*(1-ES136),0))</f>
        <v>0</v>
      </c>
      <c r="DY136" s="1">
        <f t="shared" si="205"/>
        <v>250</v>
      </c>
      <c r="DZ136" s="1">
        <f>IF(L136="RHI_ULT",MIN(Boss参数!$B$48,ROUNDDOWN(AY136*Boss参数!$B$47,0)),DY136)</f>
        <v>250</v>
      </c>
      <c r="EA136" s="1">
        <v>0</v>
      </c>
      <c r="EB136" s="1">
        <f t="shared" si="174"/>
        <v>0</v>
      </c>
      <c r="EC136" s="1">
        <f>SUMIFS($EB$3:EB136,$B$3:B136,"&gt;="&amp;MAX(1,B136-2),$B$3:B136,"&lt;="&amp;B136)*Boss参数!$B$51</f>
        <v>0</v>
      </c>
      <c r="ED136" s="1">
        <f>IF(D136="",EG135,IF(AND(DG136&lt;&gt;DG135,DH136&lt;&gt;"洞穿"),MIN(Boss参数!$B$55,EG135+2),EG135))</f>
        <v>0</v>
      </c>
      <c r="EE136" s="1">
        <f t="shared" si="175"/>
        <v>0</v>
      </c>
      <c r="EF136" s="1">
        <f>IF(AND(OR(L136="END_TURN",AND(DH136="敌方",OR(DH135&lt;&gt;"敌方",DG136&lt;&gt;DG135))),SUMIFS($EF$3:EF135,$DG$3:DG135,DG136)=0),MIN(1,MAX(0,ED136-EE136)),0)</f>
        <v>0</v>
      </c>
      <c r="EG136" s="1">
        <f t="shared" si="176"/>
        <v>0</v>
      </c>
      <c r="EH136" s="1">
        <f>Boss参数!$B$53-IF(Y136=1,Boss参数!$B$54,0)</f>
        <v>0</v>
      </c>
      <c r="EI136" s="1">
        <f t="shared" si="177"/>
        <v>0.15</v>
      </c>
      <c r="EJ136" s="1">
        <f t="shared" si="178"/>
        <v>0.15</v>
      </c>
      <c r="EK136" s="1" t="e">
        <f t="shared" si="179"/>
        <v>#VALUE!</v>
      </c>
      <c r="EL136" s="1">
        <f t="shared" si="206"/>
        <v>0</v>
      </c>
      <c r="EM136" s="1">
        <f>IF(AND(DG136&lt;&gt;DG135,DH136="洞穿"),0,IF(L136="ENTER_INSIGHT",Boss参数!$B$57,EO135))</f>
        <v>0</v>
      </c>
      <c r="EN136" s="1">
        <f>IF(AND(Y136=1,H136="洞知",EM136&gt;0),Boss参数!$B$56,0)</f>
        <v>0</v>
      </c>
      <c r="EO136" s="1">
        <f t="shared" si="180"/>
        <v>0</v>
      </c>
      <c r="EP136" s="1">
        <f t="shared" si="207"/>
        <v>23210479</v>
      </c>
      <c r="EQ136" s="1">
        <f>ROUNDDOWN(EP136/Boss参数!$B$62,0)</f>
        <v>232</v>
      </c>
      <c r="ER136" s="1">
        <f>IF(EQ136&gt;=Boss参数!$B$66,Boss参数!$B$69,IF(EQ136&gt;=Boss参数!$B$65,Boss参数!$B$68,IF(EQ136&gt;=Boss参数!$B$64,Boss参数!$B$67,0)))</f>
        <v>0.9</v>
      </c>
      <c r="ES136" s="1">
        <f>MIN(1,IF(EQ136&gt;=Boss参数!$B$66,Boss参数!$B$72+ROUNDDOWN((EQ136-Boss参数!$B$66)/Boss参数!$B$73,0)*Boss参数!$B$74,IF(EQ136&gt;=Boss参数!$B$65,Boss参数!$B$71,IF(EQ136&gt;=Boss参数!$B$64,Boss参数!$B$70,0))))</f>
        <v>0.65</v>
      </c>
      <c r="ET136" s="1">
        <f>MIN(Boss参数!$B$61*Boss参数!$B$62,EP136+IF(AND(Boss参数!$B$60=1,ISNUMBER(验证表!H142)),验证表!H142,EU136))</f>
        <v>23210479</v>
      </c>
      <c r="EU136" s="1">
        <f>IF(D136="",0,IF(验证表!G142="是",BV136,IF(验证表!G142="否",BU136,BW136)))</f>
        <v>0</v>
      </c>
      <c r="EV136" s="1">
        <f>IF(EQ136&gt;=Boss参数!$B$66,2,IF(EQ136&gt;=Boss参数!$B$65,1,0))</f>
        <v>2</v>
      </c>
      <c r="EW136" s="1">
        <f t="shared" si="181"/>
        <v>3</v>
      </c>
      <c r="EX136" s="1">
        <f>IF(D136="",0,INDEX(回合状态!$D$7:$D$17,MATCH(DG136,回合状态!$A$7:$A$17,0)))</f>
        <v>0</v>
      </c>
      <c r="EY136" s="1">
        <f>IF(OR(L136="RHI_ATTACK",L136="RHI_BUFF"),1,IF(L136="RHI_ULT",Boss参数!$B$52,0))</f>
        <v>0</v>
      </c>
      <c r="EZ136" s="1">
        <f>MIN(6,SUMIFS($EY$3:EY136,$EX$3:EX136,"&gt;="&amp;MAX(1,EX136-Boss参数!$B$87+1),$EX$3:EX136,"&lt;="&amp;EX136))</f>
        <v>0</v>
      </c>
      <c r="FA136" s="1">
        <f t="shared" si="208"/>
        <v>0</v>
      </c>
      <c r="FB136" s="17">
        <f>IF(L136="BOSS_CONSERVATIVE",B136+Boss参数!$B$91,FB135)</f>
        <v>7</v>
      </c>
      <c r="FC136" s="17">
        <f t="shared" si="209"/>
        <v>0</v>
      </c>
      <c r="FD136" s="17">
        <f>IF(D136="",FD135,FD135+IF(AND(DG136&lt;&gt;DG135,INDEX(回合状态!$C$7:$C$17,MATCH(DG136,回合状态!$A$7:$A$17,0))&lt;&gt;"洞穿"),1,0))</f>
        <v>8</v>
      </c>
      <c r="FE136" s="17">
        <f>IF(D136="",0,IF(AND(OR(L136="END_TURN",DH136="敌方"),INDEX(回合状态!$C$7:$C$17,MATCH(DG136,回合状态!$A$7:$A$17,0))&lt;&gt;"洞穿",SUMIFS($FE$3:FE135,$DG$3:DG135,DG136)=0),1,0))</f>
        <v>0</v>
      </c>
    </row>
    <row r="137" spans="1:161" ht="84.95" customHeight="1">
      <c r="A137" s="1" t="str">
        <f>行动模拟!A143</f>
        <v/>
      </c>
      <c r="B137" s="1">
        <f>IF(D137="",0,INDEX(回合状态!$B$7:$B$17,MATCH(DG137,回合状态!$A$7:$A$17,0)))</f>
        <v>0</v>
      </c>
      <c r="C137" s="1">
        <f>行动模拟!C143</f>
        <v>0</v>
      </c>
      <c r="D137" s="1" t="str">
        <f>IF(行动模拟!D143="","",行动模拟!D143)</f>
        <v/>
      </c>
      <c r="E137" s="1" t="str">
        <f>IF($D137="","",IFERROR(INDEX(技能数据库!$B$4:$B$38,MATCH($D137,技能数据库!$A$4:$A$38,0)),""))</f>
        <v/>
      </c>
      <c r="F137" s="1" t="str">
        <f>IF($D137="","",IFERROR(INDEX(技能数据库!$C$4:$C$38,MATCH($D137,技能数据库!$A$4:$A$38,0)),""))</f>
        <v/>
      </c>
      <c r="G137" s="1" t="str">
        <f>IF($D137="","",IFERROR(INDEX(技能数据库!$D$4:$D$38,MATCH($D137,技能数据库!$A$4:$A$38,0)),""))</f>
        <v/>
      </c>
      <c r="H137" s="1" t="str">
        <f>IF($D137="","",IFERROR(INDEX(技能数据库!$E$4:$E$38,MATCH($D137,技能数据库!$A$4:$A$38,0)),""))</f>
        <v/>
      </c>
      <c r="I137" s="1" t="str">
        <f>IF($D137="","",IFERROR(INDEX(技能数据库!$F$4:$F$38,MATCH($D137,技能数据库!$A$4:$A$38,0)),""))</f>
        <v/>
      </c>
      <c r="J137" s="1" t="str">
        <f>IF($D137="","",IFERROR(INDEX(技能数据库!$G$4:$G$38,MATCH($D137,技能数据库!$A$4:$A$38,0)),""))</f>
        <v/>
      </c>
      <c r="K137" s="1" t="str">
        <f>IF($D137="","",IFERROR(INDEX(技能数据库!$H$4:$H$38,MATCH($D137,技能数据库!$A$4:$A$38,0)),""))</f>
        <v/>
      </c>
      <c r="L137" s="1" t="str">
        <f>IF($D137="","",IFERROR(INDEX(技能数据库!$I$4:$I$38,MATCH($D137,技能数据库!$A$4:$A$38,0)),""))</f>
        <v/>
      </c>
      <c r="M137" s="1">
        <v>1</v>
      </c>
      <c r="N137" s="1"/>
      <c r="O137" s="1"/>
      <c r="P137" s="1"/>
      <c r="Q137" s="1">
        <f t="shared" si="140"/>
        <v>0</v>
      </c>
      <c r="R137" s="1">
        <v>0</v>
      </c>
      <c r="S137" s="1">
        <v>0</v>
      </c>
      <c r="T137" s="1">
        <f>行动模拟!I143</f>
        <v>0</v>
      </c>
      <c r="U137" s="1">
        <f>IF(FD137&lt;&gt;FD136,IF(BY136=1,IF(MIN(10,CA136+IF(AND(DG137&lt;&gt;DG136,DH136&lt;&gt;"洞穿",SUMIFS($FE$3:FE136,$DG$3:DG136,DG136)=0,BY136=1),3,0))&gt;=10,2,1),IF(BY136=2,IF(BZ136&lt;=1,0,2),0)),BY136)</f>
        <v>2</v>
      </c>
      <c r="V137" s="1">
        <f>IF(FD137&lt;&gt;FD136,IF(BY136=1,IF(MIN(10,CA136+IF(AND(DG137&lt;&gt;DG136,DH136&lt;&gt;"洞穿",SUMIFS($FE$3:FE136,$DG$3:DG136,DG136)=0,BY136=1),3,0))&gt;=10,2,0),IF(BY136=2,MAX(0,BZ136-1),0)),BZ136)</f>
        <v>1</v>
      </c>
      <c r="W137" s="1">
        <f>IF(AND(FD137&lt;&gt;FD136,BY136=2,BZ136&lt;=1),0,MIN(10,CA136+IF(AND(DG137&lt;&gt;DG136,DH136&lt;&gt;"洞穿",SUMIFS($FE$3:FE136,$DG$3:DG136,DG136)=0,BY136=1),3,0)))</f>
        <v>10</v>
      </c>
      <c r="X137" s="1">
        <f t="shared" si="182"/>
        <v>13</v>
      </c>
      <c r="Y137" s="1">
        <f t="shared" si="183"/>
        <v>0</v>
      </c>
      <c r="Z137" s="1">
        <f t="shared" si="184"/>
        <v>0</v>
      </c>
      <c r="AA137" s="1">
        <f t="shared" si="185"/>
        <v>0</v>
      </c>
      <c r="AB137" s="1">
        <f t="shared" si="186"/>
        <v>10</v>
      </c>
      <c r="AC137" s="1">
        <f t="shared" si="187"/>
        <v>1</v>
      </c>
      <c r="AD137" s="1">
        <f t="shared" si="188"/>
        <v>35</v>
      </c>
      <c r="AE137" s="1">
        <f>IF(D137="",0,IF(DG137&lt;&gt;DG136,IFERROR(INDEX(回合状态!$F$7:$F$17,MATCH(DG137,回合状态!$A$7:$A$17,0)),0),CI136))</f>
        <v>0</v>
      </c>
      <c r="AF137" s="1">
        <f t="shared" si="189"/>
        <v>0.875</v>
      </c>
      <c r="AG137" s="1">
        <f t="shared" si="190"/>
        <v>9</v>
      </c>
      <c r="AH137" s="1">
        <f t="shared" si="191"/>
        <v>9</v>
      </c>
      <c r="AI137" s="1">
        <f t="shared" si="192"/>
        <v>8</v>
      </c>
      <c r="AJ137" s="1">
        <f t="shared" si="193"/>
        <v>9</v>
      </c>
      <c r="AK137" s="1">
        <f t="shared" si="194"/>
        <v>8</v>
      </c>
      <c r="AL137" s="1">
        <f t="shared" si="195"/>
        <v>3</v>
      </c>
      <c r="AM137" s="1">
        <f t="shared" si="196"/>
        <v>30</v>
      </c>
      <c r="AN137" s="1">
        <f t="shared" si="197"/>
        <v>9</v>
      </c>
      <c r="AO137" s="1">
        <f t="shared" si="198"/>
        <v>0</v>
      </c>
      <c r="AP137" s="1" t="e">
        <f t="shared" si="199"/>
        <v>#VALUE!</v>
      </c>
      <c r="AQ137" s="1" t="e">
        <f t="shared" si="200"/>
        <v>#VALUE!</v>
      </c>
      <c r="AR137" s="1">
        <f t="shared" si="201"/>
        <v>0.3</v>
      </c>
      <c r="AS137" s="1">
        <f t="shared" si="202"/>
        <v>9</v>
      </c>
      <c r="AT137" s="1">
        <f t="shared" si="203"/>
        <v>0.3</v>
      </c>
      <c r="AU137" s="1">
        <f t="shared" si="204"/>
        <v>9</v>
      </c>
      <c r="AV137" s="1">
        <f>MIN(5,SUMIFS($EL$3:EL137,$B$3:B137,"&gt;="&amp;MAX(1,B137-2),$B$3:B137,"&lt;="&amp;B137)+EC137)</f>
        <v>0</v>
      </c>
      <c r="AW137" s="1">
        <f>MIN(6,SUMIFS($EY$3:EY136,$EX$3:EX136,"&gt;="&amp;MAX(1,EX137-Boss参数!$B$87+1),$EX$3:EX136,"&lt;="&amp;EX137))</f>
        <v>0</v>
      </c>
      <c r="AX137" s="1">
        <f>MIN(4,COUNTIFS($B$3:$B$136,"&gt;="&amp;MAX(1,$B137-2),$B$3:$B$136,"&lt;="&amp;$B137,$L$3:$L$136,"37_FOLLOW"))</f>
        <v>0</v>
      </c>
      <c r="AY137" s="1" t="str">
        <f>IF($E137="","",IF($E137="系统",0,ROUNDDOWN(INDEX(角色面板!$C$4:$C$7,MATCH($E137,角色面板!$A$4:$A$7,0))*(1+INDEX(角色面板!$C$11:$C$14,MATCH($E137,角色面板!$A$11:$A$14,0))+IF($E137="小瑞安侬",MAX(IF($B137&lt;=$AQ137,$AP137,0),IF(AND($L137="RHI_ATTACK",$EE137&gt;0),0.11+0.01*$G137,0)),0)+IF($E137="J",$AD137*Boss参数!$B$18,0))+IF(FD137&lt;=$AN137,MIN(Boss参数!$B$21,ROUNDDOWN(角色面板!$C$19*Boss参数!$B$20,0)),0)+IF(AND($B137&lt;=$AK137,$E137&lt;&gt;"小瑞安侬"),$DY137,0),0)))</f>
        <v/>
      </c>
      <c r="AZ137" s="1" t="str">
        <f>IF($E137="","",MAX(0,MIN(1,IFERROR(INDEX(角色面板!$G$18:$G$21,MATCH($E137,角色面板!$A$18:$A$21,0)),0)-FC137*Boss参数!$B$89-Boss参数!$E$4)))</f>
        <v/>
      </c>
      <c r="BA137" s="1" t="str">
        <f>IF(E137="","",(IF($E137="","",IF($E137="红弩箭",Boss参数!$B$80,IF($E137="J",Boss参数!$B$81,IFERROR(INDEX(角色面板!$H$18:$H$21,MATCH($E137,角色面板!$A$18:$A$21,0)),0)))+IF($B137&lt;=$AI137,Boss参数!$B$13,0)+MIN(30,$AM137)*Boss参数!$B$17+IF(AND($L137="LILYA_ULT",$X137&gt;=6),1,0)+IF(AND($Y137=1,$L137="LILYA_INSIGHT"),IF(MOD($AA137+1,3)=0,Boss参数!$B$83,Boss参数!$B$82),IF(AND($Y137=1,$L137="LILYA_FINISH"),Boss参数!$B$84,0))))-FC137*Boss参数!$B$90)</f>
        <v/>
      </c>
      <c r="BB137" s="1" t="str">
        <f>IF($E137="","",IFERROR(INDEX(角色面板!$M$18:$M$21,MATCH($E137,角色面板!$A$18:$A$21,0)),0)+$AW137*Boss参数!$B$12+IF($B137&lt;=$AG137,$AF137,0)+$EI137+IF($L137="LILYA_DIVE",IF($U137=1,IF($G137=1,0.3,IF($G137=2,0.4,0.5)),IF($U137=2,IF($G137=1,0.6,IF($G137=2,0.8,1)),0)),0)+$R137+IF(AND($E137="J",OR($L137="J_COUNTER",$L137="J_HARD")),Boss参数!$B$79,0)+IF(AND(OR(L137="J_COUNTER",L137="J_HARD"),FA137&gt;=Boss参数!$B$59),FA137*Boss参数!$B$40,0))</f>
        <v/>
      </c>
      <c r="BC137" s="1" t="e">
        <f>IF($E137="","",IFERROR(INDEX(角色面板!$K$18:$K$21,MATCH($E137,角色面板!$A$18:$A$21,0)),0)+IF($B137&lt;=$AH137,Boss参数!$B$46,0)+IF($E137="红弩箭",IF($U137=1,0.6,IF($U137=2,1.2,0))+$W137*0.06,0))-DI137*Boss参数!$B$23</f>
        <v>#VALUE!</v>
      </c>
      <c r="BD137" s="1" t="e">
        <f>IF($E137="","",IFERROR(INDEX(角色面板!$L$18:$L$21,MATCH($E137,角色面板!$A$18:$A$21,0)),0)+IF($B137&lt;=$AH137,Boss参数!$B$46,0)+IF($E137="J",$AL137*Boss参数!$B$16,0)+IF($E137="红弩箭",$X137*0.025,0)+IF(AND($L137="LILYA_ULT",$X137&gt;=6),1,0))-DI137*Boss参数!$B$23</f>
        <v>#VALUE!</v>
      </c>
      <c r="BE137" s="1" t="str">
        <f>IF($E137="","",IF($H137="洞知",IF($E137="红弩箭",$AO137*Boss参数!$B$15,0)+$AX137*Boss参数!$B$14,0))</f>
        <v/>
      </c>
      <c r="BF137" s="1">
        <f t="shared" si="141"/>
        <v>0</v>
      </c>
      <c r="BG137" s="1">
        <f>IF($D137="",0,IF(AND($L137&lt;&gt;"LILYA_DIVE",$L137&lt;&gt;"LILYA_ULT",$L137&lt;&gt;"LILYA_INSIGHT",$L137&lt;&gt;"LILYA_FINISH",$L137&lt;&gt;"37_FOLLOW",$L137&lt;&gt;"RHI_ATTACK",$L137&lt;&gt;"RHI_BERRY",$L137&lt;&gt;"J_COUNTER",$L137&lt;&gt;"J_ULT"),$J137,0)+IF($L137="LILYA_DIVE",$J137+IF($U137=1,IF($G137=1,6,IF($G137=2,12,18)),IF($U137=2,IF($G137=1,12,IF($G137=2,24,36)),0)),0)+IF($L137="LILYA_ULT",$J137+IF($X137&gt;=6,18,0),0)+IF($L137="LILYA_INSIGHT",IF($Y137=1,IF(MOD($AA137+1,3)=0,32,15),0),0)+IF($L137="LILYA_FINISH",IF($Y137=1,50+2.5*$Z137,0),0)+IF($L137="37_FOLLOW",$J137,0)+IF($L137="RHI_ATTACK",$J137*IF($B137&lt;=$AJ137,2,1),0)+IF($L137="RHI_BERRY",15+1.5*$AV137,0)+IF($L137="J_COUNTER",$J137+$AD137*Boss参数!$B$39,0)+IF($L137="J_ULT",$J137+Boss参数!$B$45*MAX(0,$AE137+$AD137-Boss参数!$I$4),0)+$S137)</f>
        <v>0</v>
      </c>
      <c r="BH137" s="1">
        <f t="shared" si="142"/>
        <v>0</v>
      </c>
      <c r="BI137" s="1" t="str">
        <f>IF(E137="","",IF(DT137=1,1+Boss参数!$B$8+AV137*Boss参数!$B$19,1))</f>
        <v/>
      </c>
      <c r="BJ137" s="1">
        <f>IF($I137="现实",Boss参数!$C$4,IF($I137="精神",Boss参数!$D$4,0))</f>
        <v>0</v>
      </c>
      <c r="BK137" s="1" t="str">
        <f>IF($E137="","",MAX($AY137*Boss参数!$B$9,$AY137-$BJ137*(1-$BF137)))</f>
        <v/>
      </c>
      <c r="BL137" s="1">
        <f>MAX(0,Boss参数!$F$4+IF(DT137=0,Boss参数!$B$27,0)-EJ137)</f>
        <v>1.25</v>
      </c>
      <c r="BM137" s="1">
        <f>Boss参数!$G$4+DU137-IF(Y137=1,Boss参数!$B$11,0)</f>
        <v>0.4</v>
      </c>
      <c r="BN137" s="1" t="str">
        <f>IF($E137="","",MAX(Boss参数!$B$10,1+IFERROR(INDEX(角色面板!$I$18:$I$21,MATCH($E137,角色面板!$A$18:$A$21,0)),0)+$BB137+Boss参数!$H$4-$BM137))</f>
        <v/>
      </c>
      <c r="BO137" s="1" t="str">
        <f>IF(E137="","",IF(OR(L137="J_COUNTER",L137="J_HARD"),MAX(0,1+INDEX(角色面板!$K$18:$K$21,MATCH(E137,角色面板!$A$18:$A$21,0))-DI137*Boss参数!$B$23+IF(OR(Boss参数!$B$43=1,L137="J_HARD"),IF(B137&lt;=AH137,Boss参数!$B$46,0),0)),MAX(0,IF(OR(H137="术法",L137="RHI_BERRY",AND(L137="37_FOLLOW",Boss参数!$B$31=1)),1+BC137,IF(H137="仪式",1+BD137,IF(H137="洞知",EK137,1))))))</f>
        <v/>
      </c>
      <c r="BP137" s="1" t="str">
        <f t="shared" si="143"/>
        <v/>
      </c>
      <c r="BQ137" s="1">
        <f t="shared" si="144"/>
        <v>0</v>
      </c>
      <c r="BR137" s="1">
        <f t="shared" si="145"/>
        <v>0</v>
      </c>
      <c r="BS137" s="1">
        <f>IF(BH137=0,0,ROUNDDOWN(AY137*BH137,0)*DV137*IF(Boss参数!$B$29=1,BN137,1)*IF(Boss参数!$B$33=1,BO137,1)*IF(Boss参数!$B$76=1,1-ES137,1))</f>
        <v>0</v>
      </c>
      <c r="BT137" s="1">
        <f t="shared" si="146"/>
        <v>0</v>
      </c>
      <c r="BU137" s="1">
        <f>IF(D137="",0,MIN(IF(Boss参数!$B$77=1,Boss参数!$B$63*Boss参数!$B$62,Boss参数!$B$61*Boss参数!$B$62),DW137+ROUNDDOWN(BS137,0)+ROUNDDOWN(DW137*Q137,0)))</f>
        <v>0</v>
      </c>
      <c r="BV137" s="1">
        <f>IF(D137="",0,MIN(IF(Boss参数!$B$77=1,Boss参数!$B$63*Boss参数!$B$62,Boss参数!$B$61*Boss参数!$B$62),DX137+ROUNDDOWN(BT137,0)+ROUNDDOWN(DX137*Q137,0)))</f>
        <v>0</v>
      </c>
      <c r="BW137" s="1">
        <f t="shared" si="147"/>
        <v>0</v>
      </c>
      <c r="BX137" s="1" t="str">
        <f t="shared" si="148"/>
        <v/>
      </c>
      <c r="BY137" s="1">
        <f t="shared" si="149"/>
        <v>2</v>
      </c>
      <c r="BZ137" s="1">
        <f t="shared" si="150"/>
        <v>1</v>
      </c>
      <c r="CA137" s="1">
        <f>MIN(10,W137+IF(AND(L137="LILYA_COBRA",COUNTIF($L$3:L137,"LILYA_COBRA")=1),5,0)+IF(AND(L137="LILYA_DIVE",U137=1,COUNTIFS($DG$3:DG137,DG137,$L$3:L137,"LILYA_DIVE")=1),2,0)+IF(AND(FE137=1,U137=1),3,0))</f>
        <v>10</v>
      </c>
      <c r="CB137" s="1">
        <f>MIN(20,MAX(0,X137+IF(L137="LILYA_COBRA",IF(COUNTIF($L$3:L137,"LILYA_COBRA")=1,6,IF(U137=1,MAX(1,G137),IF(U137=2,2*MAX(1,G137),0))),0)+IF(AND(Y137=1,E137="红弩箭",L137&lt;&gt;"ENTER_INSIGHT"),1,0)-IF(AND(L137="LILYA_ULT",X137&gt;=6),6,0)))</f>
        <v>13</v>
      </c>
      <c r="CC137" s="1">
        <f t="shared" si="151"/>
        <v>0</v>
      </c>
      <c r="CD137" s="1">
        <f t="shared" si="152"/>
        <v>0</v>
      </c>
      <c r="CE137" s="1">
        <f t="shared" si="153"/>
        <v>0</v>
      </c>
      <c r="CF137" s="1">
        <f t="shared" si="154"/>
        <v>10</v>
      </c>
      <c r="CG137" s="1">
        <f t="shared" si="155"/>
        <v>1</v>
      </c>
      <c r="CH137" s="1">
        <f>MIN(35,AD137+IF(L137="J_HARD",6,0)+IF(L137="J_COUNTER",Boss参数!$B$30,0))</f>
        <v>35</v>
      </c>
      <c r="CI137" s="1">
        <f>MIN(Boss参数!$I$4,AE137+IF(L137="J_HARD",6,0)+IF(L137="J_ULT",AD137,0)+IF(L137="J_COUNTER",Boss参数!$B$30,0))</f>
        <v>0</v>
      </c>
      <c r="CJ137" s="1">
        <f>IF(L137="J_ULT",AD137*Boss参数!$B$41,IF(B137&lt;=AG137,AF137,0))</f>
        <v>0.875</v>
      </c>
      <c r="CK137" s="1">
        <f t="shared" si="156"/>
        <v>9</v>
      </c>
      <c r="CL137" s="1">
        <f t="shared" si="157"/>
        <v>9</v>
      </c>
      <c r="CM137" s="1">
        <f t="shared" si="158"/>
        <v>8</v>
      </c>
      <c r="CN137" s="1">
        <f t="shared" si="159"/>
        <v>9</v>
      </c>
      <c r="CO137" s="1">
        <f t="shared" si="160"/>
        <v>8</v>
      </c>
      <c r="CP137" s="1">
        <f t="shared" si="161"/>
        <v>3</v>
      </c>
      <c r="CQ137" s="1">
        <f t="shared" si="162"/>
        <v>30</v>
      </c>
      <c r="CR137" s="1">
        <f t="shared" si="163"/>
        <v>9</v>
      </c>
      <c r="CS137" s="1">
        <f t="shared" si="164"/>
        <v>0</v>
      </c>
      <c r="CT137" s="1" t="e">
        <f t="shared" si="165"/>
        <v>#VALUE!</v>
      </c>
      <c r="CU137" s="1" t="e">
        <f t="shared" si="166"/>
        <v>#VALUE!</v>
      </c>
      <c r="CV137" s="1">
        <f t="shared" si="167"/>
        <v>0.3</v>
      </c>
      <c r="CW137" s="1">
        <f t="shared" si="168"/>
        <v>9</v>
      </c>
      <c r="CX137" s="1">
        <f t="shared" si="169"/>
        <v>0.3</v>
      </c>
      <c r="CY137" s="1">
        <f t="shared" si="170"/>
        <v>9</v>
      </c>
      <c r="CZ137" s="1"/>
      <c r="DA137" s="1"/>
      <c r="DB137" s="1"/>
      <c r="DC137" s="1"/>
      <c r="DD137" s="1"/>
      <c r="DE137" s="1"/>
      <c r="DF137" s="1"/>
      <c r="DG137" s="1" t="str">
        <f>IF(D137="","",行动模拟!B143)</f>
        <v/>
      </c>
      <c r="DH137" s="1" t="str">
        <f>IF(L137="END_TURN","回合结束",IF(D137="","",IF(INDEX(回合状态!$C$7:$C$17,MATCH(DG137,回合状态!$A$7:$A$17,0))="洞穿","洞穿",IF(OR(L137="J_COUNTER",L137="BOSS_ACTION",L137="BOSS_CONSERVATIVE"),"敌方",IF(AND(L137="37_FOLLOW",DG137=DG136,DH136="敌方"),"敌方",IF(INDEX(回合状态!$C$7:$C$17,MATCH(DG137,回合状态!$A$7:$A$17,0))="普通","出牌",INDEX(回合状态!$C$7:$C$17,MATCH(DG137,回合状态!$A$7:$A$17,0))))))))</f>
        <v/>
      </c>
      <c r="DI137" s="1">
        <f t="shared" si="171"/>
        <v>0</v>
      </c>
      <c r="DJ137" s="1">
        <f>IF(D137="",0,MIN(Boss参数!$B$25,IF(OR(AND(DH137="敌方",OR(DH136&lt;&gt;"敌方",DG137&lt;&gt;DG136)),AND(L137="END_TURN",DH137&lt;&gt;"洞穿"),AND(DG137&lt;&gt;DG136,DH136&lt;&gt;"洞穿",L136&lt;&gt;"END_TURN",COUNTIFS($DG$3:DG136,DG136,$DH$3:DH136,"敌方")=0)),EW137,DN136)))</f>
        <v>0</v>
      </c>
      <c r="DK137" s="1">
        <f>IF(D137="",0,MIN(Boss参数!$B$25,IF(OR(AND(DH137="敌方",OR(DH136&lt;&gt;"敌方",DG137&lt;&gt;DG136)),AND(L137="END_TURN",DH137&lt;&gt;"洞穿"),AND(DG137&lt;&gt;DG136,DH136&lt;&gt;"洞穿",L136&lt;&gt;"END_TURN",COUNTIFS($DG$3:DG136,DG136,$DH$3:DH136,"敌方")=0)),EW137,DO136)))</f>
        <v>0</v>
      </c>
      <c r="DL137" s="1">
        <f>IF(D137="",0,MIN(Boss参数!$B$25,IF(OR(AND(DH137="敌方",OR(DH136&lt;&gt;"敌方",DG137&lt;&gt;DG136)),AND(L137="END_TURN",DH137&lt;&gt;"洞穿"),AND(DG137&lt;&gt;DG136,DH136&lt;&gt;"洞穿",L136&lt;&gt;"END_TURN",COUNTIFS($DG$3:DG136,DG136,$DH$3:DH136,"敌方")=0)),EW137,DP136)))</f>
        <v>0</v>
      </c>
      <c r="DM137" s="1">
        <f>IF(D137="",0,MIN(Boss参数!$B$25,IF(OR(AND(DH137="敌方",OR(DH136&lt;&gt;"敌方",DG137&lt;&gt;DG136)),AND(L137="END_TURN",DH137&lt;&gt;"洞穿"),AND(DG137&lt;&gt;DG136,DH136&lt;&gt;"洞穿",L136&lt;&gt;"END_TURN",COUNTIFS($DG$3:DG136,DG136,$DH$3:DH136,"敌方")=0)),EW137,DQ136)))</f>
        <v>0</v>
      </c>
      <c r="DN137" s="1">
        <f>MAX(0,MIN(Boss参数!$B$25,DJ137+DR137)-IF(E137="红弩箭",2*DR137,0))</f>
        <v>0</v>
      </c>
      <c r="DO137" s="1">
        <f>MAX(0,MIN(Boss参数!$B$25,DK137+DR137)-IF(E137="37",2*DR137,0))</f>
        <v>0</v>
      </c>
      <c r="DP137" s="1">
        <f>MAX(0,MIN(Boss参数!$B$25,DL137+DR137)-IF(E137="小瑞安侬",2*DR137,0))</f>
        <v>0</v>
      </c>
      <c r="DQ137" s="1">
        <f>MAX(0,MIN(Boss参数!$B$25,DM137+DR137)-IF(E137="J",2*DR137,0))</f>
        <v>0</v>
      </c>
      <c r="DR137" s="1">
        <f t="shared" si="172"/>
        <v>0</v>
      </c>
      <c r="DS137" s="1">
        <f t="shared" si="173"/>
        <v>0</v>
      </c>
      <c r="DT137" s="1">
        <f>IF(OR(E137="",E137="系统"),0,IF(OR(AND(DS137=1,Boss参数!$B$32=1),L137="RHI_BERRY",OR(AND(INDEX(角色面板!$B$18:$B$21,MATCH(E137,角色面板!$A$18:$A$21,0))="星",Boss参数!$B$4="岩"),AND(INDEX(角色面板!$B$18:$B$21,MATCH(E137,角色面板!$A$18:$A$21,0))="岩",Boss参数!$B$4="兽"),AND(INDEX(角色面板!$B$18:$B$21,MATCH(E137,角色面板!$A$18:$A$21,0))="兽",Boss参数!$B$4="木"),AND(INDEX(角色面板!$B$18:$B$21,MATCH(E137,角色面板!$A$18:$A$21,0))="木",Boss参数!$B$4="星"),AND(INDEX(角色面板!$B$18:$B$21,MATCH(E137,角色面板!$A$18:$A$21,0))="智",Boss参数!$B$4="灵"),AND(INDEX(角色面板!$B$18:$B$21,MATCH(E137,角色面板!$A$18:$A$21,0))="灵",Boss参数!$B$4="智"))),1,0))</f>
        <v>0</v>
      </c>
      <c r="DU137" s="1">
        <f>IF(D137="",0,INDEX(回合状态!$E$7:$E$17,MATCH(DG137,回合状态!$A$7:$A$17,0))+IF(AND(DH137="敌方",OR(INDEX(回合状态!$C$7:$C$17,MATCH(DG137,回合状态!$A$7:$A$17,0))="普通",INDEX(回合状态!$C$7:$C$17,MATCH(DG137,回合状态!$A$7:$A$17,0))="额外")),0.05,0))</f>
        <v>0</v>
      </c>
      <c r="DV137" s="1">
        <f>MAX(Boss参数!$B$28,1+IF(AND(E137="37",AC137&gt;0,BH137&gt;0),Boss参数!$B$42,0)-DI137*Boss参数!$B$24+EA137-ER137)</f>
        <v>9.9999999999999978E-2</v>
      </c>
      <c r="DW137" s="1">
        <f>MIN(IF(Boss参数!$B$77=1,Boss参数!$B$63*Boss参数!$B$62,Boss参数!$B$61*Boss参数!$B$62),ROUNDDOWN(BQ137*(1-ES137),0))</f>
        <v>0</v>
      </c>
      <c r="DX137" s="1">
        <f>MIN(IF(Boss参数!$B$77=1,Boss参数!$B$63*Boss参数!$B$62,Boss参数!$B$61*Boss参数!$B$62),ROUNDDOWN(BR137*(1-ES137),0))</f>
        <v>0</v>
      </c>
      <c r="DY137" s="1">
        <f t="shared" si="205"/>
        <v>250</v>
      </c>
      <c r="DZ137" s="1">
        <f>IF(L137="RHI_ULT",MIN(Boss参数!$B$48,ROUNDDOWN(AY137*Boss参数!$B$47,0)),DY137)</f>
        <v>250</v>
      </c>
      <c r="EA137" s="1">
        <v>0</v>
      </c>
      <c r="EB137" s="1">
        <f t="shared" si="174"/>
        <v>0</v>
      </c>
      <c r="EC137" s="1">
        <f>SUMIFS($EB$3:EB137,$B$3:B137,"&gt;="&amp;MAX(1,B137-2),$B$3:B137,"&lt;="&amp;B137)*Boss参数!$B$51</f>
        <v>0</v>
      </c>
      <c r="ED137" s="1">
        <f>IF(D137="",EG136,IF(AND(DG137&lt;&gt;DG136,DH137&lt;&gt;"洞穿"),MIN(Boss参数!$B$55,EG136+2),EG136))</f>
        <v>0</v>
      </c>
      <c r="EE137" s="1">
        <f t="shared" si="175"/>
        <v>0</v>
      </c>
      <c r="EF137" s="1">
        <f>IF(AND(OR(L137="END_TURN",AND(DH137="敌方",OR(DH136&lt;&gt;"敌方",DG137&lt;&gt;DG136))),SUMIFS($EF$3:EF136,$DG$3:DG136,DG137)=0),MIN(1,MAX(0,ED137-EE137)),0)</f>
        <v>0</v>
      </c>
      <c r="EG137" s="1">
        <f t="shared" si="176"/>
        <v>0</v>
      </c>
      <c r="EH137" s="1">
        <f>Boss参数!$B$53-IF(Y137=1,Boss参数!$B$54,0)</f>
        <v>0</v>
      </c>
      <c r="EI137" s="1">
        <f t="shared" si="177"/>
        <v>0.15</v>
      </c>
      <c r="EJ137" s="1">
        <f t="shared" si="178"/>
        <v>0.15</v>
      </c>
      <c r="EK137" s="1" t="e">
        <f t="shared" si="179"/>
        <v>#VALUE!</v>
      </c>
      <c r="EL137" s="1">
        <f t="shared" si="206"/>
        <v>0</v>
      </c>
      <c r="EM137" s="1">
        <f>IF(AND(DG137&lt;&gt;DG136,DH137="洞穿"),0,IF(L137="ENTER_INSIGHT",Boss参数!$B$57,EO136))</f>
        <v>0</v>
      </c>
      <c r="EN137" s="1">
        <f>IF(AND(Y137=1,H137="洞知",EM137&gt;0),Boss参数!$B$56,0)</f>
        <v>0</v>
      </c>
      <c r="EO137" s="1">
        <f t="shared" si="180"/>
        <v>0</v>
      </c>
      <c r="EP137" s="1">
        <f t="shared" si="207"/>
        <v>23210479</v>
      </c>
      <c r="EQ137" s="1">
        <f>ROUNDDOWN(EP137/Boss参数!$B$62,0)</f>
        <v>232</v>
      </c>
      <c r="ER137" s="1">
        <f>IF(EQ137&gt;=Boss参数!$B$66,Boss参数!$B$69,IF(EQ137&gt;=Boss参数!$B$65,Boss参数!$B$68,IF(EQ137&gt;=Boss参数!$B$64,Boss参数!$B$67,0)))</f>
        <v>0.9</v>
      </c>
      <c r="ES137" s="1">
        <f>MIN(1,IF(EQ137&gt;=Boss参数!$B$66,Boss参数!$B$72+ROUNDDOWN((EQ137-Boss参数!$B$66)/Boss参数!$B$73,0)*Boss参数!$B$74,IF(EQ137&gt;=Boss参数!$B$65,Boss参数!$B$71,IF(EQ137&gt;=Boss参数!$B$64,Boss参数!$B$70,0))))</f>
        <v>0.65</v>
      </c>
      <c r="ET137" s="1">
        <f>MIN(Boss参数!$B$61*Boss参数!$B$62,EP137+IF(AND(Boss参数!$B$60=1,ISNUMBER(验证表!H143)),验证表!H143,EU137))</f>
        <v>23210479</v>
      </c>
      <c r="EU137" s="1">
        <f>IF(D137="",0,IF(验证表!G143="是",BV137,IF(验证表!G143="否",BU137,BW137)))</f>
        <v>0</v>
      </c>
      <c r="EV137" s="1">
        <f>IF(EQ137&gt;=Boss参数!$B$66,2,IF(EQ137&gt;=Boss参数!$B$65,1,0))</f>
        <v>2</v>
      </c>
      <c r="EW137" s="1">
        <f t="shared" si="181"/>
        <v>3</v>
      </c>
      <c r="EX137" s="1">
        <f>IF(D137="",0,INDEX(回合状态!$D$7:$D$17,MATCH(DG137,回合状态!$A$7:$A$17,0)))</f>
        <v>0</v>
      </c>
      <c r="EY137" s="1">
        <f>IF(OR(L137="RHI_ATTACK",L137="RHI_BUFF"),1,IF(L137="RHI_ULT",Boss参数!$B$52,0))</f>
        <v>0</v>
      </c>
      <c r="EZ137" s="1">
        <f>MIN(6,SUMIFS($EY$3:EY137,$EX$3:EX137,"&gt;="&amp;MAX(1,EX137-Boss参数!$B$87+1),$EX$3:EX137,"&lt;="&amp;EX137))</f>
        <v>0</v>
      </c>
      <c r="FA137" s="1">
        <f t="shared" si="208"/>
        <v>0</v>
      </c>
      <c r="FB137" s="17">
        <f>IF(L137="BOSS_CONSERVATIVE",B137+Boss参数!$B$91,FB136)</f>
        <v>7</v>
      </c>
      <c r="FC137" s="17">
        <f t="shared" si="209"/>
        <v>0</v>
      </c>
      <c r="FD137" s="17">
        <f>IF(D137="",FD136,FD136+IF(AND(DG137&lt;&gt;DG136,INDEX(回合状态!$C$7:$C$17,MATCH(DG137,回合状态!$A$7:$A$17,0))&lt;&gt;"洞穿"),1,0))</f>
        <v>8</v>
      </c>
      <c r="FE137" s="17">
        <f>IF(D137="",0,IF(AND(OR(L137="END_TURN",DH137="敌方"),INDEX(回合状态!$C$7:$C$17,MATCH(DG137,回合状态!$A$7:$A$17,0))&lt;&gt;"洞穿",SUMIFS($FE$3:FE136,$DG$3:DG136,DG137)=0),1,0))</f>
        <v>0</v>
      </c>
    </row>
    <row r="138" spans="1:161" ht="84.95" customHeight="1">
      <c r="A138" s="1" t="str">
        <f>行动模拟!A144</f>
        <v/>
      </c>
      <c r="B138" s="1">
        <f>IF(D138="",0,INDEX(回合状态!$B$7:$B$17,MATCH(DG138,回合状态!$A$7:$A$17,0)))</f>
        <v>0</v>
      </c>
      <c r="C138" s="1">
        <f>行动模拟!C144</f>
        <v>0</v>
      </c>
      <c r="D138" s="1" t="str">
        <f>IF(行动模拟!D144="","",行动模拟!D144)</f>
        <v/>
      </c>
      <c r="E138" s="1" t="str">
        <f>IF($D138="","",IFERROR(INDEX(技能数据库!$B$4:$B$38,MATCH($D138,技能数据库!$A$4:$A$38,0)),""))</f>
        <v/>
      </c>
      <c r="F138" s="1" t="str">
        <f>IF($D138="","",IFERROR(INDEX(技能数据库!$C$4:$C$38,MATCH($D138,技能数据库!$A$4:$A$38,0)),""))</f>
        <v/>
      </c>
      <c r="G138" s="1" t="str">
        <f>IF($D138="","",IFERROR(INDEX(技能数据库!$D$4:$D$38,MATCH($D138,技能数据库!$A$4:$A$38,0)),""))</f>
        <v/>
      </c>
      <c r="H138" s="1" t="str">
        <f>IF($D138="","",IFERROR(INDEX(技能数据库!$E$4:$E$38,MATCH($D138,技能数据库!$A$4:$A$38,0)),""))</f>
        <v/>
      </c>
      <c r="I138" s="1" t="str">
        <f>IF($D138="","",IFERROR(INDEX(技能数据库!$F$4:$F$38,MATCH($D138,技能数据库!$A$4:$A$38,0)),""))</f>
        <v/>
      </c>
      <c r="J138" s="1" t="str">
        <f>IF($D138="","",IFERROR(INDEX(技能数据库!$G$4:$G$38,MATCH($D138,技能数据库!$A$4:$A$38,0)),""))</f>
        <v/>
      </c>
      <c r="K138" s="1" t="str">
        <f>IF($D138="","",IFERROR(INDEX(技能数据库!$H$4:$H$38,MATCH($D138,技能数据库!$A$4:$A$38,0)),""))</f>
        <v/>
      </c>
      <c r="L138" s="1" t="str">
        <f>IF($D138="","",IFERROR(INDEX(技能数据库!$I$4:$I$38,MATCH($D138,技能数据库!$A$4:$A$38,0)),""))</f>
        <v/>
      </c>
      <c r="M138" s="1">
        <v>1</v>
      </c>
      <c r="N138" s="1"/>
      <c r="O138" s="1"/>
      <c r="P138" s="1"/>
      <c r="Q138" s="1">
        <f t="shared" si="140"/>
        <v>0</v>
      </c>
      <c r="R138" s="1">
        <v>0</v>
      </c>
      <c r="S138" s="1">
        <v>0</v>
      </c>
      <c r="T138" s="1">
        <f>行动模拟!I144</f>
        <v>0</v>
      </c>
      <c r="U138" s="1">
        <f>IF(FD138&lt;&gt;FD137,IF(BY137=1,IF(MIN(10,CA137+IF(AND(DG138&lt;&gt;DG137,DH137&lt;&gt;"洞穿",SUMIFS($FE$3:FE137,$DG$3:DG137,DG137)=0,BY137=1),3,0))&gt;=10,2,1),IF(BY137=2,IF(BZ137&lt;=1,0,2),0)),BY137)</f>
        <v>2</v>
      </c>
      <c r="V138" s="1">
        <f>IF(FD138&lt;&gt;FD137,IF(BY137=1,IF(MIN(10,CA137+IF(AND(DG138&lt;&gt;DG137,DH137&lt;&gt;"洞穿",SUMIFS($FE$3:FE137,$DG$3:DG137,DG137)=0,BY137=1),3,0))&gt;=10,2,0),IF(BY137=2,MAX(0,BZ137-1),0)),BZ137)</f>
        <v>1</v>
      </c>
      <c r="W138" s="1">
        <f>IF(AND(FD138&lt;&gt;FD137,BY137=2,BZ137&lt;=1),0,MIN(10,CA137+IF(AND(DG138&lt;&gt;DG137,DH137&lt;&gt;"洞穿",SUMIFS($FE$3:FE137,$DG$3:DG137,DG137)=0,BY137=1),3,0)))</f>
        <v>10</v>
      </c>
      <c r="X138" s="1">
        <f t="shared" si="182"/>
        <v>13</v>
      </c>
      <c r="Y138" s="1">
        <f t="shared" si="183"/>
        <v>0</v>
      </c>
      <c r="Z138" s="1">
        <f t="shared" si="184"/>
        <v>0</v>
      </c>
      <c r="AA138" s="1">
        <f t="shared" si="185"/>
        <v>0</v>
      </c>
      <c r="AB138" s="1">
        <f t="shared" si="186"/>
        <v>10</v>
      </c>
      <c r="AC138" s="1">
        <f t="shared" si="187"/>
        <v>1</v>
      </c>
      <c r="AD138" s="1">
        <f t="shared" si="188"/>
        <v>35</v>
      </c>
      <c r="AE138" s="1">
        <f>IF(D138="",0,IF(DG138&lt;&gt;DG137,IFERROR(INDEX(回合状态!$F$7:$F$17,MATCH(DG138,回合状态!$A$7:$A$17,0)),0),CI137))</f>
        <v>0</v>
      </c>
      <c r="AF138" s="1">
        <f t="shared" si="189"/>
        <v>0.875</v>
      </c>
      <c r="AG138" s="1">
        <f t="shared" si="190"/>
        <v>9</v>
      </c>
      <c r="AH138" s="1">
        <f t="shared" si="191"/>
        <v>9</v>
      </c>
      <c r="AI138" s="1">
        <f t="shared" si="192"/>
        <v>8</v>
      </c>
      <c r="AJ138" s="1">
        <f t="shared" si="193"/>
        <v>9</v>
      </c>
      <c r="AK138" s="1">
        <f t="shared" si="194"/>
        <v>8</v>
      </c>
      <c r="AL138" s="1">
        <f t="shared" si="195"/>
        <v>3</v>
      </c>
      <c r="AM138" s="1">
        <f t="shared" si="196"/>
        <v>30</v>
      </c>
      <c r="AN138" s="1">
        <f t="shared" si="197"/>
        <v>9</v>
      </c>
      <c r="AO138" s="1">
        <f t="shared" si="198"/>
        <v>0</v>
      </c>
      <c r="AP138" s="1" t="e">
        <f t="shared" si="199"/>
        <v>#VALUE!</v>
      </c>
      <c r="AQ138" s="1" t="e">
        <f t="shared" si="200"/>
        <v>#VALUE!</v>
      </c>
      <c r="AR138" s="1">
        <f t="shared" si="201"/>
        <v>0.3</v>
      </c>
      <c r="AS138" s="1">
        <f t="shared" si="202"/>
        <v>9</v>
      </c>
      <c r="AT138" s="1">
        <f t="shared" si="203"/>
        <v>0.3</v>
      </c>
      <c r="AU138" s="1">
        <f t="shared" si="204"/>
        <v>9</v>
      </c>
      <c r="AV138" s="1">
        <f>MIN(5,SUMIFS($EL$3:EL138,$B$3:B138,"&gt;="&amp;MAX(1,B138-2),$B$3:B138,"&lt;="&amp;B138)+EC138)</f>
        <v>0</v>
      </c>
      <c r="AW138" s="1">
        <f>MIN(6,SUMIFS($EY$3:EY137,$EX$3:EX137,"&gt;="&amp;MAX(1,EX138-Boss参数!$B$87+1),$EX$3:EX137,"&lt;="&amp;EX138))</f>
        <v>0</v>
      </c>
      <c r="AX138" s="1">
        <f>MIN(4,COUNTIFS($B$3:$B$137,"&gt;="&amp;MAX(1,$B138-2),$B$3:$B$137,"&lt;="&amp;$B138,$L$3:$L$137,"37_FOLLOW"))</f>
        <v>0</v>
      </c>
      <c r="AY138" s="1" t="str">
        <f>IF($E138="","",IF($E138="系统",0,ROUNDDOWN(INDEX(角色面板!$C$4:$C$7,MATCH($E138,角色面板!$A$4:$A$7,0))*(1+INDEX(角色面板!$C$11:$C$14,MATCH($E138,角色面板!$A$11:$A$14,0))+IF($E138="小瑞安侬",MAX(IF($B138&lt;=$AQ138,$AP138,0),IF(AND($L138="RHI_ATTACK",$EE138&gt;0),0.11+0.01*$G138,0)),0)+IF($E138="J",$AD138*Boss参数!$B$18,0))+IF(FD138&lt;=$AN138,MIN(Boss参数!$B$21,ROUNDDOWN(角色面板!$C$19*Boss参数!$B$20,0)),0)+IF(AND($B138&lt;=$AK138,$E138&lt;&gt;"小瑞安侬"),$DY138,0),0)))</f>
        <v/>
      </c>
      <c r="AZ138" s="1" t="str">
        <f>IF($E138="","",MAX(0,MIN(1,IFERROR(INDEX(角色面板!$G$18:$G$21,MATCH($E138,角色面板!$A$18:$A$21,0)),0)-FC138*Boss参数!$B$89-Boss参数!$E$4)))</f>
        <v/>
      </c>
      <c r="BA138" s="1" t="str">
        <f>IF(E138="","",(IF($E138="","",IF($E138="红弩箭",Boss参数!$B$80,IF($E138="J",Boss参数!$B$81,IFERROR(INDEX(角色面板!$H$18:$H$21,MATCH($E138,角色面板!$A$18:$A$21,0)),0)))+IF($B138&lt;=$AI138,Boss参数!$B$13,0)+MIN(30,$AM138)*Boss参数!$B$17+IF(AND($L138="LILYA_ULT",$X138&gt;=6),1,0)+IF(AND($Y138=1,$L138="LILYA_INSIGHT"),IF(MOD($AA138+1,3)=0,Boss参数!$B$83,Boss参数!$B$82),IF(AND($Y138=1,$L138="LILYA_FINISH"),Boss参数!$B$84,0))))-FC138*Boss参数!$B$90)</f>
        <v/>
      </c>
      <c r="BB138" s="1" t="str">
        <f>IF($E138="","",IFERROR(INDEX(角色面板!$M$18:$M$21,MATCH($E138,角色面板!$A$18:$A$21,0)),0)+$AW138*Boss参数!$B$12+IF($B138&lt;=$AG138,$AF138,0)+$EI138+IF($L138="LILYA_DIVE",IF($U138=1,IF($G138=1,0.3,IF($G138=2,0.4,0.5)),IF($U138=2,IF($G138=1,0.6,IF($G138=2,0.8,1)),0)),0)+$R138+IF(AND($E138="J",OR($L138="J_COUNTER",$L138="J_HARD")),Boss参数!$B$79,0)+IF(AND(OR(L138="J_COUNTER",L138="J_HARD"),FA138&gt;=Boss参数!$B$59),FA138*Boss参数!$B$40,0))</f>
        <v/>
      </c>
      <c r="BC138" s="1" t="e">
        <f>IF($E138="","",IFERROR(INDEX(角色面板!$K$18:$K$21,MATCH($E138,角色面板!$A$18:$A$21,0)),0)+IF($B138&lt;=$AH138,Boss参数!$B$46,0)+IF($E138="红弩箭",IF($U138=1,0.6,IF($U138=2,1.2,0))+$W138*0.06,0))-DI138*Boss参数!$B$23</f>
        <v>#VALUE!</v>
      </c>
      <c r="BD138" s="1" t="e">
        <f>IF($E138="","",IFERROR(INDEX(角色面板!$L$18:$L$21,MATCH($E138,角色面板!$A$18:$A$21,0)),0)+IF($B138&lt;=$AH138,Boss参数!$B$46,0)+IF($E138="J",$AL138*Boss参数!$B$16,0)+IF($E138="红弩箭",$X138*0.025,0)+IF(AND($L138="LILYA_ULT",$X138&gt;=6),1,0))-DI138*Boss参数!$B$23</f>
        <v>#VALUE!</v>
      </c>
      <c r="BE138" s="1" t="str">
        <f>IF($E138="","",IF($H138="洞知",IF($E138="红弩箭",$AO138*Boss参数!$B$15,0)+$AX138*Boss参数!$B$14,0))</f>
        <v/>
      </c>
      <c r="BF138" s="1">
        <f t="shared" si="141"/>
        <v>0</v>
      </c>
      <c r="BG138" s="1">
        <f>IF($D138="",0,IF(AND($L138&lt;&gt;"LILYA_DIVE",$L138&lt;&gt;"LILYA_ULT",$L138&lt;&gt;"LILYA_INSIGHT",$L138&lt;&gt;"LILYA_FINISH",$L138&lt;&gt;"37_FOLLOW",$L138&lt;&gt;"RHI_ATTACK",$L138&lt;&gt;"RHI_BERRY",$L138&lt;&gt;"J_COUNTER",$L138&lt;&gt;"J_ULT"),$J138,0)+IF($L138="LILYA_DIVE",$J138+IF($U138=1,IF($G138=1,6,IF($G138=2,12,18)),IF($U138=2,IF($G138=1,12,IF($G138=2,24,36)),0)),0)+IF($L138="LILYA_ULT",$J138+IF($X138&gt;=6,18,0),0)+IF($L138="LILYA_INSIGHT",IF($Y138=1,IF(MOD($AA138+1,3)=0,32,15),0),0)+IF($L138="LILYA_FINISH",IF($Y138=1,50+2.5*$Z138,0),0)+IF($L138="37_FOLLOW",$J138,0)+IF($L138="RHI_ATTACK",$J138*IF($B138&lt;=$AJ138,2,1),0)+IF($L138="RHI_BERRY",15+1.5*$AV138,0)+IF($L138="J_COUNTER",$J138+$AD138*Boss参数!$B$39,0)+IF($L138="J_ULT",$J138+Boss参数!$B$45*MAX(0,$AE138+$AD138-Boss参数!$I$4),0)+$S138)</f>
        <v>0</v>
      </c>
      <c r="BH138" s="1">
        <f t="shared" si="142"/>
        <v>0</v>
      </c>
      <c r="BI138" s="1" t="str">
        <f>IF(E138="","",IF(DT138=1,1+Boss参数!$B$8+AV138*Boss参数!$B$19,1))</f>
        <v/>
      </c>
      <c r="BJ138" s="1">
        <f>IF($I138="现实",Boss参数!$C$4,IF($I138="精神",Boss参数!$D$4,0))</f>
        <v>0</v>
      </c>
      <c r="BK138" s="1" t="str">
        <f>IF($E138="","",MAX($AY138*Boss参数!$B$9,$AY138-$BJ138*(1-$BF138)))</f>
        <v/>
      </c>
      <c r="BL138" s="1">
        <f>MAX(0,Boss参数!$F$4+IF(DT138=0,Boss参数!$B$27,0)-EJ138)</f>
        <v>1.25</v>
      </c>
      <c r="BM138" s="1">
        <f>Boss参数!$G$4+DU138-IF(Y138=1,Boss参数!$B$11,0)</f>
        <v>0.4</v>
      </c>
      <c r="BN138" s="1" t="str">
        <f>IF($E138="","",MAX(Boss参数!$B$10,1+IFERROR(INDEX(角色面板!$I$18:$I$21,MATCH($E138,角色面板!$A$18:$A$21,0)),0)+$BB138+Boss参数!$H$4-$BM138))</f>
        <v/>
      </c>
      <c r="BO138" s="1" t="str">
        <f>IF(E138="","",IF(OR(L138="J_COUNTER",L138="J_HARD"),MAX(0,1+INDEX(角色面板!$K$18:$K$21,MATCH(E138,角色面板!$A$18:$A$21,0))-DI138*Boss参数!$B$23+IF(OR(Boss参数!$B$43=1,L138="J_HARD"),IF(B138&lt;=AH138,Boss参数!$B$46,0),0)),MAX(0,IF(OR(H138="术法",L138="RHI_BERRY",AND(L138="37_FOLLOW",Boss参数!$B$31=1)),1+BC138,IF(H138="仪式",1+BD138,IF(H138="洞知",EK138,1))))))</f>
        <v/>
      </c>
      <c r="BP138" s="1" t="str">
        <f t="shared" si="143"/>
        <v/>
      </c>
      <c r="BQ138" s="1">
        <f t="shared" si="144"/>
        <v>0</v>
      </c>
      <c r="BR138" s="1">
        <f t="shared" si="145"/>
        <v>0</v>
      </c>
      <c r="BS138" s="1">
        <f>IF(BH138=0,0,ROUNDDOWN(AY138*BH138,0)*DV138*IF(Boss参数!$B$29=1,BN138,1)*IF(Boss参数!$B$33=1,BO138,1)*IF(Boss参数!$B$76=1,1-ES138,1))</f>
        <v>0</v>
      </c>
      <c r="BT138" s="1">
        <f t="shared" si="146"/>
        <v>0</v>
      </c>
      <c r="BU138" s="1">
        <f>IF(D138="",0,MIN(IF(Boss参数!$B$77=1,Boss参数!$B$63*Boss参数!$B$62,Boss参数!$B$61*Boss参数!$B$62),DW138+ROUNDDOWN(BS138,0)+ROUNDDOWN(DW138*Q138,0)))</f>
        <v>0</v>
      </c>
      <c r="BV138" s="1">
        <f>IF(D138="",0,MIN(IF(Boss参数!$B$77=1,Boss参数!$B$63*Boss参数!$B$62,Boss参数!$B$61*Boss参数!$B$62),DX138+ROUNDDOWN(BT138,0)+ROUNDDOWN(DX138*Q138,0)))</f>
        <v>0</v>
      </c>
      <c r="BW138" s="1">
        <f t="shared" si="147"/>
        <v>0</v>
      </c>
      <c r="BX138" s="1" t="str">
        <f t="shared" si="148"/>
        <v/>
      </c>
      <c r="BY138" s="1">
        <f t="shared" si="149"/>
        <v>2</v>
      </c>
      <c r="BZ138" s="1">
        <f t="shared" si="150"/>
        <v>1</v>
      </c>
      <c r="CA138" s="1">
        <f>MIN(10,W138+IF(AND(L138="LILYA_COBRA",COUNTIF($L$3:L138,"LILYA_COBRA")=1),5,0)+IF(AND(L138="LILYA_DIVE",U138=1,COUNTIFS($DG$3:DG138,DG138,$L$3:L138,"LILYA_DIVE")=1),2,0)+IF(AND(FE138=1,U138=1),3,0))</f>
        <v>10</v>
      </c>
      <c r="CB138" s="1">
        <f>MIN(20,MAX(0,X138+IF(L138="LILYA_COBRA",IF(COUNTIF($L$3:L138,"LILYA_COBRA")=1,6,IF(U138=1,MAX(1,G138),IF(U138=2,2*MAX(1,G138),0))),0)+IF(AND(Y138=1,E138="红弩箭",L138&lt;&gt;"ENTER_INSIGHT"),1,0)-IF(AND(L138="LILYA_ULT",X138&gt;=6),6,0)))</f>
        <v>13</v>
      </c>
      <c r="CC138" s="1">
        <f t="shared" si="151"/>
        <v>0</v>
      </c>
      <c r="CD138" s="1">
        <f t="shared" si="152"/>
        <v>0</v>
      </c>
      <c r="CE138" s="1">
        <f t="shared" si="153"/>
        <v>0</v>
      </c>
      <c r="CF138" s="1">
        <f t="shared" si="154"/>
        <v>10</v>
      </c>
      <c r="CG138" s="1">
        <f t="shared" si="155"/>
        <v>1</v>
      </c>
      <c r="CH138" s="1">
        <f>MIN(35,AD138+IF(L138="J_HARD",6,0)+IF(L138="J_COUNTER",Boss参数!$B$30,0))</f>
        <v>35</v>
      </c>
      <c r="CI138" s="1">
        <f>MIN(Boss参数!$I$4,AE138+IF(L138="J_HARD",6,0)+IF(L138="J_ULT",AD138,0)+IF(L138="J_COUNTER",Boss参数!$B$30,0))</f>
        <v>0</v>
      </c>
      <c r="CJ138" s="1">
        <f>IF(L138="J_ULT",AD138*Boss参数!$B$41,IF(B138&lt;=AG138,AF138,0))</f>
        <v>0.875</v>
      </c>
      <c r="CK138" s="1">
        <f t="shared" si="156"/>
        <v>9</v>
      </c>
      <c r="CL138" s="1">
        <f t="shared" si="157"/>
        <v>9</v>
      </c>
      <c r="CM138" s="1">
        <f t="shared" si="158"/>
        <v>8</v>
      </c>
      <c r="CN138" s="1">
        <f t="shared" si="159"/>
        <v>9</v>
      </c>
      <c r="CO138" s="1">
        <f t="shared" si="160"/>
        <v>8</v>
      </c>
      <c r="CP138" s="1">
        <f t="shared" si="161"/>
        <v>3</v>
      </c>
      <c r="CQ138" s="1">
        <f t="shared" si="162"/>
        <v>30</v>
      </c>
      <c r="CR138" s="1">
        <f t="shared" si="163"/>
        <v>9</v>
      </c>
      <c r="CS138" s="1">
        <f t="shared" si="164"/>
        <v>0</v>
      </c>
      <c r="CT138" s="1" t="e">
        <f t="shared" si="165"/>
        <v>#VALUE!</v>
      </c>
      <c r="CU138" s="1" t="e">
        <f t="shared" si="166"/>
        <v>#VALUE!</v>
      </c>
      <c r="CV138" s="1">
        <f t="shared" si="167"/>
        <v>0.3</v>
      </c>
      <c r="CW138" s="1">
        <f t="shared" si="168"/>
        <v>9</v>
      </c>
      <c r="CX138" s="1">
        <f t="shared" si="169"/>
        <v>0.3</v>
      </c>
      <c r="CY138" s="1">
        <f t="shared" si="170"/>
        <v>9</v>
      </c>
      <c r="CZ138" s="1"/>
      <c r="DA138" s="1"/>
      <c r="DB138" s="1"/>
      <c r="DC138" s="1"/>
      <c r="DD138" s="1"/>
      <c r="DE138" s="1"/>
      <c r="DF138" s="1"/>
      <c r="DG138" s="1" t="str">
        <f>IF(D138="","",行动模拟!B144)</f>
        <v/>
      </c>
      <c r="DH138" s="1" t="str">
        <f>IF(L138="END_TURN","回合结束",IF(D138="","",IF(INDEX(回合状态!$C$7:$C$17,MATCH(DG138,回合状态!$A$7:$A$17,0))="洞穿","洞穿",IF(OR(L138="J_COUNTER",L138="BOSS_ACTION",L138="BOSS_CONSERVATIVE"),"敌方",IF(AND(L138="37_FOLLOW",DG138=DG137,DH137="敌方"),"敌方",IF(INDEX(回合状态!$C$7:$C$17,MATCH(DG138,回合状态!$A$7:$A$17,0))="普通","出牌",INDEX(回合状态!$C$7:$C$17,MATCH(DG138,回合状态!$A$7:$A$17,0))))))))</f>
        <v/>
      </c>
      <c r="DI138" s="1">
        <f t="shared" si="171"/>
        <v>0</v>
      </c>
      <c r="DJ138" s="1">
        <f>IF(D138="",0,MIN(Boss参数!$B$25,IF(OR(AND(DH138="敌方",OR(DH137&lt;&gt;"敌方",DG138&lt;&gt;DG137)),AND(L138="END_TURN",DH138&lt;&gt;"洞穿"),AND(DG138&lt;&gt;DG137,DH137&lt;&gt;"洞穿",L137&lt;&gt;"END_TURN",COUNTIFS($DG$3:DG137,DG137,$DH$3:DH137,"敌方")=0)),EW138,DN137)))</f>
        <v>0</v>
      </c>
      <c r="DK138" s="1">
        <f>IF(D138="",0,MIN(Boss参数!$B$25,IF(OR(AND(DH138="敌方",OR(DH137&lt;&gt;"敌方",DG138&lt;&gt;DG137)),AND(L138="END_TURN",DH138&lt;&gt;"洞穿"),AND(DG138&lt;&gt;DG137,DH137&lt;&gt;"洞穿",L137&lt;&gt;"END_TURN",COUNTIFS($DG$3:DG137,DG137,$DH$3:DH137,"敌方")=0)),EW138,DO137)))</f>
        <v>0</v>
      </c>
      <c r="DL138" s="1">
        <f>IF(D138="",0,MIN(Boss参数!$B$25,IF(OR(AND(DH138="敌方",OR(DH137&lt;&gt;"敌方",DG138&lt;&gt;DG137)),AND(L138="END_TURN",DH138&lt;&gt;"洞穿"),AND(DG138&lt;&gt;DG137,DH137&lt;&gt;"洞穿",L137&lt;&gt;"END_TURN",COUNTIFS($DG$3:DG137,DG137,$DH$3:DH137,"敌方")=0)),EW138,DP137)))</f>
        <v>0</v>
      </c>
      <c r="DM138" s="1">
        <f>IF(D138="",0,MIN(Boss参数!$B$25,IF(OR(AND(DH138="敌方",OR(DH137&lt;&gt;"敌方",DG138&lt;&gt;DG137)),AND(L138="END_TURN",DH138&lt;&gt;"洞穿"),AND(DG138&lt;&gt;DG137,DH137&lt;&gt;"洞穿",L137&lt;&gt;"END_TURN",COUNTIFS($DG$3:DG137,DG137,$DH$3:DH137,"敌方")=0)),EW138,DQ137)))</f>
        <v>0</v>
      </c>
      <c r="DN138" s="1">
        <f>MAX(0,MIN(Boss参数!$B$25,DJ138+DR138)-IF(E138="红弩箭",2*DR138,0))</f>
        <v>0</v>
      </c>
      <c r="DO138" s="1">
        <f>MAX(0,MIN(Boss参数!$B$25,DK138+DR138)-IF(E138="37",2*DR138,0))</f>
        <v>0</v>
      </c>
      <c r="DP138" s="1">
        <f>MAX(0,MIN(Boss参数!$B$25,DL138+DR138)-IF(E138="小瑞安侬",2*DR138,0))</f>
        <v>0</v>
      </c>
      <c r="DQ138" s="1">
        <f>MAX(0,MIN(Boss参数!$B$25,DM138+DR138)-IF(E138="J",2*DR138,0))</f>
        <v>0</v>
      </c>
      <c r="DR138" s="1">
        <f t="shared" si="172"/>
        <v>0</v>
      </c>
      <c r="DS138" s="1">
        <f t="shared" si="173"/>
        <v>0</v>
      </c>
      <c r="DT138" s="1">
        <f>IF(OR(E138="",E138="系统"),0,IF(OR(AND(DS138=1,Boss参数!$B$32=1),L138="RHI_BERRY",OR(AND(INDEX(角色面板!$B$18:$B$21,MATCH(E138,角色面板!$A$18:$A$21,0))="星",Boss参数!$B$4="岩"),AND(INDEX(角色面板!$B$18:$B$21,MATCH(E138,角色面板!$A$18:$A$21,0))="岩",Boss参数!$B$4="兽"),AND(INDEX(角色面板!$B$18:$B$21,MATCH(E138,角色面板!$A$18:$A$21,0))="兽",Boss参数!$B$4="木"),AND(INDEX(角色面板!$B$18:$B$21,MATCH(E138,角色面板!$A$18:$A$21,0))="木",Boss参数!$B$4="星"),AND(INDEX(角色面板!$B$18:$B$21,MATCH(E138,角色面板!$A$18:$A$21,0))="智",Boss参数!$B$4="灵"),AND(INDEX(角色面板!$B$18:$B$21,MATCH(E138,角色面板!$A$18:$A$21,0))="灵",Boss参数!$B$4="智"))),1,0))</f>
        <v>0</v>
      </c>
      <c r="DU138" s="1">
        <f>IF(D138="",0,INDEX(回合状态!$E$7:$E$17,MATCH(DG138,回合状态!$A$7:$A$17,0))+IF(AND(DH138="敌方",OR(INDEX(回合状态!$C$7:$C$17,MATCH(DG138,回合状态!$A$7:$A$17,0))="普通",INDEX(回合状态!$C$7:$C$17,MATCH(DG138,回合状态!$A$7:$A$17,0))="额外")),0.05,0))</f>
        <v>0</v>
      </c>
      <c r="DV138" s="1">
        <f>MAX(Boss参数!$B$28,1+IF(AND(E138="37",AC138&gt;0,BH138&gt;0),Boss参数!$B$42,0)-DI138*Boss参数!$B$24+EA138-ER138)</f>
        <v>9.9999999999999978E-2</v>
      </c>
      <c r="DW138" s="1">
        <f>MIN(IF(Boss参数!$B$77=1,Boss参数!$B$63*Boss参数!$B$62,Boss参数!$B$61*Boss参数!$B$62),ROUNDDOWN(BQ138*(1-ES138),0))</f>
        <v>0</v>
      </c>
      <c r="DX138" s="1">
        <f>MIN(IF(Boss参数!$B$77=1,Boss参数!$B$63*Boss参数!$B$62,Boss参数!$B$61*Boss参数!$B$62),ROUNDDOWN(BR138*(1-ES138),0))</f>
        <v>0</v>
      </c>
      <c r="DY138" s="1">
        <f t="shared" si="205"/>
        <v>250</v>
      </c>
      <c r="DZ138" s="1">
        <f>IF(L138="RHI_ULT",MIN(Boss参数!$B$48,ROUNDDOWN(AY138*Boss参数!$B$47,0)),DY138)</f>
        <v>250</v>
      </c>
      <c r="EA138" s="1">
        <v>0</v>
      </c>
      <c r="EB138" s="1">
        <f t="shared" si="174"/>
        <v>0</v>
      </c>
      <c r="EC138" s="1">
        <f>SUMIFS($EB$3:EB138,$B$3:B138,"&gt;="&amp;MAX(1,B138-2),$B$3:B138,"&lt;="&amp;B138)*Boss参数!$B$51</f>
        <v>0</v>
      </c>
      <c r="ED138" s="1">
        <f>IF(D138="",EG137,IF(AND(DG138&lt;&gt;DG137,DH138&lt;&gt;"洞穿"),MIN(Boss参数!$B$55,EG137+2),EG137))</f>
        <v>0</v>
      </c>
      <c r="EE138" s="1">
        <f t="shared" si="175"/>
        <v>0</v>
      </c>
      <c r="EF138" s="1">
        <f>IF(AND(OR(L138="END_TURN",AND(DH138="敌方",OR(DH137&lt;&gt;"敌方",DG138&lt;&gt;DG137))),SUMIFS($EF$3:EF137,$DG$3:DG137,DG138)=0),MIN(1,MAX(0,ED138-EE138)),0)</f>
        <v>0</v>
      </c>
      <c r="EG138" s="1">
        <f t="shared" si="176"/>
        <v>0</v>
      </c>
      <c r="EH138" s="1">
        <f>Boss参数!$B$53-IF(Y138=1,Boss参数!$B$54,0)</f>
        <v>0</v>
      </c>
      <c r="EI138" s="1">
        <f t="shared" si="177"/>
        <v>0.15</v>
      </c>
      <c r="EJ138" s="1">
        <f t="shared" si="178"/>
        <v>0.15</v>
      </c>
      <c r="EK138" s="1" t="e">
        <f t="shared" si="179"/>
        <v>#VALUE!</v>
      </c>
      <c r="EL138" s="1">
        <f t="shared" si="206"/>
        <v>0</v>
      </c>
      <c r="EM138" s="1">
        <f>IF(AND(DG138&lt;&gt;DG137,DH138="洞穿"),0,IF(L138="ENTER_INSIGHT",Boss参数!$B$57,EO137))</f>
        <v>0</v>
      </c>
      <c r="EN138" s="1">
        <f>IF(AND(Y138=1,H138="洞知",EM138&gt;0),Boss参数!$B$56,0)</f>
        <v>0</v>
      </c>
      <c r="EO138" s="1">
        <f t="shared" si="180"/>
        <v>0</v>
      </c>
      <c r="EP138" s="1">
        <f t="shared" si="207"/>
        <v>23210479</v>
      </c>
      <c r="EQ138" s="1">
        <f>ROUNDDOWN(EP138/Boss参数!$B$62,0)</f>
        <v>232</v>
      </c>
      <c r="ER138" s="1">
        <f>IF(EQ138&gt;=Boss参数!$B$66,Boss参数!$B$69,IF(EQ138&gt;=Boss参数!$B$65,Boss参数!$B$68,IF(EQ138&gt;=Boss参数!$B$64,Boss参数!$B$67,0)))</f>
        <v>0.9</v>
      </c>
      <c r="ES138" s="1">
        <f>MIN(1,IF(EQ138&gt;=Boss参数!$B$66,Boss参数!$B$72+ROUNDDOWN((EQ138-Boss参数!$B$66)/Boss参数!$B$73,0)*Boss参数!$B$74,IF(EQ138&gt;=Boss参数!$B$65,Boss参数!$B$71,IF(EQ138&gt;=Boss参数!$B$64,Boss参数!$B$70,0))))</f>
        <v>0.65</v>
      </c>
      <c r="ET138" s="1">
        <f>MIN(Boss参数!$B$61*Boss参数!$B$62,EP138+IF(AND(Boss参数!$B$60=1,ISNUMBER(验证表!H144)),验证表!H144,EU138))</f>
        <v>23210479</v>
      </c>
      <c r="EU138" s="1">
        <f>IF(D138="",0,IF(验证表!G144="是",BV138,IF(验证表!G144="否",BU138,BW138)))</f>
        <v>0</v>
      </c>
      <c r="EV138" s="1">
        <f>IF(EQ138&gt;=Boss参数!$B$66,2,IF(EQ138&gt;=Boss参数!$B$65,1,0))</f>
        <v>2</v>
      </c>
      <c r="EW138" s="1">
        <f t="shared" si="181"/>
        <v>3</v>
      </c>
      <c r="EX138" s="1">
        <f>IF(D138="",0,INDEX(回合状态!$D$7:$D$17,MATCH(DG138,回合状态!$A$7:$A$17,0)))</f>
        <v>0</v>
      </c>
      <c r="EY138" s="1">
        <f>IF(OR(L138="RHI_ATTACK",L138="RHI_BUFF"),1,IF(L138="RHI_ULT",Boss参数!$B$52,0))</f>
        <v>0</v>
      </c>
      <c r="EZ138" s="1">
        <f>MIN(6,SUMIFS($EY$3:EY138,$EX$3:EX138,"&gt;="&amp;MAX(1,EX138-Boss参数!$B$87+1),$EX$3:EX138,"&lt;="&amp;EX138))</f>
        <v>0</v>
      </c>
      <c r="FA138" s="1">
        <f t="shared" si="208"/>
        <v>0</v>
      </c>
      <c r="FB138" s="17">
        <f>IF(L138="BOSS_CONSERVATIVE",B138+Boss参数!$B$91,FB137)</f>
        <v>7</v>
      </c>
      <c r="FC138" s="17">
        <f t="shared" si="209"/>
        <v>0</v>
      </c>
      <c r="FD138" s="17">
        <f>IF(D138="",FD137,FD137+IF(AND(DG138&lt;&gt;DG137,INDEX(回合状态!$C$7:$C$17,MATCH(DG138,回合状态!$A$7:$A$17,0))&lt;&gt;"洞穿"),1,0))</f>
        <v>8</v>
      </c>
      <c r="FE138" s="17">
        <f>IF(D138="",0,IF(AND(OR(L138="END_TURN",DH138="敌方"),INDEX(回合状态!$C$7:$C$17,MATCH(DG138,回合状态!$A$7:$A$17,0))&lt;&gt;"洞穿",SUMIFS($FE$3:FE137,$DG$3:DG137,DG138)=0),1,0))</f>
        <v>0</v>
      </c>
    </row>
    <row r="139" spans="1:161" ht="84.95" customHeight="1">
      <c r="A139" s="1" t="str">
        <f>行动模拟!A145</f>
        <v/>
      </c>
      <c r="B139" s="1">
        <f>IF(D139="",0,INDEX(回合状态!$B$7:$B$17,MATCH(DG139,回合状态!$A$7:$A$17,0)))</f>
        <v>0</v>
      </c>
      <c r="C139" s="1">
        <f>行动模拟!C145</f>
        <v>0</v>
      </c>
      <c r="D139" s="1" t="str">
        <f>IF(行动模拟!D145="","",行动模拟!D145)</f>
        <v/>
      </c>
      <c r="E139" s="1" t="str">
        <f>IF($D139="","",IFERROR(INDEX(技能数据库!$B$4:$B$38,MATCH($D139,技能数据库!$A$4:$A$38,0)),""))</f>
        <v/>
      </c>
      <c r="F139" s="1" t="str">
        <f>IF($D139="","",IFERROR(INDEX(技能数据库!$C$4:$C$38,MATCH($D139,技能数据库!$A$4:$A$38,0)),""))</f>
        <v/>
      </c>
      <c r="G139" s="1" t="str">
        <f>IF($D139="","",IFERROR(INDEX(技能数据库!$D$4:$D$38,MATCH($D139,技能数据库!$A$4:$A$38,0)),""))</f>
        <v/>
      </c>
      <c r="H139" s="1" t="str">
        <f>IF($D139="","",IFERROR(INDEX(技能数据库!$E$4:$E$38,MATCH($D139,技能数据库!$A$4:$A$38,0)),""))</f>
        <v/>
      </c>
      <c r="I139" s="1" t="str">
        <f>IF($D139="","",IFERROR(INDEX(技能数据库!$F$4:$F$38,MATCH($D139,技能数据库!$A$4:$A$38,0)),""))</f>
        <v/>
      </c>
      <c r="J139" s="1" t="str">
        <f>IF($D139="","",IFERROR(INDEX(技能数据库!$G$4:$G$38,MATCH($D139,技能数据库!$A$4:$A$38,0)),""))</f>
        <v/>
      </c>
      <c r="K139" s="1" t="str">
        <f>IF($D139="","",IFERROR(INDEX(技能数据库!$H$4:$H$38,MATCH($D139,技能数据库!$A$4:$A$38,0)),""))</f>
        <v/>
      </c>
      <c r="L139" s="1" t="str">
        <f>IF($D139="","",IFERROR(INDEX(技能数据库!$I$4:$I$38,MATCH($D139,技能数据库!$A$4:$A$38,0)),""))</f>
        <v/>
      </c>
      <c r="M139" s="1">
        <v>1</v>
      </c>
      <c r="N139" s="1"/>
      <c r="O139" s="1"/>
      <c r="P139" s="1"/>
      <c r="Q139" s="1">
        <f t="shared" si="140"/>
        <v>0</v>
      </c>
      <c r="R139" s="1">
        <v>0</v>
      </c>
      <c r="S139" s="1">
        <v>0</v>
      </c>
      <c r="T139" s="1">
        <f>行动模拟!I145</f>
        <v>0</v>
      </c>
      <c r="U139" s="1">
        <f>IF(FD139&lt;&gt;FD138,IF(BY138=1,IF(MIN(10,CA138+IF(AND(DG139&lt;&gt;DG138,DH138&lt;&gt;"洞穿",SUMIFS($FE$3:FE138,$DG$3:DG138,DG138)=0,BY138=1),3,0))&gt;=10,2,1),IF(BY138=2,IF(BZ138&lt;=1,0,2),0)),BY138)</f>
        <v>2</v>
      </c>
      <c r="V139" s="1">
        <f>IF(FD139&lt;&gt;FD138,IF(BY138=1,IF(MIN(10,CA138+IF(AND(DG139&lt;&gt;DG138,DH138&lt;&gt;"洞穿",SUMIFS($FE$3:FE138,$DG$3:DG138,DG138)=0,BY138=1),3,0))&gt;=10,2,0),IF(BY138=2,MAX(0,BZ138-1),0)),BZ138)</f>
        <v>1</v>
      </c>
      <c r="W139" s="1">
        <f>IF(AND(FD139&lt;&gt;FD138,BY138=2,BZ138&lt;=1),0,MIN(10,CA138+IF(AND(DG139&lt;&gt;DG138,DH138&lt;&gt;"洞穿",SUMIFS($FE$3:FE138,$DG$3:DG138,DG138)=0,BY138=1),3,0)))</f>
        <v>10</v>
      </c>
      <c r="X139" s="1">
        <f t="shared" si="182"/>
        <v>13</v>
      </c>
      <c r="Y139" s="1">
        <f t="shared" si="183"/>
        <v>0</v>
      </c>
      <c r="Z139" s="1">
        <f t="shared" si="184"/>
        <v>0</v>
      </c>
      <c r="AA139" s="1">
        <f t="shared" si="185"/>
        <v>0</v>
      </c>
      <c r="AB139" s="1">
        <f t="shared" si="186"/>
        <v>10</v>
      </c>
      <c r="AC139" s="1">
        <f t="shared" si="187"/>
        <v>1</v>
      </c>
      <c r="AD139" s="1">
        <f t="shared" si="188"/>
        <v>35</v>
      </c>
      <c r="AE139" s="1">
        <f>IF(D139="",0,IF(DG139&lt;&gt;DG138,IFERROR(INDEX(回合状态!$F$7:$F$17,MATCH(DG139,回合状态!$A$7:$A$17,0)),0),CI138))</f>
        <v>0</v>
      </c>
      <c r="AF139" s="1">
        <f t="shared" si="189"/>
        <v>0.875</v>
      </c>
      <c r="AG139" s="1">
        <f t="shared" si="190"/>
        <v>9</v>
      </c>
      <c r="AH139" s="1">
        <f t="shared" si="191"/>
        <v>9</v>
      </c>
      <c r="AI139" s="1">
        <f t="shared" si="192"/>
        <v>8</v>
      </c>
      <c r="AJ139" s="1">
        <f t="shared" si="193"/>
        <v>9</v>
      </c>
      <c r="AK139" s="1">
        <f t="shared" si="194"/>
        <v>8</v>
      </c>
      <c r="AL139" s="1">
        <f t="shared" si="195"/>
        <v>3</v>
      </c>
      <c r="AM139" s="1">
        <f t="shared" si="196"/>
        <v>30</v>
      </c>
      <c r="AN139" s="1">
        <f t="shared" si="197"/>
        <v>9</v>
      </c>
      <c r="AO139" s="1">
        <f t="shared" si="198"/>
        <v>0</v>
      </c>
      <c r="AP139" s="1" t="e">
        <f t="shared" si="199"/>
        <v>#VALUE!</v>
      </c>
      <c r="AQ139" s="1" t="e">
        <f t="shared" si="200"/>
        <v>#VALUE!</v>
      </c>
      <c r="AR139" s="1">
        <f t="shared" si="201"/>
        <v>0.3</v>
      </c>
      <c r="AS139" s="1">
        <f t="shared" si="202"/>
        <v>9</v>
      </c>
      <c r="AT139" s="1">
        <f t="shared" si="203"/>
        <v>0.3</v>
      </c>
      <c r="AU139" s="1">
        <f t="shared" si="204"/>
        <v>9</v>
      </c>
      <c r="AV139" s="1">
        <f>MIN(5,SUMIFS($EL$3:EL139,$B$3:B139,"&gt;="&amp;MAX(1,B139-2),$B$3:B139,"&lt;="&amp;B139)+EC139)</f>
        <v>0</v>
      </c>
      <c r="AW139" s="1">
        <f>MIN(6,SUMIFS($EY$3:EY138,$EX$3:EX138,"&gt;="&amp;MAX(1,EX139-Boss参数!$B$87+1),$EX$3:EX138,"&lt;="&amp;EX139))</f>
        <v>0</v>
      </c>
      <c r="AX139" s="1">
        <f>MIN(4,COUNTIFS($B$3:$B$138,"&gt;="&amp;MAX(1,$B139-2),$B$3:$B$138,"&lt;="&amp;$B139,$L$3:$L$138,"37_FOLLOW"))</f>
        <v>0</v>
      </c>
      <c r="AY139" s="1" t="str">
        <f>IF($E139="","",IF($E139="系统",0,ROUNDDOWN(INDEX(角色面板!$C$4:$C$7,MATCH($E139,角色面板!$A$4:$A$7,0))*(1+INDEX(角色面板!$C$11:$C$14,MATCH($E139,角色面板!$A$11:$A$14,0))+IF($E139="小瑞安侬",MAX(IF($B139&lt;=$AQ139,$AP139,0),IF(AND($L139="RHI_ATTACK",$EE139&gt;0),0.11+0.01*$G139,0)),0)+IF($E139="J",$AD139*Boss参数!$B$18,0))+IF(FD139&lt;=$AN139,MIN(Boss参数!$B$21,ROUNDDOWN(角色面板!$C$19*Boss参数!$B$20,0)),0)+IF(AND($B139&lt;=$AK139,$E139&lt;&gt;"小瑞安侬"),$DY139,0),0)))</f>
        <v/>
      </c>
      <c r="AZ139" s="1" t="str">
        <f>IF($E139="","",MAX(0,MIN(1,IFERROR(INDEX(角色面板!$G$18:$G$21,MATCH($E139,角色面板!$A$18:$A$21,0)),0)-FC139*Boss参数!$B$89-Boss参数!$E$4)))</f>
        <v/>
      </c>
      <c r="BA139" s="1" t="str">
        <f>IF(E139="","",(IF($E139="","",IF($E139="红弩箭",Boss参数!$B$80,IF($E139="J",Boss参数!$B$81,IFERROR(INDEX(角色面板!$H$18:$H$21,MATCH($E139,角色面板!$A$18:$A$21,0)),0)))+IF($B139&lt;=$AI139,Boss参数!$B$13,0)+MIN(30,$AM139)*Boss参数!$B$17+IF(AND($L139="LILYA_ULT",$X139&gt;=6),1,0)+IF(AND($Y139=1,$L139="LILYA_INSIGHT"),IF(MOD($AA139+1,3)=0,Boss参数!$B$83,Boss参数!$B$82),IF(AND($Y139=1,$L139="LILYA_FINISH"),Boss参数!$B$84,0))))-FC139*Boss参数!$B$90)</f>
        <v/>
      </c>
      <c r="BB139" s="1" t="str">
        <f>IF($E139="","",IFERROR(INDEX(角色面板!$M$18:$M$21,MATCH($E139,角色面板!$A$18:$A$21,0)),0)+$AW139*Boss参数!$B$12+IF($B139&lt;=$AG139,$AF139,0)+$EI139+IF($L139="LILYA_DIVE",IF($U139=1,IF($G139=1,0.3,IF($G139=2,0.4,0.5)),IF($U139=2,IF($G139=1,0.6,IF($G139=2,0.8,1)),0)),0)+$R139+IF(AND($E139="J",OR($L139="J_COUNTER",$L139="J_HARD")),Boss参数!$B$79,0)+IF(AND(OR(L139="J_COUNTER",L139="J_HARD"),FA139&gt;=Boss参数!$B$59),FA139*Boss参数!$B$40,0))</f>
        <v/>
      </c>
      <c r="BC139" s="1" t="e">
        <f>IF($E139="","",IFERROR(INDEX(角色面板!$K$18:$K$21,MATCH($E139,角色面板!$A$18:$A$21,0)),0)+IF($B139&lt;=$AH139,Boss参数!$B$46,0)+IF($E139="红弩箭",IF($U139=1,0.6,IF($U139=2,1.2,0))+$W139*0.06,0))-DI139*Boss参数!$B$23</f>
        <v>#VALUE!</v>
      </c>
      <c r="BD139" s="1" t="e">
        <f>IF($E139="","",IFERROR(INDEX(角色面板!$L$18:$L$21,MATCH($E139,角色面板!$A$18:$A$21,0)),0)+IF($B139&lt;=$AH139,Boss参数!$B$46,0)+IF($E139="J",$AL139*Boss参数!$B$16,0)+IF($E139="红弩箭",$X139*0.025,0)+IF(AND($L139="LILYA_ULT",$X139&gt;=6),1,0))-DI139*Boss参数!$B$23</f>
        <v>#VALUE!</v>
      </c>
      <c r="BE139" s="1" t="str">
        <f>IF($E139="","",IF($H139="洞知",IF($E139="红弩箭",$AO139*Boss参数!$B$15,0)+$AX139*Boss参数!$B$14,0))</f>
        <v/>
      </c>
      <c r="BF139" s="1">
        <f t="shared" si="141"/>
        <v>0</v>
      </c>
      <c r="BG139" s="1">
        <f>IF($D139="",0,IF(AND($L139&lt;&gt;"LILYA_DIVE",$L139&lt;&gt;"LILYA_ULT",$L139&lt;&gt;"LILYA_INSIGHT",$L139&lt;&gt;"LILYA_FINISH",$L139&lt;&gt;"37_FOLLOW",$L139&lt;&gt;"RHI_ATTACK",$L139&lt;&gt;"RHI_BERRY",$L139&lt;&gt;"J_COUNTER",$L139&lt;&gt;"J_ULT"),$J139,0)+IF($L139="LILYA_DIVE",$J139+IF($U139=1,IF($G139=1,6,IF($G139=2,12,18)),IF($U139=2,IF($G139=1,12,IF($G139=2,24,36)),0)),0)+IF($L139="LILYA_ULT",$J139+IF($X139&gt;=6,18,0),0)+IF($L139="LILYA_INSIGHT",IF($Y139=1,IF(MOD($AA139+1,3)=0,32,15),0),0)+IF($L139="LILYA_FINISH",IF($Y139=1,50+2.5*$Z139,0),0)+IF($L139="37_FOLLOW",$J139,0)+IF($L139="RHI_ATTACK",$J139*IF($B139&lt;=$AJ139,2,1),0)+IF($L139="RHI_BERRY",15+1.5*$AV139,0)+IF($L139="J_COUNTER",$J139+$AD139*Boss参数!$B$39,0)+IF($L139="J_ULT",$J139+Boss参数!$B$45*MAX(0,$AE139+$AD139-Boss参数!$I$4),0)+$S139)</f>
        <v>0</v>
      </c>
      <c r="BH139" s="1">
        <f t="shared" si="142"/>
        <v>0</v>
      </c>
      <c r="BI139" s="1" t="str">
        <f>IF(E139="","",IF(DT139=1,1+Boss参数!$B$8+AV139*Boss参数!$B$19,1))</f>
        <v/>
      </c>
      <c r="BJ139" s="1">
        <f>IF($I139="现实",Boss参数!$C$4,IF($I139="精神",Boss参数!$D$4,0))</f>
        <v>0</v>
      </c>
      <c r="BK139" s="1" t="str">
        <f>IF($E139="","",MAX($AY139*Boss参数!$B$9,$AY139-$BJ139*(1-$BF139)))</f>
        <v/>
      </c>
      <c r="BL139" s="1">
        <f>MAX(0,Boss参数!$F$4+IF(DT139=0,Boss参数!$B$27,0)-EJ139)</f>
        <v>1.25</v>
      </c>
      <c r="BM139" s="1">
        <f>Boss参数!$G$4+DU139-IF(Y139=1,Boss参数!$B$11,0)</f>
        <v>0.4</v>
      </c>
      <c r="BN139" s="1" t="str">
        <f>IF($E139="","",MAX(Boss参数!$B$10,1+IFERROR(INDEX(角色面板!$I$18:$I$21,MATCH($E139,角色面板!$A$18:$A$21,0)),0)+$BB139+Boss参数!$H$4-$BM139))</f>
        <v/>
      </c>
      <c r="BO139" s="1" t="str">
        <f>IF(E139="","",IF(OR(L139="J_COUNTER",L139="J_HARD"),MAX(0,1+INDEX(角色面板!$K$18:$K$21,MATCH(E139,角色面板!$A$18:$A$21,0))-DI139*Boss参数!$B$23+IF(OR(Boss参数!$B$43=1,L139="J_HARD"),IF(B139&lt;=AH139,Boss参数!$B$46,0),0)),MAX(0,IF(OR(H139="术法",L139="RHI_BERRY",AND(L139="37_FOLLOW",Boss参数!$B$31=1)),1+BC139,IF(H139="仪式",1+BD139,IF(H139="洞知",EK139,1))))))</f>
        <v/>
      </c>
      <c r="BP139" s="1" t="str">
        <f t="shared" si="143"/>
        <v/>
      </c>
      <c r="BQ139" s="1">
        <f t="shared" si="144"/>
        <v>0</v>
      </c>
      <c r="BR139" s="1">
        <f t="shared" si="145"/>
        <v>0</v>
      </c>
      <c r="BS139" s="1">
        <f>IF(BH139=0,0,ROUNDDOWN(AY139*BH139,0)*DV139*IF(Boss参数!$B$29=1,BN139,1)*IF(Boss参数!$B$33=1,BO139,1)*IF(Boss参数!$B$76=1,1-ES139,1))</f>
        <v>0</v>
      </c>
      <c r="BT139" s="1">
        <f t="shared" si="146"/>
        <v>0</v>
      </c>
      <c r="BU139" s="1">
        <f>IF(D139="",0,MIN(IF(Boss参数!$B$77=1,Boss参数!$B$63*Boss参数!$B$62,Boss参数!$B$61*Boss参数!$B$62),DW139+ROUNDDOWN(BS139,0)+ROUNDDOWN(DW139*Q139,0)))</f>
        <v>0</v>
      </c>
      <c r="BV139" s="1">
        <f>IF(D139="",0,MIN(IF(Boss参数!$B$77=1,Boss参数!$B$63*Boss参数!$B$62,Boss参数!$B$61*Boss参数!$B$62),DX139+ROUNDDOWN(BT139,0)+ROUNDDOWN(DX139*Q139,0)))</f>
        <v>0</v>
      </c>
      <c r="BW139" s="1">
        <f t="shared" si="147"/>
        <v>0</v>
      </c>
      <c r="BX139" s="1" t="str">
        <f t="shared" si="148"/>
        <v/>
      </c>
      <c r="BY139" s="1">
        <f t="shared" si="149"/>
        <v>2</v>
      </c>
      <c r="BZ139" s="1">
        <f t="shared" si="150"/>
        <v>1</v>
      </c>
      <c r="CA139" s="1">
        <f>MIN(10,W139+IF(AND(L139="LILYA_COBRA",COUNTIF($L$3:L139,"LILYA_COBRA")=1),5,0)+IF(AND(L139="LILYA_DIVE",U139=1,COUNTIFS($DG$3:DG139,DG139,$L$3:L139,"LILYA_DIVE")=1),2,0)+IF(AND(FE139=1,U139=1),3,0))</f>
        <v>10</v>
      </c>
      <c r="CB139" s="1">
        <f>MIN(20,MAX(0,X139+IF(L139="LILYA_COBRA",IF(COUNTIF($L$3:L139,"LILYA_COBRA")=1,6,IF(U139=1,MAX(1,G139),IF(U139=2,2*MAX(1,G139),0))),0)+IF(AND(Y139=1,E139="红弩箭",L139&lt;&gt;"ENTER_INSIGHT"),1,0)-IF(AND(L139="LILYA_ULT",X139&gt;=6),6,0)))</f>
        <v>13</v>
      </c>
      <c r="CC139" s="1">
        <f t="shared" si="151"/>
        <v>0</v>
      </c>
      <c r="CD139" s="1">
        <f t="shared" si="152"/>
        <v>0</v>
      </c>
      <c r="CE139" s="1">
        <f t="shared" si="153"/>
        <v>0</v>
      </c>
      <c r="CF139" s="1">
        <f t="shared" si="154"/>
        <v>10</v>
      </c>
      <c r="CG139" s="1">
        <f t="shared" si="155"/>
        <v>1</v>
      </c>
      <c r="CH139" s="1">
        <f>MIN(35,AD139+IF(L139="J_HARD",6,0)+IF(L139="J_COUNTER",Boss参数!$B$30,0))</f>
        <v>35</v>
      </c>
      <c r="CI139" s="1">
        <f>MIN(Boss参数!$I$4,AE139+IF(L139="J_HARD",6,0)+IF(L139="J_ULT",AD139,0)+IF(L139="J_COUNTER",Boss参数!$B$30,0))</f>
        <v>0</v>
      </c>
      <c r="CJ139" s="1">
        <f>IF(L139="J_ULT",AD139*Boss参数!$B$41,IF(B139&lt;=AG139,AF139,0))</f>
        <v>0.875</v>
      </c>
      <c r="CK139" s="1">
        <f t="shared" si="156"/>
        <v>9</v>
      </c>
      <c r="CL139" s="1">
        <f t="shared" si="157"/>
        <v>9</v>
      </c>
      <c r="CM139" s="1">
        <f t="shared" si="158"/>
        <v>8</v>
      </c>
      <c r="CN139" s="1">
        <f t="shared" si="159"/>
        <v>9</v>
      </c>
      <c r="CO139" s="1">
        <f t="shared" si="160"/>
        <v>8</v>
      </c>
      <c r="CP139" s="1">
        <f t="shared" si="161"/>
        <v>3</v>
      </c>
      <c r="CQ139" s="1">
        <f t="shared" si="162"/>
        <v>30</v>
      </c>
      <c r="CR139" s="1">
        <f t="shared" si="163"/>
        <v>9</v>
      </c>
      <c r="CS139" s="1">
        <f t="shared" si="164"/>
        <v>0</v>
      </c>
      <c r="CT139" s="1" t="e">
        <f t="shared" si="165"/>
        <v>#VALUE!</v>
      </c>
      <c r="CU139" s="1" t="e">
        <f t="shared" si="166"/>
        <v>#VALUE!</v>
      </c>
      <c r="CV139" s="1">
        <f t="shared" si="167"/>
        <v>0.3</v>
      </c>
      <c r="CW139" s="1">
        <f t="shared" si="168"/>
        <v>9</v>
      </c>
      <c r="CX139" s="1">
        <f t="shared" si="169"/>
        <v>0.3</v>
      </c>
      <c r="CY139" s="1">
        <f t="shared" si="170"/>
        <v>9</v>
      </c>
      <c r="CZ139" s="1"/>
      <c r="DA139" s="1"/>
      <c r="DB139" s="1"/>
      <c r="DC139" s="1"/>
      <c r="DD139" s="1"/>
      <c r="DE139" s="1"/>
      <c r="DF139" s="1"/>
      <c r="DG139" s="1" t="str">
        <f>IF(D139="","",行动模拟!B145)</f>
        <v/>
      </c>
      <c r="DH139" s="1" t="str">
        <f>IF(L139="END_TURN","回合结束",IF(D139="","",IF(INDEX(回合状态!$C$7:$C$17,MATCH(DG139,回合状态!$A$7:$A$17,0))="洞穿","洞穿",IF(OR(L139="J_COUNTER",L139="BOSS_ACTION",L139="BOSS_CONSERVATIVE"),"敌方",IF(AND(L139="37_FOLLOW",DG139=DG138,DH138="敌方"),"敌方",IF(INDEX(回合状态!$C$7:$C$17,MATCH(DG139,回合状态!$A$7:$A$17,0))="普通","出牌",INDEX(回合状态!$C$7:$C$17,MATCH(DG139,回合状态!$A$7:$A$17,0))))))))</f>
        <v/>
      </c>
      <c r="DI139" s="1">
        <f t="shared" si="171"/>
        <v>0</v>
      </c>
      <c r="DJ139" s="1">
        <f>IF(D139="",0,MIN(Boss参数!$B$25,IF(OR(AND(DH139="敌方",OR(DH138&lt;&gt;"敌方",DG139&lt;&gt;DG138)),AND(L139="END_TURN",DH139&lt;&gt;"洞穿"),AND(DG139&lt;&gt;DG138,DH138&lt;&gt;"洞穿",L138&lt;&gt;"END_TURN",COUNTIFS($DG$3:DG138,DG138,$DH$3:DH138,"敌方")=0)),EW139,DN138)))</f>
        <v>0</v>
      </c>
      <c r="DK139" s="1">
        <f>IF(D139="",0,MIN(Boss参数!$B$25,IF(OR(AND(DH139="敌方",OR(DH138&lt;&gt;"敌方",DG139&lt;&gt;DG138)),AND(L139="END_TURN",DH139&lt;&gt;"洞穿"),AND(DG139&lt;&gt;DG138,DH138&lt;&gt;"洞穿",L138&lt;&gt;"END_TURN",COUNTIFS($DG$3:DG138,DG138,$DH$3:DH138,"敌方")=0)),EW139,DO138)))</f>
        <v>0</v>
      </c>
      <c r="DL139" s="1">
        <f>IF(D139="",0,MIN(Boss参数!$B$25,IF(OR(AND(DH139="敌方",OR(DH138&lt;&gt;"敌方",DG139&lt;&gt;DG138)),AND(L139="END_TURN",DH139&lt;&gt;"洞穿"),AND(DG139&lt;&gt;DG138,DH138&lt;&gt;"洞穿",L138&lt;&gt;"END_TURN",COUNTIFS($DG$3:DG138,DG138,$DH$3:DH138,"敌方")=0)),EW139,DP138)))</f>
        <v>0</v>
      </c>
      <c r="DM139" s="1">
        <f>IF(D139="",0,MIN(Boss参数!$B$25,IF(OR(AND(DH139="敌方",OR(DH138&lt;&gt;"敌方",DG139&lt;&gt;DG138)),AND(L139="END_TURN",DH139&lt;&gt;"洞穿"),AND(DG139&lt;&gt;DG138,DH138&lt;&gt;"洞穿",L138&lt;&gt;"END_TURN",COUNTIFS($DG$3:DG138,DG138,$DH$3:DH138,"敌方")=0)),EW139,DQ138)))</f>
        <v>0</v>
      </c>
      <c r="DN139" s="1">
        <f>MAX(0,MIN(Boss参数!$B$25,DJ139+DR139)-IF(E139="红弩箭",2*DR139,0))</f>
        <v>0</v>
      </c>
      <c r="DO139" s="1">
        <f>MAX(0,MIN(Boss参数!$B$25,DK139+DR139)-IF(E139="37",2*DR139,0))</f>
        <v>0</v>
      </c>
      <c r="DP139" s="1">
        <f>MAX(0,MIN(Boss参数!$B$25,DL139+DR139)-IF(E139="小瑞安侬",2*DR139,0))</f>
        <v>0</v>
      </c>
      <c r="DQ139" s="1">
        <f>MAX(0,MIN(Boss参数!$B$25,DM139+DR139)-IF(E139="J",2*DR139,0))</f>
        <v>0</v>
      </c>
      <c r="DR139" s="1">
        <f t="shared" si="172"/>
        <v>0</v>
      </c>
      <c r="DS139" s="1">
        <f t="shared" si="173"/>
        <v>0</v>
      </c>
      <c r="DT139" s="1">
        <f>IF(OR(E139="",E139="系统"),0,IF(OR(AND(DS139=1,Boss参数!$B$32=1),L139="RHI_BERRY",OR(AND(INDEX(角色面板!$B$18:$B$21,MATCH(E139,角色面板!$A$18:$A$21,0))="星",Boss参数!$B$4="岩"),AND(INDEX(角色面板!$B$18:$B$21,MATCH(E139,角色面板!$A$18:$A$21,0))="岩",Boss参数!$B$4="兽"),AND(INDEX(角色面板!$B$18:$B$21,MATCH(E139,角色面板!$A$18:$A$21,0))="兽",Boss参数!$B$4="木"),AND(INDEX(角色面板!$B$18:$B$21,MATCH(E139,角色面板!$A$18:$A$21,0))="木",Boss参数!$B$4="星"),AND(INDEX(角色面板!$B$18:$B$21,MATCH(E139,角色面板!$A$18:$A$21,0))="智",Boss参数!$B$4="灵"),AND(INDEX(角色面板!$B$18:$B$21,MATCH(E139,角色面板!$A$18:$A$21,0))="灵",Boss参数!$B$4="智"))),1,0))</f>
        <v>0</v>
      </c>
      <c r="DU139" s="1">
        <f>IF(D139="",0,INDEX(回合状态!$E$7:$E$17,MATCH(DG139,回合状态!$A$7:$A$17,0))+IF(AND(DH139="敌方",OR(INDEX(回合状态!$C$7:$C$17,MATCH(DG139,回合状态!$A$7:$A$17,0))="普通",INDEX(回合状态!$C$7:$C$17,MATCH(DG139,回合状态!$A$7:$A$17,0))="额外")),0.05,0))</f>
        <v>0</v>
      </c>
      <c r="DV139" s="1">
        <f>MAX(Boss参数!$B$28,1+IF(AND(E139="37",AC139&gt;0,BH139&gt;0),Boss参数!$B$42,0)-DI139*Boss参数!$B$24+EA139-ER139)</f>
        <v>9.9999999999999978E-2</v>
      </c>
      <c r="DW139" s="1">
        <f>MIN(IF(Boss参数!$B$77=1,Boss参数!$B$63*Boss参数!$B$62,Boss参数!$B$61*Boss参数!$B$62),ROUNDDOWN(BQ139*(1-ES139),0))</f>
        <v>0</v>
      </c>
      <c r="DX139" s="1">
        <f>MIN(IF(Boss参数!$B$77=1,Boss参数!$B$63*Boss参数!$B$62,Boss参数!$B$61*Boss参数!$B$62),ROUNDDOWN(BR139*(1-ES139),0))</f>
        <v>0</v>
      </c>
      <c r="DY139" s="1">
        <f t="shared" si="205"/>
        <v>250</v>
      </c>
      <c r="DZ139" s="1">
        <f>IF(L139="RHI_ULT",MIN(Boss参数!$B$48,ROUNDDOWN(AY139*Boss参数!$B$47,0)),DY139)</f>
        <v>250</v>
      </c>
      <c r="EA139" s="1">
        <v>0</v>
      </c>
      <c r="EB139" s="1">
        <f t="shared" si="174"/>
        <v>0</v>
      </c>
      <c r="EC139" s="1">
        <f>SUMIFS($EB$3:EB139,$B$3:B139,"&gt;="&amp;MAX(1,B139-2),$B$3:B139,"&lt;="&amp;B139)*Boss参数!$B$51</f>
        <v>0</v>
      </c>
      <c r="ED139" s="1">
        <f>IF(D139="",EG138,IF(AND(DG139&lt;&gt;DG138,DH139&lt;&gt;"洞穿"),MIN(Boss参数!$B$55,EG138+2),EG138))</f>
        <v>0</v>
      </c>
      <c r="EE139" s="1">
        <f t="shared" si="175"/>
        <v>0</v>
      </c>
      <c r="EF139" s="1">
        <f>IF(AND(OR(L139="END_TURN",AND(DH139="敌方",OR(DH138&lt;&gt;"敌方",DG139&lt;&gt;DG138))),SUMIFS($EF$3:EF138,$DG$3:DG138,DG139)=0),MIN(1,MAX(0,ED139-EE139)),0)</f>
        <v>0</v>
      </c>
      <c r="EG139" s="1">
        <f t="shared" si="176"/>
        <v>0</v>
      </c>
      <c r="EH139" s="1">
        <f>Boss参数!$B$53-IF(Y139=1,Boss参数!$B$54,0)</f>
        <v>0</v>
      </c>
      <c r="EI139" s="1">
        <f t="shared" si="177"/>
        <v>0.15</v>
      </c>
      <c r="EJ139" s="1">
        <f t="shared" si="178"/>
        <v>0.15</v>
      </c>
      <c r="EK139" s="1" t="e">
        <f t="shared" si="179"/>
        <v>#VALUE!</v>
      </c>
      <c r="EL139" s="1">
        <f t="shared" si="206"/>
        <v>0</v>
      </c>
      <c r="EM139" s="1">
        <f>IF(AND(DG139&lt;&gt;DG138,DH139="洞穿"),0,IF(L139="ENTER_INSIGHT",Boss参数!$B$57,EO138))</f>
        <v>0</v>
      </c>
      <c r="EN139" s="1">
        <f>IF(AND(Y139=1,H139="洞知",EM139&gt;0),Boss参数!$B$56,0)</f>
        <v>0</v>
      </c>
      <c r="EO139" s="1">
        <f t="shared" si="180"/>
        <v>0</v>
      </c>
      <c r="EP139" s="1">
        <f t="shared" si="207"/>
        <v>23210479</v>
      </c>
      <c r="EQ139" s="1">
        <f>ROUNDDOWN(EP139/Boss参数!$B$62,0)</f>
        <v>232</v>
      </c>
      <c r="ER139" s="1">
        <f>IF(EQ139&gt;=Boss参数!$B$66,Boss参数!$B$69,IF(EQ139&gt;=Boss参数!$B$65,Boss参数!$B$68,IF(EQ139&gt;=Boss参数!$B$64,Boss参数!$B$67,0)))</f>
        <v>0.9</v>
      </c>
      <c r="ES139" s="1">
        <f>MIN(1,IF(EQ139&gt;=Boss参数!$B$66,Boss参数!$B$72+ROUNDDOWN((EQ139-Boss参数!$B$66)/Boss参数!$B$73,0)*Boss参数!$B$74,IF(EQ139&gt;=Boss参数!$B$65,Boss参数!$B$71,IF(EQ139&gt;=Boss参数!$B$64,Boss参数!$B$70,0))))</f>
        <v>0.65</v>
      </c>
      <c r="ET139" s="1">
        <f>MIN(Boss参数!$B$61*Boss参数!$B$62,EP139+IF(AND(Boss参数!$B$60=1,ISNUMBER(验证表!H145)),验证表!H145,EU139))</f>
        <v>23210479</v>
      </c>
      <c r="EU139" s="1">
        <f>IF(D139="",0,IF(验证表!G145="是",BV139,IF(验证表!G145="否",BU139,BW139)))</f>
        <v>0</v>
      </c>
      <c r="EV139" s="1">
        <f>IF(EQ139&gt;=Boss参数!$B$66,2,IF(EQ139&gt;=Boss参数!$B$65,1,0))</f>
        <v>2</v>
      </c>
      <c r="EW139" s="1">
        <f t="shared" si="181"/>
        <v>3</v>
      </c>
      <c r="EX139" s="1">
        <f>IF(D139="",0,INDEX(回合状态!$D$7:$D$17,MATCH(DG139,回合状态!$A$7:$A$17,0)))</f>
        <v>0</v>
      </c>
      <c r="EY139" s="1">
        <f>IF(OR(L139="RHI_ATTACK",L139="RHI_BUFF"),1,IF(L139="RHI_ULT",Boss参数!$B$52,0))</f>
        <v>0</v>
      </c>
      <c r="EZ139" s="1">
        <f>MIN(6,SUMIFS($EY$3:EY139,$EX$3:EX139,"&gt;="&amp;MAX(1,EX139-Boss参数!$B$87+1),$EX$3:EX139,"&lt;="&amp;EX139))</f>
        <v>0</v>
      </c>
      <c r="FA139" s="1">
        <f t="shared" si="208"/>
        <v>0</v>
      </c>
      <c r="FB139" s="17">
        <f>IF(L139="BOSS_CONSERVATIVE",B139+Boss参数!$B$91,FB138)</f>
        <v>7</v>
      </c>
      <c r="FC139" s="17">
        <f t="shared" si="209"/>
        <v>0</v>
      </c>
      <c r="FD139" s="17">
        <f>IF(D139="",FD138,FD138+IF(AND(DG139&lt;&gt;DG138,INDEX(回合状态!$C$7:$C$17,MATCH(DG139,回合状态!$A$7:$A$17,0))&lt;&gt;"洞穿"),1,0))</f>
        <v>8</v>
      </c>
      <c r="FE139" s="17">
        <f>IF(D139="",0,IF(AND(OR(L139="END_TURN",DH139="敌方"),INDEX(回合状态!$C$7:$C$17,MATCH(DG139,回合状态!$A$7:$A$17,0))&lt;&gt;"洞穿",SUMIFS($FE$3:FE138,$DG$3:DG138,DG139)=0),1,0))</f>
        <v>0</v>
      </c>
    </row>
    <row r="140" spans="1:161" ht="84.95" customHeight="1">
      <c r="A140" s="1" t="str">
        <f>行动模拟!A146</f>
        <v/>
      </c>
      <c r="B140" s="1">
        <f>IF(D140="",0,INDEX(回合状态!$B$7:$B$17,MATCH(DG140,回合状态!$A$7:$A$17,0)))</f>
        <v>0</v>
      </c>
      <c r="C140" s="1">
        <f>行动模拟!C146</f>
        <v>0</v>
      </c>
      <c r="D140" s="1" t="str">
        <f>IF(行动模拟!D146="","",行动模拟!D146)</f>
        <v/>
      </c>
      <c r="E140" s="1" t="str">
        <f>IF($D140="","",IFERROR(INDEX(技能数据库!$B$4:$B$38,MATCH($D140,技能数据库!$A$4:$A$38,0)),""))</f>
        <v/>
      </c>
      <c r="F140" s="1" t="str">
        <f>IF($D140="","",IFERROR(INDEX(技能数据库!$C$4:$C$38,MATCH($D140,技能数据库!$A$4:$A$38,0)),""))</f>
        <v/>
      </c>
      <c r="G140" s="1" t="str">
        <f>IF($D140="","",IFERROR(INDEX(技能数据库!$D$4:$D$38,MATCH($D140,技能数据库!$A$4:$A$38,0)),""))</f>
        <v/>
      </c>
      <c r="H140" s="1" t="str">
        <f>IF($D140="","",IFERROR(INDEX(技能数据库!$E$4:$E$38,MATCH($D140,技能数据库!$A$4:$A$38,0)),""))</f>
        <v/>
      </c>
      <c r="I140" s="1" t="str">
        <f>IF($D140="","",IFERROR(INDEX(技能数据库!$F$4:$F$38,MATCH($D140,技能数据库!$A$4:$A$38,0)),""))</f>
        <v/>
      </c>
      <c r="J140" s="1" t="str">
        <f>IF($D140="","",IFERROR(INDEX(技能数据库!$G$4:$G$38,MATCH($D140,技能数据库!$A$4:$A$38,0)),""))</f>
        <v/>
      </c>
      <c r="K140" s="1" t="str">
        <f>IF($D140="","",IFERROR(INDEX(技能数据库!$H$4:$H$38,MATCH($D140,技能数据库!$A$4:$A$38,0)),""))</f>
        <v/>
      </c>
      <c r="L140" s="1" t="str">
        <f>IF($D140="","",IFERROR(INDEX(技能数据库!$I$4:$I$38,MATCH($D140,技能数据库!$A$4:$A$38,0)),""))</f>
        <v/>
      </c>
      <c r="M140" s="1">
        <v>1</v>
      </c>
      <c r="N140" s="1"/>
      <c r="O140" s="1"/>
      <c r="P140" s="1"/>
      <c r="Q140" s="1">
        <f t="shared" si="140"/>
        <v>0</v>
      </c>
      <c r="R140" s="1">
        <v>0</v>
      </c>
      <c r="S140" s="1">
        <v>0</v>
      </c>
      <c r="T140" s="1">
        <f>行动模拟!I146</f>
        <v>0</v>
      </c>
      <c r="U140" s="1">
        <f>IF(FD140&lt;&gt;FD139,IF(BY139=1,IF(MIN(10,CA139+IF(AND(DG140&lt;&gt;DG139,DH139&lt;&gt;"洞穿",SUMIFS($FE$3:FE139,$DG$3:DG139,DG139)=0,BY139=1),3,0))&gt;=10,2,1),IF(BY139=2,IF(BZ139&lt;=1,0,2),0)),BY139)</f>
        <v>2</v>
      </c>
      <c r="V140" s="1">
        <f>IF(FD140&lt;&gt;FD139,IF(BY139=1,IF(MIN(10,CA139+IF(AND(DG140&lt;&gt;DG139,DH139&lt;&gt;"洞穿",SUMIFS($FE$3:FE139,$DG$3:DG139,DG139)=0,BY139=1),3,0))&gt;=10,2,0),IF(BY139=2,MAX(0,BZ139-1),0)),BZ139)</f>
        <v>1</v>
      </c>
      <c r="W140" s="1">
        <f>IF(AND(FD140&lt;&gt;FD139,BY139=2,BZ139&lt;=1),0,MIN(10,CA139+IF(AND(DG140&lt;&gt;DG139,DH139&lt;&gt;"洞穿",SUMIFS($FE$3:FE139,$DG$3:DG139,DG139)=0,BY139=1),3,0)))</f>
        <v>10</v>
      </c>
      <c r="X140" s="1">
        <f t="shared" si="182"/>
        <v>13</v>
      </c>
      <c r="Y140" s="1">
        <f t="shared" si="183"/>
        <v>0</v>
      </c>
      <c r="Z140" s="1">
        <f t="shared" si="184"/>
        <v>0</v>
      </c>
      <c r="AA140" s="1">
        <f t="shared" si="185"/>
        <v>0</v>
      </c>
      <c r="AB140" s="1">
        <f t="shared" si="186"/>
        <v>10</v>
      </c>
      <c r="AC140" s="1">
        <f t="shared" si="187"/>
        <v>1</v>
      </c>
      <c r="AD140" s="1">
        <f t="shared" si="188"/>
        <v>35</v>
      </c>
      <c r="AE140" s="1">
        <f>IF(D140="",0,IF(DG140&lt;&gt;DG139,IFERROR(INDEX(回合状态!$F$7:$F$17,MATCH(DG140,回合状态!$A$7:$A$17,0)),0),CI139))</f>
        <v>0</v>
      </c>
      <c r="AF140" s="1">
        <f t="shared" si="189"/>
        <v>0.875</v>
      </c>
      <c r="AG140" s="1">
        <f t="shared" si="190"/>
        <v>9</v>
      </c>
      <c r="AH140" s="1">
        <f t="shared" si="191"/>
        <v>9</v>
      </c>
      <c r="AI140" s="1">
        <f t="shared" si="192"/>
        <v>8</v>
      </c>
      <c r="AJ140" s="1">
        <f t="shared" si="193"/>
        <v>9</v>
      </c>
      <c r="AK140" s="1">
        <f t="shared" si="194"/>
        <v>8</v>
      </c>
      <c r="AL140" s="1">
        <f t="shared" si="195"/>
        <v>3</v>
      </c>
      <c r="AM140" s="1">
        <f t="shared" si="196"/>
        <v>30</v>
      </c>
      <c r="AN140" s="1">
        <f t="shared" si="197"/>
        <v>9</v>
      </c>
      <c r="AO140" s="1">
        <f t="shared" si="198"/>
        <v>0</v>
      </c>
      <c r="AP140" s="1" t="e">
        <f t="shared" si="199"/>
        <v>#VALUE!</v>
      </c>
      <c r="AQ140" s="1" t="e">
        <f t="shared" si="200"/>
        <v>#VALUE!</v>
      </c>
      <c r="AR140" s="1">
        <f t="shared" si="201"/>
        <v>0.3</v>
      </c>
      <c r="AS140" s="1">
        <f t="shared" si="202"/>
        <v>9</v>
      </c>
      <c r="AT140" s="1">
        <f t="shared" si="203"/>
        <v>0.3</v>
      </c>
      <c r="AU140" s="1">
        <f t="shared" si="204"/>
        <v>9</v>
      </c>
      <c r="AV140" s="1">
        <f>MIN(5,SUMIFS($EL$3:EL140,$B$3:B140,"&gt;="&amp;MAX(1,B140-2),$B$3:B140,"&lt;="&amp;B140)+EC140)</f>
        <v>0</v>
      </c>
      <c r="AW140" s="1">
        <f>MIN(6,SUMIFS($EY$3:EY139,$EX$3:EX139,"&gt;="&amp;MAX(1,EX140-Boss参数!$B$87+1),$EX$3:EX139,"&lt;="&amp;EX140))</f>
        <v>0</v>
      </c>
      <c r="AX140" s="1">
        <f>MIN(4,COUNTIFS($B$3:$B$139,"&gt;="&amp;MAX(1,$B140-2),$B$3:$B$139,"&lt;="&amp;$B140,$L$3:$L$139,"37_FOLLOW"))</f>
        <v>0</v>
      </c>
      <c r="AY140" s="1" t="str">
        <f>IF($E140="","",IF($E140="系统",0,ROUNDDOWN(INDEX(角色面板!$C$4:$C$7,MATCH($E140,角色面板!$A$4:$A$7,0))*(1+INDEX(角色面板!$C$11:$C$14,MATCH($E140,角色面板!$A$11:$A$14,0))+IF($E140="小瑞安侬",MAX(IF($B140&lt;=$AQ140,$AP140,0),IF(AND($L140="RHI_ATTACK",$EE140&gt;0),0.11+0.01*$G140,0)),0)+IF($E140="J",$AD140*Boss参数!$B$18,0))+IF(FD140&lt;=$AN140,MIN(Boss参数!$B$21,ROUNDDOWN(角色面板!$C$19*Boss参数!$B$20,0)),0)+IF(AND($B140&lt;=$AK140,$E140&lt;&gt;"小瑞安侬"),$DY140,0),0)))</f>
        <v/>
      </c>
      <c r="AZ140" s="1" t="str">
        <f>IF($E140="","",MAX(0,MIN(1,IFERROR(INDEX(角色面板!$G$18:$G$21,MATCH($E140,角色面板!$A$18:$A$21,0)),0)-FC140*Boss参数!$B$89-Boss参数!$E$4)))</f>
        <v/>
      </c>
      <c r="BA140" s="1" t="str">
        <f>IF(E140="","",(IF($E140="","",IF($E140="红弩箭",Boss参数!$B$80,IF($E140="J",Boss参数!$B$81,IFERROR(INDEX(角色面板!$H$18:$H$21,MATCH($E140,角色面板!$A$18:$A$21,0)),0)))+IF($B140&lt;=$AI140,Boss参数!$B$13,0)+MIN(30,$AM140)*Boss参数!$B$17+IF(AND($L140="LILYA_ULT",$X140&gt;=6),1,0)+IF(AND($Y140=1,$L140="LILYA_INSIGHT"),IF(MOD($AA140+1,3)=0,Boss参数!$B$83,Boss参数!$B$82),IF(AND($Y140=1,$L140="LILYA_FINISH"),Boss参数!$B$84,0))))-FC140*Boss参数!$B$90)</f>
        <v/>
      </c>
      <c r="BB140" s="1" t="str">
        <f>IF($E140="","",IFERROR(INDEX(角色面板!$M$18:$M$21,MATCH($E140,角色面板!$A$18:$A$21,0)),0)+$AW140*Boss参数!$B$12+IF($B140&lt;=$AG140,$AF140,0)+$EI140+IF($L140="LILYA_DIVE",IF($U140=1,IF($G140=1,0.3,IF($G140=2,0.4,0.5)),IF($U140=2,IF($G140=1,0.6,IF($G140=2,0.8,1)),0)),0)+$R140+IF(AND($E140="J",OR($L140="J_COUNTER",$L140="J_HARD")),Boss参数!$B$79,0)+IF(AND(OR(L140="J_COUNTER",L140="J_HARD"),FA140&gt;=Boss参数!$B$59),FA140*Boss参数!$B$40,0))</f>
        <v/>
      </c>
      <c r="BC140" s="1" t="e">
        <f>IF($E140="","",IFERROR(INDEX(角色面板!$K$18:$K$21,MATCH($E140,角色面板!$A$18:$A$21,0)),0)+IF($B140&lt;=$AH140,Boss参数!$B$46,0)+IF($E140="红弩箭",IF($U140=1,0.6,IF($U140=2,1.2,0))+$W140*0.06,0))-DI140*Boss参数!$B$23</f>
        <v>#VALUE!</v>
      </c>
      <c r="BD140" s="1" t="e">
        <f>IF($E140="","",IFERROR(INDEX(角色面板!$L$18:$L$21,MATCH($E140,角色面板!$A$18:$A$21,0)),0)+IF($B140&lt;=$AH140,Boss参数!$B$46,0)+IF($E140="J",$AL140*Boss参数!$B$16,0)+IF($E140="红弩箭",$X140*0.025,0)+IF(AND($L140="LILYA_ULT",$X140&gt;=6),1,0))-DI140*Boss参数!$B$23</f>
        <v>#VALUE!</v>
      </c>
      <c r="BE140" s="1" t="str">
        <f>IF($E140="","",IF($H140="洞知",IF($E140="红弩箭",$AO140*Boss参数!$B$15,0)+$AX140*Boss参数!$B$14,0))</f>
        <v/>
      </c>
      <c r="BF140" s="1">
        <f t="shared" si="141"/>
        <v>0</v>
      </c>
      <c r="BG140" s="1">
        <f>IF($D140="",0,IF(AND($L140&lt;&gt;"LILYA_DIVE",$L140&lt;&gt;"LILYA_ULT",$L140&lt;&gt;"LILYA_INSIGHT",$L140&lt;&gt;"LILYA_FINISH",$L140&lt;&gt;"37_FOLLOW",$L140&lt;&gt;"RHI_ATTACK",$L140&lt;&gt;"RHI_BERRY",$L140&lt;&gt;"J_COUNTER",$L140&lt;&gt;"J_ULT"),$J140,0)+IF($L140="LILYA_DIVE",$J140+IF($U140=1,IF($G140=1,6,IF($G140=2,12,18)),IF($U140=2,IF($G140=1,12,IF($G140=2,24,36)),0)),0)+IF($L140="LILYA_ULT",$J140+IF($X140&gt;=6,18,0),0)+IF($L140="LILYA_INSIGHT",IF($Y140=1,IF(MOD($AA140+1,3)=0,32,15),0),0)+IF($L140="LILYA_FINISH",IF($Y140=1,50+2.5*$Z140,0),0)+IF($L140="37_FOLLOW",$J140,0)+IF($L140="RHI_ATTACK",$J140*IF($B140&lt;=$AJ140,2,1),0)+IF($L140="RHI_BERRY",15+1.5*$AV140,0)+IF($L140="J_COUNTER",$J140+$AD140*Boss参数!$B$39,0)+IF($L140="J_ULT",$J140+Boss参数!$B$45*MAX(0,$AE140+$AD140-Boss参数!$I$4),0)+$S140)</f>
        <v>0</v>
      </c>
      <c r="BH140" s="1">
        <f t="shared" si="142"/>
        <v>0</v>
      </c>
      <c r="BI140" s="1" t="str">
        <f>IF(E140="","",IF(DT140=1,1+Boss参数!$B$8+AV140*Boss参数!$B$19,1))</f>
        <v/>
      </c>
      <c r="BJ140" s="1">
        <f>IF($I140="现实",Boss参数!$C$4,IF($I140="精神",Boss参数!$D$4,0))</f>
        <v>0</v>
      </c>
      <c r="BK140" s="1" t="str">
        <f>IF($E140="","",MAX($AY140*Boss参数!$B$9,$AY140-$BJ140*(1-$BF140)))</f>
        <v/>
      </c>
      <c r="BL140" s="1">
        <f>MAX(0,Boss参数!$F$4+IF(DT140=0,Boss参数!$B$27,0)-EJ140)</f>
        <v>1.25</v>
      </c>
      <c r="BM140" s="1">
        <f>Boss参数!$G$4+DU140-IF(Y140=1,Boss参数!$B$11,0)</f>
        <v>0.4</v>
      </c>
      <c r="BN140" s="1" t="str">
        <f>IF($E140="","",MAX(Boss参数!$B$10,1+IFERROR(INDEX(角色面板!$I$18:$I$21,MATCH($E140,角色面板!$A$18:$A$21,0)),0)+$BB140+Boss参数!$H$4-$BM140))</f>
        <v/>
      </c>
      <c r="BO140" s="1" t="str">
        <f>IF(E140="","",IF(OR(L140="J_COUNTER",L140="J_HARD"),MAX(0,1+INDEX(角色面板!$K$18:$K$21,MATCH(E140,角色面板!$A$18:$A$21,0))-DI140*Boss参数!$B$23+IF(OR(Boss参数!$B$43=1,L140="J_HARD"),IF(B140&lt;=AH140,Boss参数!$B$46,0),0)),MAX(0,IF(OR(H140="术法",L140="RHI_BERRY",AND(L140="37_FOLLOW",Boss参数!$B$31=1)),1+BC140,IF(H140="仪式",1+BD140,IF(H140="洞知",EK140,1))))))</f>
        <v/>
      </c>
      <c r="BP140" s="1" t="str">
        <f t="shared" si="143"/>
        <v/>
      </c>
      <c r="BQ140" s="1">
        <f t="shared" si="144"/>
        <v>0</v>
      </c>
      <c r="BR140" s="1">
        <f t="shared" si="145"/>
        <v>0</v>
      </c>
      <c r="BS140" s="1">
        <f>IF(BH140=0,0,ROUNDDOWN(AY140*BH140,0)*DV140*IF(Boss参数!$B$29=1,BN140,1)*IF(Boss参数!$B$33=1,BO140,1)*IF(Boss参数!$B$76=1,1-ES140,1))</f>
        <v>0</v>
      </c>
      <c r="BT140" s="1">
        <f t="shared" si="146"/>
        <v>0</v>
      </c>
      <c r="BU140" s="1">
        <f>IF(D140="",0,MIN(IF(Boss参数!$B$77=1,Boss参数!$B$63*Boss参数!$B$62,Boss参数!$B$61*Boss参数!$B$62),DW140+ROUNDDOWN(BS140,0)+ROUNDDOWN(DW140*Q140,0)))</f>
        <v>0</v>
      </c>
      <c r="BV140" s="1">
        <f>IF(D140="",0,MIN(IF(Boss参数!$B$77=1,Boss参数!$B$63*Boss参数!$B$62,Boss参数!$B$61*Boss参数!$B$62),DX140+ROUNDDOWN(BT140,0)+ROUNDDOWN(DX140*Q140,0)))</f>
        <v>0</v>
      </c>
      <c r="BW140" s="1">
        <f t="shared" si="147"/>
        <v>0</v>
      </c>
      <c r="BX140" s="1" t="str">
        <f t="shared" si="148"/>
        <v/>
      </c>
      <c r="BY140" s="1">
        <f t="shared" si="149"/>
        <v>2</v>
      </c>
      <c r="BZ140" s="1">
        <f t="shared" si="150"/>
        <v>1</v>
      </c>
      <c r="CA140" s="1">
        <f>MIN(10,W140+IF(AND(L140="LILYA_COBRA",COUNTIF($L$3:L140,"LILYA_COBRA")=1),5,0)+IF(AND(L140="LILYA_DIVE",U140=1,COUNTIFS($DG$3:DG140,DG140,$L$3:L140,"LILYA_DIVE")=1),2,0)+IF(AND(FE140=1,U140=1),3,0))</f>
        <v>10</v>
      </c>
      <c r="CB140" s="1">
        <f>MIN(20,MAX(0,X140+IF(L140="LILYA_COBRA",IF(COUNTIF($L$3:L140,"LILYA_COBRA")=1,6,IF(U140=1,MAX(1,G140),IF(U140=2,2*MAX(1,G140),0))),0)+IF(AND(Y140=1,E140="红弩箭",L140&lt;&gt;"ENTER_INSIGHT"),1,0)-IF(AND(L140="LILYA_ULT",X140&gt;=6),6,0)))</f>
        <v>13</v>
      </c>
      <c r="CC140" s="1">
        <f t="shared" si="151"/>
        <v>0</v>
      </c>
      <c r="CD140" s="1">
        <f t="shared" si="152"/>
        <v>0</v>
      </c>
      <c r="CE140" s="1">
        <f t="shared" si="153"/>
        <v>0</v>
      </c>
      <c r="CF140" s="1">
        <f t="shared" si="154"/>
        <v>10</v>
      </c>
      <c r="CG140" s="1">
        <f t="shared" si="155"/>
        <v>1</v>
      </c>
      <c r="CH140" s="1">
        <f>MIN(35,AD140+IF(L140="J_HARD",6,0)+IF(L140="J_COUNTER",Boss参数!$B$30,0))</f>
        <v>35</v>
      </c>
      <c r="CI140" s="1">
        <f>MIN(Boss参数!$I$4,AE140+IF(L140="J_HARD",6,0)+IF(L140="J_ULT",AD140,0)+IF(L140="J_COUNTER",Boss参数!$B$30,0))</f>
        <v>0</v>
      </c>
      <c r="CJ140" s="1">
        <f>IF(L140="J_ULT",AD140*Boss参数!$B$41,IF(B140&lt;=AG140,AF140,0))</f>
        <v>0.875</v>
      </c>
      <c r="CK140" s="1">
        <f t="shared" si="156"/>
        <v>9</v>
      </c>
      <c r="CL140" s="1">
        <f t="shared" si="157"/>
        <v>9</v>
      </c>
      <c r="CM140" s="1">
        <f t="shared" si="158"/>
        <v>8</v>
      </c>
      <c r="CN140" s="1">
        <f t="shared" si="159"/>
        <v>9</v>
      </c>
      <c r="CO140" s="1">
        <f t="shared" si="160"/>
        <v>8</v>
      </c>
      <c r="CP140" s="1">
        <f t="shared" si="161"/>
        <v>3</v>
      </c>
      <c r="CQ140" s="1">
        <f t="shared" si="162"/>
        <v>30</v>
      </c>
      <c r="CR140" s="1">
        <f t="shared" si="163"/>
        <v>9</v>
      </c>
      <c r="CS140" s="1">
        <f t="shared" si="164"/>
        <v>0</v>
      </c>
      <c r="CT140" s="1" t="e">
        <f t="shared" si="165"/>
        <v>#VALUE!</v>
      </c>
      <c r="CU140" s="1" t="e">
        <f t="shared" si="166"/>
        <v>#VALUE!</v>
      </c>
      <c r="CV140" s="1">
        <f t="shared" si="167"/>
        <v>0.3</v>
      </c>
      <c r="CW140" s="1">
        <f t="shared" si="168"/>
        <v>9</v>
      </c>
      <c r="CX140" s="1">
        <f t="shared" si="169"/>
        <v>0.3</v>
      </c>
      <c r="CY140" s="1">
        <f t="shared" si="170"/>
        <v>9</v>
      </c>
      <c r="CZ140" s="1"/>
      <c r="DA140" s="1"/>
      <c r="DB140" s="1"/>
      <c r="DC140" s="1"/>
      <c r="DD140" s="1"/>
      <c r="DE140" s="1"/>
      <c r="DF140" s="1"/>
      <c r="DG140" s="1" t="str">
        <f>IF(D140="","",行动模拟!B146)</f>
        <v/>
      </c>
      <c r="DH140" s="1" t="str">
        <f>IF(L140="END_TURN","回合结束",IF(D140="","",IF(INDEX(回合状态!$C$7:$C$17,MATCH(DG140,回合状态!$A$7:$A$17,0))="洞穿","洞穿",IF(OR(L140="J_COUNTER",L140="BOSS_ACTION",L140="BOSS_CONSERVATIVE"),"敌方",IF(AND(L140="37_FOLLOW",DG140=DG139,DH139="敌方"),"敌方",IF(INDEX(回合状态!$C$7:$C$17,MATCH(DG140,回合状态!$A$7:$A$17,0))="普通","出牌",INDEX(回合状态!$C$7:$C$17,MATCH(DG140,回合状态!$A$7:$A$17,0))))))))</f>
        <v/>
      </c>
      <c r="DI140" s="1">
        <f t="shared" si="171"/>
        <v>0</v>
      </c>
      <c r="DJ140" s="1">
        <f>IF(D140="",0,MIN(Boss参数!$B$25,IF(OR(AND(DH140="敌方",OR(DH139&lt;&gt;"敌方",DG140&lt;&gt;DG139)),AND(L140="END_TURN",DH140&lt;&gt;"洞穿"),AND(DG140&lt;&gt;DG139,DH139&lt;&gt;"洞穿",L139&lt;&gt;"END_TURN",COUNTIFS($DG$3:DG139,DG139,$DH$3:DH139,"敌方")=0)),EW140,DN139)))</f>
        <v>0</v>
      </c>
      <c r="DK140" s="1">
        <f>IF(D140="",0,MIN(Boss参数!$B$25,IF(OR(AND(DH140="敌方",OR(DH139&lt;&gt;"敌方",DG140&lt;&gt;DG139)),AND(L140="END_TURN",DH140&lt;&gt;"洞穿"),AND(DG140&lt;&gt;DG139,DH139&lt;&gt;"洞穿",L139&lt;&gt;"END_TURN",COUNTIFS($DG$3:DG139,DG139,$DH$3:DH139,"敌方")=0)),EW140,DO139)))</f>
        <v>0</v>
      </c>
      <c r="DL140" s="1">
        <f>IF(D140="",0,MIN(Boss参数!$B$25,IF(OR(AND(DH140="敌方",OR(DH139&lt;&gt;"敌方",DG140&lt;&gt;DG139)),AND(L140="END_TURN",DH140&lt;&gt;"洞穿"),AND(DG140&lt;&gt;DG139,DH139&lt;&gt;"洞穿",L139&lt;&gt;"END_TURN",COUNTIFS($DG$3:DG139,DG139,$DH$3:DH139,"敌方")=0)),EW140,DP139)))</f>
        <v>0</v>
      </c>
      <c r="DM140" s="1">
        <f>IF(D140="",0,MIN(Boss参数!$B$25,IF(OR(AND(DH140="敌方",OR(DH139&lt;&gt;"敌方",DG140&lt;&gt;DG139)),AND(L140="END_TURN",DH140&lt;&gt;"洞穿"),AND(DG140&lt;&gt;DG139,DH139&lt;&gt;"洞穿",L139&lt;&gt;"END_TURN",COUNTIFS($DG$3:DG139,DG139,$DH$3:DH139,"敌方")=0)),EW140,DQ139)))</f>
        <v>0</v>
      </c>
      <c r="DN140" s="1">
        <f>MAX(0,MIN(Boss参数!$B$25,DJ140+DR140)-IF(E140="红弩箭",2*DR140,0))</f>
        <v>0</v>
      </c>
      <c r="DO140" s="1">
        <f>MAX(0,MIN(Boss参数!$B$25,DK140+DR140)-IF(E140="37",2*DR140,0))</f>
        <v>0</v>
      </c>
      <c r="DP140" s="1">
        <f>MAX(0,MIN(Boss参数!$B$25,DL140+DR140)-IF(E140="小瑞安侬",2*DR140,0))</f>
        <v>0</v>
      </c>
      <c r="DQ140" s="1">
        <f>MAX(0,MIN(Boss参数!$B$25,DM140+DR140)-IF(E140="J",2*DR140,0))</f>
        <v>0</v>
      </c>
      <c r="DR140" s="1">
        <f t="shared" si="172"/>
        <v>0</v>
      </c>
      <c r="DS140" s="1">
        <f t="shared" si="173"/>
        <v>0</v>
      </c>
      <c r="DT140" s="1">
        <f>IF(OR(E140="",E140="系统"),0,IF(OR(AND(DS140=1,Boss参数!$B$32=1),L140="RHI_BERRY",OR(AND(INDEX(角色面板!$B$18:$B$21,MATCH(E140,角色面板!$A$18:$A$21,0))="星",Boss参数!$B$4="岩"),AND(INDEX(角色面板!$B$18:$B$21,MATCH(E140,角色面板!$A$18:$A$21,0))="岩",Boss参数!$B$4="兽"),AND(INDEX(角色面板!$B$18:$B$21,MATCH(E140,角色面板!$A$18:$A$21,0))="兽",Boss参数!$B$4="木"),AND(INDEX(角色面板!$B$18:$B$21,MATCH(E140,角色面板!$A$18:$A$21,0))="木",Boss参数!$B$4="星"),AND(INDEX(角色面板!$B$18:$B$21,MATCH(E140,角色面板!$A$18:$A$21,0))="智",Boss参数!$B$4="灵"),AND(INDEX(角色面板!$B$18:$B$21,MATCH(E140,角色面板!$A$18:$A$21,0))="灵",Boss参数!$B$4="智"))),1,0))</f>
        <v>0</v>
      </c>
      <c r="DU140" s="1">
        <f>IF(D140="",0,INDEX(回合状态!$E$7:$E$17,MATCH(DG140,回合状态!$A$7:$A$17,0))+IF(AND(DH140="敌方",OR(INDEX(回合状态!$C$7:$C$17,MATCH(DG140,回合状态!$A$7:$A$17,0))="普通",INDEX(回合状态!$C$7:$C$17,MATCH(DG140,回合状态!$A$7:$A$17,0))="额外")),0.05,0))</f>
        <v>0</v>
      </c>
      <c r="DV140" s="1">
        <f>MAX(Boss参数!$B$28,1+IF(AND(E140="37",AC140&gt;0,BH140&gt;0),Boss参数!$B$42,0)-DI140*Boss参数!$B$24+EA140-ER140)</f>
        <v>9.9999999999999978E-2</v>
      </c>
      <c r="DW140" s="1">
        <f>MIN(IF(Boss参数!$B$77=1,Boss参数!$B$63*Boss参数!$B$62,Boss参数!$B$61*Boss参数!$B$62),ROUNDDOWN(BQ140*(1-ES140),0))</f>
        <v>0</v>
      </c>
      <c r="DX140" s="1">
        <f>MIN(IF(Boss参数!$B$77=1,Boss参数!$B$63*Boss参数!$B$62,Boss参数!$B$61*Boss参数!$B$62),ROUNDDOWN(BR140*(1-ES140),0))</f>
        <v>0</v>
      </c>
      <c r="DY140" s="1">
        <f t="shared" si="205"/>
        <v>250</v>
      </c>
      <c r="DZ140" s="1">
        <f>IF(L140="RHI_ULT",MIN(Boss参数!$B$48,ROUNDDOWN(AY140*Boss参数!$B$47,0)),DY140)</f>
        <v>250</v>
      </c>
      <c r="EA140" s="1">
        <v>0</v>
      </c>
      <c r="EB140" s="1">
        <f t="shared" si="174"/>
        <v>0</v>
      </c>
      <c r="EC140" s="1">
        <f>SUMIFS($EB$3:EB140,$B$3:B140,"&gt;="&amp;MAX(1,B140-2),$B$3:B140,"&lt;="&amp;B140)*Boss参数!$B$51</f>
        <v>0</v>
      </c>
      <c r="ED140" s="1">
        <f>IF(D140="",EG139,IF(AND(DG140&lt;&gt;DG139,DH140&lt;&gt;"洞穿"),MIN(Boss参数!$B$55,EG139+2),EG139))</f>
        <v>0</v>
      </c>
      <c r="EE140" s="1">
        <f t="shared" si="175"/>
        <v>0</v>
      </c>
      <c r="EF140" s="1">
        <f>IF(AND(OR(L140="END_TURN",AND(DH140="敌方",OR(DH139&lt;&gt;"敌方",DG140&lt;&gt;DG139))),SUMIFS($EF$3:EF139,$DG$3:DG139,DG140)=0),MIN(1,MAX(0,ED140-EE140)),0)</f>
        <v>0</v>
      </c>
      <c r="EG140" s="1">
        <f t="shared" si="176"/>
        <v>0</v>
      </c>
      <c r="EH140" s="1">
        <f>Boss参数!$B$53-IF(Y140=1,Boss参数!$B$54,0)</f>
        <v>0</v>
      </c>
      <c r="EI140" s="1">
        <f t="shared" si="177"/>
        <v>0.15</v>
      </c>
      <c r="EJ140" s="1">
        <f t="shared" si="178"/>
        <v>0.15</v>
      </c>
      <c r="EK140" s="1" t="e">
        <f t="shared" si="179"/>
        <v>#VALUE!</v>
      </c>
      <c r="EL140" s="1">
        <f t="shared" si="206"/>
        <v>0</v>
      </c>
      <c r="EM140" s="1">
        <f>IF(AND(DG140&lt;&gt;DG139,DH140="洞穿"),0,IF(L140="ENTER_INSIGHT",Boss参数!$B$57,EO139))</f>
        <v>0</v>
      </c>
      <c r="EN140" s="1">
        <f>IF(AND(Y140=1,H140="洞知",EM140&gt;0),Boss参数!$B$56,0)</f>
        <v>0</v>
      </c>
      <c r="EO140" s="1">
        <f t="shared" si="180"/>
        <v>0</v>
      </c>
      <c r="EP140" s="1">
        <f t="shared" si="207"/>
        <v>23210479</v>
      </c>
      <c r="EQ140" s="1">
        <f>ROUNDDOWN(EP140/Boss参数!$B$62,0)</f>
        <v>232</v>
      </c>
      <c r="ER140" s="1">
        <f>IF(EQ140&gt;=Boss参数!$B$66,Boss参数!$B$69,IF(EQ140&gt;=Boss参数!$B$65,Boss参数!$B$68,IF(EQ140&gt;=Boss参数!$B$64,Boss参数!$B$67,0)))</f>
        <v>0.9</v>
      </c>
      <c r="ES140" s="1">
        <f>MIN(1,IF(EQ140&gt;=Boss参数!$B$66,Boss参数!$B$72+ROUNDDOWN((EQ140-Boss参数!$B$66)/Boss参数!$B$73,0)*Boss参数!$B$74,IF(EQ140&gt;=Boss参数!$B$65,Boss参数!$B$71,IF(EQ140&gt;=Boss参数!$B$64,Boss参数!$B$70,0))))</f>
        <v>0.65</v>
      </c>
      <c r="ET140" s="1">
        <f>MIN(Boss参数!$B$61*Boss参数!$B$62,EP140+IF(AND(Boss参数!$B$60=1,ISNUMBER(验证表!H146)),验证表!H146,EU140))</f>
        <v>23210479</v>
      </c>
      <c r="EU140" s="1">
        <f>IF(D140="",0,IF(验证表!G146="是",BV140,IF(验证表!G146="否",BU140,BW140)))</f>
        <v>0</v>
      </c>
      <c r="EV140" s="1">
        <f>IF(EQ140&gt;=Boss参数!$B$66,2,IF(EQ140&gt;=Boss参数!$B$65,1,0))</f>
        <v>2</v>
      </c>
      <c r="EW140" s="1">
        <f t="shared" si="181"/>
        <v>3</v>
      </c>
      <c r="EX140" s="1">
        <f>IF(D140="",0,INDEX(回合状态!$D$7:$D$17,MATCH(DG140,回合状态!$A$7:$A$17,0)))</f>
        <v>0</v>
      </c>
      <c r="EY140" s="1">
        <f>IF(OR(L140="RHI_ATTACK",L140="RHI_BUFF"),1,IF(L140="RHI_ULT",Boss参数!$B$52,0))</f>
        <v>0</v>
      </c>
      <c r="EZ140" s="1">
        <f>MIN(6,SUMIFS($EY$3:EY140,$EX$3:EX140,"&gt;="&amp;MAX(1,EX140-Boss参数!$B$87+1),$EX$3:EX140,"&lt;="&amp;EX140))</f>
        <v>0</v>
      </c>
      <c r="FA140" s="1">
        <f t="shared" si="208"/>
        <v>0</v>
      </c>
      <c r="FB140" s="17">
        <f>IF(L140="BOSS_CONSERVATIVE",B140+Boss参数!$B$91,FB139)</f>
        <v>7</v>
      </c>
      <c r="FC140" s="17">
        <f t="shared" si="209"/>
        <v>0</v>
      </c>
      <c r="FD140" s="17">
        <f>IF(D140="",FD139,FD139+IF(AND(DG140&lt;&gt;DG139,INDEX(回合状态!$C$7:$C$17,MATCH(DG140,回合状态!$A$7:$A$17,0))&lt;&gt;"洞穿"),1,0))</f>
        <v>8</v>
      </c>
      <c r="FE140" s="17">
        <f>IF(D140="",0,IF(AND(OR(L140="END_TURN",DH140="敌方"),INDEX(回合状态!$C$7:$C$17,MATCH(DG140,回合状态!$A$7:$A$17,0))&lt;&gt;"洞穿",SUMIFS($FE$3:FE139,$DG$3:DG139,DG140)=0),1,0))</f>
        <v>0</v>
      </c>
    </row>
    <row r="141" spans="1:161" ht="84.95" customHeight="1">
      <c r="A141" s="1" t="str">
        <f>行动模拟!A147</f>
        <v/>
      </c>
      <c r="B141" s="1">
        <f>IF(D141="",0,INDEX(回合状态!$B$7:$B$17,MATCH(DG141,回合状态!$A$7:$A$17,0)))</f>
        <v>0</v>
      </c>
      <c r="C141" s="1">
        <f>行动模拟!C147</f>
        <v>0</v>
      </c>
      <c r="D141" s="1" t="str">
        <f>IF(行动模拟!D147="","",行动模拟!D147)</f>
        <v/>
      </c>
      <c r="E141" s="1" t="str">
        <f>IF($D141="","",IFERROR(INDEX(技能数据库!$B$4:$B$38,MATCH($D141,技能数据库!$A$4:$A$38,0)),""))</f>
        <v/>
      </c>
      <c r="F141" s="1" t="str">
        <f>IF($D141="","",IFERROR(INDEX(技能数据库!$C$4:$C$38,MATCH($D141,技能数据库!$A$4:$A$38,0)),""))</f>
        <v/>
      </c>
      <c r="G141" s="1" t="str">
        <f>IF($D141="","",IFERROR(INDEX(技能数据库!$D$4:$D$38,MATCH($D141,技能数据库!$A$4:$A$38,0)),""))</f>
        <v/>
      </c>
      <c r="H141" s="1" t="str">
        <f>IF($D141="","",IFERROR(INDEX(技能数据库!$E$4:$E$38,MATCH($D141,技能数据库!$A$4:$A$38,0)),""))</f>
        <v/>
      </c>
      <c r="I141" s="1" t="str">
        <f>IF($D141="","",IFERROR(INDEX(技能数据库!$F$4:$F$38,MATCH($D141,技能数据库!$A$4:$A$38,0)),""))</f>
        <v/>
      </c>
      <c r="J141" s="1" t="str">
        <f>IF($D141="","",IFERROR(INDEX(技能数据库!$G$4:$G$38,MATCH($D141,技能数据库!$A$4:$A$38,0)),""))</f>
        <v/>
      </c>
      <c r="K141" s="1" t="str">
        <f>IF($D141="","",IFERROR(INDEX(技能数据库!$H$4:$H$38,MATCH($D141,技能数据库!$A$4:$A$38,0)),""))</f>
        <v/>
      </c>
      <c r="L141" s="1" t="str">
        <f>IF($D141="","",IFERROR(INDEX(技能数据库!$I$4:$I$38,MATCH($D141,技能数据库!$A$4:$A$38,0)),""))</f>
        <v/>
      </c>
      <c r="M141" s="1">
        <v>1</v>
      </c>
      <c r="N141" s="1"/>
      <c r="O141" s="1"/>
      <c r="P141" s="1"/>
      <c r="Q141" s="1">
        <f t="shared" si="140"/>
        <v>0</v>
      </c>
      <c r="R141" s="1">
        <v>0</v>
      </c>
      <c r="S141" s="1">
        <v>0</v>
      </c>
      <c r="T141" s="1">
        <f>行动模拟!I147</f>
        <v>0</v>
      </c>
      <c r="U141" s="1">
        <f>IF(FD141&lt;&gt;FD140,IF(BY140=1,IF(MIN(10,CA140+IF(AND(DG141&lt;&gt;DG140,DH140&lt;&gt;"洞穿",SUMIFS($FE$3:FE140,$DG$3:DG140,DG140)=0,BY140=1),3,0))&gt;=10,2,1),IF(BY140=2,IF(BZ140&lt;=1,0,2),0)),BY140)</f>
        <v>2</v>
      </c>
      <c r="V141" s="1">
        <f>IF(FD141&lt;&gt;FD140,IF(BY140=1,IF(MIN(10,CA140+IF(AND(DG141&lt;&gt;DG140,DH140&lt;&gt;"洞穿",SUMIFS($FE$3:FE140,$DG$3:DG140,DG140)=0,BY140=1),3,0))&gt;=10,2,0),IF(BY140=2,MAX(0,BZ140-1),0)),BZ140)</f>
        <v>1</v>
      </c>
      <c r="W141" s="1">
        <f>IF(AND(FD141&lt;&gt;FD140,BY140=2,BZ140&lt;=1),0,MIN(10,CA140+IF(AND(DG141&lt;&gt;DG140,DH140&lt;&gt;"洞穿",SUMIFS($FE$3:FE140,$DG$3:DG140,DG140)=0,BY140=1),3,0)))</f>
        <v>10</v>
      </c>
      <c r="X141" s="1">
        <f t="shared" si="182"/>
        <v>13</v>
      </c>
      <c r="Y141" s="1">
        <f t="shared" si="183"/>
        <v>0</v>
      </c>
      <c r="Z141" s="1">
        <f t="shared" si="184"/>
        <v>0</v>
      </c>
      <c r="AA141" s="1">
        <f t="shared" si="185"/>
        <v>0</v>
      </c>
      <c r="AB141" s="1">
        <f t="shared" si="186"/>
        <v>10</v>
      </c>
      <c r="AC141" s="1">
        <f t="shared" si="187"/>
        <v>1</v>
      </c>
      <c r="AD141" s="1">
        <f t="shared" si="188"/>
        <v>35</v>
      </c>
      <c r="AE141" s="1">
        <f>IF(D141="",0,IF(DG141&lt;&gt;DG140,IFERROR(INDEX(回合状态!$F$7:$F$17,MATCH(DG141,回合状态!$A$7:$A$17,0)),0),CI140))</f>
        <v>0</v>
      </c>
      <c r="AF141" s="1">
        <f t="shared" si="189"/>
        <v>0.875</v>
      </c>
      <c r="AG141" s="1">
        <f t="shared" si="190"/>
        <v>9</v>
      </c>
      <c r="AH141" s="1">
        <f t="shared" si="191"/>
        <v>9</v>
      </c>
      <c r="AI141" s="1">
        <f t="shared" si="192"/>
        <v>8</v>
      </c>
      <c r="AJ141" s="1">
        <f t="shared" si="193"/>
        <v>9</v>
      </c>
      <c r="AK141" s="1">
        <f t="shared" si="194"/>
        <v>8</v>
      </c>
      <c r="AL141" s="1">
        <f t="shared" si="195"/>
        <v>3</v>
      </c>
      <c r="AM141" s="1">
        <f t="shared" si="196"/>
        <v>30</v>
      </c>
      <c r="AN141" s="1">
        <f t="shared" si="197"/>
        <v>9</v>
      </c>
      <c r="AO141" s="1">
        <f t="shared" si="198"/>
        <v>0</v>
      </c>
      <c r="AP141" s="1" t="e">
        <f t="shared" si="199"/>
        <v>#VALUE!</v>
      </c>
      <c r="AQ141" s="1" t="e">
        <f t="shared" si="200"/>
        <v>#VALUE!</v>
      </c>
      <c r="AR141" s="1">
        <f t="shared" si="201"/>
        <v>0.3</v>
      </c>
      <c r="AS141" s="1">
        <f t="shared" si="202"/>
        <v>9</v>
      </c>
      <c r="AT141" s="1">
        <f t="shared" si="203"/>
        <v>0.3</v>
      </c>
      <c r="AU141" s="1">
        <f t="shared" si="204"/>
        <v>9</v>
      </c>
      <c r="AV141" s="1">
        <f>MIN(5,SUMIFS($EL$3:EL141,$B$3:B141,"&gt;="&amp;MAX(1,B141-2),$B$3:B141,"&lt;="&amp;B141)+EC141)</f>
        <v>0</v>
      </c>
      <c r="AW141" s="1">
        <f>MIN(6,SUMIFS($EY$3:EY140,$EX$3:EX140,"&gt;="&amp;MAX(1,EX141-Boss参数!$B$87+1),$EX$3:EX140,"&lt;="&amp;EX141))</f>
        <v>0</v>
      </c>
      <c r="AX141" s="1">
        <f>MIN(4,COUNTIFS($B$3:$B$140,"&gt;="&amp;MAX(1,$B141-2),$B$3:$B$140,"&lt;="&amp;$B141,$L$3:$L$140,"37_FOLLOW"))</f>
        <v>0</v>
      </c>
      <c r="AY141" s="1" t="str">
        <f>IF($E141="","",IF($E141="系统",0,ROUNDDOWN(INDEX(角色面板!$C$4:$C$7,MATCH($E141,角色面板!$A$4:$A$7,0))*(1+INDEX(角色面板!$C$11:$C$14,MATCH($E141,角色面板!$A$11:$A$14,0))+IF($E141="小瑞安侬",MAX(IF($B141&lt;=$AQ141,$AP141,0),IF(AND($L141="RHI_ATTACK",$EE141&gt;0),0.11+0.01*$G141,0)),0)+IF($E141="J",$AD141*Boss参数!$B$18,0))+IF(FD141&lt;=$AN141,MIN(Boss参数!$B$21,ROUNDDOWN(角色面板!$C$19*Boss参数!$B$20,0)),0)+IF(AND($B141&lt;=$AK141,$E141&lt;&gt;"小瑞安侬"),$DY141,0),0)))</f>
        <v/>
      </c>
      <c r="AZ141" s="1" t="str">
        <f>IF($E141="","",MAX(0,MIN(1,IFERROR(INDEX(角色面板!$G$18:$G$21,MATCH($E141,角色面板!$A$18:$A$21,0)),0)-FC141*Boss参数!$B$89-Boss参数!$E$4)))</f>
        <v/>
      </c>
      <c r="BA141" s="1" t="str">
        <f>IF(E141="","",(IF($E141="","",IF($E141="红弩箭",Boss参数!$B$80,IF($E141="J",Boss参数!$B$81,IFERROR(INDEX(角色面板!$H$18:$H$21,MATCH($E141,角色面板!$A$18:$A$21,0)),0)))+IF($B141&lt;=$AI141,Boss参数!$B$13,0)+MIN(30,$AM141)*Boss参数!$B$17+IF(AND($L141="LILYA_ULT",$X141&gt;=6),1,0)+IF(AND($Y141=1,$L141="LILYA_INSIGHT"),IF(MOD($AA141+1,3)=0,Boss参数!$B$83,Boss参数!$B$82),IF(AND($Y141=1,$L141="LILYA_FINISH"),Boss参数!$B$84,0))))-FC141*Boss参数!$B$90)</f>
        <v/>
      </c>
      <c r="BB141" s="1" t="str">
        <f>IF($E141="","",IFERROR(INDEX(角色面板!$M$18:$M$21,MATCH($E141,角色面板!$A$18:$A$21,0)),0)+$AW141*Boss参数!$B$12+IF($B141&lt;=$AG141,$AF141,0)+$EI141+IF($L141="LILYA_DIVE",IF($U141=1,IF($G141=1,0.3,IF($G141=2,0.4,0.5)),IF($U141=2,IF($G141=1,0.6,IF($G141=2,0.8,1)),0)),0)+$R141+IF(AND($E141="J",OR($L141="J_COUNTER",$L141="J_HARD")),Boss参数!$B$79,0)+IF(AND(OR(L141="J_COUNTER",L141="J_HARD"),FA141&gt;=Boss参数!$B$59),FA141*Boss参数!$B$40,0))</f>
        <v/>
      </c>
      <c r="BC141" s="1" t="e">
        <f>IF($E141="","",IFERROR(INDEX(角色面板!$K$18:$K$21,MATCH($E141,角色面板!$A$18:$A$21,0)),0)+IF($B141&lt;=$AH141,Boss参数!$B$46,0)+IF($E141="红弩箭",IF($U141=1,0.6,IF($U141=2,1.2,0))+$W141*0.06,0))-DI141*Boss参数!$B$23</f>
        <v>#VALUE!</v>
      </c>
      <c r="BD141" s="1" t="e">
        <f>IF($E141="","",IFERROR(INDEX(角色面板!$L$18:$L$21,MATCH($E141,角色面板!$A$18:$A$21,0)),0)+IF($B141&lt;=$AH141,Boss参数!$B$46,0)+IF($E141="J",$AL141*Boss参数!$B$16,0)+IF($E141="红弩箭",$X141*0.025,0)+IF(AND($L141="LILYA_ULT",$X141&gt;=6),1,0))-DI141*Boss参数!$B$23</f>
        <v>#VALUE!</v>
      </c>
      <c r="BE141" s="1" t="str">
        <f>IF($E141="","",IF($H141="洞知",IF($E141="红弩箭",$AO141*Boss参数!$B$15,0)+$AX141*Boss参数!$B$14,0))</f>
        <v/>
      </c>
      <c r="BF141" s="1">
        <f t="shared" si="141"/>
        <v>0</v>
      </c>
      <c r="BG141" s="1">
        <f>IF($D141="",0,IF(AND($L141&lt;&gt;"LILYA_DIVE",$L141&lt;&gt;"LILYA_ULT",$L141&lt;&gt;"LILYA_INSIGHT",$L141&lt;&gt;"LILYA_FINISH",$L141&lt;&gt;"37_FOLLOW",$L141&lt;&gt;"RHI_ATTACK",$L141&lt;&gt;"RHI_BERRY",$L141&lt;&gt;"J_COUNTER",$L141&lt;&gt;"J_ULT"),$J141,0)+IF($L141="LILYA_DIVE",$J141+IF($U141=1,IF($G141=1,6,IF($G141=2,12,18)),IF($U141=2,IF($G141=1,12,IF($G141=2,24,36)),0)),0)+IF($L141="LILYA_ULT",$J141+IF($X141&gt;=6,18,0),0)+IF($L141="LILYA_INSIGHT",IF($Y141=1,IF(MOD($AA141+1,3)=0,32,15),0),0)+IF($L141="LILYA_FINISH",IF($Y141=1,50+2.5*$Z141,0),0)+IF($L141="37_FOLLOW",$J141,0)+IF($L141="RHI_ATTACK",$J141*IF($B141&lt;=$AJ141,2,1),0)+IF($L141="RHI_BERRY",15+1.5*$AV141,0)+IF($L141="J_COUNTER",$J141+$AD141*Boss参数!$B$39,0)+IF($L141="J_ULT",$J141+Boss参数!$B$45*MAX(0,$AE141+$AD141-Boss参数!$I$4),0)+$S141)</f>
        <v>0</v>
      </c>
      <c r="BH141" s="1">
        <f t="shared" si="142"/>
        <v>0</v>
      </c>
      <c r="BI141" s="1" t="str">
        <f>IF(E141="","",IF(DT141=1,1+Boss参数!$B$8+AV141*Boss参数!$B$19,1))</f>
        <v/>
      </c>
      <c r="BJ141" s="1">
        <f>IF($I141="现实",Boss参数!$C$4,IF($I141="精神",Boss参数!$D$4,0))</f>
        <v>0</v>
      </c>
      <c r="BK141" s="1" t="str">
        <f>IF($E141="","",MAX($AY141*Boss参数!$B$9,$AY141-$BJ141*(1-$BF141)))</f>
        <v/>
      </c>
      <c r="BL141" s="1">
        <f>MAX(0,Boss参数!$F$4+IF(DT141=0,Boss参数!$B$27,0)-EJ141)</f>
        <v>1.25</v>
      </c>
      <c r="BM141" s="1">
        <f>Boss参数!$G$4+DU141-IF(Y141=1,Boss参数!$B$11,0)</f>
        <v>0.4</v>
      </c>
      <c r="BN141" s="1" t="str">
        <f>IF($E141="","",MAX(Boss参数!$B$10,1+IFERROR(INDEX(角色面板!$I$18:$I$21,MATCH($E141,角色面板!$A$18:$A$21,0)),0)+$BB141+Boss参数!$H$4-$BM141))</f>
        <v/>
      </c>
      <c r="BO141" s="1" t="str">
        <f>IF(E141="","",IF(OR(L141="J_COUNTER",L141="J_HARD"),MAX(0,1+INDEX(角色面板!$K$18:$K$21,MATCH(E141,角色面板!$A$18:$A$21,0))-DI141*Boss参数!$B$23+IF(OR(Boss参数!$B$43=1,L141="J_HARD"),IF(B141&lt;=AH141,Boss参数!$B$46,0),0)),MAX(0,IF(OR(H141="术法",L141="RHI_BERRY",AND(L141="37_FOLLOW",Boss参数!$B$31=1)),1+BC141,IF(H141="仪式",1+BD141,IF(H141="洞知",EK141,1))))))</f>
        <v/>
      </c>
      <c r="BP141" s="1" t="str">
        <f t="shared" si="143"/>
        <v/>
      </c>
      <c r="BQ141" s="1">
        <f t="shared" si="144"/>
        <v>0</v>
      </c>
      <c r="BR141" s="1">
        <f t="shared" si="145"/>
        <v>0</v>
      </c>
      <c r="BS141" s="1">
        <f>IF(BH141=0,0,ROUNDDOWN(AY141*BH141,0)*DV141*IF(Boss参数!$B$29=1,BN141,1)*IF(Boss参数!$B$33=1,BO141,1)*IF(Boss参数!$B$76=1,1-ES141,1))</f>
        <v>0</v>
      </c>
      <c r="BT141" s="1">
        <f t="shared" si="146"/>
        <v>0</v>
      </c>
      <c r="BU141" s="1">
        <f>IF(D141="",0,MIN(IF(Boss参数!$B$77=1,Boss参数!$B$63*Boss参数!$B$62,Boss参数!$B$61*Boss参数!$B$62),DW141+ROUNDDOWN(BS141,0)+ROUNDDOWN(DW141*Q141,0)))</f>
        <v>0</v>
      </c>
      <c r="BV141" s="1">
        <f>IF(D141="",0,MIN(IF(Boss参数!$B$77=1,Boss参数!$B$63*Boss参数!$B$62,Boss参数!$B$61*Boss参数!$B$62),DX141+ROUNDDOWN(BT141,0)+ROUNDDOWN(DX141*Q141,0)))</f>
        <v>0</v>
      </c>
      <c r="BW141" s="1">
        <f t="shared" si="147"/>
        <v>0</v>
      </c>
      <c r="BX141" s="1" t="str">
        <f t="shared" si="148"/>
        <v/>
      </c>
      <c r="BY141" s="1">
        <f t="shared" si="149"/>
        <v>2</v>
      </c>
      <c r="BZ141" s="1">
        <f t="shared" si="150"/>
        <v>1</v>
      </c>
      <c r="CA141" s="1">
        <f>MIN(10,W141+IF(AND(L141="LILYA_COBRA",COUNTIF($L$3:L141,"LILYA_COBRA")=1),5,0)+IF(AND(L141="LILYA_DIVE",U141=1,COUNTIFS($DG$3:DG141,DG141,$L$3:L141,"LILYA_DIVE")=1),2,0)+IF(AND(FE141=1,U141=1),3,0))</f>
        <v>10</v>
      </c>
      <c r="CB141" s="1">
        <f>MIN(20,MAX(0,X141+IF(L141="LILYA_COBRA",IF(COUNTIF($L$3:L141,"LILYA_COBRA")=1,6,IF(U141=1,MAX(1,G141),IF(U141=2,2*MAX(1,G141),0))),0)+IF(AND(Y141=1,E141="红弩箭",L141&lt;&gt;"ENTER_INSIGHT"),1,0)-IF(AND(L141="LILYA_ULT",X141&gt;=6),6,0)))</f>
        <v>13</v>
      </c>
      <c r="CC141" s="1">
        <f t="shared" si="151"/>
        <v>0</v>
      </c>
      <c r="CD141" s="1">
        <f t="shared" si="152"/>
        <v>0</v>
      </c>
      <c r="CE141" s="1">
        <f t="shared" si="153"/>
        <v>0</v>
      </c>
      <c r="CF141" s="1">
        <f t="shared" si="154"/>
        <v>10</v>
      </c>
      <c r="CG141" s="1">
        <f t="shared" si="155"/>
        <v>1</v>
      </c>
      <c r="CH141" s="1">
        <f>MIN(35,AD141+IF(L141="J_HARD",6,0)+IF(L141="J_COUNTER",Boss参数!$B$30,0))</f>
        <v>35</v>
      </c>
      <c r="CI141" s="1">
        <f>MIN(Boss参数!$I$4,AE141+IF(L141="J_HARD",6,0)+IF(L141="J_ULT",AD141,0)+IF(L141="J_COUNTER",Boss参数!$B$30,0))</f>
        <v>0</v>
      </c>
      <c r="CJ141" s="1">
        <f>IF(L141="J_ULT",AD141*Boss参数!$B$41,IF(B141&lt;=AG141,AF141,0))</f>
        <v>0.875</v>
      </c>
      <c r="CK141" s="1">
        <f t="shared" si="156"/>
        <v>9</v>
      </c>
      <c r="CL141" s="1">
        <f t="shared" si="157"/>
        <v>9</v>
      </c>
      <c r="CM141" s="1">
        <f t="shared" si="158"/>
        <v>8</v>
      </c>
      <c r="CN141" s="1">
        <f t="shared" si="159"/>
        <v>9</v>
      </c>
      <c r="CO141" s="1">
        <f t="shared" si="160"/>
        <v>8</v>
      </c>
      <c r="CP141" s="1">
        <f t="shared" si="161"/>
        <v>3</v>
      </c>
      <c r="CQ141" s="1">
        <f t="shared" si="162"/>
        <v>30</v>
      </c>
      <c r="CR141" s="1">
        <f t="shared" si="163"/>
        <v>9</v>
      </c>
      <c r="CS141" s="1">
        <f t="shared" si="164"/>
        <v>0</v>
      </c>
      <c r="CT141" s="1" t="e">
        <f t="shared" si="165"/>
        <v>#VALUE!</v>
      </c>
      <c r="CU141" s="1" t="e">
        <f t="shared" si="166"/>
        <v>#VALUE!</v>
      </c>
      <c r="CV141" s="1">
        <f t="shared" si="167"/>
        <v>0.3</v>
      </c>
      <c r="CW141" s="1">
        <f t="shared" si="168"/>
        <v>9</v>
      </c>
      <c r="CX141" s="1">
        <f t="shared" si="169"/>
        <v>0.3</v>
      </c>
      <c r="CY141" s="1">
        <f t="shared" si="170"/>
        <v>9</v>
      </c>
      <c r="CZ141" s="1"/>
      <c r="DA141" s="1"/>
      <c r="DB141" s="1"/>
      <c r="DC141" s="1"/>
      <c r="DD141" s="1"/>
      <c r="DE141" s="1"/>
      <c r="DF141" s="1"/>
      <c r="DG141" s="1" t="str">
        <f>IF(D141="","",行动模拟!B147)</f>
        <v/>
      </c>
      <c r="DH141" s="1" t="str">
        <f>IF(L141="END_TURN","回合结束",IF(D141="","",IF(INDEX(回合状态!$C$7:$C$17,MATCH(DG141,回合状态!$A$7:$A$17,0))="洞穿","洞穿",IF(OR(L141="J_COUNTER",L141="BOSS_ACTION",L141="BOSS_CONSERVATIVE"),"敌方",IF(AND(L141="37_FOLLOW",DG141=DG140,DH140="敌方"),"敌方",IF(INDEX(回合状态!$C$7:$C$17,MATCH(DG141,回合状态!$A$7:$A$17,0))="普通","出牌",INDEX(回合状态!$C$7:$C$17,MATCH(DG141,回合状态!$A$7:$A$17,0))))))))</f>
        <v/>
      </c>
      <c r="DI141" s="1">
        <f t="shared" si="171"/>
        <v>0</v>
      </c>
      <c r="DJ141" s="1">
        <f>IF(D141="",0,MIN(Boss参数!$B$25,IF(OR(AND(DH141="敌方",OR(DH140&lt;&gt;"敌方",DG141&lt;&gt;DG140)),AND(L141="END_TURN",DH141&lt;&gt;"洞穿"),AND(DG141&lt;&gt;DG140,DH140&lt;&gt;"洞穿",L140&lt;&gt;"END_TURN",COUNTIFS($DG$3:DG140,DG140,$DH$3:DH140,"敌方")=0)),EW141,DN140)))</f>
        <v>0</v>
      </c>
      <c r="DK141" s="1">
        <f>IF(D141="",0,MIN(Boss参数!$B$25,IF(OR(AND(DH141="敌方",OR(DH140&lt;&gt;"敌方",DG141&lt;&gt;DG140)),AND(L141="END_TURN",DH141&lt;&gt;"洞穿"),AND(DG141&lt;&gt;DG140,DH140&lt;&gt;"洞穿",L140&lt;&gt;"END_TURN",COUNTIFS($DG$3:DG140,DG140,$DH$3:DH140,"敌方")=0)),EW141,DO140)))</f>
        <v>0</v>
      </c>
      <c r="DL141" s="1">
        <f>IF(D141="",0,MIN(Boss参数!$B$25,IF(OR(AND(DH141="敌方",OR(DH140&lt;&gt;"敌方",DG141&lt;&gt;DG140)),AND(L141="END_TURN",DH141&lt;&gt;"洞穿"),AND(DG141&lt;&gt;DG140,DH140&lt;&gt;"洞穿",L140&lt;&gt;"END_TURN",COUNTIFS($DG$3:DG140,DG140,$DH$3:DH140,"敌方")=0)),EW141,DP140)))</f>
        <v>0</v>
      </c>
      <c r="DM141" s="1">
        <f>IF(D141="",0,MIN(Boss参数!$B$25,IF(OR(AND(DH141="敌方",OR(DH140&lt;&gt;"敌方",DG141&lt;&gt;DG140)),AND(L141="END_TURN",DH141&lt;&gt;"洞穿"),AND(DG141&lt;&gt;DG140,DH140&lt;&gt;"洞穿",L140&lt;&gt;"END_TURN",COUNTIFS($DG$3:DG140,DG140,$DH$3:DH140,"敌方")=0)),EW141,DQ140)))</f>
        <v>0</v>
      </c>
      <c r="DN141" s="1">
        <f>MAX(0,MIN(Boss参数!$B$25,DJ141+DR141)-IF(E141="红弩箭",2*DR141,0))</f>
        <v>0</v>
      </c>
      <c r="DO141" s="1">
        <f>MAX(0,MIN(Boss参数!$B$25,DK141+DR141)-IF(E141="37",2*DR141,0))</f>
        <v>0</v>
      </c>
      <c r="DP141" s="1">
        <f>MAX(0,MIN(Boss参数!$B$25,DL141+DR141)-IF(E141="小瑞安侬",2*DR141,0))</f>
        <v>0</v>
      </c>
      <c r="DQ141" s="1">
        <f>MAX(0,MIN(Boss参数!$B$25,DM141+DR141)-IF(E141="J",2*DR141,0))</f>
        <v>0</v>
      </c>
      <c r="DR141" s="1">
        <f t="shared" si="172"/>
        <v>0</v>
      </c>
      <c r="DS141" s="1">
        <f t="shared" si="173"/>
        <v>0</v>
      </c>
      <c r="DT141" s="1">
        <f>IF(OR(E141="",E141="系统"),0,IF(OR(AND(DS141=1,Boss参数!$B$32=1),L141="RHI_BERRY",OR(AND(INDEX(角色面板!$B$18:$B$21,MATCH(E141,角色面板!$A$18:$A$21,0))="星",Boss参数!$B$4="岩"),AND(INDEX(角色面板!$B$18:$B$21,MATCH(E141,角色面板!$A$18:$A$21,0))="岩",Boss参数!$B$4="兽"),AND(INDEX(角色面板!$B$18:$B$21,MATCH(E141,角色面板!$A$18:$A$21,0))="兽",Boss参数!$B$4="木"),AND(INDEX(角色面板!$B$18:$B$21,MATCH(E141,角色面板!$A$18:$A$21,0))="木",Boss参数!$B$4="星"),AND(INDEX(角色面板!$B$18:$B$21,MATCH(E141,角色面板!$A$18:$A$21,0))="智",Boss参数!$B$4="灵"),AND(INDEX(角色面板!$B$18:$B$21,MATCH(E141,角色面板!$A$18:$A$21,0))="灵",Boss参数!$B$4="智"))),1,0))</f>
        <v>0</v>
      </c>
      <c r="DU141" s="1">
        <f>IF(D141="",0,INDEX(回合状态!$E$7:$E$17,MATCH(DG141,回合状态!$A$7:$A$17,0))+IF(AND(DH141="敌方",OR(INDEX(回合状态!$C$7:$C$17,MATCH(DG141,回合状态!$A$7:$A$17,0))="普通",INDEX(回合状态!$C$7:$C$17,MATCH(DG141,回合状态!$A$7:$A$17,0))="额外")),0.05,0))</f>
        <v>0</v>
      </c>
      <c r="DV141" s="1">
        <f>MAX(Boss参数!$B$28,1+IF(AND(E141="37",AC141&gt;0,BH141&gt;0),Boss参数!$B$42,0)-DI141*Boss参数!$B$24+EA141-ER141)</f>
        <v>9.9999999999999978E-2</v>
      </c>
      <c r="DW141" s="1">
        <f>MIN(IF(Boss参数!$B$77=1,Boss参数!$B$63*Boss参数!$B$62,Boss参数!$B$61*Boss参数!$B$62),ROUNDDOWN(BQ141*(1-ES141),0))</f>
        <v>0</v>
      </c>
      <c r="DX141" s="1">
        <f>MIN(IF(Boss参数!$B$77=1,Boss参数!$B$63*Boss参数!$B$62,Boss参数!$B$61*Boss参数!$B$62),ROUNDDOWN(BR141*(1-ES141),0))</f>
        <v>0</v>
      </c>
      <c r="DY141" s="1">
        <f t="shared" si="205"/>
        <v>250</v>
      </c>
      <c r="DZ141" s="1">
        <f>IF(L141="RHI_ULT",MIN(Boss参数!$B$48,ROUNDDOWN(AY141*Boss参数!$B$47,0)),DY141)</f>
        <v>250</v>
      </c>
      <c r="EA141" s="1">
        <v>0</v>
      </c>
      <c r="EB141" s="1">
        <f t="shared" si="174"/>
        <v>0</v>
      </c>
      <c r="EC141" s="1">
        <f>SUMIFS($EB$3:EB141,$B$3:B141,"&gt;="&amp;MAX(1,B141-2),$B$3:B141,"&lt;="&amp;B141)*Boss参数!$B$51</f>
        <v>0</v>
      </c>
      <c r="ED141" s="1">
        <f>IF(D141="",EG140,IF(AND(DG141&lt;&gt;DG140,DH141&lt;&gt;"洞穿"),MIN(Boss参数!$B$55,EG140+2),EG140))</f>
        <v>0</v>
      </c>
      <c r="EE141" s="1">
        <f t="shared" si="175"/>
        <v>0</v>
      </c>
      <c r="EF141" s="1">
        <f>IF(AND(OR(L141="END_TURN",AND(DH141="敌方",OR(DH140&lt;&gt;"敌方",DG141&lt;&gt;DG140))),SUMIFS($EF$3:EF140,$DG$3:DG140,DG141)=0),MIN(1,MAX(0,ED141-EE141)),0)</f>
        <v>0</v>
      </c>
      <c r="EG141" s="1">
        <f t="shared" si="176"/>
        <v>0</v>
      </c>
      <c r="EH141" s="1">
        <f>Boss参数!$B$53-IF(Y141=1,Boss参数!$B$54,0)</f>
        <v>0</v>
      </c>
      <c r="EI141" s="1">
        <f t="shared" si="177"/>
        <v>0.15</v>
      </c>
      <c r="EJ141" s="1">
        <f t="shared" si="178"/>
        <v>0.15</v>
      </c>
      <c r="EK141" s="1" t="e">
        <f t="shared" si="179"/>
        <v>#VALUE!</v>
      </c>
      <c r="EL141" s="1">
        <f t="shared" si="206"/>
        <v>0</v>
      </c>
      <c r="EM141" s="1">
        <f>IF(AND(DG141&lt;&gt;DG140,DH141="洞穿"),0,IF(L141="ENTER_INSIGHT",Boss参数!$B$57,EO140))</f>
        <v>0</v>
      </c>
      <c r="EN141" s="1">
        <f>IF(AND(Y141=1,H141="洞知",EM141&gt;0),Boss参数!$B$56,0)</f>
        <v>0</v>
      </c>
      <c r="EO141" s="1">
        <f t="shared" si="180"/>
        <v>0</v>
      </c>
      <c r="EP141" s="1">
        <f t="shared" si="207"/>
        <v>23210479</v>
      </c>
      <c r="EQ141" s="1">
        <f>ROUNDDOWN(EP141/Boss参数!$B$62,0)</f>
        <v>232</v>
      </c>
      <c r="ER141" s="1">
        <f>IF(EQ141&gt;=Boss参数!$B$66,Boss参数!$B$69,IF(EQ141&gt;=Boss参数!$B$65,Boss参数!$B$68,IF(EQ141&gt;=Boss参数!$B$64,Boss参数!$B$67,0)))</f>
        <v>0.9</v>
      </c>
      <c r="ES141" s="1">
        <f>MIN(1,IF(EQ141&gt;=Boss参数!$B$66,Boss参数!$B$72+ROUNDDOWN((EQ141-Boss参数!$B$66)/Boss参数!$B$73,0)*Boss参数!$B$74,IF(EQ141&gt;=Boss参数!$B$65,Boss参数!$B$71,IF(EQ141&gt;=Boss参数!$B$64,Boss参数!$B$70,0))))</f>
        <v>0.65</v>
      </c>
      <c r="ET141" s="1">
        <f>MIN(Boss参数!$B$61*Boss参数!$B$62,EP141+IF(AND(Boss参数!$B$60=1,ISNUMBER(验证表!H147)),验证表!H147,EU141))</f>
        <v>23210479</v>
      </c>
      <c r="EU141" s="1">
        <f>IF(D141="",0,IF(验证表!G147="是",BV141,IF(验证表!G147="否",BU141,BW141)))</f>
        <v>0</v>
      </c>
      <c r="EV141" s="1">
        <f>IF(EQ141&gt;=Boss参数!$B$66,2,IF(EQ141&gt;=Boss参数!$B$65,1,0))</f>
        <v>2</v>
      </c>
      <c r="EW141" s="1">
        <f t="shared" si="181"/>
        <v>3</v>
      </c>
      <c r="EX141" s="1">
        <f>IF(D141="",0,INDEX(回合状态!$D$7:$D$17,MATCH(DG141,回合状态!$A$7:$A$17,0)))</f>
        <v>0</v>
      </c>
      <c r="EY141" s="1">
        <f>IF(OR(L141="RHI_ATTACK",L141="RHI_BUFF"),1,IF(L141="RHI_ULT",Boss参数!$B$52,0))</f>
        <v>0</v>
      </c>
      <c r="EZ141" s="1">
        <f>MIN(6,SUMIFS($EY$3:EY141,$EX$3:EX141,"&gt;="&amp;MAX(1,EX141-Boss参数!$B$87+1),$EX$3:EX141,"&lt;="&amp;EX141))</f>
        <v>0</v>
      </c>
      <c r="FA141" s="1">
        <f t="shared" si="208"/>
        <v>0</v>
      </c>
      <c r="FB141" s="17">
        <f>IF(L141="BOSS_CONSERVATIVE",B141+Boss参数!$B$91,FB140)</f>
        <v>7</v>
      </c>
      <c r="FC141" s="17">
        <f t="shared" si="209"/>
        <v>0</v>
      </c>
      <c r="FD141" s="17">
        <f>IF(D141="",FD140,FD140+IF(AND(DG141&lt;&gt;DG140,INDEX(回合状态!$C$7:$C$17,MATCH(DG141,回合状态!$A$7:$A$17,0))&lt;&gt;"洞穿"),1,0))</f>
        <v>8</v>
      </c>
      <c r="FE141" s="17">
        <f>IF(D141="",0,IF(AND(OR(L141="END_TURN",DH141="敌方"),INDEX(回合状态!$C$7:$C$17,MATCH(DG141,回合状态!$A$7:$A$17,0))&lt;&gt;"洞穿",SUMIFS($FE$3:FE140,$DG$3:DG140,DG141)=0),1,0))</f>
        <v>0</v>
      </c>
    </row>
    <row r="142" spans="1:161" ht="84.95" customHeight="1">
      <c r="A142" s="1" t="str">
        <f>行动模拟!A148</f>
        <v/>
      </c>
      <c r="B142" s="1">
        <f>IF(D142="",0,INDEX(回合状态!$B$7:$B$17,MATCH(DG142,回合状态!$A$7:$A$17,0)))</f>
        <v>0</v>
      </c>
      <c r="C142" s="1">
        <f>行动模拟!C148</f>
        <v>0</v>
      </c>
      <c r="D142" s="1" t="str">
        <f>IF(行动模拟!D148="","",行动模拟!D148)</f>
        <v/>
      </c>
      <c r="E142" s="1" t="str">
        <f>IF($D142="","",IFERROR(INDEX(技能数据库!$B$4:$B$38,MATCH($D142,技能数据库!$A$4:$A$38,0)),""))</f>
        <v/>
      </c>
      <c r="F142" s="1" t="str">
        <f>IF($D142="","",IFERROR(INDEX(技能数据库!$C$4:$C$38,MATCH($D142,技能数据库!$A$4:$A$38,0)),""))</f>
        <v/>
      </c>
      <c r="G142" s="1" t="str">
        <f>IF($D142="","",IFERROR(INDEX(技能数据库!$D$4:$D$38,MATCH($D142,技能数据库!$A$4:$A$38,0)),""))</f>
        <v/>
      </c>
      <c r="H142" s="1" t="str">
        <f>IF($D142="","",IFERROR(INDEX(技能数据库!$E$4:$E$38,MATCH($D142,技能数据库!$A$4:$A$38,0)),""))</f>
        <v/>
      </c>
      <c r="I142" s="1" t="str">
        <f>IF($D142="","",IFERROR(INDEX(技能数据库!$F$4:$F$38,MATCH($D142,技能数据库!$A$4:$A$38,0)),""))</f>
        <v/>
      </c>
      <c r="J142" s="1" t="str">
        <f>IF($D142="","",IFERROR(INDEX(技能数据库!$G$4:$G$38,MATCH($D142,技能数据库!$A$4:$A$38,0)),""))</f>
        <v/>
      </c>
      <c r="K142" s="1" t="str">
        <f>IF($D142="","",IFERROR(INDEX(技能数据库!$H$4:$H$38,MATCH($D142,技能数据库!$A$4:$A$38,0)),""))</f>
        <v/>
      </c>
      <c r="L142" s="1" t="str">
        <f>IF($D142="","",IFERROR(INDEX(技能数据库!$I$4:$I$38,MATCH($D142,技能数据库!$A$4:$A$38,0)),""))</f>
        <v/>
      </c>
      <c r="M142" s="1">
        <v>1</v>
      </c>
      <c r="N142" s="1"/>
      <c r="O142" s="1"/>
      <c r="P142" s="1"/>
      <c r="Q142" s="1">
        <f t="shared" si="140"/>
        <v>0</v>
      </c>
      <c r="R142" s="1">
        <v>0</v>
      </c>
      <c r="S142" s="1">
        <v>0</v>
      </c>
      <c r="T142" s="1">
        <f>行动模拟!I148</f>
        <v>0</v>
      </c>
      <c r="U142" s="1">
        <f>IF(FD142&lt;&gt;FD141,IF(BY141=1,IF(MIN(10,CA141+IF(AND(DG142&lt;&gt;DG141,DH141&lt;&gt;"洞穿",SUMIFS($FE$3:FE141,$DG$3:DG141,DG141)=0,BY141=1),3,0))&gt;=10,2,1),IF(BY141=2,IF(BZ141&lt;=1,0,2),0)),BY141)</f>
        <v>2</v>
      </c>
      <c r="V142" s="1">
        <f>IF(FD142&lt;&gt;FD141,IF(BY141=1,IF(MIN(10,CA141+IF(AND(DG142&lt;&gt;DG141,DH141&lt;&gt;"洞穿",SUMIFS($FE$3:FE141,$DG$3:DG141,DG141)=0,BY141=1),3,0))&gt;=10,2,0),IF(BY141=2,MAX(0,BZ141-1),0)),BZ141)</f>
        <v>1</v>
      </c>
      <c r="W142" s="1">
        <f>IF(AND(FD142&lt;&gt;FD141,BY141=2,BZ141&lt;=1),0,MIN(10,CA141+IF(AND(DG142&lt;&gt;DG141,DH141&lt;&gt;"洞穿",SUMIFS($FE$3:FE141,$DG$3:DG141,DG141)=0,BY141=1),3,0)))</f>
        <v>10</v>
      </c>
      <c r="X142" s="1">
        <f t="shared" si="182"/>
        <v>13</v>
      </c>
      <c r="Y142" s="1">
        <f t="shared" si="183"/>
        <v>0</v>
      </c>
      <c r="Z142" s="1">
        <f t="shared" si="184"/>
        <v>0</v>
      </c>
      <c r="AA142" s="1">
        <f t="shared" si="185"/>
        <v>0</v>
      </c>
      <c r="AB142" s="1">
        <f t="shared" si="186"/>
        <v>10</v>
      </c>
      <c r="AC142" s="1">
        <f t="shared" si="187"/>
        <v>1</v>
      </c>
      <c r="AD142" s="1">
        <f t="shared" si="188"/>
        <v>35</v>
      </c>
      <c r="AE142" s="1">
        <f>IF(D142="",0,IF(DG142&lt;&gt;DG141,IFERROR(INDEX(回合状态!$F$7:$F$17,MATCH(DG142,回合状态!$A$7:$A$17,0)),0),CI141))</f>
        <v>0</v>
      </c>
      <c r="AF142" s="1">
        <f t="shared" si="189"/>
        <v>0.875</v>
      </c>
      <c r="AG142" s="1">
        <f t="shared" si="190"/>
        <v>9</v>
      </c>
      <c r="AH142" s="1">
        <f t="shared" si="191"/>
        <v>9</v>
      </c>
      <c r="AI142" s="1">
        <f t="shared" si="192"/>
        <v>8</v>
      </c>
      <c r="AJ142" s="1">
        <f t="shared" si="193"/>
        <v>9</v>
      </c>
      <c r="AK142" s="1">
        <f t="shared" si="194"/>
        <v>8</v>
      </c>
      <c r="AL142" s="1">
        <f t="shared" si="195"/>
        <v>3</v>
      </c>
      <c r="AM142" s="1">
        <f t="shared" si="196"/>
        <v>30</v>
      </c>
      <c r="AN142" s="1">
        <f t="shared" si="197"/>
        <v>9</v>
      </c>
      <c r="AO142" s="1">
        <f t="shared" si="198"/>
        <v>0</v>
      </c>
      <c r="AP142" s="1" t="e">
        <f t="shared" si="199"/>
        <v>#VALUE!</v>
      </c>
      <c r="AQ142" s="1" t="e">
        <f t="shared" si="200"/>
        <v>#VALUE!</v>
      </c>
      <c r="AR142" s="1">
        <f t="shared" si="201"/>
        <v>0.3</v>
      </c>
      <c r="AS142" s="1">
        <f t="shared" si="202"/>
        <v>9</v>
      </c>
      <c r="AT142" s="1">
        <f t="shared" si="203"/>
        <v>0.3</v>
      </c>
      <c r="AU142" s="1">
        <f t="shared" si="204"/>
        <v>9</v>
      </c>
      <c r="AV142" s="1">
        <f>MIN(5,SUMIFS($EL$3:EL142,$B$3:B142,"&gt;="&amp;MAX(1,B142-2),$B$3:B142,"&lt;="&amp;B142)+EC142)</f>
        <v>0</v>
      </c>
      <c r="AW142" s="1">
        <f>MIN(6,SUMIFS($EY$3:EY141,$EX$3:EX141,"&gt;="&amp;MAX(1,EX142-Boss参数!$B$87+1),$EX$3:EX141,"&lt;="&amp;EX142))</f>
        <v>0</v>
      </c>
      <c r="AX142" s="1">
        <f>MIN(4,COUNTIFS($B$3:$B$141,"&gt;="&amp;MAX(1,$B142-2),$B$3:$B$141,"&lt;="&amp;$B142,$L$3:$L$141,"37_FOLLOW"))</f>
        <v>0</v>
      </c>
      <c r="AY142" s="1" t="str">
        <f>IF($E142="","",IF($E142="系统",0,ROUNDDOWN(INDEX(角色面板!$C$4:$C$7,MATCH($E142,角色面板!$A$4:$A$7,0))*(1+INDEX(角色面板!$C$11:$C$14,MATCH($E142,角色面板!$A$11:$A$14,0))+IF($E142="小瑞安侬",MAX(IF($B142&lt;=$AQ142,$AP142,0),IF(AND($L142="RHI_ATTACK",$EE142&gt;0),0.11+0.01*$G142,0)),0)+IF($E142="J",$AD142*Boss参数!$B$18,0))+IF(FD142&lt;=$AN142,MIN(Boss参数!$B$21,ROUNDDOWN(角色面板!$C$19*Boss参数!$B$20,0)),0)+IF(AND($B142&lt;=$AK142,$E142&lt;&gt;"小瑞安侬"),$DY142,0),0)))</f>
        <v/>
      </c>
      <c r="AZ142" s="1" t="str">
        <f>IF($E142="","",MAX(0,MIN(1,IFERROR(INDEX(角色面板!$G$18:$G$21,MATCH($E142,角色面板!$A$18:$A$21,0)),0)-FC142*Boss参数!$B$89-Boss参数!$E$4)))</f>
        <v/>
      </c>
      <c r="BA142" s="1" t="str">
        <f>IF(E142="","",(IF($E142="","",IF($E142="红弩箭",Boss参数!$B$80,IF($E142="J",Boss参数!$B$81,IFERROR(INDEX(角色面板!$H$18:$H$21,MATCH($E142,角色面板!$A$18:$A$21,0)),0)))+IF($B142&lt;=$AI142,Boss参数!$B$13,0)+MIN(30,$AM142)*Boss参数!$B$17+IF(AND($L142="LILYA_ULT",$X142&gt;=6),1,0)+IF(AND($Y142=1,$L142="LILYA_INSIGHT"),IF(MOD($AA142+1,3)=0,Boss参数!$B$83,Boss参数!$B$82),IF(AND($Y142=1,$L142="LILYA_FINISH"),Boss参数!$B$84,0))))-FC142*Boss参数!$B$90)</f>
        <v/>
      </c>
      <c r="BB142" s="1" t="str">
        <f>IF($E142="","",IFERROR(INDEX(角色面板!$M$18:$M$21,MATCH($E142,角色面板!$A$18:$A$21,0)),0)+$AW142*Boss参数!$B$12+IF($B142&lt;=$AG142,$AF142,0)+$EI142+IF($L142="LILYA_DIVE",IF($U142=1,IF($G142=1,0.3,IF($G142=2,0.4,0.5)),IF($U142=2,IF($G142=1,0.6,IF($G142=2,0.8,1)),0)),0)+$R142+IF(AND($E142="J",OR($L142="J_COUNTER",$L142="J_HARD")),Boss参数!$B$79,0)+IF(AND(OR(L142="J_COUNTER",L142="J_HARD"),FA142&gt;=Boss参数!$B$59),FA142*Boss参数!$B$40,0))</f>
        <v/>
      </c>
      <c r="BC142" s="1" t="e">
        <f>IF($E142="","",IFERROR(INDEX(角色面板!$K$18:$K$21,MATCH($E142,角色面板!$A$18:$A$21,0)),0)+IF($B142&lt;=$AH142,Boss参数!$B$46,0)+IF($E142="红弩箭",IF($U142=1,0.6,IF($U142=2,1.2,0))+$W142*0.06,0))-DI142*Boss参数!$B$23</f>
        <v>#VALUE!</v>
      </c>
      <c r="BD142" s="1" t="e">
        <f>IF($E142="","",IFERROR(INDEX(角色面板!$L$18:$L$21,MATCH($E142,角色面板!$A$18:$A$21,0)),0)+IF($B142&lt;=$AH142,Boss参数!$B$46,0)+IF($E142="J",$AL142*Boss参数!$B$16,0)+IF($E142="红弩箭",$X142*0.025,0)+IF(AND($L142="LILYA_ULT",$X142&gt;=6),1,0))-DI142*Boss参数!$B$23</f>
        <v>#VALUE!</v>
      </c>
      <c r="BE142" s="1" t="str">
        <f>IF($E142="","",IF($H142="洞知",IF($E142="红弩箭",$AO142*Boss参数!$B$15,0)+$AX142*Boss参数!$B$14,0))</f>
        <v/>
      </c>
      <c r="BF142" s="1">
        <f t="shared" si="141"/>
        <v>0</v>
      </c>
      <c r="BG142" s="1">
        <f>IF($D142="",0,IF(AND($L142&lt;&gt;"LILYA_DIVE",$L142&lt;&gt;"LILYA_ULT",$L142&lt;&gt;"LILYA_INSIGHT",$L142&lt;&gt;"LILYA_FINISH",$L142&lt;&gt;"37_FOLLOW",$L142&lt;&gt;"RHI_ATTACK",$L142&lt;&gt;"RHI_BERRY",$L142&lt;&gt;"J_COUNTER",$L142&lt;&gt;"J_ULT"),$J142,0)+IF($L142="LILYA_DIVE",$J142+IF($U142=1,IF($G142=1,6,IF($G142=2,12,18)),IF($U142=2,IF($G142=1,12,IF($G142=2,24,36)),0)),0)+IF($L142="LILYA_ULT",$J142+IF($X142&gt;=6,18,0),0)+IF($L142="LILYA_INSIGHT",IF($Y142=1,IF(MOD($AA142+1,3)=0,32,15),0),0)+IF($L142="LILYA_FINISH",IF($Y142=1,50+2.5*$Z142,0),0)+IF($L142="37_FOLLOW",$J142,0)+IF($L142="RHI_ATTACK",$J142*IF($B142&lt;=$AJ142,2,1),0)+IF($L142="RHI_BERRY",15+1.5*$AV142,0)+IF($L142="J_COUNTER",$J142+$AD142*Boss参数!$B$39,0)+IF($L142="J_ULT",$J142+Boss参数!$B$45*MAX(0,$AE142+$AD142-Boss参数!$I$4),0)+$S142)</f>
        <v>0</v>
      </c>
      <c r="BH142" s="1">
        <f t="shared" si="142"/>
        <v>0</v>
      </c>
      <c r="BI142" s="1" t="str">
        <f>IF(E142="","",IF(DT142=1,1+Boss参数!$B$8+AV142*Boss参数!$B$19,1))</f>
        <v/>
      </c>
      <c r="BJ142" s="1">
        <f>IF($I142="现实",Boss参数!$C$4,IF($I142="精神",Boss参数!$D$4,0))</f>
        <v>0</v>
      </c>
      <c r="BK142" s="1" t="str">
        <f>IF($E142="","",MAX($AY142*Boss参数!$B$9,$AY142-$BJ142*(1-$BF142)))</f>
        <v/>
      </c>
      <c r="BL142" s="1">
        <f>MAX(0,Boss参数!$F$4+IF(DT142=0,Boss参数!$B$27,0)-EJ142)</f>
        <v>1.25</v>
      </c>
      <c r="BM142" s="1">
        <f>Boss参数!$G$4+DU142-IF(Y142=1,Boss参数!$B$11,0)</f>
        <v>0.4</v>
      </c>
      <c r="BN142" s="1" t="str">
        <f>IF($E142="","",MAX(Boss参数!$B$10,1+IFERROR(INDEX(角色面板!$I$18:$I$21,MATCH($E142,角色面板!$A$18:$A$21,0)),0)+$BB142+Boss参数!$H$4-$BM142))</f>
        <v/>
      </c>
      <c r="BO142" s="1" t="str">
        <f>IF(E142="","",IF(OR(L142="J_COUNTER",L142="J_HARD"),MAX(0,1+INDEX(角色面板!$K$18:$K$21,MATCH(E142,角色面板!$A$18:$A$21,0))-DI142*Boss参数!$B$23+IF(OR(Boss参数!$B$43=1,L142="J_HARD"),IF(B142&lt;=AH142,Boss参数!$B$46,0),0)),MAX(0,IF(OR(H142="术法",L142="RHI_BERRY",AND(L142="37_FOLLOW",Boss参数!$B$31=1)),1+BC142,IF(H142="仪式",1+BD142,IF(H142="洞知",EK142,1))))))</f>
        <v/>
      </c>
      <c r="BP142" s="1" t="str">
        <f t="shared" si="143"/>
        <v/>
      </c>
      <c r="BQ142" s="1">
        <f t="shared" si="144"/>
        <v>0</v>
      </c>
      <c r="BR142" s="1">
        <f t="shared" si="145"/>
        <v>0</v>
      </c>
      <c r="BS142" s="1">
        <f>IF(BH142=0,0,ROUNDDOWN(AY142*BH142,0)*DV142*IF(Boss参数!$B$29=1,BN142,1)*IF(Boss参数!$B$33=1,BO142,1)*IF(Boss参数!$B$76=1,1-ES142,1))</f>
        <v>0</v>
      </c>
      <c r="BT142" s="1">
        <f t="shared" si="146"/>
        <v>0</v>
      </c>
      <c r="BU142" s="1">
        <f>IF(D142="",0,MIN(IF(Boss参数!$B$77=1,Boss参数!$B$63*Boss参数!$B$62,Boss参数!$B$61*Boss参数!$B$62),DW142+ROUNDDOWN(BS142,0)+ROUNDDOWN(DW142*Q142,0)))</f>
        <v>0</v>
      </c>
      <c r="BV142" s="1">
        <f>IF(D142="",0,MIN(IF(Boss参数!$B$77=1,Boss参数!$B$63*Boss参数!$B$62,Boss参数!$B$61*Boss参数!$B$62),DX142+ROUNDDOWN(BT142,0)+ROUNDDOWN(DX142*Q142,0)))</f>
        <v>0</v>
      </c>
      <c r="BW142" s="1">
        <f t="shared" si="147"/>
        <v>0</v>
      </c>
      <c r="BX142" s="1" t="str">
        <f t="shared" si="148"/>
        <v/>
      </c>
      <c r="BY142" s="1">
        <f t="shared" si="149"/>
        <v>2</v>
      </c>
      <c r="BZ142" s="1">
        <f t="shared" si="150"/>
        <v>1</v>
      </c>
      <c r="CA142" s="1">
        <f>MIN(10,W142+IF(AND(L142="LILYA_COBRA",COUNTIF($L$3:L142,"LILYA_COBRA")=1),5,0)+IF(AND(L142="LILYA_DIVE",U142=1,COUNTIFS($DG$3:DG142,DG142,$L$3:L142,"LILYA_DIVE")=1),2,0)+IF(AND(FE142=1,U142=1),3,0))</f>
        <v>10</v>
      </c>
      <c r="CB142" s="1">
        <f>MIN(20,MAX(0,X142+IF(L142="LILYA_COBRA",IF(COUNTIF($L$3:L142,"LILYA_COBRA")=1,6,IF(U142=1,MAX(1,G142),IF(U142=2,2*MAX(1,G142),0))),0)+IF(AND(Y142=1,E142="红弩箭",L142&lt;&gt;"ENTER_INSIGHT"),1,0)-IF(AND(L142="LILYA_ULT",X142&gt;=6),6,0)))</f>
        <v>13</v>
      </c>
      <c r="CC142" s="1">
        <f t="shared" si="151"/>
        <v>0</v>
      </c>
      <c r="CD142" s="1">
        <f t="shared" si="152"/>
        <v>0</v>
      </c>
      <c r="CE142" s="1">
        <f t="shared" si="153"/>
        <v>0</v>
      </c>
      <c r="CF142" s="1">
        <f t="shared" si="154"/>
        <v>10</v>
      </c>
      <c r="CG142" s="1">
        <f t="shared" si="155"/>
        <v>1</v>
      </c>
      <c r="CH142" s="1">
        <f>MIN(35,AD142+IF(L142="J_HARD",6,0)+IF(L142="J_COUNTER",Boss参数!$B$30,0))</f>
        <v>35</v>
      </c>
      <c r="CI142" s="1">
        <f>MIN(Boss参数!$I$4,AE142+IF(L142="J_HARD",6,0)+IF(L142="J_ULT",AD142,0)+IF(L142="J_COUNTER",Boss参数!$B$30,0))</f>
        <v>0</v>
      </c>
      <c r="CJ142" s="1">
        <f>IF(L142="J_ULT",AD142*Boss参数!$B$41,IF(B142&lt;=AG142,AF142,0))</f>
        <v>0.875</v>
      </c>
      <c r="CK142" s="1">
        <f t="shared" si="156"/>
        <v>9</v>
      </c>
      <c r="CL142" s="1">
        <f t="shared" si="157"/>
        <v>9</v>
      </c>
      <c r="CM142" s="1">
        <f t="shared" si="158"/>
        <v>8</v>
      </c>
      <c r="CN142" s="1">
        <f t="shared" si="159"/>
        <v>9</v>
      </c>
      <c r="CO142" s="1">
        <f t="shared" si="160"/>
        <v>8</v>
      </c>
      <c r="CP142" s="1">
        <f t="shared" si="161"/>
        <v>3</v>
      </c>
      <c r="CQ142" s="1">
        <f t="shared" si="162"/>
        <v>30</v>
      </c>
      <c r="CR142" s="1">
        <f t="shared" si="163"/>
        <v>9</v>
      </c>
      <c r="CS142" s="1">
        <f t="shared" si="164"/>
        <v>0</v>
      </c>
      <c r="CT142" s="1" t="e">
        <f t="shared" si="165"/>
        <v>#VALUE!</v>
      </c>
      <c r="CU142" s="1" t="e">
        <f t="shared" si="166"/>
        <v>#VALUE!</v>
      </c>
      <c r="CV142" s="1">
        <f t="shared" si="167"/>
        <v>0.3</v>
      </c>
      <c r="CW142" s="1">
        <f t="shared" si="168"/>
        <v>9</v>
      </c>
      <c r="CX142" s="1">
        <f t="shared" si="169"/>
        <v>0.3</v>
      </c>
      <c r="CY142" s="1">
        <f t="shared" si="170"/>
        <v>9</v>
      </c>
      <c r="CZ142" s="1"/>
      <c r="DA142" s="1"/>
      <c r="DB142" s="1"/>
      <c r="DC142" s="1"/>
      <c r="DD142" s="1"/>
      <c r="DE142" s="1"/>
      <c r="DF142" s="1"/>
      <c r="DG142" s="1" t="str">
        <f>IF(D142="","",行动模拟!B148)</f>
        <v/>
      </c>
      <c r="DH142" s="1" t="str">
        <f>IF(L142="END_TURN","回合结束",IF(D142="","",IF(INDEX(回合状态!$C$7:$C$17,MATCH(DG142,回合状态!$A$7:$A$17,0))="洞穿","洞穿",IF(OR(L142="J_COUNTER",L142="BOSS_ACTION",L142="BOSS_CONSERVATIVE"),"敌方",IF(AND(L142="37_FOLLOW",DG142=DG141,DH141="敌方"),"敌方",IF(INDEX(回合状态!$C$7:$C$17,MATCH(DG142,回合状态!$A$7:$A$17,0))="普通","出牌",INDEX(回合状态!$C$7:$C$17,MATCH(DG142,回合状态!$A$7:$A$17,0))))))))</f>
        <v/>
      </c>
      <c r="DI142" s="1">
        <f t="shared" si="171"/>
        <v>0</v>
      </c>
      <c r="DJ142" s="1">
        <f>IF(D142="",0,MIN(Boss参数!$B$25,IF(OR(AND(DH142="敌方",OR(DH141&lt;&gt;"敌方",DG142&lt;&gt;DG141)),AND(L142="END_TURN",DH142&lt;&gt;"洞穿"),AND(DG142&lt;&gt;DG141,DH141&lt;&gt;"洞穿",L141&lt;&gt;"END_TURN",COUNTIFS($DG$3:DG141,DG141,$DH$3:DH141,"敌方")=0)),EW142,DN141)))</f>
        <v>0</v>
      </c>
      <c r="DK142" s="1">
        <f>IF(D142="",0,MIN(Boss参数!$B$25,IF(OR(AND(DH142="敌方",OR(DH141&lt;&gt;"敌方",DG142&lt;&gt;DG141)),AND(L142="END_TURN",DH142&lt;&gt;"洞穿"),AND(DG142&lt;&gt;DG141,DH141&lt;&gt;"洞穿",L141&lt;&gt;"END_TURN",COUNTIFS($DG$3:DG141,DG141,$DH$3:DH141,"敌方")=0)),EW142,DO141)))</f>
        <v>0</v>
      </c>
      <c r="DL142" s="1">
        <f>IF(D142="",0,MIN(Boss参数!$B$25,IF(OR(AND(DH142="敌方",OR(DH141&lt;&gt;"敌方",DG142&lt;&gt;DG141)),AND(L142="END_TURN",DH142&lt;&gt;"洞穿"),AND(DG142&lt;&gt;DG141,DH141&lt;&gt;"洞穿",L141&lt;&gt;"END_TURN",COUNTIFS($DG$3:DG141,DG141,$DH$3:DH141,"敌方")=0)),EW142,DP141)))</f>
        <v>0</v>
      </c>
      <c r="DM142" s="1">
        <f>IF(D142="",0,MIN(Boss参数!$B$25,IF(OR(AND(DH142="敌方",OR(DH141&lt;&gt;"敌方",DG142&lt;&gt;DG141)),AND(L142="END_TURN",DH142&lt;&gt;"洞穿"),AND(DG142&lt;&gt;DG141,DH141&lt;&gt;"洞穿",L141&lt;&gt;"END_TURN",COUNTIFS($DG$3:DG141,DG141,$DH$3:DH141,"敌方")=0)),EW142,DQ141)))</f>
        <v>0</v>
      </c>
      <c r="DN142" s="1">
        <f>MAX(0,MIN(Boss参数!$B$25,DJ142+DR142)-IF(E142="红弩箭",2*DR142,0))</f>
        <v>0</v>
      </c>
      <c r="DO142" s="1">
        <f>MAX(0,MIN(Boss参数!$B$25,DK142+DR142)-IF(E142="37",2*DR142,0))</f>
        <v>0</v>
      </c>
      <c r="DP142" s="1">
        <f>MAX(0,MIN(Boss参数!$B$25,DL142+DR142)-IF(E142="小瑞安侬",2*DR142,0))</f>
        <v>0</v>
      </c>
      <c r="DQ142" s="1">
        <f>MAX(0,MIN(Boss参数!$B$25,DM142+DR142)-IF(E142="J",2*DR142,0))</f>
        <v>0</v>
      </c>
      <c r="DR142" s="1">
        <f t="shared" si="172"/>
        <v>0</v>
      </c>
      <c r="DS142" s="1">
        <f t="shared" si="173"/>
        <v>0</v>
      </c>
      <c r="DT142" s="1">
        <f>IF(OR(E142="",E142="系统"),0,IF(OR(AND(DS142=1,Boss参数!$B$32=1),L142="RHI_BERRY",OR(AND(INDEX(角色面板!$B$18:$B$21,MATCH(E142,角色面板!$A$18:$A$21,0))="星",Boss参数!$B$4="岩"),AND(INDEX(角色面板!$B$18:$B$21,MATCH(E142,角色面板!$A$18:$A$21,0))="岩",Boss参数!$B$4="兽"),AND(INDEX(角色面板!$B$18:$B$21,MATCH(E142,角色面板!$A$18:$A$21,0))="兽",Boss参数!$B$4="木"),AND(INDEX(角色面板!$B$18:$B$21,MATCH(E142,角色面板!$A$18:$A$21,0))="木",Boss参数!$B$4="星"),AND(INDEX(角色面板!$B$18:$B$21,MATCH(E142,角色面板!$A$18:$A$21,0))="智",Boss参数!$B$4="灵"),AND(INDEX(角色面板!$B$18:$B$21,MATCH(E142,角色面板!$A$18:$A$21,0))="灵",Boss参数!$B$4="智"))),1,0))</f>
        <v>0</v>
      </c>
      <c r="DU142" s="1">
        <f>IF(D142="",0,INDEX(回合状态!$E$7:$E$17,MATCH(DG142,回合状态!$A$7:$A$17,0))+IF(AND(DH142="敌方",OR(INDEX(回合状态!$C$7:$C$17,MATCH(DG142,回合状态!$A$7:$A$17,0))="普通",INDEX(回合状态!$C$7:$C$17,MATCH(DG142,回合状态!$A$7:$A$17,0))="额外")),0.05,0))</f>
        <v>0</v>
      </c>
      <c r="DV142" s="1">
        <f>MAX(Boss参数!$B$28,1+IF(AND(E142="37",AC142&gt;0,BH142&gt;0),Boss参数!$B$42,0)-DI142*Boss参数!$B$24+EA142-ER142)</f>
        <v>9.9999999999999978E-2</v>
      </c>
      <c r="DW142" s="1">
        <f>MIN(IF(Boss参数!$B$77=1,Boss参数!$B$63*Boss参数!$B$62,Boss参数!$B$61*Boss参数!$B$62),ROUNDDOWN(BQ142*(1-ES142),0))</f>
        <v>0</v>
      </c>
      <c r="DX142" s="1">
        <f>MIN(IF(Boss参数!$B$77=1,Boss参数!$B$63*Boss参数!$B$62,Boss参数!$B$61*Boss参数!$B$62),ROUNDDOWN(BR142*(1-ES142),0))</f>
        <v>0</v>
      </c>
      <c r="DY142" s="1">
        <f t="shared" si="205"/>
        <v>250</v>
      </c>
      <c r="DZ142" s="1">
        <f>IF(L142="RHI_ULT",MIN(Boss参数!$B$48,ROUNDDOWN(AY142*Boss参数!$B$47,0)),DY142)</f>
        <v>250</v>
      </c>
      <c r="EA142" s="1">
        <v>0</v>
      </c>
      <c r="EB142" s="1">
        <f t="shared" si="174"/>
        <v>0</v>
      </c>
      <c r="EC142" s="1">
        <f>SUMIFS($EB$3:EB142,$B$3:B142,"&gt;="&amp;MAX(1,B142-2),$B$3:B142,"&lt;="&amp;B142)*Boss参数!$B$51</f>
        <v>0</v>
      </c>
      <c r="ED142" s="1">
        <f>IF(D142="",EG141,IF(AND(DG142&lt;&gt;DG141,DH142&lt;&gt;"洞穿"),MIN(Boss参数!$B$55,EG141+2),EG141))</f>
        <v>0</v>
      </c>
      <c r="EE142" s="1">
        <f t="shared" si="175"/>
        <v>0</v>
      </c>
      <c r="EF142" s="1">
        <f>IF(AND(OR(L142="END_TURN",AND(DH142="敌方",OR(DH141&lt;&gt;"敌方",DG142&lt;&gt;DG141))),SUMIFS($EF$3:EF141,$DG$3:DG141,DG142)=0),MIN(1,MAX(0,ED142-EE142)),0)</f>
        <v>0</v>
      </c>
      <c r="EG142" s="1">
        <f t="shared" si="176"/>
        <v>0</v>
      </c>
      <c r="EH142" s="1">
        <f>Boss参数!$B$53-IF(Y142=1,Boss参数!$B$54,0)</f>
        <v>0</v>
      </c>
      <c r="EI142" s="1">
        <f t="shared" si="177"/>
        <v>0.15</v>
      </c>
      <c r="EJ142" s="1">
        <f t="shared" si="178"/>
        <v>0.15</v>
      </c>
      <c r="EK142" s="1" t="e">
        <f t="shared" si="179"/>
        <v>#VALUE!</v>
      </c>
      <c r="EL142" s="1">
        <f t="shared" si="206"/>
        <v>0</v>
      </c>
      <c r="EM142" s="1">
        <f>IF(AND(DG142&lt;&gt;DG141,DH142="洞穿"),0,IF(L142="ENTER_INSIGHT",Boss参数!$B$57,EO141))</f>
        <v>0</v>
      </c>
      <c r="EN142" s="1">
        <f>IF(AND(Y142=1,H142="洞知",EM142&gt;0),Boss参数!$B$56,0)</f>
        <v>0</v>
      </c>
      <c r="EO142" s="1">
        <f t="shared" si="180"/>
        <v>0</v>
      </c>
      <c r="EP142" s="1">
        <f t="shared" si="207"/>
        <v>23210479</v>
      </c>
      <c r="EQ142" s="1">
        <f>ROUNDDOWN(EP142/Boss参数!$B$62,0)</f>
        <v>232</v>
      </c>
      <c r="ER142" s="1">
        <f>IF(EQ142&gt;=Boss参数!$B$66,Boss参数!$B$69,IF(EQ142&gt;=Boss参数!$B$65,Boss参数!$B$68,IF(EQ142&gt;=Boss参数!$B$64,Boss参数!$B$67,0)))</f>
        <v>0.9</v>
      </c>
      <c r="ES142" s="1">
        <f>MIN(1,IF(EQ142&gt;=Boss参数!$B$66,Boss参数!$B$72+ROUNDDOWN((EQ142-Boss参数!$B$66)/Boss参数!$B$73,0)*Boss参数!$B$74,IF(EQ142&gt;=Boss参数!$B$65,Boss参数!$B$71,IF(EQ142&gt;=Boss参数!$B$64,Boss参数!$B$70,0))))</f>
        <v>0.65</v>
      </c>
      <c r="ET142" s="1">
        <f>MIN(Boss参数!$B$61*Boss参数!$B$62,EP142+IF(AND(Boss参数!$B$60=1,ISNUMBER(验证表!H148)),验证表!H148,EU142))</f>
        <v>23210479</v>
      </c>
      <c r="EU142" s="1">
        <f>IF(D142="",0,IF(验证表!G148="是",BV142,IF(验证表!G148="否",BU142,BW142)))</f>
        <v>0</v>
      </c>
      <c r="EV142" s="1">
        <f>IF(EQ142&gt;=Boss参数!$B$66,2,IF(EQ142&gt;=Boss参数!$B$65,1,0))</f>
        <v>2</v>
      </c>
      <c r="EW142" s="1">
        <f t="shared" si="181"/>
        <v>3</v>
      </c>
      <c r="EX142" s="1">
        <f>IF(D142="",0,INDEX(回合状态!$D$7:$D$17,MATCH(DG142,回合状态!$A$7:$A$17,0)))</f>
        <v>0</v>
      </c>
      <c r="EY142" s="1">
        <f>IF(OR(L142="RHI_ATTACK",L142="RHI_BUFF"),1,IF(L142="RHI_ULT",Boss参数!$B$52,0))</f>
        <v>0</v>
      </c>
      <c r="EZ142" s="1">
        <f>MIN(6,SUMIFS($EY$3:EY142,$EX$3:EX142,"&gt;="&amp;MAX(1,EX142-Boss参数!$B$87+1),$EX$3:EX142,"&lt;="&amp;EX142))</f>
        <v>0</v>
      </c>
      <c r="FA142" s="1">
        <f t="shared" si="208"/>
        <v>0</v>
      </c>
      <c r="FB142" s="17">
        <f>IF(L142="BOSS_CONSERVATIVE",B142+Boss参数!$B$91,FB141)</f>
        <v>7</v>
      </c>
      <c r="FC142" s="17">
        <f t="shared" si="209"/>
        <v>0</v>
      </c>
      <c r="FD142" s="17">
        <f>IF(D142="",FD141,FD141+IF(AND(DG142&lt;&gt;DG141,INDEX(回合状态!$C$7:$C$17,MATCH(DG142,回合状态!$A$7:$A$17,0))&lt;&gt;"洞穿"),1,0))</f>
        <v>8</v>
      </c>
      <c r="FE142" s="17">
        <f>IF(D142="",0,IF(AND(OR(L142="END_TURN",DH142="敌方"),INDEX(回合状态!$C$7:$C$17,MATCH(DG142,回合状态!$A$7:$A$17,0))&lt;&gt;"洞穿",SUMIFS($FE$3:FE141,$DG$3:DG141,DG142)=0),1,0))</f>
        <v>0</v>
      </c>
    </row>
    <row r="143" spans="1:161" ht="84.95" customHeight="1">
      <c r="A143" s="1" t="str">
        <f>行动模拟!A149</f>
        <v/>
      </c>
      <c r="B143" s="1">
        <f>IF(D143="",0,INDEX(回合状态!$B$7:$B$17,MATCH(DG143,回合状态!$A$7:$A$17,0)))</f>
        <v>0</v>
      </c>
      <c r="C143" s="1">
        <f>行动模拟!C149</f>
        <v>0</v>
      </c>
      <c r="D143" s="1" t="str">
        <f>IF(行动模拟!D149="","",行动模拟!D149)</f>
        <v/>
      </c>
      <c r="E143" s="1" t="str">
        <f>IF($D143="","",IFERROR(INDEX(技能数据库!$B$4:$B$38,MATCH($D143,技能数据库!$A$4:$A$38,0)),""))</f>
        <v/>
      </c>
      <c r="F143" s="1" t="str">
        <f>IF($D143="","",IFERROR(INDEX(技能数据库!$C$4:$C$38,MATCH($D143,技能数据库!$A$4:$A$38,0)),""))</f>
        <v/>
      </c>
      <c r="G143" s="1" t="str">
        <f>IF($D143="","",IFERROR(INDEX(技能数据库!$D$4:$D$38,MATCH($D143,技能数据库!$A$4:$A$38,0)),""))</f>
        <v/>
      </c>
      <c r="H143" s="1" t="str">
        <f>IF($D143="","",IFERROR(INDEX(技能数据库!$E$4:$E$38,MATCH($D143,技能数据库!$A$4:$A$38,0)),""))</f>
        <v/>
      </c>
      <c r="I143" s="1" t="str">
        <f>IF($D143="","",IFERROR(INDEX(技能数据库!$F$4:$F$38,MATCH($D143,技能数据库!$A$4:$A$38,0)),""))</f>
        <v/>
      </c>
      <c r="J143" s="1" t="str">
        <f>IF($D143="","",IFERROR(INDEX(技能数据库!$G$4:$G$38,MATCH($D143,技能数据库!$A$4:$A$38,0)),""))</f>
        <v/>
      </c>
      <c r="K143" s="1" t="str">
        <f>IF($D143="","",IFERROR(INDEX(技能数据库!$H$4:$H$38,MATCH($D143,技能数据库!$A$4:$A$38,0)),""))</f>
        <v/>
      </c>
      <c r="L143" s="1" t="str">
        <f>IF($D143="","",IFERROR(INDEX(技能数据库!$I$4:$I$38,MATCH($D143,技能数据库!$A$4:$A$38,0)),""))</f>
        <v/>
      </c>
      <c r="M143" s="1">
        <v>1</v>
      </c>
      <c r="N143" s="1"/>
      <c r="O143" s="1"/>
      <c r="P143" s="1"/>
      <c r="Q143" s="1">
        <f t="shared" si="140"/>
        <v>0</v>
      </c>
      <c r="R143" s="1">
        <v>0</v>
      </c>
      <c r="S143" s="1">
        <v>0</v>
      </c>
      <c r="T143" s="1">
        <f>行动模拟!I149</f>
        <v>0</v>
      </c>
      <c r="U143" s="1">
        <f>IF(FD143&lt;&gt;FD142,IF(BY142=1,IF(MIN(10,CA142+IF(AND(DG143&lt;&gt;DG142,DH142&lt;&gt;"洞穿",SUMIFS($FE$3:FE142,$DG$3:DG142,DG142)=0,BY142=1),3,0))&gt;=10,2,1),IF(BY142=2,IF(BZ142&lt;=1,0,2),0)),BY142)</f>
        <v>2</v>
      </c>
      <c r="V143" s="1">
        <f>IF(FD143&lt;&gt;FD142,IF(BY142=1,IF(MIN(10,CA142+IF(AND(DG143&lt;&gt;DG142,DH142&lt;&gt;"洞穿",SUMIFS($FE$3:FE142,$DG$3:DG142,DG142)=0,BY142=1),3,0))&gt;=10,2,0),IF(BY142=2,MAX(0,BZ142-1),0)),BZ142)</f>
        <v>1</v>
      </c>
      <c r="W143" s="1">
        <f>IF(AND(FD143&lt;&gt;FD142,BY142=2,BZ142&lt;=1),0,MIN(10,CA142+IF(AND(DG143&lt;&gt;DG142,DH142&lt;&gt;"洞穿",SUMIFS($FE$3:FE142,$DG$3:DG142,DG142)=0,BY142=1),3,0)))</f>
        <v>10</v>
      </c>
      <c r="X143" s="1">
        <f t="shared" si="182"/>
        <v>13</v>
      </c>
      <c r="Y143" s="1">
        <f t="shared" si="183"/>
        <v>0</v>
      </c>
      <c r="Z143" s="1">
        <f t="shared" si="184"/>
        <v>0</v>
      </c>
      <c r="AA143" s="1">
        <f t="shared" si="185"/>
        <v>0</v>
      </c>
      <c r="AB143" s="1">
        <f t="shared" si="186"/>
        <v>10</v>
      </c>
      <c r="AC143" s="1">
        <f t="shared" si="187"/>
        <v>1</v>
      </c>
      <c r="AD143" s="1">
        <f t="shared" si="188"/>
        <v>35</v>
      </c>
      <c r="AE143" s="1">
        <f>IF(D143="",0,IF(DG143&lt;&gt;DG142,IFERROR(INDEX(回合状态!$F$7:$F$17,MATCH(DG143,回合状态!$A$7:$A$17,0)),0),CI142))</f>
        <v>0</v>
      </c>
      <c r="AF143" s="1">
        <f t="shared" si="189"/>
        <v>0.875</v>
      </c>
      <c r="AG143" s="1">
        <f t="shared" si="190"/>
        <v>9</v>
      </c>
      <c r="AH143" s="1">
        <f t="shared" si="191"/>
        <v>9</v>
      </c>
      <c r="AI143" s="1">
        <f t="shared" si="192"/>
        <v>8</v>
      </c>
      <c r="AJ143" s="1">
        <f t="shared" si="193"/>
        <v>9</v>
      </c>
      <c r="AK143" s="1">
        <f t="shared" si="194"/>
        <v>8</v>
      </c>
      <c r="AL143" s="1">
        <f t="shared" si="195"/>
        <v>3</v>
      </c>
      <c r="AM143" s="1">
        <f t="shared" si="196"/>
        <v>30</v>
      </c>
      <c r="AN143" s="1">
        <f t="shared" si="197"/>
        <v>9</v>
      </c>
      <c r="AO143" s="1">
        <f t="shared" si="198"/>
        <v>0</v>
      </c>
      <c r="AP143" s="1" t="e">
        <f t="shared" si="199"/>
        <v>#VALUE!</v>
      </c>
      <c r="AQ143" s="1" t="e">
        <f t="shared" si="200"/>
        <v>#VALUE!</v>
      </c>
      <c r="AR143" s="1">
        <f t="shared" si="201"/>
        <v>0.3</v>
      </c>
      <c r="AS143" s="1">
        <f t="shared" si="202"/>
        <v>9</v>
      </c>
      <c r="AT143" s="1">
        <f t="shared" si="203"/>
        <v>0.3</v>
      </c>
      <c r="AU143" s="1">
        <f t="shared" si="204"/>
        <v>9</v>
      </c>
      <c r="AV143" s="1">
        <f>MIN(5,SUMIFS($EL$3:EL143,$B$3:B143,"&gt;="&amp;MAX(1,B143-2),$B$3:B143,"&lt;="&amp;B143)+EC143)</f>
        <v>0</v>
      </c>
      <c r="AW143" s="1">
        <f>MIN(6,SUMIFS($EY$3:EY142,$EX$3:EX142,"&gt;="&amp;MAX(1,EX143-Boss参数!$B$87+1),$EX$3:EX142,"&lt;="&amp;EX143))</f>
        <v>0</v>
      </c>
      <c r="AX143" s="1">
        <f>MIN(4,COUNTIFS($B$3:$B$142,"&gt;="&amp;MAX(1,$B143-2),$B$3:$B$142,"&lt;="&amp;$B143,$L$3:$L$142,"37_FOLLOW"))</f>
        <v>0</v>
      </c>
      <c r="AY143" s="1" t="str">
        <f>IF($E143="","",IF($E143="系统",0,ROUNDDOWN(INDEX(角色面板!$C$4:$C$7,MATCH($E143,角色面板!$A$4:$A$7,0))*(1+INDEX(角色面板!$C$11:$C$14,MATCH($E143,角色面板!$A$11:$A$14,0))+IF($E143="小瑞安侬",MAX(IF($B143&lt;=$AQ143,$AP143,0),IF(AND($L143="RHI_ATTACK",$EE143&gt;0),0.11+0.01*$G143,0)),0)+IF($E143="J",$AD143*Boss参数!$B$18,0))+IF(FD143&lt;=$AN143,MIN(Boss参数!$B$21,ROUNDDOWN(角色面板!$C$19*Boss参数!$B$20,0)),0)+IF(AND($B143&lt;=$AK143,$E143&lt;&gt;"小瑞安侬"),$DY143,0),0)))</f>
        <v/>
      </c>
      <c r="AZ143" s="1" t="str">
        <f>IF($E143="","",MAX(0,MIN(1,IFERROR(INDEX(角色面板!$G$18:$G$21,MATCH($E143,角色面板!$A$18:$A$21,0)),0)-FC143*Boss参数!$B$89-Boss参数!$E$4)))</f>
        <v/>
      </c>
      <c r="BA143" s="1" t="str">
        <f>IF(E143="","",(IF($E143="","",IF($E143="红弩箭",Boss参数!$B$80,IF($E143="J",Boss参数!$B$81,IFERROR(INDEX(角色面板!$H$18:$H$21,MATCH($E143,角色面板!$A$18:$A$21,0)),0)))+IF($B143&lt;=$AI143,Boss参数!$B$13,0)+MIN(30,$AM143)*Boss参数!$B$17+IF(AND($L143="LILYA_ULT",$X143&gt;=6),1,0)+IF(AND($Y143=1,$L143="LILYA_INSIGHT"),IF(MOD($AA143+1,3)=0,Boss参数!$B$83,Boss参数!$B$82),IF(AND($Y143=1,$L143="LILYA_FINISH"),Boss参数!$B$84,0))))-FC143*Boss参数!$B$90)</f>
        <v/>
      </c>
      <c r="BB143" s="1" t="str">
        <f>IF($E143="","",IFERROR(INDEX(角色面板!$M$18:$M$21,MATCH($E143,角色面板!$A$18:$A$21,0)),0)+$AW143*Boss参数!$B$12+IF($B143&lt;=$AG143,$AF143,0)+$EI143+IF($L143="LILYA_DIVE",IF($U143=1,IF($G143=1,0.3,IF($G143=2,0.4,0.5)),IF($U143=2,IF($G143=1,0.6,IF($G143=2,0.8,1)),0)),0)+$R143+IF(AND($E143="J",OR($L143="J_COUNTER",$L143="J_HARD")),Boss参数!$B$79,0)+IF(AND(OR(L143="J_COUNTER",L143="J_HARD"),FA143&gt;=Boss参数!$B$59),FA143*Boss参数!$B$40,0))</f>
        <v/>
      </c>
      <c r="BC143" s="1" t="e">
        <f>IF($E143="","",IFERROR(INDEX(角色面板!$K$18:$K$21,MATCH($E143,角色面板!$A$18:$A$21,0)),0)+IF($B143&lt;=$AH143,Boss参数!$B$46,0)+IF($E143="红弩箭",IF($U143=1,0.6,IF($U143=2,1.2,0))+$W143*0.06,0))-DI143*Boss参数!$B$23</f>
        <v>#VALUE!</v>
      </c>
      <c r="BD143" s="1" t="e">
        <f>IF($E143="","",IFERROR(INDEX(角色面板!$L$18:$L$21,MATCH($E143,角色面板!$A$18:$A$21,0)),0)+IF($B143&lt;=$AH143,Boss参数!$B$46,0)+IF($E143="J",$AL143*Boss参数!$B$16,0)+IF($E143="红弩箭",$X143*0.025,0)+IF(AND($L143="LILYA_ULT",$X143&gt;=6),1,0))-DI143*Boss参数!$B$23</f>
        <v>#VALUE!</v>
      </c>
      <c r="BE143" s="1" t="str">
        <f>IF($E143="","",IF($H143="洞知",IF($E143="红弩箭",$AO143*Boss参数!$B$15,0)+$AX143*Boss参数!$B$14,0))</f>
        <v/>
      </c>
      <c r="BF143" s="1">
        <f t="shared" si="141"/>
        <v>0</v>
      </c>
      <c r="BG143" s="1">
        <f>IF($D143="",0,IF(AND($L143&lt;&gt;"LILYA_DIVE",$L143&lt;&gt;"LILYA_ULT",$L143&lt;&gt;"LILYA_INSIGHT",$L143&lt;&gt;"LILYA_FINISH",$L143&lt;&gt;"37_FOLLOW",$L143&lt;&gt;"RHI_ATTACK",$L143&lt;&gt;"RHI_BERRY",$L143&lt;&gt;"J_COUNTER",$L143&lt;&gt;"J_ULT"),$J143,0)+IF($L143="LILYA_DIVE",$J143+IF($U143=1,IF($G143=1,6,IF($G143=2,12,18)),IF($U143=2,IF($G143=1,12,IF($G143=2,24,36)),0)),0)+IF($L143="LILYA_ULT",$J143+IF($X143&gt;=6,18,0),0)+IF($L143="LILYA_INSIGHT",IF($Y143=1,IF(MOD($AA143+1,3)=0,32,15),0),0)+IF($L143="LILYA_FINISH",IF($Y143=1,50+2.5*$Z143,0),0)+IF($L143="37_FOLLOW",$J143,0)+IF($L143="RHI_ATTACK",$J143*IF($B143&lt;=$AJ143,2,1),0)+IF($L143="RHI_BERRY",15+1.5*$AV143,0)+IF($L143="J_COUNTER",$J143+$AD143*Boss参数!$B$39,0)+IF($L143="J_ULT",$J143+Boss参数!$B$45*MAX(0,$AE143+$AD143-Boss参数!$I$4),0)+$S143)</f>
        <v>0</v>
      </c>
      <c r="BH143" s="1">
        <f t="shared" si="142"/>
        <v>0</v>
      </c>
      <c r="BI143" s="1" t="str">
        <f>IF(E143="","",IF(DT143=1,1+Boss参数!$B$8+AV143*Boss参数!$B$19,1))</f>
        <v/>
      </c>
      <c r="BJ143" s="1">
        <f>IF($I143="现实",Boss参数!$C$4,IF($I143="精神",Boss参数!$D$4,0))</f>
        <v>0</v>
      </c>
      <c r="BK143" s="1" t="str">
        <f>IF($E143="","",MAX($AY143*Boss参数!$B$9,$AY143-$BJ143*(1-$BF143)))</f>
        <v/>
      </c>
      <c r="BL143" s="1">
        <f>MAX(0,Boss参数!$F$4+IF(DT143=0,Boss参数!$B$27,0)-EJ143)</f>
        <v>1.25</v>
      </c>
      <c r="BM143" s="1">
        <f>Boss参数!$G$4+DU143-IF(Y143=1,Boss参数!$B$11,0)</f>
        <v>0.4</v>
      </c>
      <c r="BN143" s="1" t="str">
        <f>IF($E143="","",MAX(Boss参数!$B$10,1+IFERROR(INDEX(角色面板!$I$18:$I$21,MATCH($E143,角色面板!$A$18:$A$21,0)),0)+$BB143+Boss参数!$H$4-$BM143))</f>
        <v/>
      </c>
      <c r="BO143" s="1" t="str">
        <f>IF(E143="","",IF(OR(L143="J_COUNTER",L143="J_HARD"),MAX(0,1+INDEX(角色面板!$K$18:$K$21,MATCH(E143,角色面板!$A$18:$A$21,0))-DI143*Boss参数!$B$23+IF(OR(Boss参数!$B$43=1,L143="J_HARD"),IF(B143&lt;=AH143,Boss参数!$B$46,0),0)),MAX(0,IF(OR(H143="术法",L143="RHI_BERRY",AND(L143="37_FOLLOW",Boss参数!$B$31=1)),1+BC143,IF(H143="仪式",1+BD143,IF(H143="洞知",EK143,1))))))</f>
        <v/>
      </c>
      <c r="BP143" s="1" t="str">
        <f t="shared" si="143"/>
        <v/>
      </c>
      <c r="BQ143" s="1">
        <f t="shared" si="144"/>
        <v>0</v>
      </c>
      <c r="BR143" s="1">
        <f t="shared" si="145"/>
        <v>0</v>
      </c>
      <c r="BS143" s="1">
        <f>IF(BH143=0,0,ROUNDDOWN(AY143*BH143,0)*DV143*IF(Boss参数!$B$29=1,BN143,1)*IF(Boss参数!$B$33=1,BO143,1)*IF(Boss参数!$B$76=1,1-ES143,1))</f>
        <v>0</v>
      </c>
      <c r="BT143" s="1">
        <f t="shared" si="146"/>
        <v>0</v>
      </c>
      <c r="BU143" s="1">
        <f>IF(D143="",0,MIN(IF(Boss参数!$B$77=1,Boss参数!$B$63*Boss参数!$B$62,Boss参数!$B$61*Boss参数!$B$62),DW143+ROUNDDOWN(BS143,0)+ROUNDDOWN(DW143*Q143,0)))</f>
        <v>0</v>
      </c>
      <c r="BV143" s="1">
        <f>IF(D143="",0,MIN(IF(Boss参数!$B$77=1,Boss参数!$B$63*Boss参数!$B$62,Boss参数!$B$61*Boss参数!$B$62),DX143+ROUNDDOWN(BT143,0)+ROUNDDOWN(DX143*Q143,0)))</f>
        <v>0</v>
      </c>
      <c r="BW143" s="1">
        <f t="shared" si="147"/>
        <v>0</v>
      </c>
      <c r="BX143" s="1" t="str">
        <f t="shared" si="148"/>
        <v/>
      </c>
      <c r="BY143" s="1">
        <f t="shared" si="149"/>
        <v>2</v>
      </c>
      <c r="BZ143" s="1">
        <f t="shared" si="150"/>
        <v>1</v>
      </c>
      <c r="CA143" s="1">
        <f>MIN(10,W143+IF(AND(L143="LILYA_COBRA",COUNTIF($L$3:L143,"LILYA_COBRA")=1),5,0)+IF(AND(L143="LILYA_DIVE",U143=1,COUNTIFS($DG$3:DG143,DG143,$L$3:L143,"LILYA_DIVE")=1),2,0)+IF(AND(FE143=1,U143=1),3,0))</f>
        <v>10</v>
      </c>
      <c r="CB143" s="1">
        <f>MIN(20,MAX(0,X143+IF(L143="LILYA_COBRA",IF(COUNTIF($L$3:L143,"LILYA_COBRA")=1,6,IF(U143=1,MAX(1,G143),IF(U143=2,2*MAX(1,G143),0))),0)+IF(AND(Y143=1,E143="红弩箭",L143&lt;&gt;"ENTER_INSIGHT"),1,0)-IF(AND(L143="LILYA_ULT",X143&gt;=6),6,0)))</f>
        <v>13</v>
      </c>
      <c r="CC143" s="1">
        <f t="shared" si="151"/>
        <v>0</v>
      </c>
      <c r="CD143" s="1">
        <f t="shared" si="152"/>
        <v>0</v>
      </c>
      <c r="CE143" s="1">
        <f t="shared" si="153"/>
        <v>0</v>
      </c>
      <c r="CF143" s="1">
        <f t="shared" si="154"/>
        <v>10</v>
      </c>
      <c r="CG143" s="1">
        <f t="shared" si="155"/>
        <v>1</v>
      </c>
      <c r="CH143" s="1">
        <f>MIN(35,AD143+IF(L143="J_HARD",6,0)+IF(L143="J_COUNTER",Boss参数!$B$30,0))</f>
        <v>35</v>
      </c>
      <c r="CI143" s="1">
        <f>MIN(Boss参数!$I$4,AE143+IF(L143="J_HARD",6,0)+IF(L143="J_ULT",AD143,0)+IF(L143="J_COUNTER",Boss参数!$B$30,0))</f>
        <v>0</v>
      </c>
      <c r="CJ143" s="1">
        <f>IF(L143="J_ULT",AD143*Boss参数!$B$41,IF(B143&lt;=AG143,AF143,0))</f>
        <v>0.875</v>
      </c>
      <c r="CK143" s="1">
        <f t="shared" si="156"/>
        <v>9</v>
      </c>
      <c r="CL143" s="1">
        <f t="shared" si="157"/>
        <v>9</v>
      </c>
      <c r="CM143" s="1">
        <f t="shared" si="158"/>
        <v>8</v>
      </c>
      <c r="CN143" s="1">
        <f t="shared" si="159"/>
        <v>9</v>
      </c>
      <c r="CO143" s="1">
        <f t="shared" si="160"/>
        <v>8</v>
      </c>
      <c r="CP143" s="1">
        <f t="shared" si="161"/>
        <v>3</v>
      </c>
      <c r="CQ143" s="1">
        <f t="shared" si="162"/>
        <v>30</v>
      </c>
      <c r="CR143" s="1">
        <f t="shared" si="163"/>
        <v>9</v>
      </c>
      <c r="CS143" s="1">
        <f t="shared" si="164"/>
        <v>0</v>
      </c>
      <c r="CT143" s="1" t="e">
        <f t="shared" si="165"/>
        <v>#VALUE!</v>
      </c>
      <c r="CU143" s="1" t="e">
        <f t="shared" si="166"/>
        <v>#VALUE!</v>
      </c>
      <c r="CV143" s="1">
        <f t="shared" si="167"/>
        <v>0.3</v>
      </c>
      <c r="CW143" s="1">
        <f t="shared" si="168"/>
        <v>9</v>
      </c>
      <c r="CX143" s="1">
        <f t="shared" si="169"/>
        <v>0.3</v>
      </c>
      <c r="CY143" s="1">
        <f t="shared" si="170"/>
        <v>9</v>
      </c>
      <c r="CZ143" s="1"/>
      <c r="DA143" s="1"/>
      <c r="DB143" s="1"/>
      <c r="DC143" s="1"/>
      <c r="DD143" s="1"/>
      <c r="DE143" s="1"/>
      <c r="DF143" s="1"/>
      <c r="DG143" s="1" t="str">
        <f>IF(D143="","",行动模拟!B149)</f>
        <v/>
      </c>
      <c r="DH143" s="1" t="str">
        <f>IF(L143="END_TURN","回合结束",IF(D143="","",IF(INDEX(回合状态!$C$7:$C$17,MATCH(DG143,回合状态!$A$7:$A$17,0))="洞穿","洞穿",IF(OR(L143="J_COUNTER",L143="BOSS_ACTION",L143="BOSS_CONSERVATIVE"),"敌方",IF(AND(L143="37_FOLLOW",DG143=DG142,DH142="敌方"),"敌方",IF(INDEX(回合状态!$C$7:$C$17,MATCH(DG143,回合状态!$A$7:$A$17,0))="普通","出牌",INDEX(回合状态!$C$7:$C$17,MATCH(DG143,回合状态!$A$7:$A$17,0))))))))</f>
        <v/>
      </c>
      <c r="DI143" s="1">
        <f t="shared" si="171"/>
        <v>0</v>
      </c>
      <c r="DJ143" s="1">
        <f>IF(D143="",0,MIN(Boss参数!$B$25,IF(OR(AND(DH143="敌方",OR(DH142&lt;&gt;"敌方",DG143&lt;&gt;DG142)),AND(L143="END_TURN",DH143&lt;&gt;"洞穿"),AND(DG143&lt;&gt;DG142,DH142&lt;&gt;"洞穿",L142&lt;&gt;"END_TURN",COUNTIFS($DG$3:DG142,DG142,$DH$3:DH142,"敌方")=0)),EW143,DN142)))</f>
        <v>0</v>
      </c>
      <c r="DK143" s="1">
        <f>IF(D143="",0,MIN(Boss参数!$B$25,IF(OR(AND(DH143="敌方",OR(DH142&lt;&gt;"敌方",DG143&lt;&gt;DG142)),AND(L143="END_TURN",DH143&lt;&gt;"洞穿"),AND(DG143&lt;&gt;DG142,DH142&lt;&gt;"洞穿",L142&lt;&gt;"END_TURN",COUNTIFS($DG$3:DG142,DG142,$DH$3:DH142,"敌方")=0)),EW143,DO142)))</f>
        <v>0</v>
      </c>
      <c r="DL143" s="1">
        <f>IF(D143="",0,MIN(Boss参数!$B$25,IF(OR(AND(DH143="敌方",OR(DH142&lt;&gt;"敌方",DG143&lt;&gt;DG142)),AND(L143="END_TURN",DH143&lt;&gt;"洞穿"),AND(DG143&lt;&gt;DG142,DH142&lt;&gt;"洞穿",L142&lt;&gt;"END_TURN",COUNTIFS($DG$3:DG142,DG142,$DH$3:DH142,"敌方")=0)),EW143,DP142)))</f>
        <v>0</v>
      </c>
      <c r="DM143" s="1">
        <f>IF(D143="",0,MIN(Boss参数!$B$25,IF(OR(AND(DH143="敌方",OR(DH142&lt;&gt;"敌方",DG143&lt;&gt;DG142)),AND(L143="END_TURN",DH143&lt;&gt;"洞穿"),AND(DG143&lt;&gt;DG142,DH142&lt;&gt;"洞穿",L142&lt;&gt;"END_TURN",COUNTIFS($DG$3:DG142,DG142,$DH$3:DH142,"敌方")=0)),EW143,DQ142)))</f>
        <v>0</v>
      </c>
      <c r="DN143" s="1">
        <f>MAX(0,MIN(Boss参数!$B$25,DJ143+DR143)-IF(E143="红弩箭",2*DR143,0))</f>
        <v>0</v>
      </c>
      <c r="DO143" s="1">
        <f>MAX(0,MIN(Boss参数!$B$25,DK143+DR143)-IF(E143="37",2*DR143,0))</f>
        <v>0</v>
      </c>
      <c r="DP143" s="1">
        <f>MAX(0,MIN(Boss参数!$B$25,DL143+DR143)-IF(E143="小瑞安侬",2*DR143,0))</f>
        <v>0</v>
      </c>
      <c r="DQ143" s="1">
        <f>MAX(0,MIN(Boss参数!$B$25,DM143+DR143)-IF(E143="J",2*DR143,0))</f>
        <v>0</v>
      </c>
      <c r="DR143" s="1">
        <f t="shared" si="172"/>
        <v>0</v>
      </c>
      <c r="DS143" s="1">
        <f t="shared" si="173"/>
        <v>0</v>
      </c>
      <c r="DT143" s="1">
        <f>IF(OR(E143="",E143="系统"),0,IF(OR(AND(DS143=1,Boss参数!$B$32=1),L143="RHI_BERRY",OR(AND(INDEX(角色面板!$B$18:$B$21,MATCH(E143,角色面板!$A$18:$A$21,0))="星",Boss参数!$B$4="岩"),AND(INDEX(角色面板!$B$18:$B$21,MATCH(E143,角色面板!$A$18:$A$21,0))="岩",Boss参数!$B$4="兽"),AND(INDEX(角色面板!$B$18:$B$21,MATCH(E143,角色面板!$A$18:$A$21,0))="兽",Boss参数!$B$4="木"),AND(INDEX(角色面板!$B$18:$B$21,MATCH(E143,角色面板!$A$18:$A$21,0))="木",Boss参数!$B$4="星"),AND(INDEX(角色面板!$B$18:$B$21,MATCH(E143,角色面板!$A$18:$A$21,0))="智",Boss参数!$B$4="灵"),AND(INDEX(角色面板!$B$18:$B$21,MATCH(E143,角色面板!$A$18:$A$21,0))="灵",Boss参数!$B$4="智"))),1,0))</f>
        <v>0</v>
      </c>
      <c r="DU143" s="1">
        <f>IF(D143="",0,INDEX(回合状态!$E$7:$E$17,MATCH(DG143,回合状态!$A$7:$A$17,0))+IF(AND(DH143="敌方",OR(INDEX(回合状态!$C$7:$C$17,MATCH(DG143,回合状态!$A$7:$A$17,0))="普通",INDEX(回合状态!$C$7:$C$17,MATCH(DG143,回合状态!$A$7:$A$17,0))="额外")),0.05,0))</f>
        <v>0</v>
      </c>
      <c r="DV143" s="1">
        <f>MAX(Boss参数!$B$28,1+IF(AND(E143="37",AC143&gt;0,BH143&gt;0),Boss参数!$B$42,0)-DI143*Boss参数!$B$24+EA143-ER143)</f>
        <v>9.9999999999999978E-2</v>
      </c>
      <c r="DW143" s="1">
        <f>MIN(IF(Boss参数!$B$77=1,Boss参数!$B$63*Boss参数!$B$62,Boss参数!$B$61*Boss参数!$B$62),ROUNDDOWN(BQ143*(1-ES143),0))</f>
        <v>0</v>
      </c>
      <c r="DX143" s="1">
        <f>MIN(IF(Boss参数!$B$77=1,Boss参数!$B$63*Boss参数!$B$62,Boss参数!$B$61*Boss参数!$B$62),ROUNDDOWN(BR143*(1-ES143),0))</f>
        <v>0</v>
      </c>
      <c r="DY143" s="1">
        <f t="shared" si="205"/>
        <v>250</v>
      </c>
      <c r="DZ143" s="1">
        <f>IF(L143="RHI_ULT",MIN(Boss参数!$B$48,ROUNDDOWN(AY143*Boss参数!$B$47,0)),DY143)</f>
        <v>250</v>
      </c>
      <c r="EA143" s="1">
        <v>0</v>
      </c>
      <c r="EB143" s="1">
        <f t="shared" si="174"/>
        <v>0</v>
      </c>
      <c r="EC143" s="1">
        <f>SUMIFS($EB$3:EB143,$B$3:B143,"&gt;="&amp;MAX(1,B143-2),$B$3:B143,"&lt;="&amp;B143)*Boss参数!$B$51</f>
        <v>0</v>
      </c>
      <c r="ED143" s="1">
        <f>IF(D143="",EG142,IF(AND(DG143&lt;&gt;DG142,DH143&lt;&gt;"洞穿"),MIN(Boss参数!$B$55,EG142+2),EG142))</f>
        <v>0</v>
      </c>
      <c r="EE143" s="1">
        <f t="shared" si="175"/>
        <v>0</v>
      </c>
      <c r="EF143" s="1">
        <f>IF(AND(OR(L143="END_TURN",AND(DH143="敌方",OR(DH142&lt;&gt;"敌方",DG143&lt;&gt;DG142))),SUMIFS($EF$3:EF142,$DG$3:DG142,DG143)=0),MIN(1,MAX(0,ED143-EE143)),0)</f>
        <v>0</v>
      </c>
      <c r="EG143" s="1">
        <f t="shared" si="176"/>
        <v>0</v>
      </c>
      <c r="EH143" s="1">
        <f>Boss参数!$B$53-IF(Y143=1,Boss参数!$B$54,0)</f>
        <v>0</v>
      </c>
      <c r="EI143" s="1">
        <f t="shared" si="177"/>
        <v>0.15</v>
      </c>
      <c r="EJ143" s="1">
        <f t="shared" si="178"/>
        <v>0.15</v>
      </c>
      <c r="EK143" s="1" t="e">
        <f t="shared" si="179"/>
        <v>#VALUE!</v>
      </c>
      <c r="EL143" s="1">
        <f t="shared" si="206"/>
        <v>0</v>
      </c>
      <c r="EM143" s="1">
        <f>IF(AND(DG143&lt;&gt;DG142,DH143="洞穿"),0,IF(L143="ENTER_INSIGHT",Boss参数!$B$57,EO142))</f>
        <v>0</v>
      </c>
      <c r="EN143" s="1">
        <f>IF(AND(Y143=1,H143="洞知",EM143&gt;0),Boss参数!$B$56,0)</f>
        <v>0</v>
      </c>
      <c r="EO143" s="1">
        <f t="shared" si="180"/>
        <v>0</v>
      </c>
      <c r="EP143" s="1">
        <f t="shared" si="207"/>
        <v>23210479</v>
      </c>
      <c r="EQ143" s="1">
        <f>ROUNDDOWN(EP143/Boss参数!$B$62,0)</f>
        <v>232</v>
      </c>
      <c r="ER143" s="1">
        <f>IF(EQ143&gt;=Boss参数!$B$66,Boss参数!$B$69,IF(EQ143&gt;=Boss参数!$B$65,Boss参数!$B$68,IF(EQ143&gt;=Boss参数!$B$64,Boss参数!$B$67,0)))</f>
        <v>0.9</v>
      </c>
      <c r="ES143" s="1">
        <f>MIN(1,IF(EQ143&gt;=Boss参数!$B$66,Boss参数!$B$72+ROUNDDOWN((EQ143-Boss参数!$B$66)/Boss参数!$B$73,0)*Boss参数!$B$74,IF(EQ143&gt;=Boss参数!$B$65,Boss参数!$B$71,IF(EQ143&gt;=Boss参数!$B$64,Boss参数!$B$70,0))))</f>
        <v>0.65</v>
      </c>
      <c r="ET143" s="1">
        <f>MIN(Boss参数!$B$61*Boss参数!$B$62,EP143+IF(AND(Boss参数!$B$60=1,ISNUMBER(验证表!H149)),验证表!H149,EU143))</f>
        <v>23210479</v>
      </c>
      <c r="EU143" s="1">
        <f>IF(D143="",0,IF(验证表!G149="是",BV143,IF(验证表!G149="否",BU143,BW143)))</f>
        <v>0</v>
      </c>
      <c r="EV143" s="1">
        <f>IF(EQ143&gt;=Boss参数!$B$66,2,IF(EQ143&gt;=Boss参数!$B$65,1,0))</f>
        <v>2</v>
      </c>
      <c r="EW143" s="1">
        <f t="shared" si="181"/>
        <v>3</v>
      </c>
      <c r="EX143" s="1">
        <f>IF(D143="",0,INDEX(回合状态!$D$7:$D$17,MATCH(DG143,回合状态!$A$7:$A$17,0)))</f>
        <v>0</v>
      </c>
      <c r="EY143" s="1">
        <f>IF(OR(L143="RHI_ATTACK",L143="RHI_BUFF"),1,IF(L143="RHI_ULT",Boss参数!$B$52,0))</f>
        <v>0</v>
      </c>
      <c r="EZ143" s="1">
        <f>MIN(6,SUMIFS($EY$3:EY143,$EX$3:EX143,"&gt;="&amp;MAX(1,EX143-Boss参数!$B$87+1),$EX$3:EX143,"&lt;="&amp;EX143))</f>
        <v>0</v>
      </c>
      <c r="FA143" s="1">
        <f t="shared" si="208"/>
        <v>0</v>
      </c>
      <c r="FB143" s="17">
        <f>IF(L143="BOSS_CONSERVATIVE",B143+Boss参数!$B$91,FB142)</f>
        <v>7</v>
      </c>
      <c r="FC143" s="17">
        <f t="shared" si="209"/>
        <v>0</v>
      </c>
      <c r="FD143" s="17">
        <f>IF(D143="",FD142,FD142+IF(AND(DG143&lt;&gt;DG142,INDEX(回合状态!$C$7:$C$17,MATCH(DG143,回合状态!$A$7:$A$17,0))&lt;&gt;"洞穿"),1,0))</f>
        <v>8</v>
      </c>
      <c r="FE143" s="17">
        <f>IF(D143="",0,IF(AND(OR(L143="END_TURN",DH143="敌方"),INDEX(回合状态!$C$7:$C$17,MATCH(DG143,回合状态!$A$7:$A$17,0))&lt;&gt;"洞穿",SUMIFS($FE$3:FE142,$DG$3:DG142,DG143)=0),1,0))</f>
        <v>0</v>
      </c>
    </row>
    <row r="144" spans="1:161" ht="84.95" customHeight="1">
      <c r="A144" s="1" t="str">
        <f>行动模拟!A150</f>
        <v/>
      </c>
      <c r="B144" s="1">
        <f>IF(D144="",0,INDEX(回合状态!$B$7:$B$17,MATCH(DG144,回合状态!$A$7:$A$17,0)))</f>
        <v>0</v>
      </c>
      <c r="C144" s="1">
        <f>行动模拟!C150</f>
        <v>0</v>
      </c>
      <c r="D144" s="1" t="str">
        <f>IF(行动模拟!D150="","",行动模拟!D150)</f>
        <v/>
      </c>
      <c r="E144" s="1" t="str">
        <f>IF($D144="","",IFERROR(INDEX(技能数据库!$B$4:$B$38,MATCH($D144,技能数据库!$A$4:$A$38,0)),""))</f>
        <v/>
      </c>
      <c r="F144" s="1" t="str">
        <f>IF($D144="","",IFERROR(INDEX(技能数据库!$C$4:$C$38,MATCH($D144,技能数据库!$A$4:$A$38,0)),""))</f>
        <v/>
      </c>
      <c r="G144" s="1" t="str">
        <f>IF($D144="","",IFERROR(INDEX(技能数据库!$D$4:$D$38,MATCH($D144,技能数据库!$A$4:$A$38,0)),""))</f>
        <v/>
      </c>
      <c r="H144" s="1" t="str">
        <f>IF($D144="","",IFERROR(INDEX(技能数据库!$E$4:$E$38,MATCH($D144,技能数据库!$A$4:$A$38,0)),""))</f>
        <v/>
      </c>
      <c r="I144" s="1" t="str">
        <f>IF($D144="","",IFERROR(INDEX(技能数据库!$F$4:$F$38,MATCH($D144,技能数据库!$A$4:$A$38,0)),""))</f>
        <v/>
      </c>
      <c r="J144" s="1" t="str">
        <f>IF($D144="","",IFERROR(INDEX(技能数据库!$G$4:$G$38,MATCH($D144,技能数据库!$A$4:$A$38,0)),""))</f>
        <v/>
      </c>
      <c r="K144" s="1" t="str">
        <f>IF($D144="","",IFERROR(INDEX(技能数据库!$H$4:$H$38,MATCH($D144,技能数据库!$A$4:$A$38,0)),""))</f>
        <v/>
      </c>
      <c r="L144" s="1" t="str">
        <f>IF($D144="","",IFERROR(INDEX(技能数据库!$I$4:$I$38,MATCH($D144,技能数据库!$A$4:$A$38,0)),""))</f>
        <v/>
      </c>
      <c r="M144" s="1">
        <v>1</v>
      </c>
      <c r="N144" s="1"/>
      <c r="O144" s="1"/>
      <c r="P144" s="1"/>
      <c r="Q144" s="1">
        <f t="shared" si="140"/>
        <v>0</v>
      </c>
      <c r="R144" s="1">
        <v>0</v>
      </c>
      <c r="S144" s="1">
        <v>0</v>
      </c>
      <c r="T144" s="1">
        <f>行动模拟!I150</f>
        <v>0</v>
      </c>
      <c r="U144" s="1">
        <f>IF(FD144&lt;&gt;FD143,IF(BY143=1,IF(MIN(10,CA143+IF(AND(DG144&lt;&gt;DG143,DH143&lt;&gt;"洞穿",SUMIFS($FE$3:FE143,$DG$3:DG143,DG143)=0,BY143=1),3,0))&gt;=10,2,1),IF(BY143=2,IF(BZ143&lt;=1,0,2),0)),BY143)</f>
        <v>2</v>
      </c>
      <c r="V144" s="1">
        <f>IF(FD144&lt;&gt;FD143,IF(BY143=1,IF(MIN(10,CA143+IF(AND(DG144&lt;&gt;DG143,DH143&lt;&gt;"洞穿",SUMIFS($FE$3:FE143,$DG$3:DG143,DG143)=0,BY143=1),3,0))&gt;=10,2,0),IF(BY143=2,MAX(0,BZ143-1),0)),BZ143)</f>
        <v>1</v>
      </c>
      <c r="W144" s="1">
        <f>IF(AND(FD144&lt;&gt;FD143,BY143=2,BZ143&lt;=1),0,MIN(10,CA143+IF(AND(DG144&lt;&gt;DG143,DH143&lt;&gt;"洞穿",SUMIFS($FE$3:FE143,$DG$3:DG143,DG143)=0,BY143=1),3,0)))</f>
        <v>10</v>
      </c>
      <c r="X144" s="1">
        <f t="shared" si="182"/>
        <v>13</v>
      </c>
      <c r="Y144" s="1">
        <f t="shared" si="183"/>
        <v>0</v>
      </c>
      <c r="Z144" s="1">
        <f t="shared" si="184"/>
        <v>0</v>
      </c>
      <c r="AA144" s="1">
        <f t="shared" si="185"/>
        <v>0</v>
      </c>
      <c r="AB144" s="1">
        <f t="shared" si="186"/>
        <v>10</v>
      </c>
      <c r="AC144" s="1">
        <f t="shared" si="187"/>
        <v>1</v>
      </c>
      <c r="AD144" s="1">
        <f t="shared" si="188"/>
        <v>35</v>
      </c>
      <c r="AE144" s="1">
        <f>IF(D144="",0,IF(DG144&lt;&gt;DG143,IFERROR(INDEX(回合状态!$F$7:$F$17,MATCH(DG144,回合状态!$A$7:$A$17,0)),0),CI143))</f>
        <v>0</v>
      </c>
      <c r="AF144" s="1">
        <f t="shared" si="189"/>
        <v>0.875</v>
      </c>
      <c r="AG144" s="1">
        <f t="shared" si="190"/>
        <v>9</v>
      </c>
      <c r="AH144" s="1">
        <f t="shared" si="191"/>
        <v>9</v>
      </c>
      <c r="AI144" s="1">
        <f t="shared" si="192"/>
        <v>8</v>
      </c>
      <c r="AJ144" s="1">
        <f t="shared" si="193"/>
        <v>9</v>
      </c>
      <c r="AK144" s="1">
        <f t="shared" si="194"/>
        <v>8</v>
      </c>
      <c r="AL144" s="1">
        <f t="shared" si="195"/>
        <v>3</v>
      </c>
      <c r="AM144" s="1">
        <f t="shared" si="196"/>
        <v>30</v>
      </c>
      <c r="AN144" s="1">
        <f t="shared" si="197"/>
        <v>9</v>
      </c>
      <c r="AO144" s="1">
        <f t="shared" si="198"/>
        <v>0</v>
      </c>
      <c r="AP144" s="1" t="e">
        <f t="shared" si="199"/>
        <v>#VALUE!</v>
      </c>
      <c r="AQ144" s="1" t="e">
        <f t="shared" si="200"/>
        <v>#VALUE!</v>
      </c>
      <c r="AR144" s="1">
        <f t="shared" si="201"/>
        <v>0.3</v>
      </c>
      <c r="AS144" s="1">
        <f t="shared" si="202"/>
        <v>9</v>
      </c>
      <c r="AT144" s="1">
        <f t="shared" si="203"/>
        <v>0.3</v>
      </c>
      <c r="AU144" s="1">
        <f t="shared" si="204"/>
        <v>9</v>
      </c>
      <c r="AV144" s="1">
        <f>MIN(5,SUMIFS($EL$3:EL144,$B$3:B144,"&gt;="&amp;MAX(1,B144-2),$B$3:B144,"&lt;="&amp;B144)+EC144)</f>
        <v>0</v>
      </c>
      <c r="AW144" s="1">
        <f>MIN(6,SUMIFS($EY$3:EY143,$EX$3:EX143,"&gt;="&amp;MAX(1,EX144-Boss参数!$B$87+1),$EX$3:EX143,"&lt;="&amp;EX144))</f>
        <v>0</v>
      </c>
      <c r="AX144" s="1">
        <f>MIN(4,COUNTIFS($B$3:$B$143,"&gt;="&amp;MAX(1,$B144-2),$B$3:$B$143,"&lt;="&amp;$B144,$L$3:$L$143,"37_FOLLOW"))</f>
        <v>0</v>
      </c>
      <c r="AY144" s="1" t="str">
        <f>IF($E144="","",IF($E144="系统",0,ROUNDDOWN(INDEX(角色面板!$C$4:$C$7,MATCH($E144,角色面板!$A$4:$A$7,0))*(1+INDEX(角色面板!$C$11:$C$14,MATCH($E144,角色面板!$A$11:$A$14,0))+IF($E144="小瑞安侬",MAX(IF($B144&lt;=$AQ144,$AP144,0),IF(AND($L144="RHI_ATTACK",$EE144&gt;0),0.11+0.01*$G144,0)),0)+IF($E144="J",$AD144*Boss参数!$B$18,0))+IF(FD144&lt;=$AN144,MIN(Boss参数!$B$21,ROUNDDOWN(角色面板!$C$19*Boss参数!$B$20,0)),0)+IF(AND($B144&lt;=$AK144,$E144&lt;&gt;"小瑞安侬"),$DY144,0),0)))</f>
        <v/>
      </c>
      <c r="AZ144" s="1" t="str">
        <f>IF($E144="","",MAX(0,MIN(1,IFERROR(INDEX(角色面板!$G$18:$G$21,MATCH($E144,角色面板!$A$18:$A$21,0)),0)-FC144*Boss参数!$B$89-Boss参数!$E$4)))</f>
        <v/>
      </c>
      <c r="BA144" s="1" t="str">
        <f>IF(E144="","",(IF($E144="","",IF($E144="红弩箭",Boss参数!$B$80,IF($E144="J",Boss参数!$B$81,IFERROR(INDEX(角色面板!$H$18:$H$21,MATCH($E144,角色面板!$A$18:$A$21,0)),0)))+IF($B144&lt;=$AI144,Boss参数!$B$13,0)+MIN(30,$AM144)*Boss参数!$B$17+IF(AND($L144="LILYA_ULT",$X144&gt;=6),1,0)+IF(AND($Y144=1,$L144="LILYA_INSIGHT"),IF(MOD($AA144+1,3)=0,Boss参数!$B$83,Boss参数!$B$82),IF(AND($Y144=1,$L144="LILYA_FINISH"),Boss参数!$B$84,0))))-FC144*Boss参数!$B$90)</f>
        <v/>
      </c>
      <c r="BB144" s="1" t="str">
        <f>IF($E144="","",IFERROR(INDEX(角色面板!$M$18:$M$21,MATCH($E144,角色面板!$A$18:$A$21,0)),0)+$AW144*Boss参数!$B$12+IF($B144&lt;=$AG144,$AF144,0)+$EI144+IF($L144="LILYA_DIVE",IF($U144=1,IF($G144=1,0.3,IF($G144=2,0.4,0.5)),IF($U144=2,IF($G144=1,0.6,IF($G144=2,0.8,1)),0)),0)+$R144+IF(AND($E144="J",OR($L144="J_COUNTER",$L144="J_HARD")),Boss参数!$B$79,0)+IF(AND(OR(L144="J_COUNTER",L144="J_HARD"),FA144&gt;=Boss参数!$B$59),FA144*Boss参数!$B$40,0))</f>
        <v/>
      </c>
      <c r="BC144" s="1" t="e">
        <f>IF($E144="","",IFERROR(INDEX(角色面板!$K$18:$K$21,MATCH($E144,角色面板!$A$18:$A$21,0)),0)+IF($B144&lt;=$AH144,Boss参数!$B$46,0)+IF($E144="红弩箭",IF($U144=1,0.6,IF($U144=2,1.2,0))+$W144*0.06,0))-DI144*Boss参数!$B$23</f>
        <v>#VALUE!</v>
      </c>
      <c r="BD144" s="1" t="e">
        <f>IF($E144="","",IFERROR(INDEX(角色面板!$L$18:$L$21,MATCH($E144,角色面板!$A$18:$A$21,0)),0)+IF($B144&lt;=$AH144,Boss参数!$B$46,0)+IF($E144="J",$AL144*Boss参数!$B$16,0)+IF($E144="红弩箭",$X144*0.025,0)+IF(AND($L144="LILYA_ULT",$X144&gt;=6),1,0))-DI144*Boss参数!$B$23</f>
        <v>#VALUE!</v>
      </c>
      <c r="BE144" s="1" t="str">
        <f>IF($E144="","",IF($H144="洞知",IF($E144="红弩箭",$AO144*Boss参数!$B$15,0)+$AX144*Boss参数!$B$14,0))</f>
        <v/>
      </c>
      <c r="BF144" s="1">
        <f t="shared" si="141"/>
        <v>0</v>
      </c>
      <c r="BG144" s="1">
        <f>IF($D144="",0,IF(AND($L144&lt;&gt;"LILYA_DIVE",$L144&lt;&gt;"LILYA_ULT",$L144&lt;&gt;"LILYA_INSIGHT",$L144&lt;&gt;"LILYA_FINISH",$L144&lt;&gt;"37_FOLLOW",$L144&lt;&gt;"RHI_ATTACK",$L144&lt;&gt;"RHI_BERRY",$L144&lt;&gt;"J_COUNTER",$L144&lt;&gt;"J_ULT"),$J144,0)+IF($L144="LILYA_DIVE",$J144+IF($U144=1,IF($G144=1,6,IF($G144=2,12,18)),IF($U144=2,IF($G144=1,12,IF($G144=2,24,36)),0)),0)+IF($L144="LILYA_ULT",$J144+IF($X144&gt;=6,18,0),0)+IF($L144="LILYA_INSIGHT",IF($Y144=1,IF(MOD($AA144+1,3)=0,32,15),0),0)+IF($L144="LILYA_FINISH",IF($Y144=1,50+2.5*$Z144,0),0)+IF($L144="37_FOLLOW",$J144,0)+IF($L144="RHI_ATTACK",$J144*IF($B144&lt;=$AJ144,2,1),0)+IF($L144="RHI_BERRY",15+1.5*$AV144,0)+IF($L144="J_COUNTER",$J144+$AD144*Boss参数!$B$39,0)+IF($L144="J_ULT",$J144+Boss参数!$B$45*MAX(0,$AE144+$AD144-Boss参数!$I$4),0)+$S144)</f>
        <v>0</v>
      </c>
      <c r="BH144" s="1">
        <f t="shared" si="142"/>
        <v>0</v>
      </c>
      <c r="BI144" s="1" t="str">
        <f>IF(E144="","",IF(DT144=1,1+Boss参数!$B$8+AV144*Boss参数!$B$19,1))</f>
        <v/>
      </c>
      <c r="BJ144" s="1">
        <f>IF($I144="现实",Boss参数!$C$4,IF($I144="精神",Boss参数!$D$4,0))</f>
        <v>0</v>
      </c>
      <c r="BK144" s="1" t="str">
        <f>IF($E144="","",MAX($AY144*Boss参数!$B$9,$AY144-$BJ144*(1-$BF144)))</f>
        <v/>
      </c>
      <c r="BL144" s="1">
        <f>MAX(0,Boss参数!$F$4+IF(DT144=0,Boss参数!$B$27,0)-EJ144)</f>
        <v>1.25</v>
      </c>
      <c r="BM144" s="1">
        <f>Boss参数!$G$4+DU144-IF(Y144=1,Boss参数!$B$11,0)</f>
        <v>0.4</v>
      </c>
      <c r="BN144" s="1" t="str">
        <f>IF($E144="","",MAX(Boss参数!$B$10,1+IFERROR(INDEX(角色面板!$I$18:$I$21,MATCH($E144,角色面板!$A$18:$A$21,0)),0)+$BB144+Boss参数!$H$4-$BM144))</f>
        <v/>
      </c>
      <c r="BO144" s="1" t="str">
        <f>IF(E144="","",IF(OR(L144="J_COUNTER",L144="J_HARD"),MAX(0,1+INDEX(角色面板!$K$18:$K$21,MATCH(E144,角色面板!$A$18:$A$21,0))-DI144*Boss参数!$B$23+IF(OR(Boss参数!$B$43=1,L144="J_HARD"),IF(B144&lt;=AH144,Boss参数!$B$46,0),0)),MAX(0,IF(OR(H144="术法",L144="RHI_BERRY",AND(L144="37_FOLLOW",Boss参数!$B$31=1)),1+BC144,IF(H144="仪式",1+BD144,IF(H144="洞知",EK144,1))))))</f>
        <v/>
      </c>
      <c r="BP144" s="1" t="str">
        <f t="shared" si="143"/>
        <v/>
      </c>
      <c r="BQ144" s="1">
        <f t="shared" si="144"/>
        <v>0</v>
      </c>
      <c r="BR144" s="1">
        <f t="shared" si="145"/>
        <v>0</v>
      </c>
      <c r="BS144" s="1">
        <f>IF(BH144=0,0,ROUNDDOWN(AY144*BH144,0)*DV144*IF(Boss参数!$B$29=1,BN144,1)*IF(Boss参数!$B$33=1,BO144,1)*IF(Boss参数!$B$76=1,1-ES144,1))</f>
        <v>0</v>
      </c>
      <c r="BT144" s="1">
        <f t="shared" si="146"/>
        <v>0</v>
      </c>
      <c r="BU144" s="1">
        <f>IF(D144="",0,MIN(IF(Boss参数!$B$77=1,Boss参数!$B$63*Boss参数!$B$62,Boss参数!$B$61*Boss参数!$B$62),DW144+ROUNDDOWN(BS144,0)+ROUNDDOWN(DW144*Q144,0)))</f>
        <v>0</v>
      </c>
      <c r="BV144" s="1">
        <f>IF(D144="",0,MIN(IF(Boss参数!$B$77=1,Boss参数!$B$63*Boss参数!$B$62,Boss参数!$B$61*Boss参数!$B$62),DX144+ROUNDDOWN(BT144,0)+ROUNDDOWN(DX144*Q144,0)))</f>
        <v>0</v>
      </c>
      <c r="BW144" s="1">
        <f t="shared" si="147"/>
        <v>0</v>
      </c>
      <c r="BX144" s="1" t="str">
        <f t="shared" si="148"/>
        <v/>
      </c>
      <c r="BY144" s="1">
        <f t="shared" si="149"/>
        <v>2</v>
      </c>
      <c r="BZ144" s="1">
        <f t="shared" si="150"/>
        <v>1</v>
      </c>
      <c r="CA144" s="1">
        <f>MIN(10,W144+IF(AND(L144="LILYA_COBRA",COUNTIF($L$3:L144,"LILYA_COBRA")=1),5,0)+IF(AND(L144="LILYA_DIVE",U144=1,COUNTIFS($DG$3:DG144,DG144,$L$3:L144,"LILYA_DIVE")=1),2,0)+IF(AND(FE144=1,U144=1),3,0))</f>
        <v>10</v>
      </c>
      <c r="CB144" s="1">
        <f>MIN(20,MAX(0,X144+IF(L144="LILYA_COBRA",IF(COUNTIF($L$3:L144,"LILYA_COBRA")=1,6,IF(U144=1,MAX(1,G144),IF(U144=2,2*MAX(1,G144),0))),0)+IF(AND(Y144=1,E144="红弩箭",L144&lt;&gt;"ENTER_INSIGHT"),1,0)-IF(AND(L144="LILYA_ULT",X144&gt;=6),6,0)))</f>
        <v>13</v>
      </c>
      <c r="CC144" s="1">
        <f t="shared" si="151"/>
        <v>0</v>
      </c>
      <c r="CD144" s="1">
        <f t="shared" si="152"/>
        <v>0</v>
      </c>
      <c r="CE144" s="1">
        <f t="shared" si="153"/>
        <v>0</v>
      </c>
      <c r="CF144" s="1">
        <f t="shared" si="154"/>
        <v>10</v>
      </c>
      <c r="CG144" s="1">
        <f t="shared" si="155"/>
        <v>1</v>
      </c>
      <c r="CH144" s="1">
        <f>MIN(35,AD144+IF(L144="J_HARD",6,0)+IF(L144="J_COUNTER",Boss参数!$B$30,0))</f>
        <v>35</v>
      </c>
      <c r="CI144" s="1">
        <f>MIN(Boss参数!$I$4,AE144+IF(L144="J_HARD",6,0)+IF(L144="J_ULT",AD144,0)+IF(L144="J_COUNTER",Boss参数!$B$30,0))</f>
        <v>0</v>
      </c>
      <c r="CJ144" s="1">
        <f>IF(L144="J_ULT",AD144*Boss参数!$B$41,IF(B144&lt;=AG144,AF144,0))</f>
        <v>0.875</v>
      </c>
      <c r="CK144" s="1">
        <f t="shared" si="156"/>
        <v>9</v>
      </c>
      <c r="CL144" s="1">
        <f t="shared" si="157"/>
        <v>9</v>
      </c>
      <c r="CM144" s="1">
        <f t="shared" si="158"/>
        <v>8</v>
      </c>
      <c r="CN144" s="1">
        <f t="shared" si="159"/>
        <v>9</v>
      </c>
      <c r="CO144" s="1">
        <f t="shared" si="160"/>
        <v>8</v>
      </c>
      <c r="CP144" s="1">
        <f t="shared" si="161"/>
        <v>3</v>
      </c>
      <c r="CQ144" s="1">
        <f t="shared" si="162"/>
        <v>30</v>
      </c>
      <c r="CR144" s="1">
        <f t="shared" si="163"/>
        <v>9</v>
      </c>
      <c r="CS144" s="1">
        <f t="shared" si="164"/>
        <v>0</v>
      </c>
      <c r="CT144" s="1" t="e">
        <f t="shared" si="165"/>
        <v>#VALUE!</v>
      </c>
      <c r="CU144" s="1" t="e">
        <f t="shared" si="166"/>
        <v>#VALUE!</v>
      </c>
      <c r="CV144" s="1">
        <f t="shared" si="167"/>
        <v>0.3</v>
      </c>
      <c r="CW144" s="1">
        <f t="shared" si="168"/>
        <v>9</v>
      </c>
      <c r="CX144" s="1">
        <f t="shared" si="169"/>
        <v>0.3</v>
      </c>
      <c r="CY144" s="1">
        <f t="shared" si="170"/>
        <v>9</v>
      </c>
      <c r="CZ144" s="1"/>
      <c r="DA144" s="1"/>
      <c r="DB144" s="1"/>
      <c r="DC144" s="1"/>
      <c r="DD144" s="1"/>
      <c r="DE144" s="1"/>
      <c r="DF144" s="1"/>
      <c r="DG144" s="1" t="str">
        <f>IF(D144="","",行动模拟!B150)</f>
        <v/>
      </c>
      <c r="DH144" s="1" t="str">
        <f>IF(L144="END_TURN","回合结束",IF(D144="","",IF(INDEX(回合状态!$C$7:$C$17,MATCH(DG144,回合状态!$A$7:$A$17,0))="洞穿","洞穿",IF(OR(L144="J_COUNTER",L144="BOSS_ACTION",L144="BOSS_CONSERVATIVE"),"敌方",IF(AND(L144="37_FOLLOW",DG144=DG143,DH143="敌方"),"敌方",IF(INDEX(回合状态!$C$7:$C$17,MATCH(DG144,回合状态!$A$7:$A$17,0))="普通","出牌",INDEX(回合状态!$C$7:$C$17,MATCH(DG144,回合状态!$A$7:$A$17,0))))))))</f>
        <v/>
      </c>
      <c r="DI144" s="1">
        <f t="shared" si="171"/>
        <v>0</v>
      </c>
      <c r="DJ144" s="1">
        <f>IF(D144="",0,MIN(Boss参数!$B$25,IF(OR(AND(DH144="敌方",OR(DH143&lt;&gt;"敌方",DG144&lt;&gt;DG143)),AND(L144="END_TURN",DH144&lt;&gt;"洞穿"),AND(DG144&lt;&gt;DG143,DH143&lt;&gt;"洞穿",L143&lt;&gt;"END_TURN",COUNTIFS($DG$3:DG143,DG143,$DH$3:DH143,"敌方")=0)),EW144,DN143)))</f>
        <v>0</v>
      </c>
      <c r="DK144" s="1">
        <f>IF(D144="",0,MIN(Boss参数!$B$25,IF(OR(AND(DH144="敌方",OR(DH143&lt;&gt;"敌方",DG144&lt;&gt;DG143)),AND(L144="END_TURN",DH144&lt;&gt;"洞穿"),AND(DG144&lt;&gt;DG143,DH143&lt;&gt;"洞穿",L143&lt;&gt;"END_TURN",COUNTIFS($DG$3:DG143,DG143,$DH$3:DH143,"敌方")=0)),EW144,DO143)))</f>
        <v>0</v>
      </c>
      <c r="DL144" s="1">
        <f>IF(D144="",0,MIN(Boss参数!$B$25,IF(OR(AND(DH144="敌方",OR(DH143&lt;&gt;"敌方",DG144&lt;&gt;DG143)),AND(L144="END_TURN",DH144&lt;&gt;"洞穿"),AND(DG144&lt;&gt;DG143,DH143&lt;&gt;"洞穿",L143&lt;&gt;"END_TURN",COUNTIFS($DG$3:DG143,DG143,$DH$3:DH143,"敌方")=0)),EW144,DP143)))</f>
        <v>0</v>
      </c>
      <c r="DM144" s="1">
        <f>IF(D144="",0,MIN(Boss参数!$B$25,IF(OR(AND(DH144="敌方",OR(DH143&lt;&gt;"敌方",DG144&lt;&gt;DG143)),AND(L144="END_TURN",DH144&lt;&gt;"洞穿"),AND(DG144&lt;&gt;DG143,DH143&lt;&gt;"洞穿",L143&lt;&gt;"END_TURN",COUNTIFS($DG$3:DG143,DG143,$DH$3:DH143,"敌方")=0)),EW144,DQ143)))</f>
        <v>0</v>
      </c>
      <c r="DN144" s="1">
        <f>MAX(0,MIN(Boss参数!$B$25,DJ144+DR144)-IF(E144="红弩箭",2*DR144,0))</f>
        <v>0</v>
      </c>
      <c r="DO144" s="1">
        <f>MAX(0,MIN(Boss参数!$B$25,DK144+DR144)-IF(E144="37",2*DR144,0))</f>
        <v>0</v>
      </c>
      <c r="DP144" s="1">
        <f>MAX(0,MIN(Boss参数!$B$25,DL144+DR144)-IF(E144="小瑞安侬",2*DR144,0))</f>
        <v>0</v>
      </c>
      <c r="DQ144" s="1">
        <f>MAX(0,MIN(Boss参数!$B$25,DM144+DR144)-IF(E144="J",2*DR144,0))</f>
        <v>0</v>
      </c>
      <c r="DR144" s="1">
        <f t="shared" si="172"/>
        <v>0</v>
      </c>
      <c r="DS144" s="1">
        <f t="shared" si="173"/>
        <v>0</v>
      </c>
      <c r="DT144" s="1">
        <f>IF(OR(E144="",E144="系统"),0,IF(OR(AND(DS144=1,Boss参数!$B$32=1),L144="RHI_BERRY",OR(AND(INDEX(角色面板!$B$18:$B$21,MATCH(E144,角色面板!$A$18:$A$21,0))="星",Boss参数!$B$4="岩"),AND(INDEX(角色面板!$B$18:$B$21,MATCH(E144,角色面板!$A$18:$A$21,0))="岩",Boss参数!$B$4="兽"),AND(INDEX(角色面板!$B$18:$B$21,MATCH(E144,角色面板!$A$18:$A$21,0))="兽",Boss参数!$B$4="木"),AND(INDEX(角色面板!$B$18:$B$21,MATCH(E144,角色面板!$A$18:$A$21,0))="木",Boss参数!$B$4="星"),AND(INDEX(角色面板!$B$18:$B$21,MATCH(E144,角色面板!$A$18:$A$21,0))="智",Boss参数!$B$4="灵"),AND(INDEX(角色面板!$B$18:$B$21,MATCH(E144,角色面板!$A$18:$A$21,0))="灵",Boss参数!$B$4="智"))),1,0))</f>
        <v>0</v>
      </c>
      <c r="DU144" s="1">
        <f>IF(D144="",0,INDEX(回合状态!$E$7:$E$17,MATCH(DG144,回合状态!$A$7:$A$17,0))+IF(AND(DH144="敌方",OR(INDEX(回合状态!$C$7:$C$17,MATCH(DG144,回合状态!$A$7:$A$17,0))="普通",INDEX(回合状态!$C$7:$C$17,MATCH(DG144,回合状态!$A$7:$A$17,0))="额外")),0.05,0))</f>
        <v>0</v>
      </c>
      <c r="DV144" s="1">
        <f>MAX(Boss参数!$B$28,1+IF(AND(E144="37",AC144&gt;0,BH144&gt;0),Boss参数!$B$42,0)-DI144*Boss参数!$B$24+EA144-ER144)</f>
        <v>9.9999999999999978E-2</v>
      </c>
      <c r="DW144" s="1">
        <f>MIN(IF(Boss参数!$B$77=1,Boss参数!$B$63*Boss参数!$B$62,Boss参数!$B$61*Boss参数!$B$62),ROUNDDOWN(BQ144*(1-ES144),0))</f>
        <v>0</v>
      </c>
      <c r="DX144" s="1">
        <f>MIN(IF(Boss参数!$B$77=1,Boss参数!$B$63*Boss参数!$B$62,Boss参数!$B$61*Boss参数!$B$62),ROUNDDOWN(BR144*(1-ES144),0))</f>
        <v>0</v>
      </c>
      <c r="DY144" s="1">
        <f t="shared" si="205"/>
        <v>250</v>
      </c>
      <c r="DZ144" s="1">
        <f>IF(L144="RHI_ULT",MIN(Boss参数!$B$48,ROUNDDOWN(AY144*Boss参数!$B$47,0)),DY144)</f>
        <v>250</v>
      </c>
      <c r="EA144" s="1">
        <v>0</v>
      </c>
      <c r="EB144" s="1">
        <f t="shared" si="174"/>
        <v>0</v>
      </c>
      <c r="EC144" s="1">
        <f>SUMIFS($EB$3:EB144,$B$3:B144,"&gt;="&amp;MAX(1,B144-2),$B$3:B144,"&lt;="&amp;B144)*Boss参数!$B$51</f>
        <v>0</v>
      </c>
      <c r="ED144" s="1">
        <f>IF(D144="",EG143,IF(AND(DG144&lt;&gt;DG143,DH144&lt;&gt;"洞穿"),MIN(Boss参数!$B$55,EG143+2),EG143))</f>
        <v>0</v>
      </c>
      <c r="EE144" s="1">
        <f t="shared" si="175"/>
        <v>0</v>
      </c>
      <c r="EF144" s="1">
        <f>IF(AND(OR(L144="END_TURN",AND(DH144="敌方",OR(DH143&lt;&gt;"敌方",DG144&lt;&gt;DG143))),SUMIFS($EF$3:EF143,$DG$3:DG143,DG144)=0),MIN(1,MAX(0,ED144-EE144)),0)</f>
        <v>0</v>
      </c>
      <c r="EG144" s="1">
        <f t="shared" si="176"/>
        <v>0</v>
      </c>
      <c r="EH144" s="1">
        <f>Boss参数!$B$53-IF(Y144=1,Boss参数!$B$54,0)</f>
        <v>0</v>
      </c>
      <c r="EI144" s="1">
        <f t="shared" si="177"/>
        <v>0.15</v>
      </c>
      <c r="EJ144" s="1">
        <f t="shared" si="178"/>
        <v>0.15</v>
      </c>
      <c r="EK144" s="1" t="e">
        <f t="shared" si="179"/>
        <v>#VALUE!</v>
      </c>
      <c r="EL144" s="1">
        <f t="shared" si="206"/>
        <v>0</v>
      </c>
      <c r="EM144" s="1">
        <f>IF(AND(DG144&lt;&gt;DG143,DH144="洞穿"),0,IF(L144="ENTER_INSIGHT",Boss参数!$B$57,EO143))</f>
        <v>0</v>
      </c>
      <c r="EN144" s="1">
        <f>IF(AND(Y144=1,H144="洞知",EM144&gt;0),Boss参数!$B$56,0)</f>
        <v>0</v>
      </c>
      <c r="EO144" s="1">
        <f t="shared" si="180"/>
        <v>0</v>
      </c>
      <c r="EP144" s="1">
        <f t="shared" si="207"/>
        <v>23210479</v>
      </c>
      <c r="EQ144" s="1">
        <f>ROUNDDOWN(EP144/Boss参数!$B$62,0)</f>
        <v>232</v>
      </c>
      <c r="ER144" s="1">
        <f>IF(EQ144&gt;=Boss参数!$B$66,Boss参数!$B$69,IF(EQ144&gt;=Boss参数!$B$65,Boss参数!$B$68,IF(EQ144&gt;=Boss参数!$B$64,Boss参数!$B$67,0)))</f>
        <v>0.9</v>
      </c>
      <c r="ES144" s="1">
        <f>MIN(1,IF(EQ144&gt;=Boss参数!$B$66,Boss参数!$B$72+ROUNDDOWN((EQ144-Boss参数!$B$66)/Boss参数!$B$73,0)*Boss参数!$B$74,IF(EQ144&gt;=Boss参数!$B$65,Boss参数!$B$71,IF(EQ144&gt;=Boss参数!$B$64,Boss参数!$B$70,0))))</f>
        <v>0.65</v>
      </c>
      <c r="ET144" s="1">
        <f>MIN(Boss参数!$B$61*Boss参数!$B$62,EP144+IF(AND(Boss参数!$B$60=1,ISNUMBER(验证表!H150)),验证表!H150,EU144))</f>
        <v>23210479</v>
      </c>
      <c r="EU144" s="1">
        <f>IF(D144="",0,IF(验证表!G150="是",BV144,IF(验证表!G150="否",BU144,BW144)))</f>
        <v>0</v>
      </c>
      <c r="EV144" s="1">
        <f>IF(EQ144&gt;=Boss参数!$B$66,2,IF(EQ144&gt;=Boss参数!$B$65,1,0))</f>
        <v>2</v>
      </c>
      <c r="EW144" s="1">
        <f t="shared" si="181"/>
        <v>3</v>
      </c>
      <c r="EX144" s="1">
        <f>IF(D144="",0,INDEX(回合状态!$D$7:$D$17,MATCH(DG144,回合状态!$A$7:$A$17,0)))</f>
        <v>0</v>
      </c>
      <c r="EY144" s="1">
        <f>IF(OR(L144="RHI_ATTACK",L144="RHI_BUFF"),1,IF(L144="RHI_ULT",Boss参数!$B$52,0))</f>
        <v>0</v>
      </c>
      <c r="EZ144" s="1">
        <f>MIN(6,SUMIFS($EY$3:EY144,$EX$3:EX144,"&gt;="&amp;MAX(1,EX144-Boss参数!$B$87+1),$EX$3:EX144,"&lt;="&amp;EX144))</f>
        <v>0</v>
      </c>
      <c r="FA144" s="1">
        <f t="shared" si="208"/>
        <v>0</v>
      </c>
      <c r="FB144" s="17">
        <f>IF(L144="BOSS_CONSERVATIVE",B144+Boss参数!$B$91,FB143)</f>
        <v>7</v>
      </c>
      <c r="FC144" s="17">
        <f t="shared" si="209"/>
        <v>0</v>
      </c>
      <c r="FD144" s="17">
        <f>IF(D144="",FD143,FD143+IF(AND(DG144&lt;&gt;DG143,INDEX(回合状态!$C$7:$C$17,MATCH(DG144,回合状态!$A$7:$A$17,0))&lt;&gt;"洞穿"),1,0))</f>
        <v>8</v>
      </c>
      <c r="FE144" s="17">
        <f>IF(D144="",0,IF(AND(OR(L144="END_TURN",DH144="敌方"),INDEX(回合状态!$C$7:$C$17,MATCH(DG144,回合状态!$A$7:$A$17,0))&lt;&gt;"洞穿",SUMIFS($FE$3:FE143,$DG$3:DG143,DG144)=0),1,0))</f>
        <v>0</v>
      </c>
    </row>
    <row r="145" spans="1:161" ht="84.95" customHeight="1">
      <c r="A145" s="1" t="str">
        <f>行动模拟!A151</f>
        <v/>
      </c>
      <c r="B145" s="1">
        <f>IF(D145="",0,INDEX(回合状态!$B$7:$B$17,MATCH(DG145,回合状态!$A$7:$A$17,0)))</f>
        <v>0</v>
      </c>
      <c r="C145" s="1">
        <f>行动模拟!C151</f>
        <v>0</v>
      </c>
      <c r="D145" s="1" t="str">
        <f>IF(行动模拟!D151="","",行动模拟!D151)</f>
        <v/>
      </c>
      <c r="E145" s="1" t="str">
        <f>IF($D145="","",IFERROR(INDEX(技能数据库!$B$4:$B$38,MATCH($D145,技能数据库!$A$4:$A$38,0)),""))</f>
        <v/>
      </c>
      <c r="F145" s="1" t="str">
        <f>IF($D145="","",IFERROR(INDEX(技能数据库!$C$4:$C$38,MATCH($D145,技能数据库!$A$4:$A$38,0)),""))</f>
        <v/>
      </c>
      <c r="G145" s="1" t="str">
        <f>IF($D145="","",IFERROR(INDEX(技能数据库!$D$4:$D$38,MATCH($D145,技能数据库!$A$4:$A$38,0)),""))</f>
        <v/>
      </c>
      <c r="H145" s="1" t="str">
        <f>IF($D145="","",IFERROR(INDEX(技能数据库!$E$4:$E$38,MATCH($D145,技能数据库!$A$4:$A$38,0)),""))</f>
        <v/>
      </c>
      <c r="I145" s="1" t="str">
        <f>IF($D145="","",IFERROR(INDEX(技能数据库!$F$4:$F$38,MATCH($D145,技能数据库!$A$4:$A$38,0)),""))</f>
        <v/>
      </c>
      <c r="J145" s="1" t="str">
        <f>IF($D145="","",IFERROR(INDEX(技能数据库!$G$4:$G$38,MATCH($D145,技能数据库!$A$4:$A$38,0)),""))</f>
        <v/>
      </c>
      <c r="K145" s="1" t="str">
        <f>IF($D145="","",IFERROR(INDEX(技能数据库!$H$4:$H$38,MATCH($D145,技能数据库!$A$4:$A$38,0)),""))</f>
        <v/>
      </c>
      <c r="L145" s="1" t="str">
        <f>IF($D145="","",IFERROR(INDEX(技能数据库!$I$4:$I$38,MATCH($D145,技能数据库!$A$4:$A$38,0)),""))</f>
        <v/>
      </c>
      <c r="M145" s="1">
        <v>1</v>
      </c>
      <c r="N145" s="1"/>
      <c r="O145" s="1"/>
      <c r="P145" s="1"/>
      <c r="Q145" s="1">
        <f t="shared" si="140"/>
        <v>0</v>
      </c>
      <c r="R145" s="1">
        <v>0</v>
      </c>
      <c r="S145" s="1">
        <v>0</v>
      </c>
      <c r="T145" s="1">
        <f>行动模拟!I151</f>
        <v>0</v>
      </c>
      <c r="U145" s="1">
        <f>IF(FD145&lt;&gt;FD144,IF(BY144=1,IF(MIN(10,CA144+IF(AND(DG145&lt;&gt;DG144,DH144&lt;&gt;"洞穿",SUMIFS($FE$3:FE144,$DG$3:DG144,DG144)=0,BY144=1),3,0))&gt;=10,2,1),IF(BY144=2,IF(BZ144&lt;=1,0,2),0)),BY144)</f>
        <v>2</v>
      </c>
      <c r="V145" s="1">
        <f>IF(FD145&lt;&gt;FD144,IF(BY144=1,IF(MIN(10,CA144+IF(AND(DG145&lt;&gt;DG144,DH144&lt;&gt;"洞穿",SUMIFS($FE$3:FE144,$DG$3:DG144,DG144)=0,BY144=1),3,0))&gt;=10,2,0),IF(BY144=2,MAX(0,BZ144-1),0)),BZ144)</f>
        <v>1</v>
      </c>
      <c r="W145" s="1">
        <f>IF(AND(FD145&lt;&gt;FD144,BY144=2,BZ144&lt;=1),0,MIN(10,CA144+IF(AND(DG145&lt;&gt;DG144,DH144&lt;&gt;"洞穿",SUMIFS($FE$3:FE144,$DG$3:DG144,DG144)=0,BY144=1),3,0)))</f>
        <v>10</v>
      </c>
      <c r="X145" s="1">
        <f t="shared" si="182"/>
        <v>13</v>
      </c>
      <c r="Y145" s="1">
        <f t="shared" si="183"/>
        <v>0</v>
      </c>
      <c r="Z145" s="1">
        <f t="shared" si="184"/>
        <v>0</v>
      </c>
      <c r="AA145" s="1">
        <f t="shared" si="185"/>
        <v>0</v>
      </c>
      <c r="AB145" s="1">
        <f t="shared" si="186"/>
        <v>10</v>
      </c>
      <c r="AC145" s="1">
        <f t="shared" si="187"/>
        <v>1</v>
      </c>
      <c r="AD145" s="1">
        <f t="shared" si="188"/>
        <v>35</v>
      </c>
      <c r="AE145" s="1">
        <f>IF(D145="",0,IF(DG145&lt;&gt;DG144,IFERROR(INDEX(回合状态!$F$7:$F$17,MATCH(DG145,回合状态!$A$7:$A$17,0)),0),CI144))</f>
        <v>0</v>
      </c>
      <c r="AF145" s="1">
        <f t="shared" si="189"/>
        <v>0.875</v>
      </c>
      <c r="AG145" s="1">
        <f t="shared" si="190"/>
        <v>9</v>
      </c>
      <c r="AH145" s="1">
        <f t="shared" si="191"/>
        <v>9</v>
      </c>
      <c r="AI145" s="1">
        <f t="shared" si="192"/>
        <v>8</v>
      </c>
      <c r="AJ145" s="1">
        <f t="shared" si="193"/>
        <v>9</v>
      </c>
      <c r="AK145" s="1">
        <f t="shared" si="194"/>
        <v>8</v>
      </c>
      <c r="AL145" s="1">
        <f t="shared" si="195"/>
        <v>3</v>
      </c>
      <c r="AM145" s="1">
        <f t="shared" si="196"/>
        <v>30</v>
      </c>
      <c r="AN145" s="1">
        <f t="shared" si="197"/>
        <v>9</v>
      </c>
      <c r="AO145" s="1">
        <f t="shared" si="198"/>
        <v>0</v>
      </c>
      <c r="AP145" s="1" t="e">
        <f t="shared" si="199"/>
        <v>#VALUE!</v>
      </c>
      <c r="AQ145" s="1" t="e">
        <f t="shared" si="200"/>
        <v>#VALUE!</v>
      </c>
      <c r="AR145" s="1">
        <f t="shared" si="201"/>
        <v>0.3</v>
      </c>
      <c r="AS145" s="1">
        <f t="shared" si="202"/>
        <v>9</v>
      </c>
      <c r="AT145" s="1">
        <f t="shared" si="203"/>
        <v>0.3</v>
      </c>
      <c r="AU145" s="1">
        <f t="shared" si="204"/>
        <v>9</v>
      </c>
      <c r="AV145" s="1">
        <f>MIN(5,SUMIFS($EL$3:EL145,$B$3:B145,"&gt;="&amp;MAX(1,B145-2),$B$3:B145,"&lt;="&amp;B145)+EC145)</f>
        <v>0</v>
      </c>
      <c r="AW145" s="1">
        <f>MIN(6,SUMIFS($EY$3:EY144,$EX$3:EX144,"&gt;="&amp;MAX(1,EX145-Boss参数!$B$87+1),$EX$3:EX144,"&lt;="&amp;EX145))</f>
        <v>0</v>
      </c>
      <c r="AX145" s="1">
        <f>MIN(4,COUNTIFS($B$3:$B$144,"&gt;="&amp;MAX(1,$B145-2),$B$3:$B$144,"&lt;="&amp;$B145,$L$3:$L$144,"37_FOLLOW"))</f>
        <v>0</v>
      </c>
      <c r="AY145" s="1" t="str">
        <f>IF($E145="","",IF($E145="系统",0,ROUNDDOWN(INDEX(角色面板!$C$4:$C$7,MATCH($E145,角色面板!$A$4:$A$7,0))*(1+INDEX(角色面板!$C$11:$C$14,MATCH($E145,角色面板!$A$11:$A$14,0))+IF($E145="小瑞安侬",MAX(IF($B145&lt;=$AQ145,$AP145,0),IF(AND($L145="RHI_ATTACK",$EE145&gt;0),0.11+0.01*$G145,0)),0)+IF($E145="J",$AD145*Boss参数!$B$18,0))+IF(FD145&lt;=$AN145,MIN(Boss参数!$B$21,ROUNDDOWN(角色面板!$C$19*Boss参数!$B$20,0)),0)+IF(AND($B145&lt;=$AK145,$E145&lt;&gt;"小瑞安侬"),$DY145,0),0)))</f>
        <v/>
      </c>
      <c r="AZ145" s="1" t="str">
        <f>IF($E145="","",MAX(0,MIN(1,IFERROR(INDEX(角色面板!$G$18:$G$21,MATCH($E145,角色面板!$A$18:$A$21,0)),0)-FC145*Boss参数!$B$89-Boss参数!$E$4)))</f>
        <v/>
      </c>
      <c r="BA145" s="1" t="str">
        <f>IF(E145="","",(IF($E145="","",IF($E145="红弩箭",Boss参数!$B$80,IF($E145="J",Boss参数!$B$81,IFERROR(INDEX(角色面板!$H$18:$H$21,MATCH($E145,角色面板!$A$18:$A$21,0)),0)))+IF($B145&lt;=$AI145,Boss参数!$B$13,0)+MIN(30,$AM145)*Boss参数!$B$17+IF(AND($L145="LILYA_ULT",$X145&gt;=6),1,0)+IF(AND($Y145=1,$L145="LILYA_INSIGHT"),IF(MOD($AA145+1,3)=0,Boss参数!$B$83,Boss参数!$B$82),IF(AND($Y145=1,$L145="LILYA_FINISH"),Boss参数!$B$84,0))))-FC145*Boss参数!$B$90)</f>
        <v/>
      </c>
      <c r="BB145" s="1" t="str">
        <f>IF($E145="","",IFERROR(INDEX(角色面板!$M$18:$M$21,MATCH($E145,角色面板!$A$18:$A$21,0)),0)+$AW145*Boss参数!$B$12+IF($B145&lt;=$AG145,$AF145,0)+$EI145+IF($L145="LILYA_DIVE",IF($U145=1,IF($G145=1,0.3,IF($G145=2,0.4,0.5)),IF($U145=2,IF($G145=1,0.6,IF($G145=2,0.8,1)),0)),0)+$R145+IF(AND($E145="J",OR($L145="J_COUNTER",$L145="J_HARD")),Boss参数!$B$79,0)+IF(AND(OR(L145="J_COUNTER",L145="J_HARD"),FA145&gt;=Boss参数!$B$59),FA145*Boss参数!$B$40,0))</f>
        <v/>
      </c>
      <c r="BC145" s="1" t="e">
        <f>IF($E145="","",IFERROR(INDEX(角色面板!$K$18:$K$21,MATCH($E145,角色面板!$A$18:$A$21,0)),0)+IF($B145&lt;=$AH145,Boss参数!$B$46,0)+IF($E145="红弩箭",IF($U145=1,0.6,IF($U145=2,1.2,0))+$W145*0.06,0))-DI145*Boss参数!$B$23</f>
        <v>#VALUE!</v>
      </c>
      <c r="BD145" s="1" t="e">
        <f>IF($E145="","",IFERROR(INDEX(角色面板!$L$18:$L$21,MATCH($E145,角色面板!$A$18:$A$21,0)),0)+IF($B145&lt;=$AH145,Boss参数!$B$46,0)+IF($E145="J",$AL145*Boss参数!$B$16,0)+IF($E145="红弩箭",$X145*0.025,0)+IF(AND($L145="LILYA_ULT",$X145&gt;=6),1,0))-DI145*Boss参数!$B$23</f>
        <v>#VALUE!</v>
      </c>
      <c r="BE145" s="1" t="str">
        <f>IF($E145="","",IF($H145="洞知",IF($E145="红弩箭",$AO145*Boss参数!$B$15,0)+$AX145*Boss参数!$B$14,0))</f>
        <v/>
      </c>
      <c r="BF145" s="1">
        <f t="shared" si="141"/>
        <v>0</v>
      </c>
      <c r="BG145" s="1">
        <f>IF($D145="",0,IF(AND($L145&lt;&gt;"LILYA_DIVE",$L145&lt;&gt;"LILYA_ULT",$L145&lt;&gt;"LILYA_INSIGHT",$L145&lt;&gt;"LILYA_FINISH",$L145&lt;&gt;"37_FOLLOW",$L145&lt;&gt;"RHI_ATTACK",$L145&lt;&gt;"RHI_BERRY",$L145&lt;&gt;"J_COUNTER",$L145&lt;&gt;"J_ULT"),$J145,0)+IF($L145="LILYA_DIVE",$J145+IF($U145=1,IF($G145=1,6,IF($G145=2,12,18)),IF($U145=2,IF($G145=1,12,IF($G145=2,24,36)),0)),0)+IF($L145="LILYA_ULT",$J145+IF($X145&gt;=6,18,0),0)+IF($L145="LILYA_INSIGHT",IF($Y145=1,IF(MOD($AA145+1,3)=0,32,15),0),0)+IF($L145="LILYA_FINISH",IF($Y145=1,50+2.5*$Z145,0),0)+IF($L145="37_FOLLOW",$J145,0)+IF($L145="RHI_ATTACK",$J145*IF($B145&lt;=$AJ145,2,1),0)+IF($L145="RHI_BERRY",15+1.5*$AV145,0)+IF($L145="J_COUNTER",$J145+$AD145*Boss参数!$B$39,0)+IF($L145="J_ULT",$J145+Boss参数!$B$45*MAX(0,$AE145+$AD145-Boss参数!$I$4),0)+$S145)</f>
        <v>0</v>
      </c>
      <c r="BH145" s="1">
        <f t="shared" si="142"/>
        <v>0</v>
      </c>
      <c r="BI145" s="1" t="str">
        <f>IF(E145="","",IF(DT145=1,1+Boss参数!$B$8+AV145*Boss参数!$B$19,1))</f>
        <v/>
      </c>
      <c r="BJ145" s="1">
        <f>IF($I145="现实",Boss参数!$C$4,IF($I145="精神",Boss参数!$D$4,0))</f>
        <v>0</v>
      </c>
      <c r="BK145" s="1" t="str">
        <f>IF($E145="","",MAX($AY145*Boss参数!$B$9,$AY145-$BJ145*(1-$BF145)))</f>
        <v/>
      </c>
      <c r="BL145" s="1">
        <f>MAX(0,Boss参数!$F$4+IF(DT145=0,Boss参数!$B$27,0)-EJ145)</f>
        <v>1.25</v>
      </c>
      <c r="BM145" s="1">
        <f>Boss参数!$G$4+DU145-IF(Y145=1,Boss参数!$B$11,0)</f>
        <v>0.4</v>
      </c>
      <c r="BN145" s="1" t="str">
        <f>IF($E145="","",MAX(Boss参数!$B$10,1+IFERROR(INDEX(角色面板!$I$18:$I$21,MATCH($E145,角色面板!$A$18:$A$21,0)),0)+$BB145+Boss参数!$H$4-$BM145))</f>
        <v/>
      </c>
      <c r="BO145" s="1" t="str">
        <f>IF(E145="","",IF(OR(L145="J_COUNTER",L145="J_HARD"),MAX(0,1+INDEX(角色面板!$K$18:$K$21,MATCH(E145,角色面板!$A$18:$A$21,0))-DI145*Boss参数!$B$23+IF(OR(Boss参数!$B$43=1,L145="J_HARD"),IF(B145&lt;=AH145,Boss参数!$B$46,0),0)),MAX(0,IF(OR(H145="术法",L145="RHI_BERRY",AND(L145="37_FOLLOW",Boss参数!$B$31=1)),1+BC145,IF(H145="仪式",1+BD145,IF(H145="洞知",EK145,1))))))</f>
        <v/>
      </c>
      <c r="BP145" s="1" t="str">
        <f t="shared" si="143"/>
        <v/>
      </c>
      <c r="BQ145" s="1">
        <f t="shared" si="144"/>
        <v>0</v>
      </c>
      <c r="BR145" s="1">
        <f t="shared" si="145"/>
        <v>0</v>
      </c>
      <c r="BS145" s="1">
        <f>IF(BH145=0,0,ROUNDDOWN(AY145*BH145,0)*DV145*IF(Boss参数!$B$29=1,BN145,1)*IF(Boss参数!$B$33=1,BO145,1)*IF(Boss参数!$B$76=1,1-ES145,1))</f>
        <v>0</v>
      </c>
      <c r="BT145" s="1">
        <f t="shared" si="146"/>
        <v>0</v>
      </c>
      <c r="BU145" s="1">
        <f>IF(D145="",0,MIN(IF(Boss参数!$B$77=1,Boss参数!$B$63*Boss参数!$B$62,Boss参数!$B$61*Boss参数!$B$62),DW145+ROUNDDOWN(BS145,0)+ROUNDDOWN(DW145*Q145,0)))</f>
        <v>0</v>
      </c>
      <c r="BV145" s="1">
        <f>IF(D145="",0,MIN(IF(Boss参数!$B$77=1,Boss参数!$B$63*Boss参数!$B$62,Boss参数!$B$61*Boss参数!$B$62),DX145+ROUNDDOWN(BT145,0)+ROUNDDOWN(DX145*Q145,0)))</f>
        <v>0</v>
      </c>
      <c r="BW145" s="1">
        <f t="shared" si="147"/>
        <v>0</v>
      </c>
      <c r="BX145" s="1" t="str">
        <f t="shared" si="148"/>
        <v/>
      </c>
      <c r="BY145" s="1">
        <f t="shared" si="149"/>
        <v>2</v>
      </c>
      <c r="BZ145" s="1">
        <f t="shared" si="150"/>
        <v>1</v>
      </c>
      <c r="CA145" s="1">
        <f>MIN(10,W145+IF(AND(L145="LILYA_COBRA",COUNTIF($L$3:L145,"LILYA_COBRA")=1),5,0)+IF(AND(L145="LILYA_DIVE",U145=1,COUNTIFS($DG$3:DG145,DG145,$L$3:L145,"LILYA_DIVE")=1),2,0)+IF(AND(FE145=1,U145=1),3,0))</f>
        <v>10</v>
      </c>
      <c r="CB145" s="1">
        <f>MIN(20,MAX(0,X145+IF(L145="LILYA_COBRA",IF(COUNTIF($L$3:L145,"LILYA_COBRA")=1,6,IF(U145=1,MAX(1,G145),IF(U145=2,2*MAX(1,G145),0))),0)+IF(AND(Y145=1,E145="红弩箭",L145&lt;&gt;"ENTER_INSIGHT"),1,0)-IF(AND(L145="LILYA_ULT",X145&gt;=6),6,0)))</f>
        <v>13</v>
      </c>
      <c r="CC145" s="1">
        <f t="shared" si="151"/>
        <v>0</v>
      </c>
      <c r="CD145" s="1">
        <f t="shared" si="152"/>
        <v>0</v>
      </c>
      <c r="CE145" s="1">
        <f t="shared" si="153"/>
        <v>0</v>
      </c>
      <c r="CF145" s="1">
        <f t="shared" si="154"/>
        <v>10</v>
      </c>
      <c r="CG145" s="1">
        <f t="shared" si="155"/>
        <v>1</v>
      </c>
      <c r="CH145" s="1">
        <f>MIN(35,AD145+IF(L145="J_HARD",6,0)+IF(L145="J_COUNTER",Boss参数!$B$30,0))</f>
        <v>35</v>
      </c>
      <c r="CI145" s="1">
        <f>MIN(Boss参数!$I$4,AE145+IF(L145="J_HARD",6,0)+IF(L145="J_ULT",AD145,0)+IF(L145="J_COUNTER",Boss参数!$B$30,0))</f>
        <v>0</v>
      </c>
      <c r="CJ145" s="1">
        <f>IF(L145="J_ULT",AD145*Boss参数!$B$41,IF(B145&lt;=AG145,AF145,0))</f>
        <v>0.875</v>
      </c>
      <c r="CK145" s="1">
        <f t="shared" si="156"/>
        <v>9</v>
      </c>
      <c r="CL145" s="1">
        <f t="shared" si="157"/>
        <v>9</v>
      </c>
      <c r="CM145" s="1">
        <f t="shared" si="158"/>
        <v>8</v>
      </c>
      <c r="CN145" s="1">
        <f t="shared" si="159"/>
        <v>9</v>
      </c>
      <c r="CO145" s="1">
        <f t="shared" si="160"/>
        <v>8</v>
      </c>
      <c r="CP145" s="1">
        <f t="shared" si="161"/>
        <v>3</v>
      </c>
      <c r="CQ145" s="1">
        <f t="shared" si="162"/>
        <v>30</v>
      </c>
      <c r="CR145" s="1">
        <f t="shared" si="163"/>
        <v>9</v>
      </c>
      <c r="CS145" s="1">
        <f t="shared" si="164"/>
        <v>0</v>
      </c>
      <c r="CT145" s="1" t="e">
        <f t="shared" si="165"/>
        <v>#VALUE!</v>
      </c>
      <c r="CU145" s="1" t="e">
        <f t="shared" si="166"/>
        <v>#VALUE!</v>
      </c>
      <c r="CV145" s="1">
        <f t="shared" si="167"/>
        <v>0.3</v>
      </c>
      <c r="CW145" s="1">
        <f t="shared" si="168"/>
        <v>9</v>
      </c>
      <c r="CX145" s="1">
        <f t="shared" si="169"/>
        <v>0.3</v>
      </c>
      <c r="CY145" s="1">
        <f t="shared" si="170"/>
        <v>9</v>
      </c>
      <c r="CZ145" s="1"/>
      <c r="DA145" s="1"/>
      <c r="DB145" s="1"/>
      <c r="DC145" s="1"/>
      <c r="DD145" s="1"/>
      <c r="DE145" s="1"/>
      <c r="DF145" s="1"/>
      <c r="DG145" s="1" t="str">
        <f>IF(D145="","",行动模拟!B151)</f>
        <v/>
      </c>
      <c r="DH145" s="1" t="str">
        <f>IF(L145="END_TURN","回合结束",IF(D145="","",IF(INDEX(回合状态!$C$7:$C$17,MATCH(DG145,回合状态!$A$7:$A$17,0))="洞穿","洞穿",IF(OR(L145="J_COUNTER",L145="BOSS_ACTION",L145="BOSS_CONSERVATIVE"),"敌方",IF(AND(L145="37_FOLLOW",DG145=DG144,DH144="敌方"),"敌方",IF(INDEX(回合状态!$C$7:$C$17,MATCH(DG145,回合状态!$A$7:$A$17,0))="普通","出牌",INDEX(回合状态!$C$7:$C$17,MATCH(DG145,回合状态!$A$7:$A$17,0))))))))</f>
        <v/>
      </c>
      <c r="DI145" s="1">
        <f t="shared" si="171"/>
        <v>0</v>
      </c>
      <c r="DJ145" s="1">
        <f>IF(D145="",0,MIN(Boss参数!$B$25,IF(OR(AND(DH145="敌方",OR(DH144&lt;&gt;"敌方",DG145&lt;&gt;DG144)),AND(L145="END_TURN",DH145&lt;&gt;"洞穿"),AND(DG145&lt;&gt;DG144,DH144&lt;&gt;"洞穿",L144&lt;&gt;"END_TURN",COUNTIFS($DG$3:DG144,DG144,$DH$3:DH144,"敌方")=0)),EW145,DN144)))</f>
        <v>0</v>
      </c>
      <c r="DK145" s="1">
        <f>IF(D145="",0,MIN(Boss参数!$B$25,IF(OR(AND(DH145="敌方",OR(DH144&lt;&gt;"敌方",DG145&lt;&gt;DG144)),AND(L145="END_TURN",DH145&lt;&gt;"洞穿"),AND(DG145&lt;&gt;DG144,DH144&lt;&gt;"洞穿",L144&lt;&gt;"END_TURN",COUNTIFS($DG$3:DG144,DG144,$DH$3:DH144,"敌方")=0)),EW145,DO144)))</f>
        <v>0</v>
      </c>
      <c r="DL145" s="1">
        <f>IF(D145="",0,MIN(Boss参数!$B$25,IF(OR(AND(DH145="敌方",OR(DH144&lt;&gt;"敌方",DG145&lt;&gt;DG144)),AND(L145="END_TURN",DH145&lt;&gt;"洞穿"),AND(DG145&lt;&gt;DG144,DH144&lt;&gt;"洞穿",L144&lt;&gt;"END_TURN",COUNTIFS($DG$3:DG144,DG144,$DH$3:DH144,"敌方")=0)),EW145,DP144)))</f>
        <v>0</v>
      </c>
      <c r="DM145" s="1">
        <f>IF(D145="",0,MIN(Boss参数!$B$25,IF(OR(AND(DH145="敌方",OR(DH144&lt;&gt;"敌方",DG145&lt;&gt;DG144)),AND(L145="END_TURN",DH145&lt;&gt;"洞穿"),AND(DG145&lt;&gt;DG144,DH144&lt;&gt;"洞穿",L144&lt;&gt;"END_TURN",COUNTIFS($DG$3:DG144,DG144,$DH$3:DH144,"敌方")=0)),EW145,DQ144)))</f>
        <v>0</v>
      </c>
      <c r="DN145" s="1">
        <f>MAX(0,MIN(Boss参数!$B$25,DJ145+DR145)-IF(E145="红弩箭",2*DR145,0))</f>
        <v>0</v>
      </c>
      <c r="DO145" s="1">
        <f>MAX(0,MIN(Boss参数!$B$25,DK145+DR145)-IF(E145="37",2*DR145,0))</f>
        <v>0</v>
      </c>
      <c r="DP145" s="1">
        <f>MAX(0,MIN(Boss参数!$B$25,DL145+DR145)-IF(E145="小瑞安侬",2*DR145,0))</f>
        <v>0</v>
      </c>
      <c r="DQ145" s="1">
        <f>MAX(0,MIN(Boss参数!$B$25,DM145+DR145)-IF(E145="J",2*DR145,0))</f>
        <v>0</v>
      </c>
      <c r="DR145" s="1">
        <f t="shared" si="172"/>
        <v>0</v>
      </c>
      <c r="DS145" s="1">
        <f t="shared" si="173"/>
        <v>0</v>
      </c>
      <c r="DT145" s="1">
        <f>IF(OR(E145="",E145="系统"),0,IF(OR(AND(DS145=1,Boss参数!$B$32=1),L145="RHI_BERRY",OR(AND(INDEX(角色面板!$B$18:$B$21,MATCH(E145,角色面板!$A$18:$A$21,0))="星",Boss参数!$B$4="岩"),AND(INDEX(角色面板!$B$18:$B$21,MATCH(E145,角色面板!$A$18:$A$21,0))="岩",Boss参数!$B$4="兽"),AND(INDEX(角色面板!$B$18:$B$21,MATCH(E145,角色面板!$A$18:$A$21,0))="兽",Boss参数!$B$4="木"),AND(INDEX(角色面板!$B$18:$B$21,MATCH(E145,角色面板!$A$18:$A$21,0))="木",Boss参数!$B$4="星"),AND(INDEX(角色面板!$B$18:$B$21,MATCH(E145,角色面板!$A$18:$A$21,0))="智",Boss参数!$B$4="灵"),AND(INDEX(角色面板!$B$18:$B$21,MATCH(E145,角色面板!$A$18:$A$21,0))="灵",Boss参数!$B$4="智"))),1,0))</f>
        <v>0</v>
      </c>
      <c r="DU145" s="1">
        <f>IF(D145="",0,INDEX(回合状态!$E$7:$E$17,MATCH(DG145,回合状态!$A$7:$A$17,0))+IF(AND(DH145="敌方",OR(INDEX(回合状态!$C$7:$C$17,MATCH(DG145,回合状态!$A$7:$A$17,0))="普通",INDEX(回合状态!$C$7:$C$17,MATCH(DG145,回合状态!$A$7:$A$17,0))="额外")),0.05,0))</f>
        <v>0</v>
      </c>
      <c r="DV145" s="1">
        <f>MAX(Boss参数!$B$28,1+IF(AND(E145="37",AC145&gt;0,BH145&gt;0),Boss参数!$B$42,0)-DI145*Boss参数!$B$24+EA145-ER145)</f>
        <v>9.9999999999999978E-2</v>
      </c>
      <c r="DW145" s="1">
        <f>MIN(IF(Boss参数!$B$77=1,Boss参数!$B$63*Boss参数!$B$62,Boss参数!$B$61*Boss参数!$B$62),ROUNDDOWN(BQ145*(1-ES145),0))</f>
        <v>0</v>
      </c>
      <c r="DX145" s="1">
        <f>MIN(IF(Boss参数!$B$77=1,Boss参数!$B$63*Boss参数!$B$62,Boss参数!$B$61*Boss参数!$B$62),ROUNDDOWN(BR145*(1-ES145),0))</f>
        <v>0</v>
      </c>
      <c r="DY145" s="1">
        <f t="shared" si="205"/>
        <v>250</v>
      </c>
      <c r="DZ145" s="1">
        <f>IF(L145="RHI_ULT",MIN(Boss参数!$B$48,ROUNDDOWN(AY145*Boss参数!$B$47,0)),DY145)</f>
        <v>250</v>
      </c>
      <c r="EA145" s="1">
        <v>0</v>
      </c>
      <c r="EB145" s="1">
        <f t="shared" si="174"/>
        <v>0</v>
      </c>
      <c r="EC145" s="1">
        <f>SUMIFS($EB$3:EB145,$B$3:B145,"&gt;="&amp;MAX(1,B145-2),$B$3:B145,"&lt;="&amp;B145)*Boss参数!$B$51</f>
        <v>0</v>
      </c>
      <c r="ED145" s="1">
        <f>IF(D145="",EG144,IF(AND(DG145&lt;&gt;DG144,DH145&lt;&gt;"洞穿"),MIN(Boss参数!$B$55,EG144+2),EG144))</f>
        <v>0</v>
      </c>
      <c r="EE145" s="1">
        <f t="shared" si="175"/>
        <v>0</v>
      </c>
      <c r="EF145" s="1">
        <f>IF(AND(OR(L145="END_TURN",AND(DH145="敌方",OR(DH144&lt;&gt;"敌方",DG145&lt;&gt;DG144))),SUMIFS($EF$3:EF144,$DG$3:DG144,DG145)=0),MIN(1,MAX(0,ED145-EE145)),0)</f>
        <v>0</v>
      </c>
      <c r="EG145" s="1">
        <f t="shared" si="176"/>
        <v>0</v>
      </c>
      <c r="EH145" s="1">
        <f>Boss参数!$B$53-IF(Y145=1,Boss参数!$B$54,0)</f>
        <v>0</v>
      </c>
      <c r="EI145" s="1">
        <f t="shared" si="177"/>
        <v>0.15</v>
      </c>
      <c r="EJ145" s="1">
        <f t="shared" si="178"/>
        <v>0.15</v>
      </c>
      <c r="EK145" s="1" t="e">
        <f t="shared" si="179"/>
        <v>#VALUE!</v>
      </c>
      <c r="EL145" s="1">
        <f t="shared" si="206"/>
        <v>0</v>
      </c>
      <c r="EM145" s="1">
        <f>IF(AND(DG145&lt;&gt;DG144,DH145="洞穿"),0,IF(L145="ENTER_INSIGHT",Boss参数!$B$57,EO144))</f>
        <v>0</v>
      </c>
      <c r="EN145" s="1">
        <f>IF(AND(Y145=1,H145="洞知",EM145&gt;0),Boss参数!$B$56,0)</f>
        <v>0</v>
      </c>
      <c r="EO145" s="1">
        <f t="shared" si="180"/>
        <v>0</v>
      </c>
      <c r="EP145" s="1">
        <f t="shared" si="207"/>
        <v>23210479</v>
      </c>
      <c r="EQ145" s="1">
        <f>ROUNDDOWN(EP145/Boss参数!$B$62,0)</f>
        <v>232</v>
      </c>
      <c r="ER145" s="1">
        <f>IF(EQ145&gt;=Boss参数!$B$66,Boss参数!$B$69,IF(EQ145&gt;=Boss参数!$B$65,Boss参数!$B$68,IF(EQ145&gt;=Boss参数!$B$64,Boss参数!$B$67,0)))</f>
        <v>0.9</v>
      </c>
      <c r="ES145" s="1">
        <f>MIN(1,IF(EQ145&gt;=Boss参数!$B$66,Boss参数!$B$72+ROUNDDOWN((EQ145-Boss参数!$B$66)/Boss参数!$B$73,0)*Boss参数!$B$74,IF(EQ145&gt;=Boss参数!$B$65,Boss参数!$B$71,IF(EQ145&gt;=Boss参数!$B$64,Boss参数!$B$70,0))))</f>
        <v>0.65</v>
      </c>
      <c r="ET145" s="1">
        <f>MIN(Boss参数!$B$61*Boss参数!$B$62,EP145+IF(AND(Boss参数!$B$60=1,ISNUMBER(验证表!H151)),验证表!H151,EU145))</f>
        <v>23210479</v>
      </c>
      <c r="EU145" s="1">
        <f>IF(D145="",0,IF(验证表!G151="是",BV145,IF(验证表!G151="否",BU145,BW145)))</f>
        <v>0</v>
      </c>
      <c r="EV145" s="1">
        <f>IF(EQ145&gt;=Boss参数!$B$66,2,IF(EQ145&gt;=Boss参数!$B$65,1,0))</f>
        <v>2</v>
      </c>
      <c r="EW145" s="1">
        <f t="shared" si="181"/>
        <v>3</v>
      </c>
      <c r="EX145" s="1">
        <f>IF(D145="",0,INDEX(回合状态!$D$7:$D$17,MATCH(DG145,回合状态!$A$7:$A$17,0)))</f>
        <v>0</v>
      </c>
      <c r="EY145" s="1">
        <f>IF(OR(L145="RHI_ATTACK",L145="RHI_BUFF"),1,IF(L145="RHI_ULT",Boss参数!$B$52,0))</f>
        <v>0</v>
      </c>
      <c r="EZ145" s="1">
        <f>MIN(6,SUMIFS($EY$3:EY145,$EX$3:EX145,"&gt;="&amp;MAX(1,EX145-Boss参数!$B$87+1),$EX$3:EX145,"&lt;="&amp;EX145))</f>
        <v>0</v>
      </c>
      <c r="FA145" s="1">
        <f t="shared" si="208"/>
        <v>0</v>
      </c>
      <c r="FB145" s="17">
        <f>IF(L145="BOSS_CONSERVATIVE",B145+Boss参数!$B$91,FB144)</f>
        <v>7</v>
      </c>
      <c r="FC145" s="17">
        <f t="shared" si="209"/>
        <v>0</v>
      </c>
      <c r="FD145" s="17">
        <f>IF(D145="",FD144,FD144+IF(AND(DG145&lt;&gt;DG144,INDEX(回合状态!$C$7:$C$17,MATCH(DG145,回合状态!$A$7:$A$17,0))&lt;&gt;"洞穿"),1,0))</f>
        <v>8</v>
      </c>
      <c r="FE145" s="17">
        <f>IF(D145="",0,IF(AND(OR(L145="END_TURN",DH145="敌方"),INDEX(回合状态!$C$7:$C$17,MATCH(DG145,回合状态!$A$7:$A$17,0))&lt;&gt;"洞穿",SUMIFS($FE$3:FE144,$DG$3:DG144,DG145)=0),1,0))</f>
        <v>0</v>
      </c>
    </row>
    <row r="146" spans="1:161" ht="84.95" customHeight="1">
      <c r="A146" s="1" t="str">
        <f>行动模拟!A152</f>
        <v/>
      </c>
      <c r="B146" s="1">
        <f>IF(D146="",0,INDEX(回合状态!$B$7:$B$17,MATCH(DG146,回合状态!$A$7:$A$17,0)))</f>
        <v>0</v>
      </c>
      <c r="C146" s="1">
        <f>行动模拟!C152</f>
        <v>0</v>
      </c>
      <c r="D146" s="1" t="str">
        <f>IF(行动模拟!D152="","",行动模拟!D152)</f>
        <v/>
      </c>
      <c r="E146" s="1" t="str">
        <f>IF($D146="","",IFERROR(INDEX(技能数据库!$B$4:$B$38,MATCH($D146,技能数据库!$A$4:$A$38,0)),""))</f>
        <v/>
      </c>
      <c r="F146" s="1" t="str">
        <f>IF($D146="","",IFERROR(INDEX(技能数据库!$C$4:$C$38,MATCH($D146,技能数据库!$A$4:$A$38,0)),""))</f>
        <v/>
      </c>
      <c r="G146" s="1" t="str">
        <f>IF($D146="","",IFERROR(INDEX(技能数据库!$D$4:$D$38,MATCH($D146,技能数据库!$A$4:$A$38,0)),""))</f>
        <v/>
      </c>
      <c r="H146" s="1" t="str">
        <f>IF($D146="","",IFERROR(INDEX(技能数据库!$E$4:$E$38,MATCH($D146,技能数据库!$A$4:$A$38,0)),""))</f>
        <v/>
      </c>
      <c r="I146" s="1" t="str">
        <f>IF($D146="","",IFERROR(INDEX(技能数据库!$F$4:$F$38,MATCH($D146,技能数据库!$A$4:$A$38,0)),""))</f>
        <v/>
      </c>
      <c r="J146" s="1" t="str">
        <f>IF($D146="","",IFERROR(INDEX(技能数据库!$G$4:$G$38,MATCH($D146,技能数据库!$A$4:$A$38,0)),""))</f>
        <v/>
      </c>
      <c r="K146" s="1" t="str">
        <f>IF($D146="","",IFERROR(INDEX(技能数据库!$H$4:$H$38,MATCH($D146,技能数据库!$A$4:$A$38,0)),""))</f>
        <v/>
      </c>
      <c r="L146" s="1" t="str">
        <f>IF($D146="","",IFERROR(INDEX(技能数据库!$I$4:$I$38,MATCH($D146,技能数据库!$A$4:$A$38,0)),""))</f>
        <v/>
      </c>
      <c r="M146" s="1">
        <v>1</v>
      </c>
      <c r="N146" s="1"/>
      <c r="O146" s="1"/>
      <c r="P146" s="1"/>
      <c r="Q146" s="1">
        <f t="shared" si="140"/>
        <v>0</v>
      </c>
      <c r="R146" s="1">
        <v>0</v>
      </c>
      <c r="S146" s="1">
        <v>0</v>
      </c>
      <c r="T146" s="1">
        <f>行动模拟!I152</f>
        <v>0</v>
      </c>
      <c r="U146" s="1">
        <f>IF(FD146&lt;&gt;FD145,IF(BY145=1,IF(MIN(10,CA145+IF(AND(DG146&lt;&gt;DG145,DH145&lt;&gt;"洞穿",SUMIFS($FE$3:FE145,$DG$3:DG145,DG145)=0,BY145=1),3,0))&gt;=10,2,1),IF(BY145=2,IF(BZ145&lt;=1,0,2),0)),BY145)</f>
        <v>2</v>
      </c>
      <c r="V146" s="1">
        <f>IF(FD146&lt;&gt;FD145,IF(BY145=1,IF(MIN(10,CA145+IF(AND(DG146&lt;&gt;DG145,DH145&lt;&gt;"洞穿",SUMIFS($FE$3:FE145,$DG$3:DG145,DG145)=0,BY145=1),3,0))&gt;=10,2,0),IF(BY145=2,MAX(0,BZ145-1),0)),BZ145)</f>
        <v>1</v>
      </c>
      <c r="W146" s="1">
        <f>IF(AND(FD146&lt;&gt;FD145,BY145=2,BZ145&lt;=1),0,MIN(10,CA145+IF(AND(DG146&lt;&gt;DG145,DH145&lt;&gt;"洞穿",SUMIFS($FE$3:FE145,$DG$3:DG145,DG145)=0,BY145=1),3,0)))</f>
        <v>10</v>
      </c>
      <c r="X146" s="1">
        <f t="shared" si="182"/>
        <v>13</v>
      </c>
      <c r="Y146" s="1">
        <f t="shared" si="183"/>
        <v>0</v>
      </c>
      <c r="Z146" s="1">
        <f t="shared" si="184"/>
        <v>0</v>
      </c>
      <c r="AA146" s="1">
        <f t="shared" si="185"/>
        <v>0</v>
      </c>
      <c r="AB146" s="1">
        <f t="shared" si="186"/>
        <v>10</v>
      </c>
      <c r="AC146" s="1">
        <f t="shared" si="187"/>
        <v>1</v>
      </c>
      <c r="AD146" s="1">
        <f t="shared" si="188"/>
        <v>35</v>
      </c>
      <c r="AE146" s="1">
        <f>IF(D146="",0,IF(DG146&lt;&gt;DG145,IFERROR(INDEX(回合状态!$F$7:$F$17,MATCH(DG146,回合状态!$A$7:$A$17,0)),0),CI145))</f>
        <v>0</v>
      </c>
      <c r="AF146" s="1">
        <f t="shared" si="189"/>
        <v>0.875</v>
      </c>
      <c r="AG146" s="1">
        <f t="shared" si="190"/>
        <v>9</v>
      </c>
      <c r="AH146" s="1">
        <f t="shared" si="191"/>
        <v>9</v>
      </c>
      <c r="AI146" s="1">
        <f t="shared" si="192"/>
        <v>8</v>
      </c>
      <c r="AJ146" s="1">
        <f t="shared" si="193"/>
        <v>9</v>
      </c>
      <c r="AK146" s="1">
        <f t="shared" si="194"/>
        <v>8</v>
      </c>
      <c r="AL146" s="1">
        <f t="shared" si="195"/>
        <v>3</v>
      </c>
      <c r="AM146" s="1">
        <f t="shared" si="196"/>
        <v>30</v>
      </c>
      <c r="AN146" s="1">
        <f t="shared" si="197"/>
        <v>9</v>
      </c>
      <c r="AO146" s="1">
        <f t="shared" si="198"/>
        <v>0</v>
      </c>
      <c r="AP146" s="1" t="e">
        <f t="shared" si="199"/>
        <v>#VALUE!</v>
      </c>
      <c r="AQ146" s="1" t="e">
        <f t="shared" si="200"/>
        <v>#VALUE!</v>
      </c>
      <c r="AR146" s="1">
        <f t="shared" si="201"/>
        <v>0.3</v>
      </c>
      <c r="AS146" s="1">
        <f t="shared" si="202"/>
        <v>9</v>
      </c>
      <c r="AT146" s="1">
        <f t="shared" si="203"/>
        <v>0.3</v>
      </c>
      <c r="AU146" s="1">
        <f t="shared" si="204"/>
        <v>9</v>
      </c>
      <c r="AV146" s="1">
        <f>MIN(5,SUMIFS($EL$3:EL146,$B$3:B146,"&gt;="&amp;MAX(1,B146-2),$B$3:B146,"&lt;="&amp;B146)+EC146)</f>
        <v>0</v>
      </c>
      <c r="AW146" s="1">
        <f>MIN(6,SUMIFS($EY$3:EY145,$EX$3:EX145,"&gt;="&amp;MAX(1,EX146-Boss参数!$B$87+1),$EX$3:EX145,"&lt;="&amp;EX146))</f>
        <v>0</v>
      </c>
      <c r="AX146" s="1">
        <f>MIN(4,COUNTIFS($B$3:$B$145,"&gt;="&amp;MAX(1,$B146-2),$B$3:$B$145,"&lt;="&amp;$B146,$L$3:$L$145,"37_FOLLOW"))</f>
        <v>0</v>
      </c>
      <c r="AY146" s="1" t="str">
        <f>IF($E146="","",IF($E146="系统",0,ROUNDDOWN(INDEX(角色面板!$C$4:$C$7,MATCH($E146,角色面板!$A$4:$A$7,0))*(1+INDEX(角色面板!$C$11:$C$14,MATCH($E146,角色面板!$A$11:$A$14,0))+IF($E146="小瑞安侬",MAX(IF($B146&lt;=$AQ146,$AP146,0),IF(AND($L146="RHI_ATTACK",$EE146&gt;0),0.11+0.01*$G146,0)),0)+IF($E146="J",$AD146*Boss参数!$B$18,0))+IF(FD146&lt;=$AN146,MIN(Boss参数!$B$21,ROUNDDOWN(角色面板!$C$19*Boss参数!$B$20,0)),0)+IF(AND($B146&lt;=$AK146,$E146&lt;&gt;"小瑞安侬"),$DY146,0),0)))</f>
        <v/>
      </c>
      <c r="AZ146" s="1" t="str">
        <f>IF($E146="","",MAX(0,MIN(1,IFERROR(INDEX(角色面板!$G$18:$G$21,MATCH($E146,角色面板!$A$18:$A$21,0)),0)-FC146*Boss参数!$B$89-Boss参数!$E$4)))</f>
        <v/>
      </c>
      <c r="BA146" s="1" t="str">
        <f>IF(E146="","",(IF($E146="","",IF($E146="红弩箭",Boss参数!$B$80,IF($E146="J",Boss参数!$B$81,IFERROR(INDEX(角色面板!$H$18:$H$21,MATCH($E146,角色面板!$A$18:$A$21,0)),0)))+IF($B146&lt;=$AI146,Boss参数!$B$13,0)+MIN(30,$AM146)*Boss参数!$B$17+IF(AND($L146="LILYA_ULT",$X146&gt;=6),1,0)+IF(AND($Y146=1,$L146="LILYA_INSIGHT"),IF(MOD($AA146+1,3)=0,Boss参数!$B$83,Boss参数!$B$82),IF(AND($Y146=1,$L146="LILYA_FINISH"),Boss参数!$B$84,0))))-FC146*Boss参数!$B$90)</f>
        <v/>
      </c>
      <c r="BB146" s="1" t="str">
        <f>IF($E146="","",IFERROR(INDEX(角色面板!$M$18:$M$21,MATCH($E146,角色面板!$A$18:$A$21,0)),0)+$AW146*Boss参数!$B$12+IF($B146&lt;=$AG146,$AF146,0)+$EI146+IF($L146="LILYA_DIVE",IF($U146=1,IF($G146=1,0.3,IF($G146=2,0.4,0.5)),IF($U146=2,IF($G146=1,0.6,IF($G146=2,0.8,1)),0)),0)+$R146+IF(AND($E146="J",OR($L146="J_COUNTER",$L146="J_HARD")),Boss参数!$B$79,0)+IF(AND(OR(L146="J_COUNTER",L146="J_HARD"),FA146&gt;=Boss参数!$B$59),FA146*Boss参数!$B$40,0))</f>
        <v/>
      </c>
      <c r="BC146" s="1" t="e">
        <f>IF($E146="","",IFERROR(INDEX(角色面板!$K$18:$K$21,MATCH($E146,角色面板!$A$18:$A$21,0)),0)+IF($B146&lt;=$AH146,Boss参数!$B$46,0)+IF($E146="红弩箭",IF($U146=1,0.6,IF($U146=2,1.2,0))+$W146*0.06,0))-DI146*Boss参数!$B$23</f>
        <v>#VALUE!</v>
      </c>
      <c r="BD146" s="1" t="e">
        <f>IF($E146="","",IFERROR(INDEX(角色面板!$L$18:$L$21,MATCH($E146,角色面板!$A$18:$A$21,0)),0)+IF($B146&lt;=$AH146,Boss参数!$B$46,0)+IF($E146="J",$AL146*Boss参数!$B$16,0)+IF($E146="红弩箭",$X146*0.025,0)+IF(AND($L146="LILYA_ULT",$X146&gt;=6),1,0))-DI146*Boss参数!$B$23</f>
        <v>#VALUE!</v>
      </c>
      <c r="BE146" s="1" t="str">
        <f>IF($E146="","",IF($H146="洞知",IF($E146="红弩箭",$AO146*Boss参数!$B$15,0)+$AX146*Boss参数!$B$14,0))</f>
        <v/>
      </c>
      <c r="BF146" s="1">
        <f t="shared" si="141"/>
        <v>0</v>
      </c>
      <c r="BG146" s="1">
        <f>IF($D146="",0,IF(AND($L146&lt;&gt;"LILYA_DIVE",$L146&lt;&gt;"LILYA_ULT",$L146&lt;&gt;"LILYA_INSIGHT",$L146&lt;&gt;"LILYA_FINISH",$L146&lt;&gt;"37_FOLLOW",$L146&lt;&gt;"RHI_ATTACK",$L146&lt;&gt;"RHI_BERRY",$L146&lt;&gt;"J_COUNTER",$L146&lt;&gt;"J_ULT"),$J146,0)+IF($L146="LILYA_DIVE",$J146+IF($U146=1,IF($G146=1,6,IF($G146=2,12,18)),IF($U146=2,IF($G146=1,12,IF($G146=2,24,36)),0)),0)+IF($L146="LILYA_ULT",$J146+IF($X146&gt;=6,18,0),0)+IF($L146="LILYA_INSIGHT",IF($Y146=1,IF(MOD($AA146+1,3)=0,32,15),0),0)+IF($L146="LILYA_FINISH",IF($Y146=1,50+2.5*$Z146,0),0)+IF($L146="37_FOLLOW",$J146,0)+IF($L146="RHI_ATTACK",$J146*IF($B146&lt;=$AJ146,2,1),0)+IF($L146="RHI_BERRY",15+1.5*$AV146,0)+IF($L146="J_COUNTER",$J146+$AD146*Boss参数!$B$39,0)+IF($L146="J_ULT",$J146+Boss参数!$B$45*MAX(0,$AE146+$AD146-Boss参数!$I$4),0)+$S146)</f>
        <v>0</v>
      </c>
      <c r="BH146" s="1">
        <f t="shared" si="142"/>
        <v>0</v>
      </c>
      <c r="BI146" s="1" t="str">
        <f>IF(E146="","",IF(DT146=1,1+Boss参数!$B$8+AV146*Boss参数!$B$19,1))</f>
        <v/>
      </c>
      <c r="BJ146" s="1">
        <f>IF($I146="现实",Boss参数!$C$4,IF($I146="精神",Boss参数!$D$4,0))</f>
        <v>0</v>
      </c>
      <c r="BK146" s="1" t="str">
        <f>IF($E146="","",MAX($AY146*Boss参数!$B$9,$AY146-$BJ146*(1-$BF146)))</f>
        <v/>
      </c>
      <c r="BL146" s="1">
        <f>MAX(0,Boss参数!$F$4+IF(DT146=0,Boss参数!$B$27,0)-EJ146)</f>
        <v>1.25</v>
      </c>
      <c r="BM146" s="1">
        <f>Boss参数!$G$4+DU146-IF(Y146=1,Boss参数!$B$11,0)</f>
        <v>0.4</v>
      </c>
      <c r="BN146" s="1" t="str">
        <f>IF($E146="","",MAX(Boss参数!$B$10,1+IFERROR(INDEX(角色面板!$I$18:$I$21,MATCH($E146,角色面板!$A$18:$A$21,0)),0)+$BB146+Boss参数!$H$4-$BM146))</f>
        <v/>
      </c>
      <c r="BO146" s="1" t="str">
        <f>IF(E146="","",IF(OR(L146="J_COUNTER",L146="J_HARD"),MAX(0,1+INDEX(角色面板!$K$18:$K$21,MATCH(E146,角色面板!$A$18:$A$21,0))-DI146*Boss参数!$B$23+IF(OR(Boss参数!$B$43=1,L146="J_HARD"),IF(B146&lt;=AH146,Boss参数!$B$46,0),0)),MAX(0,IF(OR(H146="术法",L146="RHI_BERRY",AND(L146="37_FOLLOW",Boss参数!$B$31=1)),1+BC146,IF(H146="仪式",1+BD146,IF(H146="洞知",EK146,1))))))</f>
        <v/>
      </c>
      <c r="BP146" s="1" t="str">
        <f t="shared" si="143"/>
        <v/>
      </c>
      <c r="BQ146" s="1">
        <f t="shared" si="144"/>
        <v>0</v>
      </c>
      <c r="BR146" s="1">
        <f t="shared" si="145"/>
        <v>0</v>
      </c>
      <c r="BS146" s="1">
        <f>IF(BH146=0,0,ROUNDDOWN(AY146*BH146,0)*DV146*IF(Boss参数!$B$29=1,BN146,1)*IF(Boss参数!$B$33=1,BO146,1)*IF(Boss参数!$B$76=1,1-ES146,1))</f>
        <v>0</v>
      </c>
      <c r="BT146" s="1">
        <f t="shared" si="146"/>
        <v>0</v>
      </c>
      <c r="BU146" s="1">
        <f>IF(D146="",0,MIN(IF(Boss参数!$B$77=1,Boss参数!$B$63*Boss参数!$B$62,Boss参数!$B$61*Boss参数!$B$62),DW146+ROUNDDOWN(BS146,0)+ROUNDDOWN(DW146*Q146,0)))</f>
        <v>0</v>
      </c>
      <c r="BV146" s="1">
        <f>IF(D146="",0,MIN(IF(Boss参数!$B$77=1,Boss参数!$B$63*Boss参数!$B$62,Boss参数!$B$61*Boss参数!$B$62),DX146+ROUNDDOWN(BT146,0)+ROUNDDOWN(DX146*Q146,0)))</f>
        <v>0</v>
      </c>
      <c r="BW146" s="1">
        <f t="shared" si="147"/>
        <v>0</v>
      </c>
      <c r="BX146" s="1" t="str">
        <f t="shared" si="148"/>
        <v/>
      </c>
      <c r="BY146" s="1">
        <f t="shared" si="149"/>
        <v>2</v>
      </c>
      <c r="BZ146" s="1">
        <f t="shared" si="150"/>
        <v>1</v>
      </c>
      <c r="CA146" s="1">
        <f>MIN(10,W146+IF(AND(L146="LILYA_COBRA",COUNTIF($L$3:L146,"LILYA_COBRA")=1),5,0)+IF(AND(L146="LILYA_DIVE",U146=1,COUNTIFS($DG$3:DG146,DG146,$L$3:L146,"LILYA_DIVE")=1),2,0)+IF(AND(FE146=1,U146=1),3,0))</f>
        <v>10</v>
      </c>
      <c r="CB146" s="1">
        <f>MIN(20,MAX(0,X146+IF(L146="LILYA_COBRA",IF(COUNTIF($L$3:L146,"LILYA_COBRA")=1,6,IF(U146=1,MAX(1,G146),IF(U146=2,2*MAX(1,G146),0))),0)+IF(AND(Y146=1,E146="红弩箭",L146&lt;&gt;"ENTER_INSIGHT"),1,0)-IF(AND(L146="LILYA_ULT",X146&gt;=6),6,0)))</f>
        <v>13</v>
      </c>
      <c r="CC146" s="1">
        <f t="shared" si="151"/>
        <v>0</v>
      </c>
      <c r="CD146" s="1">
        <f t="shared" si="152"/>
        <v>0</v>
      </c>
      <c r="CE146" s="1">
        <f t="shared" si="153"/>
        <v>0</v>
      </c>
      <c r="CF146" s="1">
        <f t="shared" si="154"/>
        <v>10</v>
      </c>
      <c r="CG146" s="1">
        <f t="shared" si="155"/>
        <v>1</v>
      </c>
      <c r="CH146" s="1">
        <f>MIN(35,AD146+IF(L146="J_HARD",6,0)+IF(L146="J_COUNTER",Boss参数!$B$30,0))</f>
        <v>35</v>
      </c>
      <c r="CI146" s="1">
        <f>MIN(Boss参数!$I$4,AE146+IF(L146="J_HARD",6,0)+IF(L146="J_ULT",AD146,0)+IF(L146="J_COUNTER",Boss参数!$B$30,0))</f>
        <v>0</v>
      </c>
      <c r="CJ146" s="1">
        <f>IF(L146="J_ULT",AD146*Boss参数!$B$41,IF(B146&lt;=AG146,AF146,0))</f>
        <v>0.875</v>
      </c>
      <c r="CK146" s="1">
        <f t="shared" si="156"/>
        <v>9</v>
      </c>
      <c r="CL146" s="1">
        <f t="shared" si="157"/>
        <v>9</v>
      </c>
      <c r="CM146" s="1">
        <f t="shared" si="158"/>
        <v>8</v>
      </c>
      <c r="CN146" s="1">
        <f t="shared" si="159"/>
        <v>9</v>
      </c>
      <c r="CO146" s="1">
        <f t="shared" si="160"/>
        <v>8</v>
      </c>
      <c r="CP146" s="1">
        <f t="shared" si="161"/>
        <v>3</v>
      </c>
      <c r="CQ146" s="1">
        <f t="shared" si="162"/>
        <v>30</v>
      </c>
      <c r="CR146" s="1">
        <f t="shared" si="163"/>
        <v>9</v>
      </c>
      <c r="CS146" s="1">
        <f t="shared" si="164"/>
        <v>0</v>
      </c>
      <c r="CT146" s="1" t="e">
        <f t="shared" si="165"/>
        <v>#VALUE!</v>
      </c>
      <c r="CU146" s="1" t="e">
        <f t="shared" si="166"/>
        <v>#VALUE!</v>
      </c>
      <c r="CV146" s="1">
        <f t="shared" si="167"/>
        <v>0.3</v>
      </c>
      <c r="CW146" s="1">
        <f t="shared" si="168"/>
        <v>9</v>
      </c>
      <c r="CX146" s="1">
        <f t="shared" si="169"/>
        <v>0.3</v>
      </c>
      <c r="CY146" s="1">
        <f t="shared" si="170"/>
        <v>9</v>
      </c>
      <c r="CZ146" s="1"/>
      <c r="DA146" s="1"/>
      <c r="DB146" s="1"/>
      <c r="DC146" s="1"/>
      <c r="DD146" s="1"/>
      <c r="DE146" s="1"/>
      <c r="DF146" s="1"/>
      <c r="DG146" s="1" t="str">
        <f>IF(D146="","",行动模拟!B152)</f>
        <v/>
      </c>
      <c r="DH146" s="1" t="str">
        <f>IF(L146="END_TURN","回合结束",IF(D146="","",IF(INDEX(回合状态!$C$7:$C$17,MATCH(DG146,回合状态!$A$7:$A$17,0))="洞穿","洞穿",IF(OR(L146="J_COUNTER",L146="BOSS_ACTION",L146="BOSS_CONSERVATIVE"),"敌方",IF(AND(L146="37_FOLLOW",DG146=DG145,DH145="敌方"),"敌方",IF(INDEX(回合状态!$C$7:$C$17,MATCH(DG146,回合状态!$A$7:$A$17,0))="普通","出牌",INDEX(回合状态!$C$7:$C$17,MATCH(DG146,回合状态!$A$7:$A$17,0))))))))</f>
        <v/>
      </c>
      <c r="DI146" s="1">
        <f t="shared" si="171"/>
        <v>0</v>
      </c>
      <c r="DJ146" s="1">
        <f>IF(D146="",0,MIN(Boss参数!$B$25,IF(OR(AND(DH146="敌方",OR(DH145&lt;&gt;"敌方",DG146&lt;&gt;DG145)),AND(L146="END_TURN",DH146&lt;&gt;"洞穿"),AND(DG146&lt;&gt;DG145,DH145&lt;&gt;"洞穿",L145&lt;&gt;"END_TURN",COUNTIFS($DG$3:DG145,DG145,$DH$3:DH145,"敌方")=0)),EW146,DN145)))</f>
        <v>0</v>
      </c>
      <c r="DK146" s="1">
        <f>IF(D146="",0,MIN(Boss参数!$B$25,IF(OR(AND(DH146="敌方",OR(DH145&lt;&gt;"敌方",DG146&lt;&gt;DG145)),AND(L146="END_TURN",DH146&lt;&gt;"洞穿"),AND(DG146&lt;&gt;DG145,DH145&lt;&gt;"洞穿",L145&lt;&gt;"END_TURN",COUNTIFS($DG$3:DG145,DG145,$DH$3:DH145,"敌方")=0)),EW146,DO145)))</f>
        <v>0</v>
      </c>
      <c r="DL146" s="1">
        <f>IF(D146="",0,MIN(Boss参数!$B$25,IF(OR(AND(DH146="敌方",OR(DH145&lt;&gt;"敌方",DG146&lt;&gt;DG145)),AND(L146="END_TURN",DH146&lt;&gt;"洞穿"),AND(DG146&lt;&gt;DG145,DH145&lt;&gt;"洞穿",L145&lt;&gt;"END_TURN",COUNTIFS($DG$3:DG145,DG145,$DH$3:DH145,"敌方")=0)),EW146,DP145)))</f>
        <v>0</v>
      </c>
      <c r="DM146" s="1">
        <f>IF(D146="",0,MIN(Boss参数!$B$25,IF(OR(AND(DH146="敌方",OR(DH145&lt;&gt;"敌方",DG146&lt;&gt;DG145)),AND(L146="END_TURN",DH146&lt;&gt;"洞穿"),AND(DG146&lt;&gt;DG145,DH145&lt;&gt;"洞穿",L145&lt;&gt;"END_TURN",COUNTIFS($DG$3:DG145,DG145,$DH$3:DH145,"敌方")=0)),EW146,DQ145)))</f>
        <v>0</v>
      </c>
      <c r="DN146" s="1">
        <f>MAX(0,MIN(Boss参数!$B$25,DJ146+DR146)-IF(E146="红弩箭",2*DR146,0))</f>
        <v>0</v>
      </c>
      <c r="DO146" s="1">
        <f>MAX(0,MIN(Boss参数!$B$25,DK146+DR146)-IF(E146="37",2*DR146,0))</f>
        <v>0</v>
      </c>
      <c r="DP146" s="1">
        <f>MAX(0,MIN(Boss参数!$B$25,DL146+DR146)-IF(E146="小瑞安侬",2*DR146,0))</f>
        <v>0</v>
      </c>
      <c r="DQ146" s="1">
        <f>MAX(0,MIN(Boss参数!$B$25,DM146+DR146)-IF(E146="J",2*DR146,0))</f>
        <v>0</v>
      </c>
      <c r="DR146" s="1">
        <f t="shared" si="172"/>
        <v>0</v>
      </c>
      <c r="DS146" s="1">
        <f t="shared" si="173"/>
        <v>0</v>
      </c>
      <c r="DT146" s="1">
        <f>IF(OR(E146="",E146="系统"),0,IF(OR(AND(DS146=1,Boss参数!$B$32=1),L146="RHI_BERRY",OR(AND(INDEX(角色面板!$B$18:$B$21,MATCH(E146,角色面板!$A$18:$A$21,0))="星",Boss参数!$B$4="岩"),AND(INDEX(角色面板!$B$18:$B$21,MATCH(E146,角色面板!$A$18:$A$21,0))="岩",Boss参数!$B$4="兽"),AND(INDEX(角色面板!$B$18:$B$21,MATCH(E146,角色面板!$A$18:$A$21,0))="兽",Boss参数!$B$4="木"),AND(INDEX(角色面板!$B$18:$B$21,MATCH(E146,角色面板!$A$18:$A$21,0))="木",Boss参数!$B$4="星"),AND(INDEX(角色面板!$B$18:$B$21,MATCH(E146,角色面板!$A$18:$A$21,0))="智",Boss参数!$B$4="灵"),AND(INDEX(角色面板!$B$18:$B$21,MATCH(E146,角色面板!$A$18:$A$21,0))="灵",Boss参数!$B$4="智"))),1,0))</f>
        <v>0</v>
      </c>
      <c r="DU146" s="1">
        <f>IF(D146="",0,INDEX(回合状态!$E$7:$E$17,MATCH(DG146,回合状态!$A$7:$A$17,0))+IF(AND(DH146="敌方",OR(INDEX(回合状态!$C$7:$C$17,MATCH(DG146,回合状态!$A$7:$A$17,0))="普通",INDEX(回合状态!$C$7:$C$17,MATCH(DG146,回合状态!$A$7:$A$17,0))="额外")),0.05,0))</f>
        <v>0</v>
      </c>
      <c r="DV146" s="1">
        <f>MAX(Boss参数!$B$28,1+IF(AND(E146="37",AC146&gt;0,BH146&gt;0),Boss参数!$B$42,0)-DI146*Boss参数!$B$24+EA146-ER146)</f>
        <v>9.9999999999999978E-2</v>
      </c>
      <c r="DW146" s="1">
        <f>MIN(IF(Boss参数!$B$77=1,Boss参数!$B$63*Boss参数!$B$62,Boss参数!$B$61*Boss参数!$B$62),ROUNDDOWN(BQ146*(1-ES146),0))</f>
        <v>0</v>
      </c>
      <c r="DX146" s="1">
        <f>MIN(IF(Boss参数!$B$77=1,Boss参数!$B$63*Boss参数!$B$62,Boss参数!$B$61*Boss参数!$B$62),ROUNDDOWN(BR146*(1-ES146),0))</f>
        <v>0</v>
      </c>
      <c r="DY146" s="1">
        <f t="shared" si="205"/>
        <v>250</v>
      </c>
      <c r="DZ146" s="1">
        <f>IF(L146="RHI_ULT",MIN(Boss参数!$B$48,ROUNDDOWN(AY146*Boss参数!$B$47,0)),DY146)</f>
        <v>250</v>
      </c>
      <c r="EA146" s="1">
        <v>0</v>
      </c>
      <c r="EB146" s="1">
        <f t="shared" si="174"/>
        <v>0</v>
      </c>
      <c r="EC146" s="1">
        <f>SUMIFS($EB$3:EB146,$B$3:B146,"&gt;="&amp;MAX(1,B146-2),$B$3:B146,"&lt;="&amp;B146)*Boss参数!$B$51</f>
        <v>0</v>
      </c>
      <c r="ED146" s="1">
        <f>IF(D146="",EG145,IF(AND(DG146&lt;&gt;DG145,DH146&lt;&gt;"洞穿"),MIN(Boss参数!$B$55,EG145+2),EG145))</f>
        <v>0</v>
      </c>
      <c r="EE146" s="1">
        <f t="shared" si="175"/>
        <v>0</v>
      </c>
      <c r="EF146" s="1">
        <f>IF(AND(OR(L146="END_TURN",AND(DH146="敌方",OR(DH145&lt;&gt;"敌方",DG146&lt;&gt;DG145))),SUMIFS($EF$3:EF145,$DG$3:DG145,DG146)=0),MIN(1,MAX(0,ED146-EE146)),0)</f>
        <v>0</v>
      </c>
      <c r="EG146" s="1">
        <f t="shared" si="176"/>
        <v>0</v>
      </c>
      <c r="EH146" s="1">
        <f>Boss参数!$B$53-IF(Y146=1,Boss参数!$B$54,0)</f>
        <v>0</v>
      </c>
      <c r="EI146" s="1">
        <f t="shared" si="177"/>
        <v>0.15</v>
      </c>
      <c r="EJ146" s="1">
        <f t="shared" si="178"/>
        <v>0.15</v>
      </c>
      <c r="EK146" s="1" t="e">
        <f t="shared" si="179"/>
        <v>#VALUE!</v>
      </c>
      <c r="EL146" s="1">
        <f t="shared" si="206"/>
        <v>0</v>
      </c>
      <c r="EM146" s="1">
        <f>IF(AND(DG146&lt;&gt;DG145,DH146="洞穿"),0,IF(L146="ENTER_INSIGHT",Boss参数!$B$57,EO145))</f>
        <v>0</v>
      </c>
      <c r="EN146" s="1">
        <f>IF(AND(Y146=1,H146="洞知",EM146&gt;0),Boss参数!$B$56,0)</f>
        <v>0</v>
      </c>
      <c r="EO146" s="1">
        <f t="shared" si="180"/>
        <v>0</v>
      </c>
      <c r="EP146" s="1">
        <f t="shared" si="207"/>
        <v>23210479</v>
      </c>
      <c r="EQ146" s="1">
        <f>ROUNDDOWN(EP146/Boss参数!$B$62,0)</f>
        <v>232</v>
      </c>
      <c r="ER146" s="1">
        <f>IF(EQ146&gt;=Boss参数!$B$66,Boss参数!$B$69,IF(EQ146&gt;=Boss参数!$B$65,Boss参数!$B$68,IF(EQ146&gt;=Boss参数!$B$64,Boss参数!$B$67,0)))</f>
        <v>0.9</v>
      </c>
      <c r="ES146" s="1">
        <f>MIN(1,IF(EQ146&gt;=Boss参数!$B$66,Boss参数!$B$72+ROUNDDOWN((EQ146-Boss参数!$B$66)/Boss参数!$B$73,0)*Boss参数!$B$74,IF(EQ146&gt;=Boss参数!$B$65,Boss参数!$B$71,IF(EQ146&gt;=Boss参数!$B$64,Boss参数!$B$70,0))))</f>
        <v>0.65</v>
      </c>
      <c r="ET146" s="1">
        <f>MIN(Boss参数!$B$61*Boss参数!$B$62,EP146+IF(AND(Boss参数!$B$60=1,ISNUMBER(验证表!H152)),验证表!H152,EU146))</f>
        <v>23210479</v>
      </c>
      <c r="EU146" s="1">
        <f>IF(D146="",0,IF(验证表!G152="是",BV146,IF(验证表!G152="否",BU146,BW146)))</f>
        <v>0</v>
      </c>
      <c r="EV146" s="1">
        <f>IF(EQ146&gt;=Boss参数!$B$66,2,IF(EQ146&gt;=Boss参数!$B$65,1,0))</f>
        <v>2</v>
      </c>
      <c r="EW146" s="1">
        <f t="shared" si="181"/>
        <v>3</v>
      </c>
      <c r="EX146" s="1">
        <f>IF(D146="",0,INDEX(回合状态!$D$7:$D$17,MATCH(DG146,回合状态!$A$7:$A$17,0)))</f>
        <v>0</v>
      </c>
      <c r="EY146" s="1">
        <f>IF(OR(L146="RHI_ATTACK",L146="RHI_BUFF"),1,IF(L146="RHI_ULT",Boss参数!$B$52,0))</f>
        <v>0</v>
      </c>
      <c r="EZ146" s="1">
        <f>MIN(6,SUMIFS($EY$3:EY146,$EX$3:EX146,"&gt;="&amp;MAX(1,EX146-Boss参数!$B$87+1),$EX$3:EX146,"&lt;="&amp;EX146))</f>
        <v>0</v>
      </c>
      <c r="FA146" s="1">
        <f t="shared" si="208"/>
        <v>0</v>
      </c>
      <c r="FB146" s="17">
        <f>IF(L146="BOSS_CONSERVATIVE",B146+Boss参数!$B$91,FB145)</f>
        <v>7</v>
      </c>
      <c r="FC146" s="17">
        <f t="shared" si="209"/>
        <v>0</v>
      </c>
      <c r="FD146" s="17">
        <f>IF(D146="",FD145,FD145+IF(AND(DG146&lt;&gt;DG145,INDEX(回合状态!$C$7:$C$17,MATCH(DG146,回合状态!$A$7:$A$17,0))&lt;&gt;"洞穿"),1,0))</f>
        <v>8</v>
      </c>
      <c r="FE146" s="17">
        <f>IF(D146="",0,IF(AND(OR(L146="END_TURN",DH146="敌方"),INDEX(回合状态!$C$7:$C$17,MATCH(DG146,回合状态!$A$7:$A$17,0))&lt;&gt;"洞穿",SUMIFS($FE$3:FE145,$DG$3:DG145,DG146)=0),1,0))</f>
        <v>0</v>
      </c>
    </row>
    <row r="147" spans="1:161" ht="84.95" customHeight="1">
      <c r="A147" s="1" t="str">
        <f>行动模拟!A153</f>
        <v/>
      </c>
      <c r="B147" s="1">
        <f>IF(D147="",0,INDEX(回合状态!$B$7:$B$17,MATCH(DG147,回合状态!$A$7:$A$17,0)))</f>
        <v>0</v>
      </c>
      <c r="C147" s="1">
        <f>行动模拟!C153</f>
        <v>0</v>
      </c>
      <c r="D147" s="1" t="str">
        <f>IF(行动模拟!D153="","",行动模拟!D153)</f>
        <v/>
      </c>
      <c r="E147" s="1" t="str">
        <f>IF($D147="","",IFERROR(INDEX(技能数据库!$B$4:$B$38,MATCH($D147,技能数据库!$A$4:$A$38,0)),""))</f>
        <v/>
      </c>
      <c r="F147" s="1" t="str">
        <f>IF($D147="","",IFERROR(INDEX(技能数据库!$C$4:$C$38,MATCH($D147,技能数据库!$A$4:$A$38,0)),""))</f>
        <v/>
      </c>
      <c r="G147" s="1" t="str">
        <f>IF($D147="","",IFERROR(INDEX(技能数据库!$D$4:$D$38,MATCH($D147,技能数据库!$A$4:$A$38,0)),""))</f>
        <v/>
      </c>
      <c r="H147" s="1" t="str">
        <f>IF($D147="","",IFERROR(INDEX(技能数据库!$E$4:$E$38,MATCH($D147,技能数据库!$A$4:$A$38,0)),""))</f>
        <v/>
      </c>
      <c r="I147" s="1" t="str">
        <f>IF($D147="","",IFERROR(INDEX(技能数据库!$F$4:$F$38,MATCH($D147,技能数据库!$A$4:$A$38,0)),""))</f>
        <v/>
      </c>
      <c r="J147" s="1" t="str">
        <f>IF($D147="","",IFERROR(INDEX(技能数据库!$G$4:$G$38,MATCH($D147,技能数据库!$A$4:$A$38,0)),""))</f>
        <v/>
      </c>
      <c r="K147" s="1" t="str">
        <f>IF($D147="","",IFERROR(INDEX(技能数据库!$H$4:$H$38,MATCH($D147,技能数据库!$A$4:$A$38,0)),""))</f>
        <v/>
      </c>
      <c r="L147" s="1" t="str">
        <f>IF($D147="","",IFERROR(INDEX(技能数据库!$I$4:$I$38,MATCH($D147,技能数据库!$A$4:$A$38,0)),""))</f>
        <v/>
      </c>
      <c r="M147" s="1">
        <v>1</v>
      </c>
      <c r="N147" s="1"/>
      <c r="O147" s="1"/>
      <c r="P147" s="1"/>
      <c r="Q147" s="1">
        <f t="shared" si="140"/>
        <v>0</v>
      </c>
      <c r="R147" s="1">
        <v>0</v>
      </c>
      <c r="S147" s="1">
        <v>0</v>
      </c>
      <c r="T147" s="1">
        <f>行动模拟!I153</f>
        <v>0</v>
      </c>
      <c r="U147" s="1">
        <f>IF(FD147&lt;&gt;FD146,IF(BY146=1,IF(MIN(10,CA146+IF(AND(DG147&lt;&gt;DG146,DH146&lt;&gt;"洞穿",SUMIFS($FE$3:FE146,$DG$3:DG146,DG146)=0,BY146=1),3,0))&gt;=10,2,1),IF(BY146=2,IF(BZ146&lt;=1,0,2),0)),BY146)</f>
        <v>2</v>
      </c>
      <c r="V147" s="1">
        <f>IF(FD147&lt;&gt;FD146,IF(BY146=1,IF(MIN(10,CA146+IF(AND(DG147&lt;&gt;DG146,DH146&lt;&gt;"洞穿",SUMIFS($FE$3:FE146,$DG$3:DG146,DG146)=0,BY146=1),3,0))&gt;=10,2,0),IF(BY146=2,MAX(0,BZ146-1),0)),BZ146)</f>
        <v>1</v>
      </c>
      <c r="W147" s="1">
        <f>IF(AND(FD147&lt;&gt;FD146,BY146=2,BZ146&lt;=1),0,MIN(10,CA146+IF(AND(DG147&lt;&gt;DG146,DH146&lt;&gt;"洞穿",SUMIFS($FE$3:FE146,$DG$3:DG146,DG146)=0,BY146=1),3,0)))</f>
        <v>10</v>
      </c>
      <c r="X147" s="1">
        <f t="shared" si="182"/>
        <v>13</v>
      </c>
      <c r="Y147" s="1">
        <f t="shared" si="183"/>
        <v>0</v>
      </c>
      <c r="Z147" s="1">
        <f t="shared" si="184"/>
        <v>0</v>
      </c>
      <c r="AA147" s="1">
        <f t="shared" si="185"/>
        <v>0</v>
      </c>
      <c r="AB147" s="1">
        <f t="shared" si="186"/>
        <v>10</v>
      </c>
      <c r="AC147" s="1">
        <f t="shared" si="187"/>
        <v>1</v>
      </c>
      <c r="AD147" s="1">
        <f t="shared" si="188"/>
        <v>35</v>
      </c>
      <c r="AE147" s="1">
        <f>IF(D147="",0,IF(DG147&lt;&gt;DG146,IFERROR(INDEX(回合状态!$F$7:$F$17,MATCH(DG147,回合状态!$A$7:$A$17,0)),0),CI146))</f>
        <v>0</v>
      </c>
      <c r="AF147" s="1">
        <f t="shared" si="189"/>
        <v>0.875</v>
      </c>
      <c r="AG147" s="1">
        <f t="shared" si="190"/>
        <v>9</v>
      </c>
      <c r="AH147" s="1">
        <f t="shared" si="191"/>
        <v>9</v>
      </c>
      <c r="AI147" s="1">
        <f t="shared" si="192"/>
        <v>8</v>
      </c>
      <c r="AJ147" s="1">
        <f t="shared" si="193"/>
        <v>9</v>
      </c>
      <c r="AK147" s="1">
        <f t="shared" si="194"/>
        <v>8</v>
      </c>
      <c r="AL147" s="1">
        <f t="shared" si="195"/>
        <v>3</v>
      </c>
      <c r="AM147" s="1">
        <f t="shared" si="196"/>
        <v>30</v>
      </c>
      <c r="AN147" s="1">
        <f t="shared" si="197"/>
        <v>9</v>
      </c>
      <c r="AO147" s="1">
        <f t="shared" si="198"/>
        <v>0</v>
      </c>
      <c r="AP147" s="1" t="e">
        <f t="shared" si="199"/>
        <v>#VALUE!</v>
      </c>
      <c r="AQ147" s="1" t="e">
        <f t="shared" si="200"/>
        <v>#VALUE!</v>
      </c>
      <c r="AR147" s="1">
        <f t="shared" si="201"/>
        <v>0.3</v>
      </c>
      <c r="AS147" s="1">
        <f t="shared" si="202"/>
        <v>9</v>
      </c>
      <c r="AT147" s="1">
        <f t="shared" si="203"/>
        <v>0.3</v>
      </c>
      <c r="AU147" s="1">
        <f t="shared" si="204"/>
        <v>9</v>
      </c>
      <c r="AV147" s="1">
        <f>MIN(5,SUMIFS($EL$3:EL147,$B$3:B147,"&gt;="&amp;MAX(1,B147-2),$B$3:B147,"&lt;="&amp;B147)+EC147)</f>
        <v>0</v>
      </c>
      <c r="AW147" s="1">
        <f>MIN(6,SUMIFS($EY$3:EY146,$EX$3:EX146,"&gt;="&amp;MAX(1,EX147-Boss参数!$B$87+1),$EX$3:EX146,"&lt;="&amp;EX147))</f>
        <v>0</v>
      </c>
      <c r="AX147" s="1">
        <f>MIN(4,COUNTIFS($B$3:$B$146,"&gt;="&amp;MAX(1,$B147-2),$B$3:$B$146,"&lt;="&amp;$B147,$L$3:$L$146,"37_FOLLOW"))</f>
        <v>0</v>
      </c>
      <c r="AY147" s="1" t="str">
        <f>IF($E147="","",IF($E147="系统",0,ROUNDDOWN(INDEX(角色面板!$C$4:$C$7,MATCH($E147,角色面板!$A$4:$A$7,0))*(1+INDEX(角色面板!$C$11:$C$14,MATCH($E147,角色面板!$A$11:$A$14,0))+IF($E147="小瑞安侬",MAX(IF($B147&lt;=$AQ147,$AP147,0),IF(AND($L147="RHI_ATTACK",$EE147&gt;0),0.11+0.01*$G147,0)),0)+IF($E147="J",$AD147*Boss参数!$B$18,0))+IF(FD147&lt;=$AN147,MIN(Boss参数!$B$21,ROUNDDOWN(角色面板!$C$19*Boss参数!$B$20,0)),0)+IF(AND($B147&lt;=$AK147,$E147&lt;&gt;"小瑞安侬"),$DY147,0),0)))</f>
        <v/>
      </c>
      <c r="AZ147" s="1" t="str">
        <f>IF($E147="","",MAX(0,MIN(1,IFERROR(INDEX(角色面板!$G$18:$G$21,MATCH($E147,角色面板!$A$18:$A$21,0)),0)-FC147*Boss参数!$B$89-Boss参数!$E$4)))</f>
        <v/>
      </c>
      <c r="BA147" s="1" t="str">
        <f>IF(E147="","",(IF($E147="","",IF($E147="红弩箭",Boss参数!$B$80,IF($E147="J",Boss参数!$B$81,IFERROR(INDEX(角色面板!$H$18:$H$21,MATCH($E147,角色面板!$A$18:$A$21,0)),0)))+IF($B147&lt;=$AI147,Boss参数!$B$13,0)+MIN(30,$AM147)*Boss参数!$B$17+IF(AND($L147="LILYA_ULT",$X147&gt;=6),1,0)+IF(AND($Y147=1,$L147="LILYA_INSIGHT"),IF(MOD($AA147+1,3)=0,Boss参数!$B$83,Boss参数!$B$82),IF(AND($Y147=1,$L147="LILYA_FINISH"),Boss参数!$B$84,0))))-FC147*Boss参数!$B$90)</f>
        <v/>
      </c>
      <c r="BB147" s="1" t="str">
        <f>IF($E147="","",IFERROR(INDEX(角色面板!$M$18:$M$21,MATCH($E147,角色面板!$A$18:$A$21,0)),0)+$AW147*Boss参数!$B$12+IF($B147&lt;=$AG147,$AF147,0)+$EI147+IF($L147="LILYA_DIVE",IF($U147=1,IF($G147=1,0.3,IF($G147=2,0.4,0.5)),IF($U147=2,IF($G147=1,0.6,IF($G147=2,0.8,1)),0)),0)+$R147+IF(AND($E147="J",OR($L147="J_COUNTER",$L147="J_HARD")),Boss参数!$B$79,0)+IF(AND(OR(L147="J_COUNTER",L147="J_HARD"),FA147&gt;=Boss参数!$B$59),FA147*Boss参数!$B$40,0))</f>
        <v/>
      </c>
      <c r="BC147" s="1" t="e">
        <f>IF($E147="","",IFERROR(INDEX(角色面板!$K$18:$K$21,MATCH($E147,角色面板!$A$18:$A$21,0)),0)+IF($B147&lt;=$AH147,Boss参数!$B$46,0)+IF($E147="红弩箭",IF($U147=1,0.6,IF($U147=2,1.2,0))+$W147*0.06,0))-DI147*Boss参数!$B$23</f>
        <v>#VALUE!</v>
      </c>
      <c r="BD147" s="1" t="e">
        <f>IF($E147="","",IFERROR(INDEX(角色面板!$L$18:$L$21,MATCH($E147,角色面板!$A$18:$A$21,0)),0)+IF($B147&lt;=$AH147,Boss参数!$B$46,0)+IF($E147="J",$AL147*Boss参数!$B$16,0)+IF($E147="红弩箭",$X147*0.025,0)+IF(AND($L147="LILYA_ULT",$X147&gt;=6),1,0))-DI147*Boss参数!$B$23</f>
        <v>#VALUE!</v>
      </c>
      <c r="BE147" s="1" t="str">
        <f>IF($E147="","",IF($H147="洞知",IF($E147="红弩箭",$AO147*Boss参数!$B$15,0)+$AX147*Boss参数!$B$14,0))</f>
        <v/>
      </c>
      <c r="BF147" s="1">
        <f t="shared" si="141"/>
        <v>0</v>
      </c>
      <c r="BG147" s="1">
        <f>IF($D147="",0,IF(AND($L147&lt;&gt;"LILYA_DIVE",$L147&lt;&gt;"LILYA_ULT",$L147&lt;&gt;"LILYA_INSIGHT",$L147&lt;&gt;"LILYA_FINISH",$L147&lt;&gt;"37_FOLLOW",$L147&lt;&gt;"RHI_ATTACK",$L147&lt;&gt;"RHI_BERRY",$L147&lt;&gt;"J_COUNTER",$L147&lt;&gt;"J_ULT"),$J147,0)+IF($L147="LILYA_DIVE",$J147+IF($U147=1,IF($G147=1,6,IF($G147=2,12,18)),IF($U147=2,IF($G147=1,12,IF($G147=2,24,36)),0)),0)+IF($L147="LILYA_ULT",$J147+IF($X147&gt;=6,18,0),0)+IF($L147="LILYA_INSIGHT",IF($Y147=1,IF(MOD($AA147+1,3)=0,32,15),0),0)+IF($L147="LILYA_FINISH",IF($Y147=1,50+2.5*$Z147,0),0)+IF($L147="37_FOLLOW",$J147,0)+IF($L147="RHI_ATTACK",$J147*IF($B147&lt;=$AJ147,2,1),0)+IF($L147="RHI_BERRY",15+1.5*$AV147,0)+IF($L147="J_COUNTER",$J147+$AD147*Boss参数!$B$39,0)+IF($L147="J_ULT",$J147+Boss参数!$B$45*MAX(0,$AE147+$AD147-Boss参数!$I$4),0)+$S147)</f>
        <v>0</v>
      </c>
      <c r="BH147" s="1">
        <f t="shared" si="142"/>
        <v>0</v>
      </c>
      <c r="BI147" s="1" t="str">
        <f>IF(E147="","",IF(DT147=1,1+Boss参数!$B$8+AV147*Boss参数!$B$19,1))</f>
        <v/>
      </c>
      <c r="BJ147" s="1">
        <f>IF($I147="现实",Boss参数!$C$4,IF($I147="精神",Boss参数!$D$4,0))</f>
        <v>0</v>
      </c>
      <c r="BK147" s="1" t="str">
        <f>IF($E147="","",MAX($AY147*Boss参数!$B$9,$AY147-$BJ147*(1-$BF147)))</f>
        <v/>
      </c>
      <c r="BL147" s="1">
        <f>MAX(0,Boss参数!$F$4+IF(DT147=0,Boss参数!$B$27,0)-EJ147)</f>
        <v>1.25</v>
      </c>
      <c r="BM147" s="1">
        <f>Boss参数!$G$4+DU147-IF(Y147=1,Boss参数!$B$11,0)</f>
        <v>0.4</v>
      </c>
      <c r="BN147" s="1" t="str">
        <f>IF($E147="","",MAX(Boss参数!$B$10,1+IFERROR(INDEX(角色面板!$I$18:$I$21,MATCH($E147,角色面板!$A$18:$A$21,0)),0)+$BB147+Boss参数!$H$4-$BM147))</f>
        <v/>
      </c>
      <c r="BO147" s="1" t="str">
        <f>IF(E147="","",IF(OR(L147="J_COUNTER",L147="J_HARD"),MAX(0,1+INDEX(角色面板!$K$18:$K$21,MATCH(E147,角色面板!$A$18:$A$21,0))-DI147*Boss参数!$B$23+IF(OR(Boss参数!$B$43=1,L147="J_HARD"),IF(B147&lt;=AH147,Boss参数!$B$46,0),0)),MAX(0,IF(OR(H147="术法",L147="RHI_BERRY",AND(L147="37_FOLLOW",Boss参数!$B$31=1)),1+BC147,IF(H147="仪式",1+BD147,IF(H147="洞知",EK147,1))))))</f>
        <v/>
      </c>
      <c r="BP147" s="1" t="str">
        <f t="shared" si="143"/>
        <v/>
      </c>
      <c r="BQ147" s="1">
        <f t="shared" si="144"/>
        <v>0</v>
      </c>
      <c r="BR147" s="1">
        <f t="shared" si="145"/>
        <v>0</v>
      </c>
      <c r="BS147" s="1">
        <f>IF(BH147=0,0,ROUNDDOWN(AY147*BH147,0)*DV147*IF(Boss参数!$B$29=1,BN147,1)*IF(Boss参数!$B$33=1,BO147,1)*IF(Boss参数!$B$76=1,1-ES147,1))</f>
        <v>0</v>
      </c>
      <c r="BT147" s="1">
        <f t="shared" si="146"/>
        <v>0</v>
      </c>
      <c r="BU147" s="1">
        <f>IF(D147="",0,MIN(IF(Boss参数!$B$77=1,Boss参数!$B$63*Boss参数!$B$62,Boss参数!$B$61*Boss参数!$B$62),DW147+ROUNDDOWN(BS147,0)+ROUNDDOWN(DW147*Q147,0)))</f>
        <v>0</v>
      </c>
      <c r="BV147" s="1">
        <f>IF(D147="",0,MIN(IF(Boss参数!$B$77=1,Boss参数!$B$63*Boss参数!$B$62,Boss参数!$B$61*Boss参数!$B$62),DX147+ROUNDDOWN(BT147,0)+ROUNDDOWN(DX147*Q147,0)))</f>
        <v>0</v>
      </c>
      <c r="BW147" s="1">
        <f t="shared" si="147"/>
        <v>0</v>
      </c>
      <c r="BX147" s="1" t="str">
        <f t="shared" si="148"/>
        <v/>
      </c>
      <c r="BY147" s="1">
        <f t="shared" si="149"/>
        <v>2</v>
      </c>
      <c r="BZ147" s="1">
        <f t="shared" si="150"/>
        <v>1</v>
      </c>
      <c r="CA147" s="1">
        <f>MIN(10,W147+IF(AND(L147="LILYA_COBRA",COUNTIF($L$3:L147,"LILYA_COBRA")=1),5,0)+IF(AND(L147="LILYA_DIVE",U147=1,COUNTIFS($DG$3:DG147,DG147,$L$3:L147,"LILYA_DIVE")=1),2,0)+IF(AND(FE147=1,U147=1),3,0))</f>
        <v>10</v>
      </c>
      <c r="CB147" s="1">
        <f>MIN(20,MAX(0,X147+IF(L147="LILYA_COBRA",IF(COUNTIF($L$3:L147,"LILYA_COBRA")=1,6,IF(U147=1,MAX(1,G147),IF(U147=2,2*MAX(1,G147),0))),0)+IF(AND(Y147=1,E147="红弩箭",L147&lt;&gt;"ENTER_INSIGHT"),1,0)-IF(AND(L147="LILYA_ULT",X147&gt;=6),6,0)))</f>
        <v>13</v>
      </c>
      <c r="CC147" s="1">
        <f t="shared" si="151"/>
        <v>0</v>
      </c>
      <c r="CD147" s="1">
        <f t="shared" si="152"/>
        <v>0</v>
      </c>
      <c r="CE147" s="1">
        <f t="shared" si="153"/>
        <v>0</v>
      </c>
      <c r="CF147" s="1">
        <f t="shared" si="154"/>
        <v>10</v>
      </c>
      <c r="CG147" s="1">
        <f t="shared" si="155"/>
        <v>1</v>
      </c>
      <c r="CH147" s="1">
        <f>MIN(35,AD147+IF(L147="J_HARD",6,0)+IF(L147="J_COUNTER",Boss参数!$B$30,0))</f>
        <v>35</v>
      </c>
      <c r="CI147" s="1">
        <f>MIN(Boss参数!$I$4,AE147+IF(L147="J_HARD",6,0)+IF(L147="J_ULT",AD147,0)+IF(L147="J_COUNTER",Boss参数!$B$30,0))</f>
        <v>0</v>
      </c>
      <c r="CJ147" s="1">
        <f>IF(L147="J_ULT",AD147*Boss参数!$B$41,IF(B147&lt;=AG147,AF147,0))</f>
        <v>0.875</v>
      </c>
      <c r="CK147" s="1">
        <f t="shared" si="156"/>
        <v>9</v>
      </c>
      <c r="CL147" s="1">
        <f t="shared" si="157"/>
        <v>9</v>
      </c>
      <c r="CM147" s="1">
        <f t="shared" si="158"/>
        <v>8</v>
      </c>
      <c r="CN147" s="1">
        <f t="shared" si="159"/>
        <v>9</v>
      </c>
      <c r="CO147" s="1">
        <f t="shared" si="160"/>
        <v>8</v>
      </c>
      <c r="CP147" s="1">
        <f t="shared" si="161"/>
        <v>3</v>
      </c>
      <c r="CQ147" s="1">
        <f t="shared" si="162"/>
        <v>30</v>
      </c>
      <c r="CR147" s="1">
        <f t="shared" si="163"/>
        <v>9</v>
      </c>
      <c r="CS147" s="1">
        <f t="shared" si="164"/>
        <v>0</v>
      </c>
      <c r="CT147" s="1" t="e">
        <f t="shared" si="165"/>
        <v>#VALUE!</v>
      </c>
      <c r="CU147" s="1" t="e">
        <f t="shared" si="166"/>
        <v>#VALUE!</v>
      </c>
      <c r="CV147" s="1">
        <f t="shared" si="167"/>
        <v>0.3</v>
      </c>
      <c r="CW147" s="1">
        <f t="shared" si="168"/>
        <v>9</v>
      </c>
      <c r="CX147" s="1">
        <f t="shared" si="169"/>
        <v>0.3</v>
      </c>
      <c r="CY147" s="1">
        <f t="shared" si="170"/>
        <v>9</v>
      </c>
      <c r="CZ147" s="1"/>
      <c r="DA147" s="1"/>
      <c r="DB147" s="1"/>
      <c r="DC147" s="1"/>
      <c r="DD147" s="1"/>
      <c r="DE147" s="1"/>
      <c r="DF147" s="1"/>
      <c r="DG147" s="1" t="str">
        <f>IF(D147="","",行动模拟!B153)</f>
        <v/>
      </c>
      <c r="DH147" s="1" t="str">
        <f>IF(L147="END_TURN","回合结束",IF(D147="","",IF(INDEX(回合状态!$C$7:$C$17,MATCH(DG147,回合状态!$A$7:$A$17,0))="洞穿","洞穿",IF(OR(L147="J_COUNTER",L147="BOSS_ACTION",L147="BOSS_CONSERVATIVE"),"敌方",IF(AND(L147="37_FOLLOW",DG147=DG146,DH146="敌方"),"敌方",IF(INDEX(回合状态!$C$7:$C$17,MATCH(DG147,回合状态!$A$7:$A$17,0))="普通","出牌",INDEX(回合状态!$C$7:$C$17,MATCH(DG147,回合状态!$A$7:$A$17,0))))))))</f>
        <v/>
      </c>
      <c r="DI147" s="1">
        <f t="shared" si="171"/>
        <v>0</v>
      </c>
      <c r="DJ147" s="1">
        <f>IF(D147="",0,MIN(Boss参数!$B$25,IF(OR(AND(DH147="敌方",OR(DH146&lt;&gt;"敌方",DG147&lt;&gt;DG146)),AND(L147="END_TURN",DH147&lt;&gt;"洞穿"),AND(DG147&lt;&gt;DG146,DH146&lt;&gt;"洞穿",L146&lt;&gt;"END_TURN",COUNTIFS($DG$3:DG146,DG146,$DH$3:DH146,"敌方")=0)),EW147,DN146)))</f>
        <v>0</v>
      </c>
      <c r="DK147" s="1">
        <f>IF(D147="",0,MIN(Boss参数!$B$25,IF(OR(AND(DH147="敌方",OR(DH146&lt;&gt;"敌方",DG147&lt;&gt;DG146)),AND(L147="END_TURN",DH147&lt;&gt;"洞穿"),AND(DG147&lt;&gt;DG146,DH146&lt;&gt;"洞穿",L146&lt;&gt;"END_TURN",COUNTIFS($DG$3:DG146,DG146,$DH$3:DH146,"敌方")=0)),EW147,DO146)))</f>
        <v>0</v>
      </c>
      <c r="DL147" s="1">
        <f>IF(D147="",0,MIN(Boss参数!$B$25,IF(OR(AND(DH147="敌方",OR(DH146&lt;&gt;"敌方",DG147&lt;&gt;DG146)),AND(L147="END_TURN",DH147&lt;&gt;"洞穿"),AND(DG147&lt;&gt;DG146,DH146&lt;&gt;"洞穿",L146&lt;&gt;"END_TURN",COUNTIFS($DG$3:DG146,DG146,$DH$3:DH146,"敌方")=0)),EW147,DP146)))</f>
        <v>0</v>
      </c>
      <c r="DM147" s="1">
        <f>IF(D147="",0,MIN(Boss参数!$B$25,IF(OR(AND(DH147="敌方",OR(DH146&lt;&gt;"敌方",DG147&lt;&gt;DG146)),AND(L147="END_TURN",DH147&lt;&gt;"洞穿"),AND(DG147&lt;&gt;DG146,DH146&lt;&gt;"洞穿",L146&lt;&gt;"END_TURN",COUNTIFS($DG$3:DG146,DG146,$DH$3:DH146,"敌方")=0)),EW147,DQ146)))</f>
        <v>0</v>
      </c>
      <c r="DN147" s="1">
        <f>MAX(0,MIN(Boss参数!$B$25,DJ147+DR147)-IF(E147="红弩箭",2*DR147,0))</f>
        <v>0</v>
      </c>
      <c r="DO147" s="1">
        <f>MAX(0,MIN(Boss参数!$B$25,DK147+DR147)-IF(E147="37",2*DR147,0))</f>
        <v>0</v>
      </c>
      <c r="DP147" s="1">
        <f>MAX(0,MIN(Boss参数!$B$25,DL147+DR147)-IF(E147="小瑞安侬",2*DR147,0))</f>
        <v>0</v>
      </c>
      <c r="DQ147" s="1">
        <f>MAX(0,MIN(Boss参数!$B$25,DM147+DR147)-IF(E147="J",2*DR147,0))</f>
        <v>0</v>
      </c>
      <c r="DR147" s="1">
        <f t="shared" si="172"/>
        <v>0</v>
      </c>
      <c r="DS147" s="1">
        <f t="shared" si="173"/>
        <v>0</v>
      </c>
      <c r="DT147" s="1">
        <f>IF(OR(E147="",E147="系统"),0,IF(OR(AND(DS147=1,Boss参数!$B$32=1),L147="RHI_BERRY",OR(AND(INDEX(角色面板!$B$18:$B$21,MATCH(E147,角色面板!$A$18:$A$21,0))="星",Boss参数!$B$4="岩"),AND(INDEX(角色面板!$B$18:$B$21,MATCH(E147,角色面板!$A$18:$A$21,0))="岩",Boss参数!$B$4="兽"),AND(INDEX(角色面板!$B$18:$B$21,MATCH(E147,角色面板!$A$18:$A$21,0))="兽",Boss参数!$B$4="木"),AND(INDEX(角色面板!$B$18:$B$21,MATCH(E147,角色面板!$A$18:$A$21,0))="木",Boss参数!$B$4="星"),AND(INDEX(角色面板!$B$18:$B$21,MATCH(E147,角色面板!$A$18:$A$21,0))="智",Boss参数!$B$4="灵"),AND(INDEX(角色面板!$B$18:$B$21,MATCH(E147,角色面板!$A$18:$A$21,0))="灵",Boss参数!$B$4="智"))),1,0))</f>
        <v>0</v>
      </c>
      <c r="DU147" s="1">
        <f>IF(D147="",0,INDEX(回合状态!$E$7:$E$17,MATCH(DG147,回合状态!$A$7:$A$17,0))+IF(AND(DH147="敌方",OR(INDEX(回合状态!$C$7:$C$17,MATCH(DG147,回合状态!$A$7:$A$17,0))="普通",INDEX(回合状态!$C$7:$C$17,MATCH(DG147,回合状态!$A$7:$A$17,0))="额外")),0.05,0))</f>
        <v>0</v>
      </c>
      <c r="DV147" s="1">
        <f>MAX(Boss参数!$B$28,1+IF(AND(E147="37",AC147&gt;0,BH147&gt;0),Boss参数!$B$42,0)-DI147*Boss参数!$B$24+EA147-ER147)</f>
        <v>9.9999999999999978E-2</v>
      </c>
      <c r="DW147" s="1">
        <f>MIN(IF(Boss参数!$B$77=1,Boss参数!$B$63*Boss参数!$B$62,Boss参数!$B$61*Boss参数!$B$62),ROUNDDOWN(BQ147*(1-ES147),0))</f>
        <v>0</v>
      </c>
      <c r="DX147" s="1">
        <f>MIN(IF(Boss参数!$B$77=1,Boss参数!$B$63*Boss参数!$B$62,Boss参数!$B$61*Boss参数!$B$62),ROUNDDOWN(BR147*(1-ES147),0))</f>
        <v>0</v>
      </c>
      <c r="DY147" s="1">
        <f t="shared" si="205"/>
        <v>250</v>
      </c>
      <c r="DZ147" s="1">
        <f>IF(L147="RHI_ULT",MIN(Boss参数!$B$48,ROUNDDOWN(AY147*Boss参数!$B$47,0)),DY147)</f>
        <v>250</v>
      </c>
      <c r="EA147" s="1">
        <v>0</v>
      </c>
      <c r="EB147" s="1">
        <f t="shared" si="174"/>
        <v>0</v>
      </c>
      <c r="EC147" s="1">
        <f>SUMIFS($EB$3:EB147,$B$3:B147,"&gt;="&amp;MAX(1,B147-2),$B$3:B147,"&lt;="&amp;B147)*Boss参数!$B$51</f>
        <v>0</v>
      </c>
      <c r="ED147" s="1">
        <f>IF(D147="",EG146,IF(AND(DG147&lt;&gt;DG146,DH147&lt;&gt;"洞穿"),MIN(Boss参数!$B$55,EG146+2),EG146))</f>
        <v>0</v>
      </c>
      <c r="EE147" s="1">
        <f t="shared" si="175"/>
        <v>0</v>
      </c>
      <c r="EF147" s="1">
        <f>IF(AND(OR(L147="END_TURN",AND(DH147="敌方",OR(DH146&lt;&gt;"敌方",DG147&lt;&gt;DG146))),SUMIFS($EF$3:EF146,$DG$3:DG146,DG147)=0),MIN(1,MAX(0,ED147-EE147)),0)</f>
        <v>0</v>
      </c>
      <c r="EG147" s="1">
        <f t="shared" si="176"/>
        <v>0</v>
      </c>
      <c r="EH147" s="1">
        <f>Boss参数!$B$53-IF(Y147=1,Boss参数!$B$54,0)</f>
        <v>0</v>
      </c>
      <c r="EI147" s="1">
        <f t="shared" si="177"/>
        <v>0.15</v>
      </c>
      <c r="EJ147" s="1">
        <f t="shared" si="178"/>
        <v>0.15</v>
      </c>
      <c r="EK147" s="1" t="e">
        <f t="shared" si="179"/>
        <v>#VALUE!</v>
      </c>
      <c r="EL147" s="1">
        <f t="shared" si="206"/>
        <v>0</v>
      </c>
      <c r="EM147" s="1">
        <f>IF(AND(DG147&lt;&gt;DG146,DH147="洞穿"),0,IF(L147="ENTER_INSIGHT",Boss参数!$B$57,EO146))</f>
        <v>0</v>
      </c>
      <c r="EN147" s="1">
        <f>IF(AND(Y147=1,H147="洞知",EM147&gt;0),Boss参数!$B$56,0)</f>
        <v>0</v>
      </c>
      <c r="EO147" s="1">
        <f t="shared" si="180"/>
        <v>0</v>
      </c>
      <c r="EP147" s="1">
        <f t="shared" si="207"/>
        <v>23210479</v>
      </c>
      <c r="EQ147" s="1">
        <f>ROUNDDOWN(EP147/Boss参数!$B$62,0)</f>
        <v>232</v>
      </c>
      <c r="ER147" s="1">
        <f>IF(EQ147&gt;=Boss参数!$B$66,Boss参数!$B$69,IF(EQ147&gt;=Boss参数!$B$65,Boss参数!$B$68,IF(EQ147&gt;=Boss参数!$B$64,Boss参数!$B$67,0)))</f>
        <v>0.9</v>
      </c>
      <c r="ES147" s="1">
        <f>MIN(1,IF(EQ147&gt;=Boss参数!$B$66,Boss参数!$B$72+ROUNDDOWN((EQ147-Boss参数!$B$66)/Boss参数!$B$73,0)*Boss参数!$B$74,IF(EQ147&gt;=Boss参数!$B$65,Boss参数!$B$71,IF(EQ147&gt;=Boss参数!$B$64,Boss参数!$B$70,0))))</f>
        <v>0.65</v>
      </c>
      <c r="ET147" s="1">
        <f>MIN(Boss参数!$B$61*Boss参数!$B$62,EP147+IF(AND(Boss参数!$B$60=1,ISNUMBER(验证表!H153)),验证表!H153,EU147))</f>
        <v>23210479</v>
      </c>
      <c r="EU147" s="1">
        <f>IF(D147="",0,IF(验证表!G153="是",BV147,IF(验证表!G153="否",BU147,BW147)))</f>
        <v>0</v>
      </c>
      <c r="EV147" s="1">
        <f>IF(EQ147&gt;=Boss参数!$B$66,2,IF(EQ147&gt;=Boss参数!$B$65,1,0))</f>
        <v>2</v>
      </c>
      <c r="EW147" s="1">
        <f t="shared" si="181"/>
        <v>3</v>
      </c>
      <c r="EX147" s="1">
        <f>IF(D147="",0,INDEX(回合状态!$D$7:$D$17,MATCH(DG147,回合状态!$A$7:$A$17,0)))</f>
        <v>0</v>
      </c>
      <c r="EY147" s="1">
        <f>IF(OR(L147="RHI_ATTACK",L147="RHI_BUFF"),1,IF(L147="RHI_ULT",Boss参数!$B$52,0))</f>
        <v>0</v>
      </c>
      <c r="EZ147" s="1">
        <f>MIN(6,SUMIFS($EY$3:EY147,$EX$3:EX147,"&gt;="&amp;MAX(1,EX147-Boss参数!$B$87+1),$EX$3:EX147,"&lt;="&amp;EX147))</f>
        <v>0</v>
      </c>
      <c r="FA147" s="1">
        <f t="shared" si="208"/>
        <v>0</v>
      </c>
      <c r="FB147" s="17">
        <f>IF(L147="BOSS_CONSERVATIVE",B147+Boss参数!$B$91,FB146)</f>
        <v>7</v>
      </c>
      <c r="FC147" s="17">
        <f t="shared" si="209"/>
        <v>0</v>
      </c>
      <c r="FD147" s="17">
        <f>IF(D147="",FD146,FD146+IF(AND(DG147&lt;&gt;DG146,INDEX(回合状态!$C$7:$C$17,MATCH(DG147,回合状态!$A$7:$A$17,0))&lt;&gt;"洞穿"),1,0))</f>
        <v>8</v>
      </c>
      <c r="FE147" s="17">
        <f>IF(D147="",0,IF(AND(OR(L147="END_TURN",DH147="敌方"),INDEX(回合状态!$C$7:$C$17,MATCH(DG147,回合状态!$A$7:$A$17,0))&lt;&gt;"洞穿",SUMIFS($FE$3:FE146,$DG$3:DG146,DG147)=0),1,0))</f>
        <v>0</v>
      </c>
    </row>
    <row r="148" spans="1:161" ht="84.95" customHeight="1">
      <c r="A148" s="1" t="str">
        <f>行动模拟!A154</f>
        <v/>
      </c>
      <c r="B148" s="1">
        <f>IF(D148="",0,INDEX(回合状态!$B$7:$B$17,MATCH(DG148,回合状态!$A$7:$A$17,0)))</f>
        <v>0</v>
      </c>
      <c r="C148" s="1">
        <f>行动模拟!C154</f>
        <v>0</v>
      </c>
      <c r="D148" s="1" t="str">
        <f>IF(行动模拟!D154="","",行动模拟!D154)</f>
        <v/>
      </c>
      <c r="E148" s="1" t="str">
        <f>IF($D148="","",IFERROR(INDEX(技能数据库!$B$4:$B$38,MATCH($D148,技能数据库!$A$4:$A$38,0)),""))</f>
        <v/>
      </c>
      <c r="F148" s="1" t="str">
        <f>IF($D148="","",IFERROR(INDEX(技能数据库!$C$4:$C$38,MATCH($D148,技能数据库!$A$4:$A$38,0)),""))</f>
        <v/>
      </c>
      <c r="G148" s="1" t="str">
        <f>IF($D148="","",IFERROR(INDEX(技能数据库!$D$4:$D$38,MATCH($D148,技能数据库!$A$4:$A$38,0)),""))</f>
        <v/>
      </c>
      <c r="H148" s="1" t="str">
        <f>IF($D148="","",IFERROR(INDEX(技能数据库!$E$4:$E$38,MATCH($D148,技能数据库!$A$4:$A$38,0)),""))</f>
        <v/>
      </c>
      <c r="I148" s="1" t="str">
        <f>IF($D148="","",IFERROR(INDEX(技能数据库!$F$4:$F$38,MATCH($D148,技能数据库!$A$4:$A$38,0)),""))</f>
        <v/>
      </c>
      <c r="J148" s="1" t="str">
        <f>IF($D148="","",IFERROR(INDEX(技能数据库!$G$4:$G$38,MATCH($D148,技能数据库!$A$4:$A$38,0)),""))</f>
        <v/>
      </c>
      <c r="K148" s="1" t="str">
        <f>IF($D148="","",IFERROR(INDEX(技能数据库!$H$4:$H$38,MATCH($D148,技能数据库!$A$4:$A$38,0)),""))</f>
        <v/>
      </c>
      <c r="L148" s="1" t="str">
        <f>IF($D148="","",IFERROR(INDEX(技能数据库!$I$4:$I$38,MATCH($D148,技能数据库!$A$4:$A$38,0)),""))</f>
        <v/>
      </c>
      <c r="M148" s="1">
        <v>1</v>
      </c>
      <c r="N148" s="1"/>
      <c r="O148" s="1"/>
      <c r="P148" s="1"/>
      <c r="Q148" s="1">
        <f t="shared" si="140"/>
        <v>0</v>
      </c>
      <c r="R148" s="1">
        <v>0</v>
      </c>
      <c r="S148" s="1">
        <v>0</v>
      </c>
      <c r="T148" s="1">
        <f>行动模拟!I154</f>
        <v>0</v>
      </c>
      <c r="U148" s="1">
        <f>IF(FD148&lt;&gt;FD147,IF(BY147=1,IF(MIN(10,CA147+IF(AND(DG148&lt;&gt;DG147,DH147&lt;&gt;"洞穿",SUMIFS($FE$3:FE147,$DG$3:DG147,DG147)=0,BY147=1),3,0))&gt;=10,2,1),IF(BY147=2,IF(BZ147&lt;=1,0,2),0)),BY147)</f>
        <v>2</v>
      </c>
      <c r="V148" s="1">
        <f>IF(FD148&lt;&gt;FD147,IF(BY147=1,IF(MIN(10,CA147+IF(AND(DG148&lt;&gt;DG147,DH147&lt;&gt;"洞穿",SUMIFS($FE$3:FE147,$DG$3:DG147,DG147)=0,BY147=1),3,0))&gt;=10,2,0),IF(BY147=2,MAX(0,BZ147-1),0)),BZ147)</f>
        <v>1</v>
      </c>
      <c r="W148" s="1">
        <f>IF(AND(FD148&lt;&gt;FD147,BY147=2,BZ147&lt;=1),0,MIN(10,CA147+IF(AND(DG148&lt;&gt;DG147,DH147&lt;&gt;"洞穿",SUMIFS($FE$3:FE147,$DG$3:DG147,DG147)=0,BY147=1),3,0)))</f>
        <v>10</v>
      </c>
      <c r="X148" s="1">
        <f t="shared" si="182"/>
        <v>13</v>
      </c>
      <c r="Y148" s="1">
        <f t="shared" si="183"/>
        <v>0</v>
      </c>
      <c r="Z148" s="1">
        <f t="shared" si="184"/>
        <v>0</v>
      </c>
      <c r="AA148" s="1">
        <f t="shared" si="185"/>
        <v>0</v>
      </c>
      <c r="AB148" s="1">
        <f t="shared" si="186"/>
        <v>10</v>
      </c>
      <c r="AC148" s="1">
        <f t="shared" si="187"/>
        <v>1</v>
      </c>
      <c r="AD148" s="1">
        <f t="shared" si="188"/>
        <v>35</v>
      </c>
      <c r="AE148" s="1">
        <f>IF(D148="",0,IF(DG148&lt;&gt;DG147,IFERROR(INDEX(回合状态!$F$7:$F$17,MATCH(DG148,回合状态!$A$7:$A$17,0)),0),CI147))</f>
        <v>0</v>
      </c>
      <c r="AF148" s="1">
        <f t="shared" si="189"/>
        <v>0.875</v>
      </c>
      <c r="AG148" s="1">
        <f t="shared" si="190"/>
        <v>9</v>
      </c>
      <c r="AH148" s="1">
        <f t="shared" si="191"/>
        <v>9</v>
      </c>
      <c r="AI148" s="1">
        <f t="shared" si="192"/>
        <v>8</v>
      </c>
      <c r="AJ148" s="1">
        <f t="shared" si="193"/>
        <v>9</v>
      </c>
      <c r="AK148" s="1">
        <f t="shared" si="194"/>
        <v>8</v>
      </c>
      <c r="AL148" s="1">
        <f t="shared" si="195"/>
        <v>3</v>
      </c>
      <c r="AM148" s="1">
        <f t="shared" si="196"/>
        <v>30</v>
      </c>
      <c r="AN148" s="1">
        <f t="shared" si="197"/>
        <v>9</v>
      </c>
      <c r="AO148" s="1">
        <f t="shared" si="198"/>
        <v>0</v>
      </c>
      <c r="AP148" s="1" t="e">
        <f t="shared" si="199"/>
        <v>#VALUE!</v>
      </c>
      <c r="AQ148" s="1" t="e">
        <f t="shared" si="200"/>
        <v>#VALUE!</v>
      </c>
      <c r="AR148" s="1">
        <f t="shared" si="201"/>
        <v>0.3</v>
      </c>
      <c r="AS148" s="1">
        <f t="shared" si="202"/>
        <v>9</v>
      </c>
      <c r="AT148" s="1">
        <f t="shared" si="203"/>
        <v>0.3</v>
      </c>
      <c r="AU148" s="1">
        <f t="shared" si="204"/>
        <v>9</v>
      </c>
      <c r="AV148" s="1">
        <f>MIN(5,SUMIFS($EL$3:EL148,$B$3:B148,"&gt;="&amp;MAX(1,B148-2),$B$3:B148,"&lt;="&amp;B148)+EC148)</f>
        <v>0</v>
      </c>
      <c r="AW148" s="1">
        <f>MIN(6,SUMIFS($EY$3:EY147,$EX$3:EX147,"&gt;="&amp;MAX(1,EX148-Boss参数!$B$87+1),$EX$3:EX147,"&lt;="&amp;EX148))</f>
        <v>0</v>
      </c>
      <c r="AX148" s="1">
        <f>MIN(4,COUNTIFS($B$3:$B$147,"&gt;="&amp;MAX(1,$B148-2),$B$3:$B$147,"&lt;="&amp;$B148,$L$3:$L$147,"37_FOLLOW"))</f>
        <v>0</v>
      </c>
      <c r="AY148" s="1" t="str">
        <f>IF($E148="","",IF($E148="系统",0,ROUNDDOWN(INDEX(角色面板!$C$4:$C$7,MATCH($E148,角色面板!$A$4:$A$7,0))*(1+INDEX(角色面板!$C$11:$C$14,MATCH($E148,角色面板!$A$11:$A$14,0))+IF($E148="小瑞安侬",MAX(IF($B148&lt;=$AQ148,$AP148,0),IF(AND($L148="RHI_ATTACK",$EE148&gt;0),0.11+0.01*$G148,0)),0)+IF($E148="J",$AD148*Boss参数!$B$18,0))+IF(FD148&lt;=$AN148,MIN(Boss参数!$B$21,ROUNDDOWN(角色面板!$C$19*Boss参数!$B$20,0)),0)+IF(AND($B148&lt;=$AK148,$E148&lt;&gt;"小瑞安侬"),$DY148,0),0)))</f>
        <v/>
      </c>
      <c r="AZ148" s="1" t="str">
        <f>IF($E148="","",MAX(0,MIN(1,IFERROR(INDEX(角色面板!$G$18:$G$21,MATCH($E148,角色面板!$A$18:$A$21,0)),0)-FC148*Boss参数!$B$89-Boss参数!$E$4)))</f>
        <v/>
      </c>
      <c r="BA148" s="1" t="str">
        <f>IF(E148="","",(IF($E148="","",IF($E148="红弩箭",Boss参数!$B$80,IF($E148="J",Boss参数!$B$81,IFERROR(INDEX(角色面板!$H$18:$H$21,MATCH($E148,角色面板!$A$18:$A$21,0)),0)))+IF($B148&lt;=$AI148,Boss参数!$B$13,0)+MIN(30,$AM148)*Boss参数!$B$17+IF(AND($L148="LILYA_ULT",$X148&gt;=6),1,0)+IF(AND($Y148=1,$L148="LILYA_INSIGHT"),IF(MOD($AA148+1,3)=0,Boss参数!$B$83,Boss参数!$B$82),IF(AND($Y148=1,$L148="LILYA_FINISH"),Boss参数!$B$84,0))))-FC148*Boss参数!$B$90)</f>
        <v/>
      </c>
      <c r="BB148" s="1" t="str">
        <f>IF($E148="","",IFERROR(INDEX(角色面板!$M$18:$M$21,MATCH($E148,角色面板!$A$18:$A$21,0)),0)+$AW148*Boss参数!$B$12+IF($B148&lt;=$AG148,$AF148,0)+$EI148+IF($L148="LILYA_DIVE",IF($U148=1,IF($G148=1,0.3,IF($G148=2,0.4,0.5)),IF($U148=2,IF($G148=1,0.6,IF($G148=2,0.8,1)),0)),0)+$R148+IF(AND($E148="J",OR($L148="J_COUNTER",$L148="J_HARD")),Boss参数!$B$79,0)+IF(AND(OR(L148="J_COUNTER",L148="J_HARD"),FA148&gt;=Boss参数!$B$59),FA148*Boss参数!$B$40,0))</f>
        <v/>
      </c>
      <c r="BC148" s="1" t="e">
        <f>IF($E148="","",IFERROR(INDEX(角色面板!$K$18:$K$21,MATCH($E148,角色面板!$A$18:$A$21,0)),0)+IF($B148&lt;=$AH148,Boss参数!$B$46,0)+IF($E148="红弩箭",IF($U148=1,0.6,IF($U148=2,1.2,0))+$W148*0.06,0))-DI148*Boss参数!$B$23</f>
        <v>#VALUE!</v>
      </c>
      <c r="BD148" s="1" t="e">
        <f>IF($E148="","",IFERROR(INDEX(角色面板!$L$18:$L$21,MATCH($E148,角色面板!$A$18:$A$21,0)),0)+IF($B148&lt;=$AH148,Boss参数!$B$46,0)+IF($E148="J",$AL148*Boss参数!$B$16,0)+IF($E148="红弩箭",$X148*0.025,0)+IF(AND($L148="LILYA_ULT",$X148&gt;=6),1,0))-DI148*Boss参数!$B$23</f>
        <v>#VALUE!</v>
      </c>
      <c r="BE148" s="1" t="str">
        <f>IF($E148="","",IF($H148="洞知",IF($E148="红弩箭",$AO148*Boss参数!$B$15,0)+$AX148*Boss参数!$B$14,0))</f>
        <v/>
      </c>
      <c r="BF148" s="1">
        <f t="shared" si="141"/>
        <v>0</v>
      </c>
      <c r="BG148" s="1">
        <f>IF($D148="",0,IF(AND($L148&lt;&gt;"LILYA_DIVE",$L148&lt;&gt;"LILYA_ULT",$L148&lt;&gt;"LILYA_INSIGHT",$L148&lt;&gt;"LILYA_FINISH",$L148&lt;&gt;"37_FOLLOW",$L148&lt;&gt;"RHI_ATTACK",$L148&lt;&gt;"RHI_BERRY",$L148&lt;&gt;"J_COUNTER",$L148&lt;&gt;"J_ULT"),$J148,0)+IF($L148="LILYA_DIVE",$J148+IF($U148=1,IF($G148=1,6,IF($G148=2,12,18)),IF($U148=2,IF($G148=1,12,IF($G148=2,24,36)),0)),0)+IF($L148="LILYA_ULT",$J148+IF($X148&gt;=6,18,0),0)+IF($L148="LILYA_INSIGHT",IF($Y148=1,IF(MOD($AA148+1,3)=0,32,15),0),0)+IF($L148="LILYA_FINISH",IF($Y148=1,50+2.5*$Z148,0),0)+IF($L148="37_FOLLOW",$J148,0)+IF($L148="RHI_ATTACK",$J148*IF($B148&lt;=$AJ148,2,1),0)+IF($L148="RHI_BERRY",15+1.5*$AV148,0)+IF($L148="J_COUNTER",$J148+$AD148*Boss参数!$B$39,0)+IF($L148="J_ULT",$J148+Boss参数!$B$45*MAX(0,$AE148+$AD148-Boss参数!$I$4),0)+$S148)</f>
        <v>0</v>
      </c>
      <c r="BH148" s="1">
        <f t="shared" si="142"/>
        <v>0</v>
      </c>
      <c r="BI148" s="1" t="str">
        <f>IF(E148="","",IF(DT148=1,1+Boss参数!$B$8+AV148*Boss参数!$B$19,1))</f>
        <v/>
      </c>
      <c r="BJ148" s="1">
        <f>IF($I148="现实",Boss参数!$C$4,IF($I148="精神",Boss参数!$D$4,0))</f>
        <v>0</v>
      </c>
      <c r="BK148" s="1" t="str">
        <f>IF($E148="","",MAX($AY148*Boss参数!$B$9,$AY148-$BJ148*(1-$BF148)))</f>
        <v/>
      </c>
      <c r="BL148" s="1">
        <f>MAX(0,Boss参数!$F$4+IF(DT148=0,Boss参数!$B$27,0)-EJ148)</f>
        <v>1.25</v>
      </c>
      <c r="BM148" s="1">
        <f>Boss参数!$G$4+DU148-IF(Y148=1,Boss参数!$B$11,0)</f>
        <v>0.4</v>
      </c>
      <c r="BN148" s="1" t="str">
        <f>IF($E148="","",MAX(Boss参数!$B$10,1+IFERROR(INDEX(角色面板!$I$18:$I$21,MATCH($E148,角色面板!$A$18:$A$21,0)),0)+$BB148+Boss参数!$H$4-$BM148))</f>
        <v/>
      </c>
      <c r="BO148" s="1" t="str">
        <f>IF(E148="","",IF(OR(L148="J_COUNTER",L148="J_HARD"),MAX(0,1+INDEX(角色面板!$K$18:$K$21,MATCH(E148,角色面板!$A$18:$A$21,0))-DI148*Boss参数!$B$23+IF(OR(Boss参数!$B$43=1,L148="J_HARD"),IF(B148&lt;=AH148,Boss参数!$B$46,0),0)),MAX(0,IF(OR(H148="术法",L148="RHI_BERRY",AND(L148="37_FOLLOW",Boss参数!$B$31=1)),1+BC148,IF(H148="仪式",1+BD148,IF(H148="洞知",EK148,1))))))</f>
        <v/>
      </c>
      <c r="BP148" s="1" t="str">
        <f t="shared" si="143"/>
        <v/>
      </c>
      <c r="BQ148" s="1">
        <f t="shared" si="144"/>
        <v>0</v>
      </c>
      <c r="BR148" s="1">
        <f t="shared" si="145"/>
        <v>0</v>
      </c>
      <c r="BS148" s="1">
        <f>IF(BH148=0,0,ROUNDDOWN(AY148*BH148,0)*DV148*IF(Boss参数!$B$29=1,BN148,1)*IF(Boss参数!$B$33=1,BO148,1)*IF(Boss参数!$B$76=1,1-ES148,1))</f>
        <v>0</v>
      </c>
      <c r="BT148" s="1">
        <f t="shared" si="146"/>
        <v>0</v>
      </c>
      <c r="BU148" s="1">
        <f>IF(D148="",0,MIN(IF(Boss参数!$B$77=1,Boss参数!$B$63*Boss参数!$B$62,Boss参数!$B$61*Boss参数!$B$62),DW148+ROUNDDOWN(BS148,0)+ROUNDDOWN(DW148*Q148,0)))</f>
        <v>0</v>
      </c>
      <c r="BV148" s="1">
        <f>IF(D148="",0,MIN(IF(Boss参数!$B$77=1,Boss参数!$B$63*Boss参数!$B$62,Boss参数!$B$61*Boss参数!$B$62),DX148+ROUNDDOWN(BT148,0)+ROUNDDOWN(DX148*Q148,0)))</f>
        <v>0</v>
      </c>
      <c r="BW148" s="1">
        <f t="shared" si="147"/>
        <v>0</v>
      </c>
      <c r="BX148" s="1" t="str">
        <f t="shared" si="148"/>
        <v/>
      </c>
      <c r="BY148" s="1">
        <f t="shared" si="149"/>
        <v>2</v>
      </c>
      <c r="BZ148" s="1">
        <f t="shared" si="150"/>
        <v>1</v>
      </c>
      <c r="CA148" s="1">
        <f>MIN(10,W148+IF(AND(L148="LILYA_COBRA",COUNTIF($L$3:L148,"LILYA_COBRA")=1),5,0)+IF(AND(L148="LILYA_DIVE",U148=1,COUNTIFS($DG$3:DG148,DG148,$L$3:L148,"LILYA_DIVE")=1),2,0)+IF(AND(FE148=1,U148=1),3,0))</f>
        <v>10</v>
      </c>
      <c r="CB148" s="1">
        <f>MIN(20,MAX(0,X148+IF(L148="LILYA_COBRA",IF(COUNTIF($L$3:L148,"LILYA_COBRA")=1,6,IF(U148=1,MAX(1,G148),IF(U148=2,2*MAX(1,G148),0))),0)+IF(AND(Y148=1,E148="红弩箭",L148&lt;&gt;"ENTER_INSIGHT"),1,0)-IF(AND(L148="LILYA_ULT",X148&gt;=6),6,0)))</f>
        <v>13</v>
      </c>
      <c r="CC148" s="1">
        <f t="shared" si="151"/>
        <v>0</v>
      </c>
      <c r="CD148" s="1">
        <f t="shared" si="152"/>
        <v>0</v>
      </c>
      <c r="CE148" s="1">
        <f t="shared" si="153"/>
        <v>0</v>
      </c>
      <c r="CF148" s="1">
        <f t="shared" si="154"/>
        <v>10</v>
      </c>
      <c r="CG148" s="1">
        <f t="shared" si="155"/>
        <v>1</v>
      </c>
      <c r="CH148" s="1">
        <f>MIN(35,AD148+IF(L148="J_HARD",6,0)+IF(L148="J_COUNTER",Boss参数!$B$30,0))</f>
        <v>35</v>
      </c>
      <c r="CI148" s="1">
        <f>MIN(Boss参数!$I$4,AE148+IF(L148="J_HARD",6,0)+IF(L148="J_ULT",AD148,0)+IF(L148="J_COUNTER",Boss参数!$B$30,0))</f>
        <v>0</v>
      </c>
      <c r="CJ148" s="1">
        <f>IF(L148="J_ULT",AD148*Boss参数!$B$41,IF(B148&lt;=AG148,AF148,0))</f>
        <v>0.875</v>
      </c>
      <c r="CK148" s="1">
        <f t="shared" si="156"/>
        <v>9</v>
      </c>
      <c r="CL148" s="1">
        <f t="shared" si="157"/>
        <v>9</v>
      </c>
      <c r="CM148" s="1">
        <f t="shared" si="158"/>
        <v>8</v>
      </c>
      <c r="CN148" s="1">
        <f t="shared" si="159"/>
        <v>9</v>
      </c>
      <c r="CO148" s="1">
        <f t="shared" si="160"/>
        <v>8</v>
      </c>
      <c r="CP148" s="1">
        <f t="shared" si="161"/>
        <v>3</v>
      </c>
      <c r="CQ148" s="1">
        <f t="shared" si="162"/>
        <v>30</v>
      </c>
      <c r="CR148" s="1">
        <f t="shared" si="163"/>
        <v>9</v>
      </c>
      <c r="CS148" s="1">
        <f t="shared" si="164"/>
        <v>0</v>
      </c>
      <c r="CT148" s="1" t="e">
        <f t="shared" si="165"/>
        <v>#VALUE!</v>
      </c>
      <c r="CU148" s="1" t="e">
        <f t="shared" si="166"/>
        <v>#VALUE!</v>
      </c>
      <c r="CV148" s="1">
        <f t="shared" si="167"/>
        <v>0.3</v>
      </c>
      <c r="CW148" s="1">
        <f t="shared" si="168"/>
        <v>9</v>
      </c>
      <c r="CX148" s="1">
        <f t="shared" si="169"/>
        <v>0.3</v>
      </c>
      <c r="CY148" s="1">
        <f t="shared" si="170"/>
        <v>9</v>
      </c>
      <c r="CZ148" s="1"/>
      <c r="DA148" s="1"/>
      <c r="DB148" s="1"/>
      <c r="DC148" s="1"/>
      <c r="DD148" s="1"/>
      <c r="DE148" s="1"/>
      <c r="DF148" s="1"/>
      <c r="DG148" s="1" t="str">
        <f>IF(D148="","",行动模拟!B154)</f>
        <v/>
      </c>
      <c r="DH148" s="1" t="str">
        <f>IF(L148="END_TURN","回合结束",IF(D148="","",IF(INDEX(回合状态!$C$7:$C$17,MATCH(DG148,回合状态!$A$7:$A$17,0))="洞穿","洞穿",IF(OR(L148="J_COUNTER",L148="BOSS_ACTION",L148="BOSS_CONSERVATIVE"),"敌方",IF(AND(L148="37_FOLLOW",DG148=DG147,DH147="敌方"),"敌方",IF(INDEX(回合状态!$C$7:$C$17,MATCH(DG148,回合状态!$A$7:$A$17,0))="普通","出牌",INDEX(回合状态!$C$7:$C$17,MATCH(DG148,回合状态!$A$7:$A$17,0))))))))</f>
        <v/>
      </c>
      <c r="DI148" s="1">
        <f t="shared" si="171"/>
        <v>0</v>
      </c>
      <c r="DJ148" s="1">
        <f>IF(D148="",0,MIN(Boss参数!$B$25,IF(OR(AND(DH148="敌方",OR(DH147&lt;&gt;"敌方",DG148&lt;&gt;DG147)),AND(L148="END_TURN",DH148&lt;&gt;"洞穿"),AND(DG148&lt;&gt;DG147,DH147&lt;&gt;"洞穿",L147&lt;&gt;"END_TURN",COUNTIFS($DG$3:DG147,DG147,$DH$3:DH147,"敌方")=0)),EW148,DN147)))</f>
        <v>0</v>
      </c>
      <c r="DK148" s="1">
        <f>IF(D148="",0,MIN(Boss参数!$B$25,IF(OR(AND(DH148="敌方",OR(DH147&lt;&gt;"敌方",DG148&lt;&gt;DG147)),AND(L148="END_TURN",DH148&lt;&gt;"洞穿"),AND(DG148&lt;&gt;DG147,DH147&lt;&gt;"洞穿",L147&lt;&gt;"END_TURN",COUNTIFS($DG$3:DG147,DG147,$DH$3:DH147,"敌方")=0)),EW148,DO147)))</f>
        <v>0</v>
      </c>
      <c r="DL148" s="1">
        <f>IF(D148="",0,MIN(Boss参数!$B$25,IF(OR(AND(DH148="敌方",OR(DH147&lt;&gt;"敌方",DG148&lt;&gt;DG147)),AND(L148="END_TURN",DH148&lt;&gt;"洞穿"),AND(DG148&lt;&gt;DG147,DH147&lt;&gt;"洞穿",L147&lt;&gt;"END_TURN",COUNTIFS($DG$3:DG147,DG147,$DH$3:DH147,"敌方")=0)),EW148,DP147)))</f>
        <v>0</v>
      </c>
      <c r="DM148" s="1">
        <f>IF(D148="",0,MIN(Boss参数!$B$25,IF(OR(AND(DH148="敌方",OR(DH147&lt;&gt;"敌方",DG148&lt;&gt;DG147)),AND(L148="END_TURN",DH148&lt;&gt;"洞穿"),AND(DG148&lt;&gt;DG147,DH147&lt;&gt;"洞穿",L147&lt;&gt;"END_TURN",COUNTIFS($DG$3:DG147,DG147,$DH$3:DH147,"敌方")=0)),EW148,DQ147)))</f>
        <v>0</v>
      </c>
      <c r="DN148" s="1">
        <f>MAX(0,MIN(Boss参数!$B$25,DJ148+DR148)-IF(E148="红弩箭",2*DR148,0))</f>
        <v>0</v>
      </c>
      <c r="DO148" s="1">
        <f>MAX(0,MIN(Boss参数!$B$25,DK148+DR148)-IF(E148="37",2*DR148,0))</f>
        <v>0</v>
      </c>
      <c r="DP148" s="1">
        <f>MAX(0,MIN(Boss参数!$B$25,DL148+DR148)-IF(E148="小瑞安侬",2*DR148,0))</f>
        <v>0</v>
      </c>
      <c r="DQ148" s="1">
        <f>MAX(0,MIN(Boss参数!$B$25,DM148+DR148)-IF(E148="J",2*DR148,0))</f>
        <v>0</v>
      </c>
      <c r="DR148" s="1">
        <f t="shared" si="172"/>
        <v>0</v>
      </c>
      <c r="DS148" s="1">
        <f t="shared" si="173"/>
        <v>0</v>
      </c>
      <c r="DT148" s="1">
        <f>IF(OR(E148="",E148="系统"),0,IF(OR(AND(DS148=1,Boss参数!$B$32=1),L148="RHI_BERRY",OR(AND(INDEX(角色面板!$B$18:$B$21,MATCH(E148,角色面板!$A$18:$A$21,0))="星",Boss参数!$B$4="岩"),AND(INDEX(角色面板!$B$18:$B$21,MATCH(E148,角色面板!$A$18:$A$21,0))="岩",Boss参数!$B$4="兽"),AND(INDEX(角色面板!$B$18:$B$21,MATCH(E148,角色面板!$A$18:$A$21,0))="兽",Boss参数!$B$4="木"),AND(INDEX(角色面板!$B$18:$B$21,MATCH(E148,角色面板!$A$18:$A$21,0))="木",Boss参数!$B$4="星"),AND(INDEX(角色面板!$B$18:$B$21,MATCH(E148,角色面板!$A$18:$A$21,0))="智",Boss参数!$B$4="灵"),AND(INDEX(角色面板!$B$18:$B$21,MATCH(E148,角色面板!$A$18:$A$21,0))="灵",Boss参数!$B$4="智"))),1,0))</f>
        <v>0</v>
      </c>
      <c r="DU148" s="1">
        <f>IF(D148="",0,INDEX(回合状态!$E$7:$E$17,MATCH(DG148,回合状态!$A$7:$A$17,0))+IF(AND(DH148="敌方",OR(INDEX(回合状态!$C$7:$C$17,MATCH(DG148,回合状态!$A$7:$A$17,0))="普通",INDEX(回合状态!$C$7:$C$17,MATCH(DG148,回合状态!$A$7:$A$17,0))="额外")),0.05,0))</f>
        <v>0</v>
      </c>
      <c r="DV148" s="1">
        <f>MAX(Boss参数!$B$28,1+IF(AND(E148="37",AC148&gt;0,BH148&gt;0),Boss参数!$B$42,0)-DI148*Boss参数!$B$24+EA148-ER148)</f>
        <v>9.9999999999999978E-2</v>
      </c>
      <c r="DW148" s="1">
        <f>MIN(IF(Boss参数!$B$77=1,Boss参数!$B$63*Boss参数!$B$62,Boss参数!$B$61*Boss参数!$B$62),ROUNDDOWN(BQ148*(1-ES148),0))</f>
        <v>0</v>
      </c>
      <c r="DX148" s="1">
        <f>MIN(IF(Boss参数!$B$77=1,Boss参数!$B$63*Boss参数!$B$62,Boss参数!$B$61*Boss参数!$B$62),ROUNDDOWN(BR148*(1-ES148),0))</f>
        <v>0</v>
      </c>
      <c r="DY148" s="1">
        <f t="shared" si="205"/>
        <v>250</v>
      </c>
      <c r="DZ148" s="1">
        <f>IF(L148="RHI_ULT",MIN(Boss参数!$B$48,ROUNDDOWN(AY148*Boss参数!$B$47,0)),DY148)</f>
        <v>250</v>
      </c>
      <c r="EA148" s="1">
        <v>0</v>
      </c>
      <c r="EB148" s="1">
        <f t="shared" si="174"/>
        <v>0</v>
      </c>
      <c r="EC148" s="1">
        <f>SUMIFS($EB$3:EB148,$B$3:B148,"&gt;="&amp;MAX(1,B148-2),$B$3:B148,"&lt;="&amp;B148)*Boss参数!$B$51</f>
        <v>0</v>
      </c>
      <c r="ED148" s="1">
        <f>IF(D148="",EG147,IF(AND(DG148&lt;&gt;DG147,DH148&lt;&gt;"洞穿"),MIN(Boss参数!$B$55,EG147+2),EG147))</f>
        <v>0</v>
      </c>
      <c r="EE148" s="1">
        <f t="shared" si="175"/>
        <v>0</v>
      </c>
      <c r="EF148" s="1">
        <f>IF(AND(OR(L148="END_TURN",AND(DH148="敌方",OR(DH147&lt;&gt;"敌方",DG148&lt;&gt;DG147))),SUMIFS($EF$3:EF147,$DG$3:DG147,DG148)=0),MIN(1,MAX(0,ED148-EE148)),0)</f>
        <v>0</v>
      </c>
      <c r="EG148" s="1">
        <f t="shared" si="176"/>
        <v>0</v>
      </c>
      <c r="EH148" s="1">
        <f>Boss参数!$B$53-IF(Y148=1,Boss参数!$B$54,0)</f>
        <v>0</v>
      </c>
      <c r="EI148" s="1">
        <f t="shared" si="177"/>
        <v>0.15</v>
      </c>
      <c r="EJ148" s="1">
        <f t="shared" si="178"/>
        <v>0.15</v>
      </c>
      <c r="EK148" s="1" t="e">
        <f t="shared" si="179"/>
        <v>#VALUE!</v>
      </c>
      <c r="EL148" s="1">
        <f t="shared" si="206"/>
        <v>0</v>
      </c>
      <c r="EM148" s="1">
        <f>IF(AND(DG148&lt;&gt;DG147,DH148="洞穿"),0,IF(L148="ENTER_INSIGHT",Boss参数!$B$57,EO147))</f>
        <v>0</v>
      </c>
      <c r="EN148" s="1">
        <f>IF(AND(Y148=1,H148="洞知",EM148&gt;0),Boss参数!$B$56,0)</f>
        <v>0</v>
      </c>
      <c r="EO148" s="1">
        <f t="shared" si="180"/>
        <v>0</v>
      </c>
      <c r="EP148" s="1">
        <f t="shared" si="207"/>
        <v>23210479</v>
      </c>
      <c r="EQ148" s="1">
        <f>ROUNDDOWN(EP148/Boss参数!$B$62,0)</f>
        <v>232</v>
      </c>
      <c r="ER148" s="1">
        <f>IF(EQ148&gt;=Boss参数!$B$66,Boss参数!$B$69,IF(EQ148&gt;=Boss参数!$B$65,Boss参数!$B$68,IF(EQ148&gt;=Boss参数!$B$64,Boss参数!$B$67,0)))</f>
        <v>0.9</v>
      </c>
      <c r="ES148" s="1">
        <f>MIN(1,IF(EQ148&gt;=Boss参数!$B$66,Boss参数!$B$72+ROUNDDOWN((EQ148-Boss参数!$B$66)/Boss参数!$B$73,0)*Boss参数!$B$74,IF(EQ148&gt;=Boss参数!$B$65,Boss参数!$B$71,IF(EQ148&gt;=Boss参数!$B$64,Boss参数!$B$70,0))))</f>
        <v>0.65</v>
      </c>
      <c r="ET148" s="1">
        <f>MIN(Boss参数!$B$61*Boss参数!$B$62,EP148+IF(AND(Boss参数!$B$60=1,ISNUMBER(验证表!H154)),验证表!H154,EU148))</f>
        <v>23210479</v>
      </c>
      <c r="EU148" s="1">
        <f>IF(D148="",0,IF(验证表!G154="是",BV148,IF(验证表!G154="否",BU148,BW148)))</f>
        <v>0</v>
      </c>
      <c r="EV148" s="1">
        <f>IF(EQ148&gt;=Boss参数!$B$66,2,IF(EQ148&gt;=Boss参数!$B$65,1,0))</f>
        <v>2</v>
      </c>
      <c r="EW148" s="1">
        <f t="shared" si="181"/>
        <v>3</v>
      </c>
      <c r="EX148" s="1">
        <f>IF(D148="",0,INDEX(回合状态!$D$7:$D$17,MATCH(DG148,回合状态!$A$7:$A$17,0)))</f>
        <v>0</v>
      </c>
      <c r="EY148" s="1">
        <f>IF(OR(L148="RHI_ATTACK",L148="RHI_BUFF"),1,IF(L148="RHI_ULT",Boss参数!$B$52,0))</f>
        <v>0</v>
      </c>
      <c r="EZ148" s="1">
        <f>MIN(6,SUMIFS($EY$3:EY148,$EX$3:EX148,"&gt;="&amp;MAX(1,EX148-Boss参数!$B$87+1),$EX$3:EX148,"&lt;="&amp;EX148))</f>
        <v>0</v>
      </c>
      <c r="FA148" s="1">
        <f t="shared" si="208"/>
        <v>0</v>
      </c>
      <c r="FB148" s="17">
        <f>IF(L148="BOSS_CONSERVATIVE",B148+Boss参数!$B$91,FB147)</f>
        <v>7</v>
      </c>
      <c r="FC148" s="17">
        <f t="shared" si="209"/>
        <v>0</v>
      </c>
      <c r="FD148" s="17">
        <f>IF(D148="",FD147,FD147+IF(AND(DG148&lt;&gt;DG147,INDEX(回合状态!$C$7:$C$17,MATCH(DG148,回合状态!$A$7:$A$17,0))&lt;&gt;"洞穿"),1,0))</f>
        <v>8</v>
      </c>
      <c r="FE148" s="17">
        <f>IF(D148="",0,IF(AND(OR(L148="END_TURN",DH148="敌方"),INDEX(回合状态!$C$7:$C$17,MATCH(DG148,回合状态!$A$7:$A$17,0))&lt;&gt;"洞穿",SUMIFS($FE$3:FE147,$DG$3:DG147,DG148)=0),1,0))</f>
        <v>0</v>
      </c>
    </row>
    <row r="149" spans="1:161" ht="84.95" customHeight="1">
      <c r="A149" s="1" t="str">
        <f>行动模拟!A155</f>
        <v/>
      </c>
      <c r="B149" s="1">
        <f>IF(D149="",0,INDEX(回合状态!$B$7:$B$17,MATCH(DG149,回合状态!$A$7:$A$17,0)))</f>
        <v>0</v>
      </c>
      <c r="C149" s="1">
        <f>行动模拟!C155</f>
        <v>0</v>
      </c>
      <c r="D149" s="1" t="str">
        <f>IF(行动模拟!D155="","",行动模拟!D155)</f>
        <v/>
      </c>
      <c r="E149" s="1" t="str">
        <f>IF($D149="","",IFERROR(INDEX(技能数据库!$B$4:$B$38,MATCH($D149,技能数据库!$A$4:$A$38,0)),""))</f>
        <v/>
      </c>
      <c r="F149" s="1" t="str">
        <f>IF($D149="","",IFERROR(INDEX(技能数据库!$C$4:$C$38,MATCH($D149,技能数据库!$A$4:$A$38,0)),""))</f>
        <v/>
      </c>
      <c r="G149" s="1" t="str">
        <f>IF($D149="","",IFERROR(INDEX(技能数据库!$D$4:$D$38,MATCH($D149,技能数据库!$A$4:$A$38,0)),""))</f>
        <v/>
      </c>
      <c r="H149" s="1" t="str">
        <f>IF($D149="","",IFERROR(INDEX(技能数据库!$E$4:$E$38,MATCH($D149,技能数据库!$A$4:$A$38,0)),""))</f>
        <v/>
      </c>
      <c r="I149" s="1" t="str">
        <f>IF($D149="","",IFERROR(INDEX(技能数据库!$F$4:$F$38,MATCH($D149,技能数据库!$A$4:$A$38,0)),""))</f>
        <v/>
      </c>
      <c r="J149" s="1" t="str">
        <f>IF($D149="","",IFERROR(INDEX(技能数据库!$G$4:$G$38,MATCH($D149,技能数据库!$A$4:$A$38,0)),""))</f>
        <v/>
      </c>
      <c r="K149" s="1" t="str">
        <f>IF($D149="","",IFERROR(INDEX(技能数据库!$H$4:$H$38,MATCH($D149,技能数据库!$A$4:$A$38,0)),""))</f>
        <v/>
      </c>
      <c r="L149" s="1" t="str">
        <f>IF($D149="","",IFERROR(INDEX(技能数据库!$I$4:$I$38,MATCH($D149,技能数据库!$A$4:$A$38,0)),""))</f>
        <v/>
      </c>
      <c r="M149" s="1">
        <v>1</v>
      </c>
      <c r="N149" s="1"/>
      <c r="O149" s="1"/>
      <c r="P149" s="1"/>
      <c r="Q149" s="1">
        <f t="shared" si="140"/>
        <v>0</v>
      </c>
      <c r="R149" s="1">
        <v>0</v>
      </c>
      <c r="S149" s="1">
        <v>0</v>
      </c>
      <c r="T149" s="1">
        <f>行动模拟!I155</f>
        <v>0</v>
      </c>
      <c r="U149" s="1">
        <f>IF(FD149&lt;&gt;FD148,IF(BY148=1,IF(MIN(10,CA148+IF(AND(DG149&lt;&gt;DG148,DH148&lt;&gt;"洞穿",SUMIFS($FE$3:FE148,$DG$3:DG148,DG148)=0,BY148=1),3,0))&gt;=10,2,1),IF(BY148=2,IF(BZ148&lt;=1,0,2),0)),BY148)</f>
        <v>2</v>
      </c>
      <c r="V149" s="1">
        <f>IF(FD149&lt;&gt;FD148,IF(BY148=1,IF(MIN(10,CA148+IF(AND(DG149&lt;&gt;DG148,DH148&lt;&gt;"洞穿",SUMIFS($FE$3:FE148,$DG$3:DG148,DG148)=0,BY148=1),3,0))&gt;=10,2,0),IF(BY148=2,MAX(0,BZ148-1),0)),BZ148)</f>
        <v>1</v>
      </c>
      <c r="W149" s="1">
        <f>IF(AND(FD149&lt;&gt;FD148,BY148=2,BZ148&lt;=1),0,MIN(10,CA148+IF(AND(DG149&lt;&gt;DG148,DH148&lt;&gt;"洞穿",SUMIFS($FE$3:FE148,$DG$3:DG148,DG148)=0,BY148=1),3,0)))</f>
        <v>10</v>
      </c>
      <c r="X149" s="1">
        <f t="shared" si="182"/>
        <v>13</v>
      </c>
      <c r="Y149" s="1">
        <f t="shared" si="183"/>
        <v>0</v>
      </c>
      <c r="Z149" s="1">
        <f t="shared" si="184"/>
        <v>0</v>
      </c>
      <c r="AA149" s="1">
        <f t="shared" si="185"/>
        <v>0</v>
      </c>
      <c r="AB149" s="1">
        <f t="shared" si="186"/>
        <v>10</v>
      </c>
      <c r="AC149" s="1">
        <f t="shared" si="187"/>
        <v>1</v>
      </c>
      <c r="AD149" s="1">
        <f t="shared" si="188"/>
        <v>35</v>
      </c>
      <c r="AE149" s="1">
        <f>IF(D149="",0,IF(DG149&lt;&gt;DG148,IFERROR(INDEX(回合状态!$F$7:$F$17,MATCH(DG149,回合状态!$A$7:$A$17,0)),0),CI148))</f>
        <v>0</v>
      </c>
      <c r="AF149" s="1">
        <f t="shared" si="189"/>
        <v>0.875</v>
      </c>
      <c r="AG149" s="1">
        <f t="shared" si="190"/>
        <v>9</v>
      </c>
      <c r="AH149" s="1">
        <f t="shared" si="191"/>
        <v>9</v>
      </c>
      <c r="AI149" s="1">
        <f t="shared" si="192"/>
        <v>8</v>
      </c>
      <c r="AJ149" s="1">
        <f t="shared" si="193"/>
        <v>9</v>
      </c>
      <c r="AK149" s="1">
        <f t="shared" si="194"/>
        <v>8</v>
      </c>
      <c r="AL149" s="1">
        <f t="shared" si="195"/>
        <v>3</v>
      </c>
      <c r="AM149" s="1">
        <f t="shared" si="196"/>
        <v>30</v>
      </c>
      <c r="AN149" s="1">
        <f t="shared" si="197"/>
        <v>9</v>
      </c>
      <c r="AO149" s="1">
        <f t="shared" si="198"/>
        <v>0</v>
      </c>
      <c r="AP149" s="1" t="e">
        <f t="shared" si="199"/>
        <v>#VALUE!</v>
      </c>
      <c r="AQ149" s="1" t="e">
        <f t="shared" si="200"/>
        <v>#VALUE!</v>
      </c>
      <c r="AR149" s="1">
        <f t="shared" si="201"/>
        <v>0.3</v>
      </c>
      <c r="AS149" s="1">
        <f t="shared" si="202"/>
        <v>9</v>
      </c>
      <c r="AT149" s="1">
        <f t="shared" si="203"/>
        <v>0.3</v>
      </c>
      <c r="AU149" s="1">
        <f t="shared" si="204"/>
        <v>9</v>
      </c>
      <c r="AV149" s="1">
        <f>MIN(5,SUMIFS($EL$3:EL149,$B$3:B149,"&gt;="&amp;MAX(1,B149-2),$B$3:B149,"&lt;="&amp;B149)+EC149)</f>
        <v>0</v>
      </c>
      <c r="AW149" s="1">
        <f>MIN(6,SUMIFS($EY$3:EY148,$EX$3:EX148,"&gt;="&amp;MAX(1,EX149-Boss参数!$B$87+1),$EX$3:EX148,"&lt;="&amp;EX149))</f>
        <v>0</v>
      </c>
      <c r="AX149" s="1">
        <f>MIN(4,COUNTIFS($B$3:$B$148,"&gt;="&amp;MAX(1,$B149-2),$B$3:$B$148,"&lt;="&amp;$B149,$L$3:$L$148,"37_FOLLOW"))</f>
        <v>0</v>
      </c>
      <c r="AY149" s="1" t="str">
        <f>IF($E149="","",IF($E149="系统",0,ROUNDDOWN(INDEX(角色面板!$C$4:$C$7,MATCH($E149,角色面板!$A$4:$A$7,0))*(1+INDEX(角色面板!$C$11:$C$14,MATCH($E149,角色面板!$A$11:$A$14,0))+IF($E149="小瑞安侬",MAX(IF($B149&lt;=$AQ149,$AP149,0),IF(AND($L149="RHI_ATTACK",$EE149&gt;0),0.11+0.01*$G149,0)),0)+IF($E149="J",$AD149*Boss参数!$B$18,0))+IF(FD149&lt;=$AN149,MIN(Boss参数!$B$21,ROUNDDOWN(角色面板!$C$19*Boss参数!$B$20,0)),0)+IF(AND($B149&lt;=$AK149,$E149&lt;&gt;"小瑞安侬"),$DY149,0),0)))</f>
        <v/>
      </c>
      <c r="AZ149" s="1" t="str">
        <f>IF($E149="","",MAX(0,MIN(1,IFERROR(INDEX(角色面板!$G$18:$G$21,MATCH($E149,角色面板!$A$18:$A$21,0)),0)-FC149*Boss参数!$B$89-Boss参数!$E$4)))</f>
        <v/>
      </c>
      <c r="BA149" s="1" t="str">
        <f>IF(E149="","",(IF($E149="","",IF($E149="红弩箭",Boss参数!$B$80,IF($E149="J",Boss参数!$B$81,IFERROR(INDEX(角色面板!$H$18:$H$21,MATCH($E149,角色面板!$A$18:$A$21,0)),0)))+IF($B149&lt;=$AI149,Boss参数!$B$13,0)+MIN(30,$AM149)*Boss参数!$B$17+IF(AND($L149="LILYA_ULT",$X149&gt;=6),1,0)+IF(AND($Y149=1,$L149="LILYA_INSIGHT"),IF(MOD($AA149+1,3)=0,Boss参数!$B$83,Boss参数!$B$82),IF(AND($Y149=1,$L149="LILYA_FINISH"),Boss参数!$B$84,0))))-FC149*Boss参数!$B$90)</f>
        <v/>
      </c>
      <c r="BB149" s="1" t="str">
        <f>IF($E149="","",IFERROR(INDEX(角色面板!$M$18:$M$21,MATCH($E149,角色面板!$A$18:$A$21,0)),0)+$AW149*Boss参数!$B$12+IF($B149&lt;=$AG149,$AF149,0)+$EI149+IF($L149="LILYA_DIVE",IF($U149=1,IF($G149=1,0.3,IF($G149=2,0.4,0.5)),IF($U149=2,IF($G149=1,0.6,IF($G149=2,0.8,1)),0)),0)+$R149+IF(AND($E149="J",OR($L149="J_COUNTER",$L149="J_HARD")),Boss参数!$B$79,0)+IF(AND(OR(L149="J_COUNTER",L149="J_HARD"),FA149&gt;=Boss参数!$B$59),FA149*Boss参数!$B$40,0))</f>
        <v/>
      </c>
      <c r="BC149" s="1" t="e">
        <f>IF($E149="","",IFERROR(INDEX(角色面板!$K$18:$K$21,MATCH($E149,角色面板!$A$18:$A$21,0)),0)+IF($B149&lt;=$AH149,Boss参数!$B$46,0)+IF($E149="红弩箭",IF($U149=1,0.6,IF($U149=2,1.2,0))+$W149*0.06,0))-DI149*Boss参数!$B$23</f>
        <v>#VALUE!</v>
      </c>
      <c r="BD149" s="1" t="e">
        <f>IF($E149="","",IFERROR(INDEX(角色面板!$L$18:$L$21,MATCH($E149,角色面板!$A$18:$A$21,0)),0)+IF($B149&lt;=$AH149,Boss参数!$B$46,0)+IF($E149="J",$AL149*Boss参数!$B$16,0)+IF($E149="红弩箭",$X149*0.025,0)+IF(AND($L149="LILYA_ULT",$X149&gt;=6),1,0))-DI149*Boss参数!$B$23</f>
        <v>#VALUE!</v>
      </c>
      <c r="BE149" s="1" t="str">
        <f>IF($E149="","",IF($H149="洞知",IF($E149="红弩箭",$AO149*Boss参数!$B$15,0)+$AX149*Boss参数!$B$14,0))</f>
        <v/>
      </c>
      <c r="BF149" s="1">
        <f t="shared" si="141"/>
        <v>0</v>
      </c>
      <c r="BG149" s="1">
        <f>IF($D149="",0,IF(AND($L149&lt;&gt;"LILYA_DIVE",$L149&lt;&gt;"LILYA_ULT",$L149&lt;&gt;"LILYA_INSIGHT",$L149&lt;&gt;"LILYA_FINISH",$L149&lt;&gt;"37_FOLLOW",$L149&lt;&gt;"RHI_ATTACK",$L149&lt;&gt;"RHI_BERRY",$L149&lt;&gt;"J_COUNTER",$L149&lt;&gt;"J_ULT"),$J149,0)+IF($L149="LILYA_DIVE",$J149+IF($U149=1,IF($G149=1,6,IF($G149=2,12,18)),IF($U149=2,IF($G149=1,12,IF($G149=2,24,36)),0)),0)+IF($L149="LILYA_ULT",$J149+IF($X149&gt;=6,18,0),0)+IF($L149="LILYA_INSIGHT",IF($Y149=1,IF(MOD($AA149+1,3)=0,32,15),0),0)+IF($L149="LILYA_FINISH",IF($Y149=1,50+2.5*$Z149,0),0)+IF($L149="37_FOLLOW",$J149,0)+IF($L149="RHI_ATTACK",$J149*IF($B149&lt;=$AJ149,2,1),0)+IF($L149="RHI_BERRY",15+1.5*$AV149,0)+IF($L149="J_COUNTER",$J149+$AD149*Boss参数!$B$39,0)+IF($L149="J_ULT",$J149+Boss参数!$B$45*MAX(0,$AE149+$AD149-Boss参数!$I$4),0)+$S149)</f>
        <v>0</v>
      </c>
      <c r="BH149" s="1">
        <f t="shared" si="142"/>
        <v>0</v>
      </c>
      <c r="BI149" s="1" t="str">
        <f>IF(E149="","",IF(DT149=1,1+Boss参数!$B$8+AV149*Boss参数!$B$19,1))</f>
        <v/>
      </c>
      <c r="BJ149" s="1">
        <f>IF($I149="现实",Boss参数!$C$4,IF($I149="精神",Boss参数!$D$4,0))</f>
        <v>0</v>
      </c>
      <c r="BK149" s="1" t="str">
        <f>IF($E149="","",MAX($AY149*Boss参数!$B$9,$AY149-$BJ149*(1-$BF149)))</f>
        <v/>
      </c>
      <c r="BL149" s="1">
        <f>MAX(0,Boss参数!$F$4+IF(DT149=0,Boss参数!$B$27,0)-EJ149)</f>
        <v>1.25</v>
      </c>
      <c r="BM149" s="1">
        <f>Boss参数!$G$4+DU149-IF(Y149=1,Boss参数!$B$11,0)</f>
        <v>0.4</v>
      </c>
      <c r="BN149" s="1" t="str">
        <f>IF($E149="","",MAX(Boss参数!$B$10,1+IFERROR(INDEX(角色面板!$I$18:$I$21,MATCH($E149,角色面板!$A$18:$A$21,0)),0)+$BB149+Boss参数!$H$4-$BM149))</f>
        <v/>
      </c>
      <c r="BO149" s="1" t="str">
        <f>IF(E149="","",IF(OR(L149="J_COUNTER",L149="J_HARD"),MAX(0,1+INDEX(角色面板!$K$18:$K$21,MATCH(E149,角色面板!$A$18:$A$21,0))-DI149*Boss参数!$B$23+IF(OR(Boss参数!$B$43=1,L149="J_HARD"),IF(B149&lt;=AH149,Boss参数!$B$46,0),0)),MAX(0,IF(OR(H149="术法",L149="RHI_BERRY",AND(L149="37_FOLLOW",Boss参数!$B$31=1)),1+BC149,IF(H149="仪式",1+BD149,IF(H149="洞知",EK149,1))))))</f>
        <v/>
      </c>
      <c r="BP149" s="1" t="str">
        <f t="shared" si="143"/>
        <v/>
      </c>
      <c r="BQ149" s="1">
        <f t="shared" si="144"/>
        <v>0</v>
      </c>
      <c r="BR149" s="1">
        <f t="shared" si="145"/>
        <v>0</v>
      </c>
      <c r="BS149" s="1">
        <f>IF(BH149=0,0,ROUNDDOWN(AY149*BH149,0)*DV149*IF(Boss参数!$B$29=1,BN149,1)*IF(Boss参数!$B$33=1,BO149,1)*IF(Boss参数!$B$76=1,1-ES149,1))</f>
        <v>0</v>
      </c>
      <c r="BT149" s="1">
        <f t="shared" si="146"/>
        <v>0</v>
      </c>
      <c r="BU149" s="1">
        <f>IF(D149="",0,MIN(IF(Boss参数!$B$77=1,Boss参数!$B$63*Boss参数!$B$62,Boss参数!$B$61*Boss参数!$B$62),DW149+ROUNDDOWN(BS149,0)+ROUNDDOWN(DW149*Q149,0)))</f>
        <v>0</v>
      </c>
      <c r="BV149" s="1">
        <f>IF(D149="",0,MIN(IF(Boss参数!$B$77=1,Boss参数!$B$63*Boss参数!$B$62,Boss参数!$B$61*Boss参数!$B$62),DX149+ROUNDDOWN(BT149,0)+ROUNDDOWN(DX149*Q149,0)))</f>
        <v>0</v>
      </c>
      <c r="BW149" s="1">
        <f t="shared" si="147"/>
        <v>0</v>
      </c>
      <c r="BX149" s="1" t="str">
        <f t="shared" si="148"/>
        <v/>
      </c>
      <c r="BY149" s="1">
        <f t="shared" si="149"/>
        <v>2</v>
      </c>
      <c r="BZ149" s="1">
        <f t="shared" si="150"/>
        <v>1</v>
      </c>
      <c r="CA149" s="1">
        <f>MIN(10,W149+IF(AND(L149="LILYA_COBRA",COUNTIF($L$3:L149,"LILYA_COBRA")=1),5,0)+IF(AND(L149="LILYA_DIVE",U149=1,COUNTIFS($DG$3:DG149,DG149,$L$3:L149,"LILYA_DIVE")=1),2,0)+IF(AND(FE149=1,U149=1),3,0))</f>
        <v>10</v>
      </c>
      <c r="CB149" s="1">
        <f>MIN(20,MAX(0,X149+IF(L149="LILYA_COBRA",IF(COUNTIF($L$3:L149,"LILYA_COBRA")=1,6,IF(U149=1,MAX(1,G149),IF(U149=2,2*MAX(1,G149),0))),0)+IF(AND(Y149=1,E149="红弩箭",L149&lt;&gt;"ENTER_INSIGHT"),1,0)-IF(AND(L149="LILYA_ULT",X149&gt;=6),6,0)))</f>
        <v>13</v>
      </c>
      <c r="CC149" s="1">
        <f t="shared" si="151"/>
        <v>0</v>
      </c>
      <c r="CD149" s="1">
        <f t="shared" si="152"/>
        <v>0</v>
      </c>
      <c r="CE149" s="1">
        <f t="shared" si="153"/>
        <v>0</v>
      </c>
      <c r="CF149" s="1">
        <f t="shared" si="154"/>
        <v>10</v>
      </c>
      <c r="CG149" s="1">
        <f t="shared" si="155"/>
        <v>1</v>
      </c>
      <c r="CH149" s="1">
        <f>MIN(35,AD149+IF(L149="J_HARD",6,0)+IF(L149="J_COUNTER",Boss参数!$B$30,0))</f>
        <v>35</v>
      </c>
      <c r="CI149" s="1">
        <f>MIN(Boss参数!$I$4,AE149+IF(L149="J_HARD",6,0)+IF(L149="J_ULT",AD149,0)+IF(L149="J_COUNTER",Boss参数!$B$30,0))</f>
        <v>0</v>
      </c>
      <c r="CJ149" s="1">
        <f>IF(L149="J_ULT",AD149*Boss参数!$B$41,IF(B149&lt;=AG149,AF149,0))</f>
        <v>0.875</v>
      </c>
      <c r="CK149" s="1">
        <f t="shared" si="156"/>
        <v>9</v>
      </c>
      <c r="CL149" s="1">
        <f t="shared" si="157"/>
        <v>9</v>
      </c>
      <c r="CM149" s="1">
        <f t="shared" si="158"/>
        <v>8</v>
      </c>
      <c r="CN149" s="1">
        <f t="shared" si="159"/>
        <v>9</v>
      </c>
      <c r="CO149" s="1">
        <f t="shared" si="160"/>
        <v>8</v>
      </c>
      <c r="CP149" s="1">
        <f t="shared" si="161"/>
        <v>3</v>
      </c>
      <c r="CQ149" s="1">
        <f t="shared" si="162"/>
        <v>30</v>
      </c>
      <c r="CR149" s="1">
        <f t="shared" si="163"/>
        <v>9</v>
      </c>
      <c r="CS149" s="1">
        <f t="shared" si="164"/>
        <v>0</v>
      </c>
      <c r="CT149" s="1" t="e">
        <f t="shared" si="165"/>
        <v>#VALUE!</v>
      </c>
      <c r="CU149" s="1" t="e">
        <f t="shared" si="166"/>
        <v>#VALUE!</v>
      </c>
      <c r="CV149" s="1">
        <f t="shared" si="167"/>
        <v>0.3</v>
      </c>
      <c r="CW149" s="1">
        <f t="shared" si="168"/>
        <v>9</v>
      </c>
      <c r="CX149" s="1">
        <f t="shared" si="169"/>
        <v>0.3</v>
      </c>
      <c r="CY149" s="1">
        <f t="shared" si="170"/>
        <v>9</v>
      </c>
      <c r="CZ149" s="1"/>
      <c r="DA149" s="1"/>
      <c r="DB149" s="1"/>
      <c r="DC149" s="1"/>
      <c r="DD149" s="1"/>
      <c r="DE149" s="1"/>
      <c r="DF149" s="1"/>
      <c r="DG149" s="1" t="str">
        <f>IF(D149="","",行动模拟!B155)</f>
        <v/>
      </c>
      <c r="DH149" s="1" t="str">
        <f>IF(L149="END_TURN","回合结束",IF(D149="","",IF(INDEX(回合状态!$C$7:$C$17,MATCH(DG149,回合状态!$A$7:$A$17,0))="洞穿","洞穿",IF(OR(L149="J_COUNTER",L149="BOSS_ACTION",L149="BOSS_CONSERVATIVE"),"敌方",IF(AND(L149="37_FOLLOW",DG149=DG148,DH148="敌方"),"敌方",IF(INDEX(回合状态!$C$7:$C$17,MATCH(DG149,回合状态!$A$7:$A$17,0))="普通","出牌",INDEX(回合状态!$C$7:$C$17,MATCH(DG149,回合状态!$A$7:$A$17,0))))))))</f>
        <v/>
      </c>
      <c r="DI149" s="1">
        <f t="shared" si="171"/>
        <v>0</v>
      </c>
      <c r="DJ149" s="1">
        <f>IF(D149="",0,MIN(Boss参数!$B$25,IF(OR(AND(DH149="敌方",OR(DH148&lt;&gt;"敌方",DG149&lt;&gt;DG148)),AND(L149="END_TURN",DH149&lt;&gt;"洞穿"),AND(DG149&lt;&gt;DG148,DH148&lt;&gt;"洞穿",L148&lt;&gt;"END_TURN",COUNTIFS($DG$3:DG148,DG148,$DH$3:DH148,"敌方")=0)),EW149,DN148)))</f>
        <v>0</v>
      </c>
      <c r="DK149" s="1">
        <f>IF(D149="",0,MIN(Boss参数!$B$25,IF(OR(AND(DH149="敌方",OR(DH148&lt;&gt;"敌方",DG149&lt;&gt;DG148)),AND(L149="END_TURN",DH149&lt;&gt;"洞穿"),AND(DG149&lt;&gt;DG148,DH148&lt;&gt;"洞穿",L148&lt;&gt;"END_TURN",COUNTIFS($DG$3:DG148,DG148,$DH$3:DH148,"敌方")=0)),EW149,DO148)))</f>
        <v>0</v>
      </c>
      <c r="DL149" s="1">
        <f>IF(D149="",0,MIN(Boss参数!$B$25,IF(OR(AND(DH149="敌方",OR(DH148&lt;&gt;"敌方",DG149&lt;&gt;DG148)),AND(L149="END_TURN",DH149&lt;&gt;"洞穿"),AND(DG149&lt;&gt;DG148,DH148&lt;&gt;"洞穿",L148&lt;&gt;"END_TURN",COUNTIFS($DG$3:DG148,DG148,$DH$3:DH148,"敌方")=0)),EW149,DP148)))</f>
        <v>0</v>
      </c>
      <c r="DM149" s="1">
        <f>IF(D149="",0,MIN(Boss参数!$B$25,IF(OR(AND(DH149="敌方",OR(DH148&lt;&gt;"敌方",DG149&lt;&gt;DG148)),AND(L149="END_TURN",DH149&lt;&gt;"洞穿"),AND(DG149&lt;&gt;DG148,DH148&lt;&gt;"洞穿",L148&lt;&gt;"END_TURN",COUNTIFS($DG$3:DG148,DG148,$DH$3:DH148,"敌方")=0)),EW149,DQ148)))</f>
        <v>0</v>
      </c>
      <c r="DN149" s="1">
        <f>MAX(0,MIN(Boss参数!$B$25,DJ149+DR149)-IF(E149="红弩箭",2*DR149,0))</f>
        <v>0</v>
      </c>
      <c r="DO149" s="1">
        <f>MAX(0,MIN(Boss参数!$B$25,DK149+DR149)-IF(E149="37",2*DR149,0))</f>
        <v>0</v>
      </c>
      <c r="DP149" s="1">
        <f>MAX(0,MIN(Boss参数!$B$25,DL149+DR149)-IF(E149="小瑞安侬",2*DR149,0))</f>
        <v>0</v>
      </c>
      <c r="DQ149" s="1">
        <f>MAX(0,MIN(Boss参数!$B$25,DM149+DR149)-IF(E149="J",2*DR149,0))</f>
        <v>0</v>
      </c>
      <c r="DR149" s="1">
        <f t="shared" si="172"/>
        <v>0</v>
      </c>
      <c r="DS149" s="1">
        <f t="shared" si="173"/>
        <v>0</v>
      </c>
      <c r="DT149" s="1">
        <f>IF(OR(E149="",E149="系统"),0,IF(OR(AND(DS149=1,Boss参数!$B$32=1),L149="RHI_BERRY",OR(AND(INDEX(角色面板!$B$18:$B$21,MATCH(E149,角色面板!$A$18:$A$21,0))="星",Boss参数!$B$4="岩"),AND(INDEX(角色面板!$B$18:$B$21,MATCH(E149,角色面板!$A$18:$A$21,0))="岩",Boss参数!$B$4="兽"),AND(INDEX(角色面板!$B$18:$B$21,MATCH(E149,角色面板!$A$18:$A$21,0))="兽",Boss参数!$B$4="木"),AND(INDEX(角色面板!$B$18:$B$21,MATCH(E149,角色面板!$A$18:$A$21,0))="木",Boss参数!$B$4="星"),AND(INDEX(角色面板!$B$18:$B$21,MATCH(E149,角色面板!$A$18:$A$21,0))="智",Boss参数!$B$4="灵"),AND(INDEX(角色面板!$B$18:$B$21,MATCH(E149,角色面板!$A$18:$A$21,0))="灵",Boss参数!$B$4="智"))),1,0))</f>
        <v>0</v>
      </c>
      <c r="DU149" s="1">
        <f>IF(D149="",0,INDEX(回合状态!$E$7:$E$17,MATCH(DG149,回合状态!$A$7:$A$17,0))+IF(AND(DH149="敌方",OR(INDEX(回合状态!$C$7:$C$17,MATCH(DG149,回合状态!$A$7:$A$17,0))="普通",INDEX(回合状态!$C$7:$C$17,MATCH(DG149,回合状态!$A$7:$A$17,0))="额外")),0.05,0))</f>
        <v>0</v>
      </c>
      <c r="DV149" s="1">
        <f>MAX(Boss参数!$B$28,1+IF(AND(E149="37",AC149&gt;0,BH149&gt;0),Boss参数!$B$42,0)-DI149*Boss参数!$B$24+EA149-ER149)</f>
        <v>9.9999999999999978E-2</v>
      </c>
      <c r="DW149" s="1">
        <f>MIN(IF(Boss参数!$B$77=1,Boss参数!$B$63*Boss参数!$B$62,Boss参数!$B$61*Boss参数!$B$62),ROUNDDOWN(BQ149*(1-ES149),0))</f>
        <v>0</v>
      </c>
      <c r="DX149" s="1">
        <f>MIN(IF(Boss参数!$B$77=1,Boss参数!$B$63*Boss参数!$B$62,Boss参数!$B$61*Boss参数!$B$62),ROUNDDOWN(BR149*(1-ES149),0))</f>
        <v>0</v>
      </c>
      <c r="DY149" s="1">
        <f t="shared" si="205"/>
        <v>250</v>
      </c>
      <c r="DZ149" s="1">
        <f>IF(L149="RHI_ULT",MIN(Boss参数!$B$48,ROUNDDOWN(AY149*Boss参数!$B$47,0)),DY149)</f>
        <v>250</v>
      </c>
      <c r="EA149" s="1">
        <v>0</v>
      </c>
      <c r="EB149" s="1">
        <f t="shared" si="174"/>
        <v>0</v>
      </c>
      <c r="EC149" s="1">
        <f>SUMIFS($EB$3:EB149,$B$3:B149,"&gt;="&amp;MAX(1,B149-2),$B$3:B149,"&lt;="&amp;B149)*Boss参数!$B$51</f>
        <v>0</v>
      </c>
      <c r="ED149" s="1">
        <f>IF(D149="",EG148,IF(AND(DG149&lt;&gt;DG148,DH149&lt;&gt;"洞穿"),MIN(Boss参数!$B$55,EG148+2),EG148))</f>
        <v>0</v>
      </c>
      <c r="EE149" s="1">
        <f t="shared" si="175"/>
        <v>0</v>
      </c>
      <c r="EF149" s="1">
        <f>IF(AND(OR(L149="END_TURN",AND(DH149="敌方",OR(DH148&lt;&gt;"敌方",DG149&lt;&gt;DG148))),SUMIFS($EF$3:EF148,$DG$3:DG148,DG149)=0),MIN(1,MAX(0,ED149-EE149)),0)</f>
        <v>0</v>
      </c>
      <c r="EG149" s="1">
        <f t="shared" si="176"/>
        <v>0</v>
      </c>
      <c r="EH149" s="1">
        <f>Boss参数!$B$53-IF(Y149=1,Boss参数!$B$54,0)</f>
        <v>0</v>
      </c>
      <c r="EI149" s="1">
        <f t="shared" si="177"/>
        <v>0.15</v>
      </c>
      <c r="EJ149" s="1">
        <f t="shared" si="178"/>
        <v>0.15</v>
      </c>
      <c r="EK149" s="1" t="e">
        <f t="shared" si="179"/>
        <v>#VALUE!</v>
      </c>
      <c r="EL149" s="1">
        <f t="shared" si="206"/>
        <v>0</v>
      </c>
      <c r="EM149" s="1">
        <f>IF(AND(DG149&lt;&gt;DG148,DH149="洞穿"),0,IF(L149="ENTER_INSIGHT",Boss参数!$B$57,EO148))</f>
        <v>0</v>
      </c>
      <c r="EN149" s="1">
        <f>IF(AND(Y149=1,H149="洞知",EM149&gt;0),Boss参数!$B$56,0)</f>
        <v>0</v>
      </c>
      <c r="EO149" s="1">
        <f t="shared" si="180"/>
        <v>0</v>
      </c>
      <c r="EP149" s="1">
        <f t="shared" si="207"/>
        <v>23210479</v>
      </c>
      <c r="EQ149" s="1">
        <f>ROUNDDOWN(EP149/Boss参数!$B$62,0)</f>
        <v>232</v>
      </c>
      <c r="ER149" s="1">
        <f>IF(EQ149&gt;=Boss参数!$B$66,Boss参数!$B$69,IF(EQ149&gt;=Boss参数!$B$65,Boss参数!$B$68,IF(EQ149&gt;=Boss参数!$B$64,Boss参数!$B$67,0)))</f>
        <v>0.9</v>
      </c>
      <c r="ES149" s="1">
        <f>MIN(1,IF(EQ149&gt;=Boss参数!$B$66,Boss参数!$B$72+ROUNDDOWN((EQ149-Boss参数!$B$66)/Boss参数!$B$73,0)*Boss参数!$B$74,IF(EQ149&gt;=Boss参数!$B$65,Boss参数!$B$71,IF(EQ149&gt;=Boss参数!$B$64,Boss参数!$B$70,0))))</f>
        <v>0.65</v>
      </c>
      <c r="ET149" s="1">
        <f>MIN(Boss参数!$B$61*Boss参数!$B$62,EP149+IF(AND(Boss参数!$B$60=1,ISNUMBER(验证表!H155)),验证表!H155,EU149))</f>
        <v>23210479</v>
      </c>
      <c r="EU149" s="1">
        <f>IF(D149="",0,IF(验证表!G155="是",BV149,IF(验证表!G155="否",BU149,BW149)))</f>
        <v>0</v>
      </c>
      <c r="EV149" s="1">
        <f>IF(EQ149&gt;=Boss参数!$B$66,2,IF(EQ149&gt;=Boss参数!$B$65,1,0))</f>
        <v>2</v>
      </c>
      <c r="EW149" s="1">
        <f t="shared" si="181"/>
        <v>3</v>
      </c>
      <c r="EX149" s="1">
        <f>IF(D149="",0,INDEX(回合状态!$D$7:$D$17,MATCH(DG149,回合状态!$A$7:$A$17,0)))</f>
        <v>0</v>
      </c>
      <c r="EY149" s="1">
        <f>IF(OR(L149="RHI_ATTACK",L149="RHI_BUFF"),1,IF(L149="RHI_ULT",Boss参数!$B$52,0))</f>
        <v>0</v>
      </c>
      <c r="EZ149" s="1">
        <f>MIN(6,SUMIFS($EY$3:EY149,$EX$3:EX149,"&gt;="&amp;MAX(1,EX149-Boss参数!$B$87+1),$EX$3:EX149,"&lt;="&amp;EX149))</f>
        <v>0</v>
      </c>
      <c r="FA149" s="1">
        <f t="shared" si="208"/>
        <v>0</v>
      </c>
      <c r="FB149" s="17">
        <f>IF(L149="BOSS_CONSERVATIVE",B149+Boss参数!$B$91,FB148)</f>
        <v>7</v>
      </c>
      <c r="FC149" s="17">
        <f t="shared" si="209"/>
        <v>0</v>
      </c>
      <c r="FD149" s="17">
        <f>IF(D149="",FD148,FD148+IF(AND(DG149&lt;&gt;DG148,INDEX(回合状态!$C$7:$C$17,MATCH(DG149,回合状态!$A$7:$A$17,0))&lt;&gt;"洞穿"),1,0))</f>
        <v>8</v>
      </c>
      <c r="FE149" s="17">
        <f>IF(D149="",0,IF(AND(OR(L149="END_TURN",DH149="敌方"),INDEX(回合状态!$C$7:$C$17,MATCH(DG149,回合状态!$A$7:$A$17,0))&lt;&gt;"洞穿",SUMIFS($FE$3:FE148,$DG$3:DG148,DG149)=0),1,0))</f>
        <v>0</v>
      </c>
    </row>
    <row r="150" spans="1:161" ht="84.95" customHeight="1">
      <c r="A150" s="1" t="str">
        <f>行动模拟!A156</f>
        <v/>
      </c>
      <c r="B150" s="1">
        <f>IF(D150="",0,INDEX(回合状态!$B$7:$B$17,MATCH(DG150,回合状态!$A$7:$A$17,0)))</f>
        <v>0</v>
      </c>
      <c r="C150" s="1">
        <f>行动模拟!C156</f>
        <v>0</v>
      </c>
      <c r="D150" s="1" t="str">
        <f>IF(行动模拟!D156="","",行动模拟!D156)</f>
        <v/>
      </c>
      <c r="E150" s="1" t="str">
        <f>IF($D150="","",IFERROR(INDEX(技能数据库!$B$4:$B$38,MATCH($D150,技能数据库!$A$4:$A$38,0)),""))</f>
        <v/>
      </c>
      <c r="F150" s="1" t="str">
        <f>IF($D150="","",IFERROR(INDEX(技能数据库!$C$4:$C$38,MATCH($D150,技能数据库!$A$4:$A$38,0)),""))</f>
        <v/>
      </c>
      <c r="G150" s="1" t="str">
        <f>IF($D150="","",IFERROR(INDEX(技能数据库!$D$4:$D$38,MATCH($D150,技能数据库!$A$4:$A$38,0)),""))</f>
        <v/>
      </c>
      <c r="H150" s="1" t="str">
        <f>IF($D150="","",IFERROR(INDEX(技能数据库!$E$4:$E$38,MATCH($D150,技能数据库!$A$4:$A$38,0)),""))</f>
        <v/>
      </c>
      <c r="I150" s="1" t="str">
        <f>IF($D150="","",IFERROR(INDEX(技能数据库!$F$4:$F$38,MATCH($D150,技能数据库!$A$4:$A$38,0)),""))</f>
        <v/>
      </c>
      <c r="J150" s="1" t="str">
        <f>IF($D150="","",IFERROR(INDEX(技能数据库!$G$4:$G$38,MATCH($D150,技能数据库!$A$4:$A$38,0)),""))</f>
        <v/>
      </c>
      <c r="K150" s="1" t="str">
        <f>IF($D150="","",IFERROR(INDEX(技能数据库!$H$4:$H$38,MATCH($D150,技能数据库!$A$4:$A$38,0)),""))</f>
        <v/>
      </c>
      <c r="L150" s="1" t="str">
        <f>IF($D150="","",IFERROR(INDEX(技能数据库!$I$4:$I$38,MATCH($D150,技能数据库!$A$4:$A$38,0)),""))</f>
        <v/>
      </c>
      <c r="M150" s="1">
        <v>1</v>
      </c>
      <c r="N150" s="1"/>
      <c r="O150" s="1"/>
      <c r="P150" s="1"/>
      <c r="Q150" s="1">
        <f t="shared" si="140"/>
        <v>0</v>
      </c>
      <c r="R150" s="1">
        <v>0</v>
      </c>
      <c r="S150" s="1">
        <v>0</v>
      </c>
      <c r="T150" s="1">
        <f>行动模拟!I156</f>
        <v>0</v>
      </c>
      <c r="U150" s="1">
        <f>IF(FD150&lt;&gt;FD149,IF(BY149=1,IF(MIN(10,CA149+IF(AND(DG150&lt;&gt;DG149,DH149&lt;&gt;"洞穿",SUMIFS($FE$3:FE149,$DG$3:DG149,DG149)=0,BY149=1),3,0))&gt;=10,2,1),IF(BY149=2,IF(BZ149&lt;=1,0,2),0)),BY149)</f>
        <v>2</v>
      </c>
      <c r="V150" s="1">
        <f>IF(FD150&lt;&gt;FD149,IF(BY149=1,IF(MIN(10,CA149+IF(AND(DG150&lt;&gt;DG149,DH149&lt;&gt;"洞穿",SUMIFS($FE$3:FE149,$DG$3:DG149,DG149)=0,BY149=1),3,0))&gt;=10,2,0),IF(BY149=2,MAX(0,BZ149-1),0)),BZ149)</f>
        <v>1</v>
      </c>
      <c r="W150" s="1">
        <f>IF(AND(FD150&lt;&gt;FD149,BY149=2,BZ149&lt;=1),0,MIN(10,CA149+IF(AND(DG150&lt;&gt;DG149,DH149&lt;&gt;"洞穿",SUMIFS($FE$3:FE149,$DG$3:DG149,DG149)=0,BY149=1),3,0)))</f>
        <v>10</v>
      </c>
      <c r="X150" s="1">
        <f t="shared" si="182"/>
        <v>13</v>
      </c>
      <c r="Y150" s="1">
        <f t="shared" si="183"/>
        <v>0</v>
      </c>
      <c r="Z150" s="1">
        <f t="shared" si="184"/>
        <v>0</v>
      </c>
      <c r="AA150" s="1">
        <f t="shared" si="185"/>
        <v>0</v>
      </c>
      <c r="AB150" s="1">
        <f t="shared" si="186"/>
        <v>10</v>
      </c>
      <c r="AC150" s="1">
        <f t="shared" si="187"/>
        <v>1</v>
      </c>
      <c r="AD150" s="1">
        <f t="shared" si="188"/>
        <v>35</v>
      </c>
      <c r="AE150" s="1">
        <f>IF(D150="",0,IF(DG150&lt;&gt;DG149,IFERROR(INDEX(回合状态!$F$7:$F$17,MATCH(DG150,回合状态!$A$7:$A$17,0)),0),CI149))</f>
        <v>0</v>
      </c>
      <c r="AF150" s="1">
        <f t="shared" si="189"/>
        <v>0.875</v>
      </c>
      <c r="AG150" s="1">
        <f t="shared" si="190"/>
        <v>9</v>
      </c>
      <c r="AH150" s="1">
        <f t="shared" si="191"/>
        <v>9</v>
      </c>
      <c r="AI150" s="1">
        <f t="shared" si="192"/>
        <v>8</v>
      </c>
      <c r="AJ150" s="1">
        <f t="shared" si="193"/>
        <v>9</v>
      </c>
      <c r="AK150" s="1">
        <f t="shared" si="194"/>
        <v>8</v>
      </c>
      <c r="AL150" s="1">
        <f t="shared" si="195"/>
        <v>3</v>
      </c>
      <c r="AM150" s="1">
        <f t="shared" si="196"/>
        <v>30</v>
      </c>
      <c r="AN150" s="1">
        <f t="shared" si="197"/>
        <v>9</v>
      </c>
      <c r="AO150" s="1">
        <f t="shared" si="198"/>
        <v>0</v>
      </c>
      <c r="AP150" s="1" t="e">
        <f t="shared" si="199"/>
        <v>#VALUE!</v>
      </c>
      <c r="AQ150" s="1" t="e">
        <f t="shared" si="200"/>
        <v>#VALUE!</v>
      </c>
      <c r="AR150" s="1">
        <f t="shared" si="201"/>
        <v>0.3</v>
      </c>
      <c r="AS150" s="1">
        <f t="shared" si="202"/>
        <v>9</v>
      </c>
      <c r="AT150" s="1">
        <f t="shared" si="203"/>
        <v>0.3</v>
      </c>
      <c r="AU150" s="1">
        <f t="shared" si="204"/>
        <v>9</v>
      </c>
      <c r="AV150" s="1">
        <f>MIN(5,SUMIFS($EL$3:EL150,$B$3:B150,"&gt;="&amp;MAX(1,B150-2),$B$3:B150,"&lt;="&amp;B150)+EC150)</f>
        <v>0</v>
      </c>
      <c r="AW150" s="1">
        <f>MIN(6,SUMIFS($EY$3:EY149,$EX$3:EX149,"&gt;="&amp;MAX(1,EX150-Boss参数!$B$87+1),$EX$3:EX149,"&lt;="&amp;EX150))</f>
        <v>0</v>
      </c>
      <c r="AX150" s="1">
        <f>MIN(4,COUNTIFS($B$3:$B$149,"&gt;="&amp;MAX(1,$B150-2),$B$3:$B$149,"&lt;="&amp;$B150,$L$3:$L$149,"37_FOLLOW"))</f>
        <v>0</v>
      </c>
      <c r="AY150" s="1" t="str">
        <f>IF($E150="","",IF($E150="系统",0,ROUNDDOWN(INDEX(角色面板!$C$4:$C$7,MATCH($E150,角色面板!$A$4:$A$7,0))*(1+INDEX(角色面板!$C$11:$C$14,MATCH($E150,角色面板!$A$11:$A$14,0))+IF($E150="小瑞安侬",MAX(IF($B150&lt;=$AQ150,$AP150,0),IF(AND($L150="RHI_ATTACK",$EE150&gt;0),0.11+0.01*$G150,0)),0)+IF($E150="J",$AD150*Boss参数!$B$18,0))+IF(FD150&lt;=$AN150,MIN(Boss参数!$B$21,ROUNDDOWN(角色面板!$C$19*Boss参数!$B$20,0)),0)+IF(AND($B150&lt;=$AK150,$E150&lt;&gt;"小瑞安侬"),$DY150,0),0)))</f>
        <v/>
      </c>
      <c r="AZ150" s="1" t="str">
        <f>IF($E150="","",MAX(0,MIN(1,IFERROR(INDEX(角色面板!$G$18:$G$21,MATCH($E150,角色面板!$A$18:$A$21,0)),0)-FC150*Boss参数!$B$89-Boss参数!$E$4)))</f>
        <v/>
      </c>
      <c r="BA150" s="1" t="str">
        <f>IF(E150="","",(IF($E150="","",IF($E150="红弩箭",Boss参数!$B$80,IF($E150="J",Boss参数!$B$81,IFERROR(INDEX(角色面板!$H$18:$H$21,MATCH($E150,角色面板!$A$18:$A$21,0)),0)))+IF($B150&lt;=$AI150,Boss参数!$B$13,0)+MIN(30,$AM150)*Boss参数!$B$17+IF(AND($L150="LILYA_ULT",$X150&gt;=6),1,0)+IF(AND($Y150=1,$L150="LILYA_INSIGHT"),IF(MOD($AA150+1,3)=0,Boss参数!$B$83,Boss参数!$B$82),IF(AND($Y150=1,$L150="LILYA_FINISH"),Boss参数!$B$84,0))))-FC150*Boss参数!$B$90)</f>
        <v/>
      </c>
      <c r="BB150" s="1" t="str">
        <f>IF($E150="","",IFERROR(INDEX(角色面板!$M$18:$M$21,MATCH($E150,角色面板!$A$18:$A$21,0)),0)+$AW150*Boss参数!$B$12+IF($B150&lt;=$AG150,$AF150,0)+$EI150+IF($L150="LILYA_DIVE",IF($U150=1,IF($G150=1,0.3,IF($G150=2,0.4,0.5)),IF($U150=2,IF($G150=1,0.6,IF($G150=2,0.8,1)),0)),0)+$R150+IF(AND($E150="J",OR($L150="J_COUNTER",$L150="J_HARD")),Boss参数!$B$79,0)+IF(AND(OR(L150="J_COUNTER",L150="J_HARD"),FA150&gt;=Boss参数!$B$59),FA150*Boss参数!$B$40,0))</f>
        <v/>
      </c>
      <c r="BC150" s="1" t="e">
        <f>IF($E150="","",IFERROR(INDEX(角色面板!$K$18:$K$21,MATCH($E150,角色面板!$A$18:$A$21,0)),0)+IF($B150&lt;=$AH150,Boss参数!$B$46,0)+IF($E150="红弩箭",IF($U150=1,0.6,IF($U150=2,1.2,0))+$W150*0.06,0))-DI150*Boss参数!$B$23</f>
        <v>#VALUE!</v>
      </c>
      <c r="BD150" s="1" t="e">
        <f>IF($E150="","",IFERROR(INDEX(角色面板!$L$18:$L$21,MATCH($E150,角色面板!$A$18:$A$21,0)),0)+IF($B150&lt;=$AH150,Boss参数!$B$46,0)+IF($E150="J",$AL150*Boss参数!$B$16,0)+IF($E150="红弩箭",$X150*0.025,0)+IF(AND($L150="LILYA_ULT",$X150&gt;=6),1,0))-DI150*Boss参数!$B$23</f>
        <v>#VALUE!</v>
      </c>
      <c r="BE150" s="1" t="str">
        <f>IF($E150="","",IF($H150="洞知",IF($E150="红弩箭",$AO150*Boss参数!$B$15,0)+$AX150*Boss参数!$B$14,0))</f>
        <v/>
      </c>
      <c r="BF150" s="1">
        <f t="shared" si="141"/>
        <v>0</v>
      </c>
      <c r="BG150" s="1">
        <f>IF($D150="",0,IF(AND($L150&lt;&gt;"LILYA_DIVE",$L150&lt;&gt;"LILYA_ULT",$L150&lt;&gt;"LILYA_INSIGHT",$L150&lt;&gt;"LILYA_FINISH",$L150&lt;&gt;"37_FOLLOW",$L150&lt;&gt;"RHI_ATTACK",$L150&lt;&gt;"RHI_BERRY",$L150&lt;&gt;"J_COUNTER",$L150&lt;&gt;"J_ULT"),$J150,0)+IF($L150="LILYA_DIVE",$J150+IF($U150=1,IF($G150=1,6,IF($G150=2,12,18)),IF($U150=2,IF($G150=1,12,IF($G150=2,24,36)),0)),0)+IF($L150="LILYA_ULT",$J150+IF($X150&gt;=6,18,0),0)+IF($L150="LILYA_INSIGHT",IF($Y150=1,IF(MOD($AA150+1,3)=0,32,15),0),0)+IF($L150="LILYA_FINISH",IF($Y150=1,50+2.5*$Z150,0),0)+IF($L150="37_FOLLOW",$J150,0)+IF($L150="RHI_ATTACK",$J150*IF($B150&lt;=$AJ150,2,1),0)+IF($L150="RHI_BERRY",15+1.5*$AV150,0)+IF($L150="J_COUNTER",$J150+$AD150*Boss参数!$B$39,0)+IF($L150="J_ULT",$J150+Boss参数!$B$45*MAX(0,$AE150+$AD150-Boss参数!$I$4),0)+$S150)</f>
        <v>0</v>
      </c>
      <c r="BH150" s="1">
        <f t="shared" si="142"/>
        <v>0</v>
      </c>
      <c r="BI150" s="1" t="str">
        <f>IF(E150="","",IF(DT150=1,1+Boss参数!$B$8+AV150*Boss参数!$B$19,1))</f>
        <v/>
      </c>
      <c r="BJ150" s="1">
        <f>IF($I150="现实",Boss参数!$C$4,IF($I150="精神",Boss参数!$D$4,0))</f>
        <v>0</v>
      </c>
      <c r="BK150" s="1" t="str">
        <f>IF($E150="","",MAX($AY150*Boss参数!$B$9,$AY150-$BJ150*(1-$BF150)))</f>
        <v/>
      </c>
      <c r="BL150" s="1">
        <f>MAX(0,Boss参数!$F$4+IF(DT150=0,Boss参数!$B$27,0)-EJ150)</f>
        <v>1.25</v>
      </c>
      <c r="BM150" s="1">
        <f>Boss参数!$G$4+DU150-IF(Y150=1,Boss参数!$B$11,0)</f>
        <v>0.4</v>
      </c>
      <c r="BN150" s="1" t="str">
        <f>IF($E150="","",MAX(Boss参数!$B$10,1+IFERROR(INDEX(角色面板!$I$18:$I$21,MATCH($E150,角色面板!$A$18:$A$21,0)),0)+$BB150+Boss参数!$H$4-$BM150))</f>
        <v/>
      </c>
      <c r="BO150" s="1" t="str">
        <f>IF(E150="","",IF(OR(L150="J_COUNTER",L150="J_HARD"),MAX(0,1+INDEX(角色面板!$K$18:$K$21,MATCH(E150,角色面板!$A$18:$A$21,0))-DI150*Boss参数!$B$23+IF(OR(Boss参数!$B$43=1,L150="J_HARD"),IF(B150&lt;=AH150,Boss参数!$B$46,0),0)),MAX(0,IF(OR(H150="术法",L150="RHI_BERRY",AND(L150="37_FOLLOW",Boss参数!$B$31=1)),1+BC150,IF(H150="仪式",1+BD150,IF(H150="洞知",EK150,1))))))</f>
        <v/>
      </c>
      <c r="BP150" s="1" t="str">
        <f t="shared" si="143"/>
        <v/>
      </c>
      <c r="BQ150" s="1">
        <f t="shared" si="144"/>
        <v>0</v>
      </c>
      <c r="BR150" s="1">
        <f t="shared" si="145"/>
        <v>0</v>
      </c>
      <c r="BS150" s="1">
        <f>IF(BH150=0,0,ROUNDDOWN(AY150*BH150,0)*DV150*IF(Boss参数!$B$29=1,BN150,1)*IF(Boss参数!$B$33=1,BO150,1)*IF(Boss参数!$B$76=1,1-ES150,1))</f>
        <v>0</v>
      </c>
      <c r="BT150" s="1">
        <f t="shared" si="146"/>
        <v>0</v>
      </c>
      <c r="BU150" s="1">
        <f>IF(D150="",0,MIN(IF(Boss参数!$B$77=1,Boss参数!$B$63*Boss参数!$B$62,Boss参数!$B$61*Boss参数!$B$62),DW150+ROUNDDOWN(BS150,0)+ROUNDDOWN(DW150*Q150,0)))</f>
        <v>0</v>
      </c>
      <c r="BV150" s="1">
        <f>IF(D150="",0,MIN(IF(Boss参数!$B$77=1,Boss参数!$B$63*Boss参数!$B$62,Boss参数!$B$61*Boss参数!$B$62),DX150+ROUNDDOWN(BT150,0)+ROUNDDOWN(DX150*Q150,0)))</f>
        <v>0</v>
      </c>
      <c r="BW150" s="1">
        <f t="shared" si="147"/>
        <v>0</v>
      </c>
      <c r="BX150" s="1" t="str">
        <f t="shared" si="148"/>
        <v/>
      </c>
      <c r="BY150" s="1">
        <f t="shared" si="149"/>
        <v>2</v>
      </c>
      <c r="BZ150" s="1">
        <f t="shared" si="150"/>
        <v>1</v>
      </c>
      <c r="CA150" s="1">
        <f>MIN(10,W150+IF(AND(L150="LILYA_COBRA",COUNTIF($L$3:L150,"LILYA_COBRA")=1),5,0)+IF(AND(L150="LILYA_DIVE",U150=1,COUNTIFS($DG$3:DG150,DG150,$L$3:L150,"LILYA_DIVE")=1),2,0)+IF(AND(FE150=1,U150=1),3,0))</f>
        <v>10</v>
      </c>
      <c r="CB150" s="1">
        <f>MIN(20,MAX(0,X150+IF(L150="LILYA_COBRA",IF(COUNTIF($L$3:L150,"LILYA_COBRA")=1,6,IF(U150=1,MAX(1,G150),IF(U150=2,2*MAX(1,G150),0))),0)+IF(AND(Y150=1,E150="红弩箭",L150&lt;&gt;"ENTER_INSIGHT"),1,0)-IF(AND(L150="LILYA_ULT",X150&gt;=6),6,0)))</f>
        <v>13</v>
      </c>
      <c r="CC150" s="1">
        <f t="shared" si="151"/>
        <v>0</v>
      </c>
      <c r="CD150" s="1">
        <f t="shared" si="152"/>
        <v>0</v>
      </c>
      <c r="CE150" s="1">
        <f t="shared" si="153"/>
        <v>0</v>
      </c>
      <c r="CF150" s="1">
        <f t="shared" si="154"/>
        <v>10</v>
      </c>
      <c r="CG150" s="1">
        <f t="shared" si="155"/>
        <v>1</v>
      </c>
      <c r="CH150" s="1">
        <f>MIN(35,AD150+IF(L150="J_HARD",6,0)+IF(L150="J_COUNTER",Boss参数!$B$30,0))</f>
        <v>35</v>
      </c>
      <c r="CI150" s="1">
        <f>MIN(Boss参数!$I$4,AE150+IF(L150="J_HARD",6,0)+IF(L150="J_ULT",AD150,0)+IF(L150="J_COUNTER",Boss参数!$B$30,0))</f>
        <v>0</v>
      </c>
      <c r="CJ150" s="1">
        <f>IF(L150="J_ULT",AD150*Boss参数!$B$41,IF(B150&lt;=AG150,AF150,0))</f>
        <v>0.875</v>
      </c>
      <c r="CK150" s="1">
        <f t="shared" si="156"/>
        <v>9</v>
      </c>
      <c r="CL150" s="1">
        <f t="shared" si="157"/>
        <v>9</v>
      </c>
      <c r="CM150" s="1">
        <f t="shared" si="158"/>
        <v>8</v>
      </c>
      <c r="CN150" s="1">
        <f t="shared" si="159"/>
        <v>9</v>
      </c>
      <c r="CO150" s="1">
        <f t="shared" si="160"/>
        <v>8</v>
      </c>
      <c r="CP150" s="1">
        <f t="shared" si="161"/>
        <v>3</v>
      </c>
      <c r="CQ150" s="1">
        <f t="shared" si="162"/>
        <v>30</v>
      </c>
      <c r="CR150" s="1">
        <f t="shared" si="163"/>
        <v>9</v>
      </c>
      <c r="CS150" s="1">
        <f t="shared" si="164"/>
        <v>0</v>
      </c>
      <c r="CT150" s="1" t="e">
        <f t="shared" si="165"/>
        <v>#VALUE!</v>
      </c>
      <c r="CU150" s="1" t="e">
        <f t="shared" si="166"/>
        <v>#VALUE!</v>
      </c>
      <c r="CV150" s="1">
        <f t="shared" si="167"/>
        <v>0.3</v>
      </c>
      <c r="CW150" s="1">
        <f t="shared" si="168"/>
        <v>9</v>
      </c>
      <c r="CX150" s="1">
        <f t="shared" si="169"/>
        <v>0.3</v>
      </c>
      <c r="CY150" s="1">
        <f t="shared" si="170"/>
        <v>9</v>
      </c>
      <c r="CZ150" s="1"/>
      <c r="DA150" s="1"/>
      <c r="DB150" s="1"/>
      <c r="DC150" s="1"/>
      <c r="DD150" s="1"/>
      <c r="DE150" s="1"/>
      <c r="DF150" s="1"/>
      <c r="DG150" s="1" t="str">
        <f>IF(D150="","",行动模拟!B156)</f>
        <v/>
      </c>
      <c r="DH150" s="1" t="str">
        <f>IF(L150="END_TURN","回合结束",IF(D150="","",IF(INDEX(回合状态!$C$7:$C$17,MATCH(DG150,回合状态!$A$7:$A$17,0))="洞穿","洞穿",IF(OR(L150="J_COUNTER",L150="BOSS_ACTION",L150="BOSS_CONSERVATIVE"),"敌方",IF(AND(L150="37_FOLLOW",DG150=DG149,DH149="敌方"),"敌方",IF(INDEX(回合状态!$C$7:$C$17,MATCH(DG150,回合状态!$A$7:$A$17,0))="普通","出牌",INDEX(回合状态!$C$7:$C$17,MATCH(DG150,回合状态!$A$7:$A$17,0))))))))</f>
        <v/>
      </c>
      <c r="DI150" s="1">
        <f t="shared" si="171"/>
        <v>0</v>
      </c>
      <c r="DJ150" s="1">
        <f>IF(D150="",0,MIN(Boss参数!$B$25,IF(OR(AND(DH150="敌方",OR(DH149&lt;&gt;"敌方",DG150&lt;&gt;DG149)),AND(L150="END_TURN",DH150&lt;&gt;"洞穿"),AND(DG150&lt;&gt;DG149,DH149&lt;&gt;"洞穿",L149&lt;&gt;"END_TURN",COUNTIFS($DG$3:DG149,DG149,$DH$3:DH149,"敌方")=0)),EW150,DN149)))</f>
        <v>0</v>
      </c>
      <c r="DK150" s="1">
        <f>IF(D150="",0,MIN(Boss参数!$B$25,IF(OR(AND(DH150="敌方",OR(DH149&lt;&gt;"敌方",DG150&lt;&gt;DG149)),AND(L150="END_TURN",DH150&lt;&gt;"洞穿"),AND(DG150&lt;&gt;DG149,DH149&lt;&gt;"洞穿",L149&lt;&gt;"END_TURN",COUNTIFS($DG$3:DG149,DG149,$DH$3:DH149,"敌方")=0)),EW150,DO149)))</f>
        <v>0</v>
      </c>
      <c r="DL150" s="1">
        <f>IF(D150="",0,MIN(Boss参数!$B$25,IF(OR(AND(DH150="敌方",OR(DH149&lt;&gt;"敌方",DG150&lt;&gt;DG149)),AND(L150="END_TURN",DH150&lt;&gt;"洞穿"),AND(DG150&lt;&gt;DG149,DH149&lt;&gt;"洞穿",L149&lt;&gt;"END_TURN",COUNTIFS($DG$3:DG149,DG149,$DH$3:DH149,"敌方")=0)),EW150,DP149)))</f>
        <v>0</v>
      </c>
      <c r="DM150" s="1">
        <f>IF(D150="",0,MIN(Boss参数!$B$25,IF(OR(AND(DH150="敌方",OR(DH149&lt;&gt;"敌方",DG150&lt;&gt;DG149)),AND(L150="END_TURN",DH150&lt;&gt;"洞穿"),AND(DG150&lt;&gt;DG149,DH149&lt;&gt;"洞穿",L149&lt;&gt;"END_TURN",COUNTIFS($DG$3:DG149,DG149,$DH$3:DH149,"敌方")=0)),EW150,DQ149)))</f>
        <v>0</v>
      </c>
      <c r="DN150" s="1">
        <f>MAX(0,MIN(Boss参数!$B$25,DJ150+DR150)-IF(E150="红弩箭",2*DR150,0))</f>
        <v>0</v>
      </c>
      <c r="DO150" s="1">
        <f>MAX(0,MIN(Boss参数!$B$25,DK150+DR150)-IF(E150="37",2*DR150,0))</f>
        <v>0</v>
      </c>
      <c r="DP150" s="1">
        <f>MAX(0,MIN(Boss参数!$B$25,DL150+DR150)-IF(E150="小瑞安侬",2*DR150,0))</f>
        <v>0</v>
      </c>
      <c r="DQ150" s="1">
        <f>MAX(0,MIN(Boss参数!$B$25,DM150+DR150)-IF(E150="J",2*DR150,0))</f>
        <v>0</v>
      </c>
      <c r="DR150" s="1">
        <f t="shared" si="172"/>
        <v>0</v>
      </c>
      <c r="DS150" s="1">
        <f t="shared" si="173"/>
        <v>0</v>
      </c>
      <c r="DT150" s="1">
        <f>IF(OR(E150="",E150="系统"),0,IF(OR(AND(DS150=1,Boss参数!$B$32=1),L150="RHI_BERRY",OR(AND(INDEX(角色面板!$B$18:$B$21,MATCH(E150,角色面板!$A$18:$A$21,0))="星",Boss参数!$B$4="岩"),AND(INDEX(角色面板!$B$18:$B$21,MATCH(E150,角色面板!$A$18:$A$21,0))="岩",Boss参数!$B$4="兽"),AND(INDEX(角色面板!$B$18:$B$21,MATCH(E150,角色面板!$A$18:$A$21,0))="兽",Boss参数!$B$4="木"),AND(INDEX(角色面板!$B$18:$B$21,MATCH(E150,角色面板!$A$18:$A$21,0))="木",Boss参数!$B$4="星"),AND(INDEX(角色面板!$B$18:$B$21,MATCH(E150,角色面板!$A$18:$A$21,0))="智",Boss参数!$B$4="灵"),AND(INDEX(角色面板!$B$18:$B$21,MATCH(E150,角色面板!$A$18:$A$21,0))="灵",Boss参数!$B$4="智"))),1,0))</f>
        <v>0</v>
      </c>
      <c r="DU150" s="1">
        <f>IF(D150="",0,INDEX(回合状态!$E$7:$E$17,MATCH(DG150,回合状态!$A$7:$A$17,0))+IF(AND(DH150="敌方",OR(INDEX(回合状态!$C$7:$C$17,MATCH(DG150,回合状态!$A$7:$A$17,0))="普通",INDEX(回合状态!$C$7:$C$17,MATCH(DG150,回合状态!$A$7:$A$17,0))="额外")),0.05,0))</f>
        <v>0</v>
      </c>
      <c r="DV150" s="1">
        <f>MAX(Boss参数!$B$28,1+IF(AND(E150="37",AC150&gt;0,BH150&gt;0),Boss参数!$B$42,0)-DI150*Boss参数!$B$24+EA150-ER150)</f>
        <v>9.9999999999999978E-2</v>
      </c>
      <c r="DW150" s="1">
        <f>MIN(IF(Boss参数!$B$77=1,Boss参数!$B$63*Boss参数!$B$62,Boss参数!$B$61*Boss参数!$B$62),ROUNDDOWN(BQ150*(1-ES150),0))</f>
        <v>0</v>
      </c>
      <c r="DX150" s="1">
        <f>MIN(IF(Boss参数!$B$77=1,Boss参数!$B$63*Boss参数!$B$62,Boss参数!$B$61*Boss参数!$B$62),ROUNDDOWN(BR150*(1-ES150),0))</f>
        <v>0</v>
      </c>
      <c r="DY150" s="1">
        <f t="shared" si="205"/>
        <v>250</v>
      </c>
      <c r="DZ150" s="1">
        <f>IF(L150="RHI_ULT",MIN(Boss参数!$B$48,ROUNDDOWN(AY150*Boss参数!$B$47,0)),DY150)</f>
        <v>250</v>
      </c>
      <c r="EA150" s="1">
        <v>0</v>
      </c>
      <c r="EB150" s="1">
        <f t="shared" si="174"/>
        <v>0</v>
      </c>
      <c r="EC150" s="1">
        <f>SUMIFS($EB$3:EB150,$B$3:B150,"&gt;="&amp;MAX(1,B150-2),$B$3:B150,"&lt;="&amp;B150)*Boss参数!$B$51</f>
        <v>0</v>
      </c>
      <c r="ED150" s="1">
        <f>IF(D150="",EG149,IF(AND(DG150&lt;&gt;DG149,DH150&lt;&gt;"洞穿"),MIN(Boss参数!$B$55,EG149+2),EG149))</f>
        <v>0</v>
      </c>
      <c r="EE150" s="1">
        <f t="shared" si="175"/>
        <v>0</v>
      </c>
      <c r="EF150" s="1">
        <f>IF(AND(OR(L150="END_TURN",AND(DH150="敌方",OR(DH149&lt;&gt;"敌方",DG150&lt;&gt;DG149))),SUMIFS($EF$3:EF149,$DG$3:DG149,DG150)=0),MIN(1,MAX(0,ED150-EE150)),0)</f>
        <v>0</v>
      </c>
      <c r="EG150" s="1">
        <f t="shared" si="176"/>
        <v>0</v>
      </c>
      <c r="EH150" s="1">
        <f>Boss参数!$B$53-IF(Y150=1,Boss参数!$B$54,0)</f>
        <v>0</v>
      </c>
      <c r="EI150" s="1">
        <f t="shared" si="177"/>
        <v>0.15</v>
      </c>
      <c r="EJ150" s="1">
        <f t="shared" si="178"/>
        <v>0.15</v>
      </c>
      <c r="EK150" s="1" t="e">
        <f t="shared" si="179"/>
        <v>#VALUE!</v>
      </c>
      <c r="EL150" s="1">
        <f t="shared" si="206"/>
        <v>0</v>
      </c>
      <c r="EM150" s="1">
        <f>IF(AND(DG150&lt;&gt;DG149,DH150="洞穿"),0,IF(L150="ENTER_INSIGHT",Boss参数!$B$57,EO149))</f>
        <v>0</v>
      </c>
      <c r="EN150" s="1">
        <f>IF(AND(Y150=1,H150="洞知",EM150&gt;0),Boss参数!$B$56,0)</f>
        <v>0</v>
      </c>
      <c r="EO150" s="1">
        <f t="shared" si="180"/>
        <v>0</v>
      </c>
      <c r="EP150" s="1">
        <f t="shared" si="207"/>
        <v>23210479</v>
      </c>
      <c r="EQ150" s="1">
        <f>ROUNDDOWN(EP150/Boss参数!$B$62,0)</f>
        <v>232</v>
      </c>
      <c r="ER150" s="1">
        <f>IF(EQ150&gt;=Boss参数!$B$66,Boss参数!$B$69,IF(EQ150&gt;=Boss参数!$B$65,Boss参数!$B$68,IF(EQ150&gt;=Boss参数!$B$64,Boss参数!$B$67,0)))</f>
        <v>0.9</v>
      </c>
      <c r="ES150" s="1">
        <f>MIN(1,IF(EQ150&gt;=Boss参数!$B$66,Boss参数!$B$72+ROUNDDOWN((EQ150-Boss参数!$B$66)/Boss参数!$B$73,0)*Boss参数!$B$74,IF(EQ150&gt;=Boss参数!$B$65,Boss参数!$B$71,IF(EQ150&gt;=Boss参数!$B$64,Boss参数!$B$70,0))))</f>
        <v>0.65</v>
      </c>
      <c r="ET150" s="1">
        <f>MIN(Boss参数!$B$61*Boss参数!$B$62,EP150+IF(AND(Boss参数!$B$60=1,ISNUMBER(验证表!H156)),验证表!H156,EU150))</f>
        <v>23210479</v>
      </c>
      <c r="EU150" s="1">
        <f>IF(D150="",0,IF(验证表!G156="是",BV150,IF(验证表!G156="否",BU150,BW150)))</f>
        <v>0</v>
      </c>
      <c r="EV150" s="1">
        <f>IF(EQ150&gt;=Boss参数!$B$66,2,IF(EQ150&gt;=Boss参数!$B$65,1,0))</f>
        <v>2</v>
      </c>
      <c r="EW150" s="1">
        <f t="shared" si="181"/>
        <v>3</v>
      </c>
      <c r="EX150" s="1">
        <f>IF(D150="",0,INDEX(回合状态!$D$7:$D$17,MATCH(DG150,回合状态!$A$7:$A$17,0)))</f>
        <v>0</v>
      </c>
      <c r="EY150" s="1">
        <f>IF(OR(L150="RHI_ATTACK",L150="RHI_BUFF"),1,IF(L150="RHI_ULT",Boss参数!$B$52,0))</f>
        <v>0</v>
      </c>
      <c r="EZ150" s="1">
        <f>MIN(6,SUMIFS($EY$3:EY150,$EX$3:EX150,"&gt;="&amp;MAX(1,EX150-Boss参数!$B$87+1),$EX$3:EX150,"&lt;="&amp;EX150))</f>
        <v>0</v>
      </c>
      <c r="FA150" s="1">
        <f t="shared" si="208"/>
        <v>0</v>
      </c>
      <c r="FB150" s="17">
        <f>IF(L150="BOSS_CONSERVATIVE",B150+Boss参数!$B$91,FB149)</f>
        <v>7</v>
      </c>
      <c r="FC150" s="17">
        <f t="shared" si="209"/>
        <v>0</v>
      </c>
      <c r="FD150" s="17">
        <f>IF(D150="",FD149,FD149+IF(AND(DG150&lt;&gt;DG149,INDEX(回合状态!$C$7:$C$17,MATCH(DG150,回合状态!$A$7:$A$17,0))&lt;&gt;"洞穿"),1,0))</f>
        <v>8</v>
      </c>
      <c r="FE150" s="17">
        <f>IF(D150="",0,IF(AND(OR(L150="END_TURN",DH150="敌方"),INDEX(回合状态!$C$7:$C$17,MATCH(DG150,回合状态!$A$7:$A$17,0))&lt;&gt;"洞穿",SUMIFS($FE$3:FE149,$DG$3:DG149,DG150)=0),1,0))</f>
        <v>0</v>
      </c>
    </row>
    <row r="151" spans="1:161" ht="84.95" customHeight="1">
      <c r="A151" s="1" t="str">
        <f>行动模拟!A157</f>
        <v/>
      </c>
      <c r="B151" s="1">
        <f>IF(D151="",0,INDEX(回合状态!$B$7:$B$17,MATCH(DG151,回合状态!$A$7:$A$17,0)))</f>
        <v>0</v>
      </c>
      <c r="C151" s="1">
        <f>行动模拟!C157</f>
        <v>0</v>
      </c>
      <c r="D151" s="1" t="str">
        <f>IF(行动模拟!D157="","",行动模拟!D157)</f>
        <v/>
      </c>
      <c r="E151" s="1" t="str">
        <f>IF($D151="","",IFERROR(INDEX(技能数据库!$B$4:$B$38,MATCH($D151,技能数据库!$A$4:$A$38,0)),""))</f>
        <v/>
      </c>
      <c r="F151" s="1" t="str">
        <f>IF($D151="","",IFERROR(INDEX(技能数据库!$C$4:$C$38,MATCH($D151,技能数据库!$A$4:$A$38,0)),""))</f>
        <v/>
      </c>
      <c r="G151" s="1" t="str">
        <f>IF($D151="","",IFERROR(INDEX(技能数据库!$D$4:$D$38,MATCH($D151,技能数据库!$A$4:$A$38,0)),""))</f>
        <v/>
      </c>
      <c r="H151" s="1" t="str">
        <f>IF($D151="","",IFERROR(INDEX(技能数据库!$E$4:$E$38,MATCH($D151,技能数据库!$A$4:$A$38,0)),""))</f>
        <v/>
      </c>
      <c r="I151" s="1" t="str">
        <f>IF($D151="","",IFERROR(INDEX(技能数据库!$F$4:$F$38,MATCH($D151,技能数据库!$A$4:$A$38,0)),""))</f>
        <v/>
      </c>
      <c r="J151" s="1" t="str">
        <f>IF($D151="","",IFERROR(INDEX(技能数据库!$G$4:$G$38,MATCH($D151,技能数据库!$A$4:$A$38,0)),""))</f>
        <v/>
      </c>
      <c r="K151" s="1" t="str">
        <f>IF($D151="","",IFERROR(INDEX(技能数据库!$H$4:$H$38,MATCH($D151,技能数据库!$A$4:$A$38,0)),""))</f>
        <v/>
      </c>
      <c r="L151" s="1" t="str">
        <f>IF($D151="","",IFERROR(INDEX(技能数据库!$I$4:$I$38,MATCH($D151,技能数据库!$A$4:$A$38,0)),""))</f>
        <v/>
      </c>
      <c r="M151" s="1">
        <v>1</v>
      </c>
      <c r="N151" s="1"/>
      <c r="O151" s="1"/>
      <c r="P151" s="1"/>
      <c r="Q151" s="1">
        <f t="shared" si="140"/>
        <v>0</v>
      </c>
      <c r="R151" s="1">
        <v>0</v>
      </c>
      <c r="S151" s="1">
        <v>0</v>
      </c>
      <c r="T151" s="1">
        <f>行动模拟!I157</f>
        <v>0</v>
      </c>
      <c r="U151" s="1">
        <f>IF(FD151&lt;&gt;FD150,IF(BY150=1,IF(MIN(10,CA150+IF(AND(DG151&lt;&gt;DG150,DH150&lt;&gt;"洞穿",SUMIFS($FE$3:FE150,$DG$3:DG150,DG150)=0,BY150=1),3,0))&gt;=10,2,1),IF(BY150=2,IF(BZ150&lt;=1,0,2),0)),BY150)</f>
        <v>2</v>
      </c>
      <c r="V151" s="1">
        <f>IF(FD151&lt;&gt;FD150,IF(BY150=1,IF(MIN(10,CA150+IF(AND(DG151&lt;&gt;DG150,DH150&lt;&gt;"洞穿",SUMIFS($FE$3:FE150,$DG$3:DG150,DG150)=0,BY150=1),3,0))&gt;=10,2,0),IF(BY150=2,MAX(0,BZ150-1),0)),BZ150)</f>
        <v>1</v>
      </c>
      <c r="W151" s="1">
        <f>IF(AND(FD151&lt;&gt;FD150,BY150=2,BZ150&lt;=1),0,MIN(10,CA150+IF(AND(DG151&lt;&gt;DG150,DH150&lt;&gt;"洞穿",SUMIFS($FE$3:FE150,$DG$3:DG150,DG150)=0,BY150=1),3,0)))</f>
        <v>10</v>
      </c>
      <c r="X151" s="1">
        <f t="shared" si="182"/>
        <v>13</v>
      </c>
      <c r="Y151" s="1">
        <f t="shared" si="183"/>
        <v>0</v>
      </c>
      <c r="Z151" s="1">
        <f t="shared" si="184"/>
        <v>0</v>
      </c>
      <c r="AA151" s="1">
        <f t="shared" si="185"/>
        <v>0</v>
      </c>
      <c r="AB151" s="1">
        <f t="shared" si="186"/>
        <v>10</v>
      </c>
      <c r="AC151" s="1">
        <f t="shared" si="187"/>
        <v>1</v>
      </c>
      <c r="AD151" s="1">
        <f t="shared" si="188"/>
        <v>35</v>
      </c>
      <c r="AE151" s="1">
        <f>IF(D151="",0,IF(DG151&lt;&gt;DG150,IFERROR(INDEX(回合状态!$F$7:$F$17,MATCH(DG151,回合状态!$A$7:$A$17,0)),0),CI150))</f>
        <v>0</v>
      </c>
      <c r="AF151" s="1">
        <f t="shared" si="189"/>
        <v>0.875</v>
      </c>
      <c r="AG151" s="1">
        <f t="shared" si="190"/>
        <v>9</v>
      </c>
      <c r="AH151" s="1">
        <f t="shared" si="191"/>
        <v>9</v>
      </c>
      <c r="AI151" s="1">
        <f t="shared" si="192"/>
        <v>8</v>
      </c>
      <c r="AJ151" s="1">
        <f t="shared" si="193"/>
        <v>9</v>
      </c>
      <c r="AK151" s="1">
        <f t="shared" si="194"/>
        <v>8</v>
      </c>
      <c r="AL151" s="1">
        <f t="shared" si="195"/>
        <v>3</v>
      </c>
      <c r="AM151" s="1">
        <f t="shared" si="196"/>
        <v>30</v>
      </c>
      <c r="AN151" s="1">
        <f t="shared" si="197"/>
        <v>9</v>
      </c>
      <c r="AO151" s="1">
        <f t="shared" si="198"/>
        <v>0</v>
      </c>
      <c r="AP151" s="1" t="e">
        <f t="shared" si="199"/>
        <v>#VALUE!</v>
      </c>
      <c r="AQ151" s="1" t="e">
        <f t="shared" si="200"/>
        <v>#VALUE!</v>
      </c>
      <c r="AR151" s="1">
        <f t="shared" si="201"/>
        <v>0.3</v>
      </c>
      <c r="AS151" s="1">
        <f t="shared" si="202"/>
        <v>9</v>
      </c>
      <c r="AT151" s="1">
        <f t="shared" si="203"/>
        <v>0.3</v>
      </c>
      <c r="AU151" s="1">
        <f t="shared" si="204"/>
        <v>9</v>
      </c>
      <c r="AV151" s="1">
        <f>MIN(5,SUMIFS($EL$3:EL151,$B$3:B151,"&gt;="&amp;MAX(1,B151-2),$B$3:B151,"&lt;="&amp;B151)+EC151)</f>
        <v>0</v>
      </c>
      <c r="AW151" s="1">
        <f>MIN(6,SUMIFS($EY$3:EY150,$EX$3:EX150,"&gt;="&amp;MAX(1,EX151-Boss参数!$B$87+1),$EX$3:EX150,"&lt;="&amp;EX151))</f>
        <v>0</v>
      </c>
      <c r="AX151" s="1">
        <f>MIN(4,COUNTIFS($B$3:$B$150,"&gt;="&amp;MAX(1,$B151-2),$B$3:$B$150,"&lt;="&amp;$B151,$L$3:$L$150,"37_FOLLOW"))</f>
        <v>0</v>
      </c>
      <c r="AY151" s="1" t="str">
        <f>IF($E151="","",IF($E151="系统",0,ROUNDDOWN(INDEX(角色面板!$C$4:$C$7,MATCH($E151,角色面板!$A$4:$A$7,0))*(1+INDEX(角色面板!$C$11:$C$14,MATCH($E151,角色面板!$A$11:$A$14,0))+IF($E151="小瑞安侬",MAX(IF($B151&lt;=$AQ151,$AP151,0),IF(AND($L151="RHI_ATTACK",$EE151&gt;0),0.11+0.01*$G151,0)),0)+IF($E151="J",$AD151*Boss参数!$B$18,0))+IF(FD151&lt;=$AN151,MIN(Boss参数!$B$21,ROUNDDOWN(角色面板!$C$19*Boss参数!$B$20,0)),0)+IF(AND($B151&lt;=$AK151,$E151&lt;&gt;"小瑞安侬"),$DY151,0),0)))</f>
        <v/>
      </c>
      <c r="AZ151" s="1" t="str">
        <f>IF($E151="","",MAX(0,MIN(1,IFERROR(INDEX(角色面板!$G$18:$G$21,MATCH($E151,角色面板!$A$18:$A$21,0)),0)-FC151*Boss参数!$B$89-Boss参数!$E$4)))</f>
        <v/>
      </c>
      <c r="BA151" s="1" t="str">
        <f>IF(E151="","",(IF($E151="","",IF($E151="红弩箭",Boss参数!$B$80,IF($E151="J",Boss参数!$B$81,IFERROR(INDEX(角色面板!$H$18:$H$21,MATCH($E151,角色面板!$A$18:$A$21,0)),0)))+IF($B151&lt;=$AI151,Boss参数!$B$13,0)+MIN(30,$AM151)*Boss参数!$B$17+IF(AND($L151="LILYA_ULT",$X151&gt;=6),1,0)+IF(AND($Y151=1,$L151="LILYA_INSIGHT"),IF(MOD($AA151+1,3)=0,Boss参数!$B$83,Boss参数!$B$82),IF(AND($Y151=1,$L151="LILYA_FINISH"),Boss参数!$B$84,0))))-FC151*Boss参数!$B$90)</f>
        <v/>
      </c>
      <c r="BB151" s="1" t="str">
        <f>IF($E151="","",IFERROR(INDEX(角色面板!$M$18:$M$21,MATCH($E151,角色面板!$A$18:$A$21,0)),0)+$AW151*Boss参数!$B$12+IF($B151&lt;=$AG151,$AF151,0)+$EI151+IF($L151="LILYA_DIVE",IF($U151=1,IF($G151=1,0.3,IF($G151=2,0.4,0.5)),IF($U151=2,IF($G151=1,0.6,IF($G151=2,0.8,1)),0)),0)+$R151+IF(AND($E151="J",OR($L151="J_COUNTER",$L151="J_HARD")),Boss参数!$B$79,0)+IF(AND(OR(L151="J_COUNTER",L151="J_HARD"),FA151&gt;=Boss参数!$B$59),FA151*Boss参数!$B$40,0))</f>
        <v/>
      </c>
      <c r="BC151" s="1" t="e">
        <f>IF($E151="","",IFERROR(INDEX(角色面板!$K$18:$K$21,MATCH($E151,角色面板!$A$18:$A$21,0)),0)+IF($B151&lt;=$AH151,Boss参数!$B$46,0)+IF($E151="红弩箭",IF($U151=1,0.6,IF($U151=2,1.2,0))+$W151*0.06,0))-DI151*Boss参数!$B$23</f>
        <v>#VALUE!</v>
      </c>
      <c r="BD151" s="1" t="e">
        <f>IF($E151="","",IFERROR(INDEX(角色面板!$L$18:$L$21,MATCH($E151,角色面板!$A$18:$A$21,0)),0)+IF($B151&lt;=$AH151,Boss参数!$B$46,0)+IF($E151="J",$AL151*Boss参数!$B$16,0)+IF($E151="红弩箭",$X151*0.025,0)+IF(AND($L151="LILYA_ULT",$X151&gt;=6),1,0))-DI151*Boss参数!$B$23</f>
        <v>#VALUE!</v>
      </c>
      <c r="BE151" s="1" t="str">
        <f>IF($E151="","",IF($H151="洞知",IF($E151="红弩箭",$AO151*Boss参数!$B$15,0)+$AX151*Boss参数!$B$14,0))</f>
        <v/>
      </c>
      <c r="BF151" s="1">
        <f t="shared" si="141"/>
        <v>0</v>
      </c>
      <c r="BG151" s="1">
        <f>IF($D151="",0,IF(AND($L151&lt;&gt;"LILYA_DIVE",$L151&lt;&gt;"LILYA_ULT",$L151&lt;&gt;"LILYA_INSIGHT",$L151&lt;&gt;"LILYA_FINISH",$L151&lt;&gt;"37_FOLLOW",$L151&lt;&gt;"RHI_ATTACK",$L151&lt;&gt;"RHI_BERRY",$L151&lt;&gt;"J_COUNTER",$L151&lt;&gt;"J_ULT"),$J151,0)+IF($L151="LILYA_DIVE",$J151+IF($U151=1,IF($G151=1,6,IF($G151=2,12,18)),IF($U151=2,IF($G151=1,12,IF($G151=2,24,36)),0)),0)+IF($L151="LILYA_ULT",$J151+IF($X151&gt;=6,18,0),0)+IF($L151="LILYA_INSIGHT",IF($Y151=1,IF(MOD($AA151+1,3)=0,32,15),0),0)+IF($L151="LILYA_FINISH",IF($Y151=1,50+2.5*$Z151,0),0)+IF($L151="37_FOLLOW",$J151,0)+IF($L151="RHI_ATTACK",$J151*IF($B151&lt;=$AJ151,2,1),0)+IF($L151="RHI_BERRY",15+1.5*$AV151,0)+IF($L151="J_COUNTER",$J151+$AD151*Boss参数!$B$39,0)+IF($L151="J_ULT",$J151+Boss参数!$B$45*MAX(0,$AE151+$AD151-Boss参数!$I$4),0)+$S151)</f>
        <v>0</v>
      </c>
      <c r="BH151" s="1">
        <f t="shared" si="142"/>
        <v>0</v>
      </c>
      <c r="BI151" s="1" t="str">
        <f>IF(E151="","",IF(DT151=1,1+Boss参数!$B$8+AV151*Boss参数!$B$19,1))</f>
        <v/>
      </c>
      <c r="BJ151" s="1">
        <f>IF($I151="现实",Boss参数!$C$4,IF($I151="精神",Boss参数!$D$4,0))</f>
        <v>0</v>
      </c>
      <c r="BK151" s="1" t="str">
        <f>IF($E151="","",MAX($AY151*Boss参数!$B$9,$AY151-$BJ151*(1-$BF151)))</f>
        <v/>
      </c>
      <c r="BL151" s="1">
        <f>MAX(0,Boss参数!$F$4+IF(DT151=0,Boss参数!$B$27,0)-EJ151)</f>
        <v>1.25</v>
      </c>
      <c r="BM151" s="1">
        <f>Boss参数!$G$4+DU151-IF(Y151=1,Boss参数!$B$11,0)</f>
        <v>0.4</v>
      </c>
      <c r="BN151" s="1" t="str">
        <f>IF($E151="","",MAX(Boss参数!$B$10,1+IFERROR(INDEX(角色面板!$I$18:$I$21,MATCH($E151,角色面板!$A$18:$A$21,0)),0)+$BB151+Boss参数!$H$4-$BM151))</f>
        <v/>
      </c>
      <c r="BO151" s="1" t="str">
        <f>IF(E151="","",IF(OR(L151="J_COUNTER",L151="J_HARD"),MAX(0,1+INDEX(角色面板!$K$18:$K$21,MATCH(E151,角色面板!$A$18:$A$21,0))-DI151*Boss参数!$B$23+IF(OR(Boss参数!$B$43=1,L151="J_HARD"),IF(B151&lt;=AH151,Boss参数!$B$46,0),0)),MAX(0,IF(OR(H151="术法",L151="RHI_BERRY",AND(L151="37_FOLLOW",Boss参数!$B$31=1)),1+BC151,IF(H151="仪式",1+BD151,IF(H151="洞知",EK151,1))))))</f>
        <v/>
      </c>
      <c r="BP151" s="1" t="str">
        <f t="shared" si="143"/>
        <v/>
      </c>
      <c r="BQ151" s="1">
        <f t="shared" si="144"/>
        <v>0</v>
      </c>
      <c r="BR151" s="1">
        <f t="shared" si="145"/>
        <v>0</v>
      </c>
      <c r="BS151" s="1">
        <f>IF(BH151=0,0,ROUNDDOWN(AY151*BH151,0)*DV151*IF(Boss参数!$B$29=1,BN151,1)*IF(Boss参数!$B$33=1,BO151,1)*IF(Boss参数!$B$76=1,1-ES151,1))</f>
        <v>0</v>
      </c>
      <c r="BT151" s="1">
        <f t="shared" si="146"/>
        <v>0</v>
      </c>
      <c r="BU151" s="1">
        <f>IF(D151="",0,MIN(IF(Boss参数!$B$77=1,Boss参数!$B$63*Boss参数!$B$62,Boss参数!$B$61*Boss参数!$B$62),DW151+ROUNDDOWN(BS151,0)+ROUNDDOWN(DW151*Q151,0)))</f>
        <v>0</v>
      </c>
      <c r="BV151" s="1">
        <f>IF(D151="",0,MIN(IF(Boss参数!$B$77=1,Boss参数!$B$63*Boss参数!$B$62,Boss参数!$B$61*Boss参数!$B$62),DX151+ROUNDDOWN(BT151,0)+ROUNDDOWN(DX151*Q151,0)))</f>
        <v>0</v>
      </c>
      <c r="BW151" s="1">
        <f t="shared" si="147"/>
        <v>0</v>
      </c>
      <c r="BX151" s="1" t="str">
        <f t="shared" si="148"/>
        <v/>
      </c>
      <c r="BY151" s="1">
        <f t="shared" si="149"/>
        <v>2</v>
      </c>
      <c r="BZ151" s="1">
        <f t="shared" si="150"/>
        <v>1</v>
      </c>
      <c r="CA151" s="1">
        <f>MIN(10,W151+IF(AND(L151="LILYA_COBRA",COUNTIF($L$3:L151,"LILYA_COBRA")=1),5,0)+IF(AND(L151="LILYA_DIVE",U151=1,COUNTIFS($DG$3:DG151,DG151,$L$3:L151,"LILYA_DIVE")=1),2,0)+IF(AND(FE151=1,U151=1),3,0))</f>
        <v>10</v>
      </c>
      <c r="CB151" s="1">
        <f>MIN(20,MAX(0,X151+IF(L151="LILYA_COBRA",IF(COUNTIF($L$3:L151,"LILYA_COBRA")=1,6,IF(U151=1,MAX(1,G151),IF(U151=2,2*MAX(1,G151),0))),0)+IF(AND(Y151=1,E151="红弩箭",L151&lt;&gt;"ENTER_INSIGHT"),1,0)-IF(AND(L151="LILYA_ULT",X151&gt;=6),6,0)))</f>
        <v>13</v>
      </c>
      <c r="CC151" s="1">
        <f t="shared" si="151"/>
        <v>0</v>
      </c>
      <c r="CD151" s="1">
        <f t="shared" si="152"/>
        <v>0</v>
      </c>
      <c r="CE151" s="1">
        <f t="shared" si="153"/>
        <v>0</v>
      </c>
      <c r="CF151" s="1">
        <f t="shared" si="154"/>
        <v>10</v>
      </c>
      <c r="CG151" s="1">
        <f t="shared" si="155"/>
        <v>1</v>
      </c>
      <c r="CH151" s="1">
        <f>MIN(35,AD151+IF(L151="J_HARD",6,0)+IF(L151="J_COUNTER",Boss参数!$B$30,0))</f>
        <v>35</v>
      </c>
      <c r="CI151" s="1">
        <f>MIN(Boss参数!$I$4,AE151+IF(L151="J_HARD",6,0)+IF(L151="J_ULT",AD151,0)+IF(L151="J_COUNTER",Boss参数!$B$30,0))</f>
        <v>0</v>
      </c>
      <c r="CJ151" s="1">
        <f>IF(L151="J_ULT",AD151*Boss参数!$B$41,IF(B151&lt;=AG151,AF151,0))</f>
        <v>0.875</v>
      </c>
      <c r="CK151" s="1">
        <f t="shared" si="156"/>
        <v>9</v>
      </c>
      <c r="CL151" s="1">
        <f t="shared" si="157"/>
        <v>9</v>
      </c>
      <c r="CM151" s="1">
        <f t="shared" si="158"/>
        <v>8</v>
      </c>
      <c r="CN151" s="1">
        <f t="shared" si="159"/>
        <v>9</v>
      </c>
      <c r="CO151" s="1">
        <f t="shared" si="160"/>
        <v>8</v>
      </c>
      <c r="CP151" s="1">
        <f t="shared" si="161"/>
        <v>3</v>
      </c>
      <c r="CQ151" s="1">
        <f t="shared" si="162"/>
        <v>30</v>
      </c>
      <c r="CR151" s="1">
        <f t="shared" si="163"/>
        <v>9</v>
      </c>
      <c r="CS151" s="1">
        <f t="shared" si="164"/>
        <v>0</v>
      </c>
      <c r="CT151" s="1" t="e">
        <f t="shared" si="165"/>
        <v>#VALUE!</v>
      </c>
      <c r="CU151" s="1" t="e">
        <f t="shared" si="166"/>
        <v>#VALUE!</v>
      </c>
      <c r="CV151" s="1">
        <f t="shared" si="167"/>
        <v>0.3</v>
      </c>
      <c r="CW151" s="1">
        <f t="shared" si="168"/>
        <v>9</v>
      </c>
      <c r="CX151" s="1">
        <f t="shared" si="169"/>
        <v>0.3</v>
      </c>
      <c r="CY151" s="1">
        <f t="shared" si="170"/>
        <v>9</v>
      </c>
      <c r="CZ151" s="1"/>
      <c r="DA151" s="1"/>
      <c r="DB151" s="1"/>
      <c r="DC151" s="1"/>
      <c r="DD151" s="1"/>
      <c r="DE151" s="1"/>
      <c r="DF151" s="1"/>
      <c r="DG151" s="1" t="str">
        <f>IF(D151="","",行动模拟!B157)</f>
        <v/>
      </c>
      <c r="DH151" s="1" t="str">
        <f>IF(L151="END_TURN","回合结束",IF(D151="","",IF(INDEX(回合状态!$C$7:$C$17,MATCH(DG151,回合状态!$A$7:$A$17,0))="洞穿","洞穿",IF(OR(L151="J_COUNTER",L151="BOSS_ACTION",L151="BOSS_CONSERVATIVE"),"敌方",IF(AND(L151="37_FOLLOW",DG151=DG150,DH150="敌方"),"敌方",IF(INDEX(回合状态!$C$7:$C$17,MATCH(DG151,回合状态!$A$7:$A$17,0))="普通","出牌",INDEX(回合状态!$C$7:$C$17,MATCH(DG151,回合状态!$A$7:$A$17,0))))))))</f>
        <v/>
      </c>
      <c r="DI151" s="1">
        <f t="shared" si="171"/>
        <v>0</v>
      </c>
      <c r="DJ151" s="1">
        <f>IF(D151="",0,MIN(Boss参数!$B$25,IF(OR(AND(DH151="敌方",OR(DH150&lt;&gt;"敌方",DG151&lt;&gt;DG150)),AND(L151="END_TURN",DH151&lt;&gt;"洞穿"),AND(DG151&lt;&gt;DG150,DH150&lt;&gt;"洞穿",L150&lt;&gt;"END_TURN",COUNTIFS($DG$3:DG150,DG150,$DH$3:DH150,"敌方")=0)),EW151,DN150)))</f>
        <v>0</v>
      </c>
      <c r="DK151" s="1">
        <f>IF(D151="",0,MIN(Boss参数!$B$25,IF(OR(AND(DH151="敌方",OR(DH150&lt;&gt;"敌方",DG151&lt;&gt;DG150)),AND(L151="END_TURN",DH151&lt;&gt;"洞穿"),AND(DG151&lt;&gt;DG150,DH150&lt;&gt;"洞穿",L150&lt;&gt;"END_TURN",COUNTIFS($DG$3:DG150,DG150,$DH$3:DH150,"敌方")=0)),EW151,DO150)))</f>
        <v>0</v>
      </c>
      <c r="DL151" s="1">
        <f>IF(D151="",0,MIN(Boss参数!$B$25,IF(OR(AND(DH151="敌方",OR(DH150&lt;&gt;"敌方",DG151&lt;&gt;DG150)),AND(L151="END_TURN",DH151&lt;&gt;"洞穿"),AND(DG151&lt;&gt;DG150,DH150&lt;&gt;"洞穿",L150&lt;&gt;"END_TURN",COUNTIFS($DG$3:DG150,DG150,$DH$3:DH150,"敌方")=0)),EW151,DP150)))</f>
        <v>0</v>
      </c>
      <c r="DM151" s="1">
        <f>IF(D151="",0,MIN(Boss参数!$B$25,IF(OR(AND(DH151="敌方",OR(DH150&lt;&gt;"敌方",DG151&lt;&gt;DG150)),AND(L151="END_TURN",DH151&lt;&gt;"洞穿"),AND(DG151&lt;&gt;DG150,DH150&lt;&gt;"洞穿",L150&lt;&gt;"END_TURN",COUNTIFS($DG$3:DG150,DG150,$DH$3:DH150,"敌方")=0)),EW151,DQ150)))</f>
        <v>0</v>
      </c>
      <c r="DN151" s="1">
        <f>MAX(0,MIN(Boss参数!$B$25,DJ151+DR151)-IF(E151="红弩箭",2*DR151,0))</f>
        <v>0</v>
      </c>
      <c r="DO151" s="1">
        <f>MAX(0,MIN(Boss参数!$B$25,DK151+DR151)-IF(E151="37",2*DR151,0))</f>
        <v>0</v>
      </c>
      <c r="DP151" s="1">
        <f>MAX(0,MIN(Boss参数!$B$25,DL151+DR151)-IF(E151="小瑞安侬",2*DR151,0))</f>
        <v>0</v>
      </c>
      <c r="DQ151" s="1">
        <f>MAX(0,MIN(Boss参数!$B$25,DM151+DR151)-IF(E151="J",2*DR151,0))</f>
        <v>0</v>
      </c>
      <c r="DR151" s="1">
        <f t="shared" si="172"/>
        <v>0</v>
      </c>
      <c r="DS151" s="1">
        <f t="shared" si="173"/>
        <v>0</v>
      </c>
      <c r="DT151" s="1">
        <f>IF(OR(E151="",E151="系统"),0,IF(OR(AND(DS151=1,Boss参数!$B$32=1),L151="RHI_BERRY",OR(AND(INDEX(角色面板!$B$18:$B$21,MATCH(E151,角色面板!$A$18:$A$21,0))="星",Boss参数!$B$4="岩"),AND(INDEX(角色面板!$B$18:$B$21,MATCH(E151,角色面板!$A$18:$A$21,0))="岩",Boss参数!$B$4="兽"),AND(INDEX(角色面板!$B$18:$B$21,MATCH(E151,角色面板!$A$18:$A$21,0))="兽",Boss参数!$B$4="木"),AND(INDEX(角色面板!$B$18:$B$21,MATCH(E151,角色面板!$A$18:$A$21,0))="木",Boss参数!$B$4="星"),AND(INDEX(角色面板!$B$18:$B$21,MATCH(E151,角色面板!$A$18:$A$21,0))="智",Boss参数!$B$4="灵"),AND(INDEX(角色面板!$B$18:$B$21,MATCH(E151,角色面板!$A$18:$A$21,0))="灵",Boss参数!$B$4="智"))),1,0))</f>
        <v>0</v>
      </c>
      <c r="DU151" s="1">
        <f>IF(D151="",0,INDEX(回合状态!$E$7:$E$17,MATCH(DG151,回合状态!$A$7:$A$17,0))+IF(AND(DH151="敌方",OR(INDEX(回合状态!$C$7:$C$17,MATCH(DG151,回合状态!$A$7:$A$17,0))="普通",INDEX(回合状态!$C$7:$C$17,MATCH(DG151,回合状态!$A$7:$A$17,0))="额外")),0.05,0))</f>
        <v>0</v>
      </c>
      <c r="DV151" s="1">
        <f>MAX(Boss参数!$B$28,1+IF(AND(E151="37",AC151&gt;0,BH151&gt;0),Boss参数!$B$42,0)-DI151*Boss参数!$B$24+EA151-ER151)</f>
        <v>9.9999999999999978E-2</v>
      </c>
      <c r="DW151" s="1">
        <f>MIN(IF(Boss参数!$B$77=1,Boss参数!$B$63*Boss参数!$B$62,Boss参数!$B$61*Boss参数!$B$62),ROUNDDOWN(BQ151*(1-ES151),0))</f>
        <v>0</v>
      </c>
      <c r="DX151" s="1">
        <f>MIN(IF(Boss参数!$B$77=1,Boss参数!$B$63*Boss参数!$B$62,Boss参数!$B$61*Boss参数!$B$62),ROUNDDOWN(BR151*(1-ES151),0))</f>
        <v>0</v>
      </c>
      <c r="DY151" s="1">
        <f t="shared" si="205"/>
        <v>250</v>
      </c>
      <c r="DZ151" s="1">
        <f>IF(L151="RHI_ULT",MIN(Boss参数!$B$48,ROUNDDOWN(AY151*Boss参数!$B$47,0)),DY151)</f>
        <v>250</v>
      </c>
      <c r="EA151" s="1">
        <v>0</v>
      </c>
      <c r="EB151" s="1">
        <f t="shared" si="174"/>
        <v>0</v>
      </c>
      <c r="EC151" s="1">
        <f>SUMIFS($EB$3:EB151,$B$3:B151,"&gt;="&amp;MAX(1,B151-2),$B$3:B151,"&lt;="&amp;B151)*Boss参数!$B$51</f>
        <v>0</v>
      </c>
      <c r="ED151" s="1">
        <f>IF(D151="",EG150,IF(AND(DG151&lt;&gt;DG150,DH151&lt;&gt;"洞穿"),MIN(Boss参数!$B$55,EG150+2),EG150))</f>
        <v>0</v>
      </c>
      <c r="EE151" s="1">
        <f t="shared" si="175"/>
        <v>0</v>
      </c>
      <c r="EF151" s="1">
        <f>IF(AND(OR(L151="END_TURN",AND(DH151="敌方",OR(DH150&lt;&gt;"敌方",DG151&lt;&gt;DG150))),SUMIFS($EF$3:EF150,$DG$3:DG150,DG151)=0),MIN(1,MAX(0,ED151-EE151)),0)</f>
        <v>0</v>
      </c>
      <c r="EG151" s="1">
        <f t="shared" si="176"/>
        <v>0</v>
      </c>
      <c r="EH151" s="1">
        <f>Boss参数!$B$53-IF(Y151=1,Boss参数!$B$54,0)</f>
        <v>0</v>
      </c>
      <c r="EI151" s="1">
        <f t="shared" si="177"/>
        <v>0.15</v>
      </c>
      <c r="EJ151" s="1">
        <f t="shared" si="178"/>
        <v>0.15</v>
      </c>
      <c r="EK151" s="1" t="e">
        <f t="shared" si="179"/>
        <v>#VALUE!</v>
      </c>
      <c r="EL151" s="1">
        <f t="shared" si="206"/>
        <v>0</v>
      </c>
      <c r="EM151" s="1">
        <f>IF(AND(DG151&lt;&gt;DG150,DH151="洞穿"),0,IF(L151="ENTER_INSIGHT",Boss参数!$B$57,EO150))</f>
        <v>0</v>
      </c>
      <c r="EN151" s="1">
        <f>IF(AND(Y151=1,H151="洞知",EM151&gt;0),Boss参数!$B$56,0)</f>
        <v>0</v>
      </c>
      <c r="EO151" s="1">
        <f t="shared" si="180"/>
        <v>0</v>
      </c>
      <c r="EP151" s="1">
        <f t="shared" si="207"/>
        <v>23210479</v>
      </c>
      <c r="EQ151" s="1">
        <f>ROUNDDOWN(EP151/Boss参数!$B$62,0)</f>
        <v>232</v>
      </c>
      <c r="ER151" s="1">
        <f>IF(EQ151&gt;=Boss参数!$B$66,Boss参数!$B$69,IF(EQ151&gt;=Boss参数!$B$65,Boss参数!$B$68,IF(EQ151&gt;=Boss参数!$B$64,Boss参数!$B$67,0)))</f>
        <v>0.9</v>
      </c>
      <c r="ES151" s="1">
        <f>MIN(1,IF(EQ151&gt;=Boss参数!$B$66,Boss参数!$B$72+ROUNDDOWN((EQ151-Boss参数!$B$66)/Boss参数!$B$73,0)*Boss参数!$B$74,IF(EQ151&gt;=Boss参数!$B$65,Boss参数!$B$71,IF(EQ151&gt;=Boss参数!$B$64,Boss参数!$B$70,0))))</f>
        <v>0.65</v>
      </c>
      <c r="ET151" s="1">
        <f>MIN(Boss参数!$B$61*Boss参数!$B$62,EP151+IF(AND(Boss参数!$B$60=1,ISNUMBER(验证表!H157)),验证表!H157,EU151))</f>
        <v>23210479</v>
      </c>
      <c r="EU151" s="1">
        <f>IF(D151="",0,IF(验证表!G157="是",BV151,IF(验证表!G157="否",BU151,BW151)))</f>
        <v>0</v>
      </c>
      <c r="EV151" s="1">
        <f>IF(EQ151&gt;=Boss参数!$B$66,2,IF(EQ151&gt;=Boss参数!$B$65,1,0))</f>
        <v>2</v>
      </c>
      <c r="EW151" s="1">
        <f t="shared" si="181"/>
        <v>3</v>
      </c>
      <c r="EX151" s="1">
        <f>IF(D151="",0,INDEX(回合状态!$D$7:$D$17,MATCH(DG151,回合状态!$A$7:$A$17,0)))</f>
        <v>0</v>
      </c>
      <c r="EY151" s="1">
        <f>IF(OR(L151="RHI_ATTACK",L151="RHI_BUFF"),1,IF(L151="RHI_ULT",Boss参数!$B$52,0))</f>
        <v>0</v>
      </c>
      <c r="EZ151" s="1">
        <f>MIN(6,SUMIFS($EY$3:EY151,$EX$3:EX151,"&gt;="&amp;MAX(1,EX151-Boss参数!$B$87+1),$EX$3:EX151,"&lt;="&amp;EX151))</f>
        <v>0</v>
      </c>
      <c r="FA151" s="1">
        <f t="shared" si="208"/>
        <v>0</v>
      </c>
      <c r="FB151" s="17">
        <f>IF(L151="BOSS_CONSERVATIVE",B151+Boss参数!$B$91,FB150)</f>
        <v>7</v>
      </c>
      <c r="FC151" s="17">
        <f t="shared" si="209"/>
        <v>0</v>
      </c>
      <c r="FD151" s="17">
        <f>IF(D151="",FD150,FD150+IF(AND(DG151&lt;&gt;DG150,INDEX(回合状态!$C$7:$C$17,MATCH(DG151,回合状态!$A$7:$A$17,0))&lt;&gt;"洞穿"),1,0))</f>
        <v>8</v>
      </c>
      <c r="FE151" s="17">
        <f>IF(D151="",0,IF(AND(OR(L151="END_TURN",DH151="敌方"),INDEX(回合状态!$C$7:$C$17,MATCH(DG151,回合状态!$A$7:$A$17,0))&lt;&gt;"洞穿",SUMIFS($FE$3:FE150,$DG$3:DG150,DG151)=0),1,0))</f>
        <v>0</v>
      </c>
    </row>
    <row r="152" spans="1:161" ht="84.95" customHeight="1">
      <c r="A152" s="1" t="str">
        <f>行动模拟!A158</f>
        <v/>
      </c>
      <c r="B152" s="1">
        <f>IF(D152="",0,INDEX(回合状态!$B$7:$B$17,MATCH(DG152,回合状态!$A$7:$A$17,0)))</f>
        <v>0</v>
      </c>
      <c r="C152" s="1">
        <f>行动模拟!C158</f>
        <v>0</v>
      </c>
      <c r="D152" s="1" t="str">
        <f>IF(行动模拟!D158="","",行动模拟!D158)</f>
        <v/>
      </c>
      <c r="E152" s="1" t="str">
        <f>IF($D152="","",IFERROR(INDEX(技能数据库!$B$4:$B$38,MATCH($D152,技能数据库!$A$4:$A$38,0)),""))</f>
        <v/>
      </c>
      <c r="F152" s="1" t="str">
        <f>IF($D152="","",IFERROR(INDEX(技能数据库!$C$4:$C$38,MATCH($D152,技能数据库!$A$4:$A$38,0)),""))</f>
        <v/>
      </c>
      <c r="G152" s="1" t="str">
        <f>IF($D152="","",IFERROR(INDEX(技能数据库!$D$4:$D$38,MATCH($D152,技能数据库!$A$4:$A$38,0)),""))</f>
        <v/>
      </c>
      <c r="H152" s="1" t="str">
        <f>IF($D152="","",IFERROR(INDEX(技能数据库!$E$4:$E$38,MATCH($D152,技能数据库!$A$4:$A$38,0)),""))</f>
        <v/>
      </c>
      <c r="I152" s="1" t="str">
        <f>IF($D152="","",IFERROR(INDEX(技能数据库!$F$4:$F$38,MATCH($D152,技能数据库!$A$4:$A$38,0)),""))</f>
        <v/>
      </c>
      <c r="J152" s="1" t="str">
        <f>IF($D152="","",IFERROR(INDEX(技能数据库!$G$4:$G$38,MATCH($D152,技能数据库!$A$4:$A$38,0)),""))</f>
        <v/>
      </c>
      <c r="K152" s="1" t="str">
        <f>IF($D152="","",IFERROR(INDEX(技能数据库!$H$4:$H$38,MATCH($D152,技能数据库!$A$4:$A$38,0)),""))</f>
        <v/>
      </c>
      <c r="L152" s="1" t="str">
        <f>IF($D152="","",IFERROR(INDEX(技能数据库!$I$4:$I$38,MATCH($D152,技能数据库!$A$4:$A$38,0)),""))</f>
        <v/>
      </c>
      <c r="M152" s="1">
        <v>1</v>
      </c>
      <c r="N152" s="1"/>
      <c r="O152" s="1"/>
      <c r="P152" s="1"/>
      <c r="Q152" s="1">
        <f t="shared" si="140"/>
        <v>0</v>
      </c>
      <c r="R152" s="1">
        <v>0</v>
      </c>
      <c r="S152" s="1">
        <v>0</v>
      </c>
      <c r="T152" s="1">
        <f>行动模拟!I158</f>
        <v>0</v>
      </c>
      <c r="U152" s="1">
        <f>IF(FD152&lt;&gt;FD151,IF(BY151=1,IF(MIN(10,CA151+IF(AND(DG152&lt;&gt;DG151,DH151&lt;&gt;"洞穿",SUMIFS($FE$3:FE151,$DG$3:DG151,DG151)=0,BY151=1),3,0))&gt;=10,2,1),IF(BY151=2,IF(BZ151&lt;=1,0,2),0)),BY151)</f>
        <v>2</v>
      </c>
      <c r="V152" s="1">
        <f>IF(FD152&lt;&gt;FD151,IF(BY151=1,IF(MIN(10,CA151+IF(AND(DG152&lt;&gt;DG151,DH151&lt;&gt;"洞穿",SUMIFS($FE$3:FE151,$DG$3:DG151,DG151)=0,BY151=1),3,0))&gt;=10,2,0),IF(BY151=2,MAX(0,BZ151-1),0)),BZ151)</f>
        <v>1</v>
      </c>
      <c r="W152" s="1">
        <f>IF(AND(FD152&lt;&gt;FD151,BY151=2,BZ151&lt;=1),0,MIN(10,CA151+IF(AND(DG152&lt;&gt;DG151,DH151&lt;&gt;"洞穿",SUMIFS($FE$3:FE151,$DG$3:DG151,DG151)=0,BY151=1),3,0)))</f>
        <v>10</v>
      </c>
      <c r="X152" s="1">
        <f t="shared" si="182"/>
        <v>13</v>
      </c>
      <c r="Y152" s="1">
        <f t="shared" si="183"/>
        <v>0</v>
      </c>
      <c r="Z152" s="1">
        <f t="shared" si="184"/>
        <v>0</v>
      </c>
      <c r="AA152" s="1">
        <f t="shared" si="185"/>
        <v>0</v>
      </c>
      <c r="AB152" s="1">
        <f t="shared" si="186"/>
        <v>10</v>
      </c>
      <c r="AC152" s="1">
        <f t="shared" si="187"/>
        <v>1</v>
      </c>
      <c r="AD152" s="1">
        <f t="shared" si="188"/>
        <v>35</v>
      </c>
      <c r="AE152" s="1">
        <f>IF(D152="",0,IF(DG152&lt;&gt;DG151,IFERROR(INDEX(回合状态!$F$7:$F$17,MATCH(DG152,回合状态!$A$7:$A$17,0)),0),CI151))</f>
        <v>0</v>
      </c>
      <c r="AF152" s="1">
        <f t="shared" si="189"/>
        <v>0.875</v>
      </c>
      <c r="AG152" s="1">
        <f t="shared" si="190"/>
        <v>9</v>
      </c>
      <c r="AH152" s="1">
        <f t="shared" si="191"/>
        <v>9</v>
      </c>
      <c r="AI152" s="1">
        <f t="shared" si="192"/>
        <v>8</v>
      </c>
      <c r="AJ152" s="1">
        <f t="shared" si="193"/>
        <v>9</v>
      </c>
      <c r="AK152" s="1">
        <f t="shared" si="194"/>
        <v>8</v>
      </c>
      <c r="AL152" s="1">
        <f t="shared" si="195"/>
        <v>3</v>
      </c>
      <c r="AM152" s="1">
        <f t="shared" si="196"/>
        <v>30</v>
      </c>
      <c r="AN152" s="1">
        <f t="shared" si="197"/>
        <v>9</v>
      </c>
      <c r="AO152" s="1">
        <f t="shared" si="198"/>
        <v>0</v>
      </c>
      <c r="AP152" s="1" t="e">
        <f t="shared" si="199"/>
        <v>#VALUE!</v>
      </c>
      <c r="AQ152" s="1" t="e">
        <f t="shared" si="200"/>
        <v>#VALUE!</v>
      </c>
      <c r="AR152" s="1">
        <f t="shared" si="201"/>
        <v>0.3</v>
      </c>
      <c r="AS152" s="1">
        <f t="shared" si="202"/>
        <v>9</v>
      </c>
      <c r="AT152" s="1">
        <f t="shared" si="203"/>
        <v>0.3</v>
      </c>
      <c r="AU152" s="1">
        <f t="shared" si="204"/>
        <v>9</v>
      </c>
      <c r="AV152" s="1">
        <f>MIN(5,SUMIFS($EL$3:EL152,$B$3:B152,"&gt;="&amp;MAX(1,B152-2),$B$3:B152,"&lt;="&amp;B152)+EC152)</f>
        <v>0</v>
      </c>
      <c r="AW152" s="1">
        <f>MIN(6,SUMIFS($EY$3:EY151,$EX$3:EX151,"&gt;="&amp;MAX(1,EX152-Boss参数!$B$87+1),$EX$3:EX151,"&lt;="&amp;EX152))</f>
        <v>0</v>
      </c>
      <c r="AX152" s="1">
        <f>MIN(4,COUNTIFS($B$3:$B$151,"&gt;="&amp;MAX(1,$B152-2),$B$3:$B$151,"&lt;="&amp;$B152,$L$3:$L$151,"37_FOLLOW"))</f>
        <v>0</v>
      </c>
      <c r="AY152" s="1" t="str">
        <f>IF($E152="","",IF($E152="系统",0,ROUNDDOWN(INDEX(角色面板!$C$4:$C$7,MATCH($E152,角色面板!$A$4:$A$7,0))*(1+INDEX(角色面板!$C$11:$C$14,MATCH($E152,角色面板!$A$11:$A$14,0))+IF($E152="小瑞安侬",MAX(IF($B152&lt;=$AQ152,$AP152,0),IF(AND($L152="RHI_ATTACK",$EE152&gt;0),0.11+0.01*$G152,0)),0)+IF($E152="J",$AD152*Boss参数!$B$18,0))+IF(FD152&lt;=$AN152,MIN(Boss参数!$B$21,ROUNDDOWN(角色面板!$C$19*Boss参数!$B$20,0)),0)+IF(AND($B152&lt;=$AK152,$E152&lt;&gt;"小瑞安侬"),$DY152,0),0)))</f>
        <v/>
      </c>
      <c r="AZ152" s="1" t="str">
        <f>IF($E152="","",MAX(0,MIN(1,IFERROR(INDEX(角色面板!$G$18:$G$21,MATCH($E152,角色面板!$A$18:$A$21,0)),0)-FC152*Boss参数!$B$89-Boss参数!$E$4)))</f>
        <v/>
      </c>
      <c r="BA152" s="1" t="str">
        <f>IF(E152="","",(IF($E152="","",IF($E152="红弩箭",Boss参数!$B$80,IF($E152="J",Boss参数!$B$81,IFERROR(INDEX(角色面板!$H$18:$H$21,MATCH($E152,角色面板!$A$18:$A$21,0)),0)))+IF($B152&lt;=$AI152,Boss参数!$B$13,0)+MIN(30,$AM152)*Boss参数!$B$17+IF(AND($L152="LILYA_ULT",$X152&gt;=6),1,0)+IF(AND($Y152=1,$L152="LILYA_INSIGHT"),IF(MOD($AA152+1,3)=0,Boss参数!$B$83,Boss参数!$B$82),IF(AND($Y152=1,$L152="LILYA_FINISH"),Boss参数!$B$84,0))))-FC152*Boss参数!$B$90)</f>
        <v/>
      </c>
      <c r="BB152" s="1" t="str">
        <f>IF($E152="","",IFERROR(INDEX(角色面板!$M$18:$M$21,MATCH($E152,角色面板!$A$18:$A$21,0)),0)+$AW152*Boss参数!$B$12+IF($B152&lt;=$AG152,$AF152,0)+$EI152+IF($L152="LILYA_DIVE",IF($U152=1,IF($G152=1,0.3,IF($G152=2,0.4,0.5)),IF($U152=2,IF($G152=1,0.6,IF($G152=2,0.8,1)),0)),0)+$R152+IF(AND($E152="J",OR($L152="J_COUNTER",$L152="J_HARD")),Boss参数!$B$79,0)+IF(AND(OR(L152="J_COUNTER",L152="J_HARD"),FA152&gt;=Boss参数!$B$59),FA152*Boss参数!$B$40,0))</f>
        <v/>
      </c>
      <c r="BC152" s="1" t="e">
        <f>IF($E152="","",IFERROR(INDEX(角色面板!$K$18:$K$21,MATCH($E152,角色面板!$A$18:$A$21,0)),0)+IF($B152&lt;=$AH152,Boss参数!$B$46,0)+IF($E152="红弩箭",IF($U152=1,0.6,IF($U152=2,1.2,0))+$W152*0.06,0))-DI152*Boss参数!$B$23</f>
        <v>#VALUE!</v>
      </c>
      <c r="BD152" s="1" t="e">
        <f>IF($E152="","",IFERROR(INDEX(角色面板!$L$18:$L$21,MATCH($E152,角色面板!$A$18:$A$21,0)),0)+IF($B152&lt;=$AH152,Boss参数!$B$46,0)+IF($E152="J",$AL152*Boss参数!$B$16,0)+IF($E152="红弩箭",$X152*0.025,0)+IF(AND($L152="LILYA_ULT",$X152&gt;=6),1,0))-DI152*Boss参数!$B$23</f>
        <v>#VALUE!</v>
      </c>
      <c r="BE152" s="1" t="str">
        <f>IF($E152="","",IF($H152="洞知",IF($E152="红弩箭",$AO152*Boss参数!$B$15,0)+$AX152*Boss参数!$B$14,0))</f>
        <v/>
      </c>
      <c r="BF152" s="1">
        <f t="shared" si="141"/>
        <v>0</v>
      </c>
      <c r="BG152" s="1">
        <f>IF($D152="",0,IF(AND($L152&lt;&gt;"LILYA_DIVE",$L152&lt;&gt;"LILYA_ULT",$L152&lt;&gt;"LILYA_INSIGHT",$L152&lt;&gt;"LILYA_FINISH",$L152&lt;&gt;"37_FOLLOW",$L152&lt;&gt;"RHI_ATTACK",$L152&lt;&gt;"RHI_BERRY",$L152&lt;&gt;"J_COUNTER",$L152&lt;&gt;"J_ULT"),$J152,0)+IF($L152="LILYA_DIVE",$J152+IF($U152=1,IF($G152=1,6,IF($G152=2,12,18)),IF($U152=2,IF($G152=1,12,IF($G152=2,24,36)),0)),0)+IF($L152="LILYA_ULT",$J152+IF($X152&gt;=6,18,0),0)+IF($L152="LILYA_INSIGHT",IF($Y152=1,IF(MOD($AA152+1,3)=0,32,15),0),0)+IF($L152="LILYA_FINISH",IF($Y152=1,50+2.5*$Z152,0),0)+IF($L152="37_FOLLOW",$J152,0)+IF($L152="RHI_ATTACK",$J152*IF($B152&lt;=$AJ152,2,1),0)+IF($L152="RHI_BERRY",15+1.5*$AV152,0)+IF($L152="J_COUNTER",$J152+$AD152*Boss参数!$B$39,0)+IF($L152="J_ULT",$J152+Boss参数!$B$45*MAX(0,$AE152+$AD152-Boss参数!$I$4),0)+$S152)</f>
        <v>0</v>
      </c>
      <c r="BH152" s="1">
        <f t="shared" si="142"/>
        <v>0</v>
      </c>
      <c r="BI152" s="1" t="str">
        <f>IF(E152="","",IF(DT152=1,1+Boss参数!$B$8+AV152*Boss参数!$B$19,1))</f>
        <v/>
      </c>
      <c r="BJ152" s="1">
        <f>IF($I152="现实",Boss参数!$C$4,IF($I152="精神",Boss参数!$D$4,0))</f>
        <v>0</v>
      </c>
      <c r="BK152" s="1" t="str">
        <f>IF($E152="","",MAX($AY152*Boss参数!$B$9,$AY152-$BJ152*(1-$BF152)))</f>
        <v/>
      </c>
      <c r="BL152" s="1">
        <f>MAX(0,Boss参数!$F$4+IF(DT152=0,Boss参数!$B$27,0)-EJ152)</f>
        <v>1.25</v>
      </c>
      <c r="BM152" s="1">
        <f>Boss参数!$G$4+DU152-IF(Y152=1,Boss参数!$B$11,0)</f>
        <v>0.4</v>
      </c>
      <c r="BN152" s="1" t="str">
        <f>IF($E152="","",MAX(Boss参数!$B$10,1+IFERROR(INDEX(角色面板!$I$18:$I$21,MATCH($E152,角色面板!$A$18:$A$21,0)),0)+$BB152+Boss参数!$H$4-$BM152))</f>
        <v/>
      </c>
      <c r="BO152" s="1" t="str">
        <f>IF(E152="","",IF(OR(L152="J_COUNTER",L152="J_HARD"),MAX(0,1+INDEX(角色面板!$K$18:$K$21,MATCH(E152,角色面板!$A$18:$A$21,0))-DI152*Boss参数!$B$23+IF(OR(Boss参数!$B$43=1,L152="J_HARD"),IF(B152&lt;=AH152,Boss参数!$B$46,0),0)),MAX(0,IF(OR(H152="术法",L152="RHI_BERRY",AND(L152="37_FOLLOW",Boss参数!$B$31=1)),1+BC152,IF(H152="仪式",1+BD152,IF(H152="洞知",EK152,1))))))</f>
        <v/>
      </c>
      <c r="BP152" s="1" t="str">
        <f t="shared" si="143"/>
        <v/>
      </c>
      <c r="BQ152" s="1">
        <f t="shared" si="144"/>
        <v>0</v>
      </c>
      <c r="BR152" s="1">
        <f t="shared" si="145"/>
        <v>0</v>
      </c>
      <c r="BS152" s="1">
        <f>IF(BH152=0,0,ROUNDDOWN(AY152*BH152,0)*DV152*IF(Boss参数!$B$29=1,BN152,1)*IF(Boss参数!$B$33=1,BO152,1)*IF(Boss参数!$B$76=1,1-ES152,1))</f>
        <v>0</v>
      </c>
      <c r="BT152" s="1">
        <f t="shared" si="146"/>
        <v>0</v>
      </c>
      <c r="BU152" s="1">
        <f>IF(D152="",0,MIN(IF(Boss参数!$B$77=1,Boss参数!$B$63*Boss参数!$B$62,Boss参数!$B$61*Boss参数!$B$62),DW152+ROUNDDOWN(BS152,0)+ROUNDDOWN(DW152*Q152,0)))</f>
        <v>0</v>
      </c>
      <c r="BV152" s="1">
        <f>IF(D152="",0,MIN(IF(Boss参数!$B$77=1,Boss参数!$B$63*Boss参数!$B$62,Boss参数!$B$61*Boss参数!$B$62),DX152+ROUNDDOWN(BT152,0)+ROUNDDOWN(DX152*Q152,0)))</f>
        <v>0</v>
      </c>
      <c r="BW152" s="1">
        <f t="shared" si="147"/>
        <v>0</v>
      </c>
      <c r="BX152" s="1" t="str">
        <f t="shared" si="148"/>
        <v/>
      </c>
      <c r="BY152" s="1">
        <f t="shared" si="149"/>
        <v>2</v>
      </c>
      <c r="BZ152" s="1">
        <f t="shared" si="150"/>
        <v>1</v>
      </c>
      <c r="CA152" s="1">
        <f>MIN(10,W152+IF(AND(L152="LILYA_COBRA",COUNTIF($L$3:L152,"LILYA_COBRA")=1),5,0)+IF(AND(L152="LILYA_DIVE",U152=1,COUNTIFS($DG$3:DG152,DG152,$L$3:L152,"LILYA_DIVE")=1),2,0)+IF(AND(FE152=1,U152=1),3,0))</f>
        <v>10</v>
      </c>
      <c r="CB152" s="1">
        <f>MIN(20,MAX(0,X152+IF(L152="LILYA_COBRA",IF(COUNTIF($L$3:L152,"LILYA_COBRA")=1,6,IF(U152=1,MAX(1,G152),IF(U152=2,2*MAX(1,G152),0))),0)+IF(AND(Y152=1,E152="红弩箭",L152&lt;&gt;"ENTER_INSIGHT"),1,0)-IF(AND(L152="LILYA_ULT",X152&gt;=6),6,0)))</f>
        <v>13</v>
      </c>
      <c r="CC152" s="1">
        <f t="shared" si="151"/>
        <v>0</v>
      </c>
      <c r="CD152" s="1">
        <f t="shared" si="152"/>
        <v>0</v>
      </c>
      <c r="CE152" s="1">
        <f t="shared" si="153"/>
        <v>0</v>
      </c>
      <c r="CF152" s="1">
        <f t="shared" si="154"/>
        <v>10</v>
      </c>
      <c r="CG152" s="1">
        <f t="shared" si="155"/>
        <v>1</v>
      </c>
      <c r="CH152" s="1">
        <f>MIN(35,AD152+IF(L152="J_HARD",6,0)+IF(L152="J_COUNTER",Boss参数!$B$30,0))</f>
        <v>35</v>
      </c>
      <c r="CI152" s="1">
        <f>MIN(Boss参数!$I$4,AE152+IF(L152="J_HARD",6,0)+IF(L152="J_ULT",AD152,0)+IF(L152="J_COUNTER",Boss参数!$B$30,0))</f>
        <v>0</v>
      </c>
      <c r="CJ152" s="1">
        <f>IF(L152="J_ULT",AD152*Boss参数!$B$41,IF(B152&lt;=AG152,AF152,0))</f>
        <v>0.875</v>
      </c>
      <c r="CK152" s="1">
        <f t="shared" si="156"/>
        <v>9</v>
      </c>
      <c r="CL152" s="1">
        <f t="shared" si="157"/>
        <v>9</v>
      </c>
      <c r="CM152" s="1">
        <f t="shared" si="158"/>
        <v>8</v>
      </c>
      <c r="CN152" s="1">
        <f t="shared" si="159"/>
        <v>9</v>
      </c>
      <c r="CO152" s="1">
        <f t="shared" si="160"/>
        <v>8</v>
      </c>
      <c r="CP152" s="1">
        <f t="shared" si="161"/>
        <v>3</v>
      </c>
      <c r="CQ152" s="1">
        <f t="shared" si="162"/>
        <v>30</v>
      </c>
      <c r="CR152" s="1">
        <f t="shared" si="163"/>
        <v>9</v>
      </c>
      <c r="CS152" s="1">
        <f t="shared" si="164"/>
        <v>0</v>
      </c>
      <c r="CT152" s="1" t="e">
        <f t="shared" si="165"/>
        <v>#VALUE!</v>
      </c>
      <c r="CU152" s="1" t="e">
        <f t="shared" si="166"/>
        <v>#VALUE!</v>
      </c>
      <c r="CV152" s="1">
        <f t="shared" si="167"/>
        <v>0.3</v>
      </c>
      <c r="CW152" s="1">
        <f t="shared" si="168"/>
        <v>9</v>
      </c>
      <c r="CX152" s="1">
        <f t="shared" si="169"/>
        <v>0.3</v>
      </c>
      <c r="CY152" s="1">
        <f t="shared" si="170"/>
        <v>9</v>
      </c>
      <c r="CZ152" s="1"/>
      <c r="DA152" s="1"/>
      <c r="DB152" s="1"/>
      <c r="DC152" s="1"/>
      <c r="DD152" s="1"/>
      <c r="DE152" s="1"/>
      <c r="DF152" s="1"/>
      <c r="DG152" s="1" t="str">
        <f>IF(D152="","",行动模拟!B158)</f>
        <v/>
      </c>
      <c r="DH152" s="1" t="str">
        <f>IF(L152="END_TURN","回合结束",IF(D152="","",IF(INDEX(回合状态!$C$7:$C$17,MATCH(DG152,回合状态!$A$7:$A$17,0))="洞穿","洞穿",IF(OR(L152="J_COUNTER",L152="BOSS_ACTION",L152="BOSS_CONSERVATIVE"),"敌方",IF(AND(L152="37_FOLLOW",DG152=DG151,DH151="敌方"),"敌方",IF(INDEX(回合状态!$C$7:$C$17,MATCH(DG152,回合状态!$A$7:$A$17,0))="普通","出牌",INDEX(回合状态!$C$7:$C$17,MATCH(DG152,回合状态!$A$7:$A$17,0))))))))</f>
        <v/>
      </c>
      <c r="DI152" s="1">
        <f t="shared" si="171"/>
        <v>0</v>
      </c>
      <c r="DJ152" s="1">
        <f>IF(D152="",0,MIN(Boss参数!$B$25,IF(OR(AND(DH152="敌方",OR(DH151&lt;&gt;"敌方",DG152&lt;&gt;DG151)),AND(L152="END_TURN",DH152&lt;&gt;"洞穿"),AND(DG152&lt;&gt;DG151,DH151&lt;&gt;"洞穿",L151&lt;&gt;"END_TURN",COUNTIFS($DG$3:DG151,DG151,$DH$3:DH151,"敌方")=0)),EW152,DN151)))</f>
        <v>0</v>
      </c>
      <c r="DK152" s="1">
        <f>IF(D152="",0,MIN(Boss参数!$B$25,IF(OR(AND(DH152="敌方",OR(DH151&lt;&gt;"敌方",DG152&lt;&gt;DG151)),AND(L152="END_TURN",DH152&lt;&gt;"洞穿"),AND(DG152&lt;&gt;DG151,DH151&lt;&gt;"洞穿",L151&lt;&gt;"END_TURN",COUNTIFS($DG$3:DG151,DG151,$DH$3:DH151,"敌方")=0)),EW152,DO151)))</f>
        <v>0</v>
      </c>
      <c r="DL152" s="1">
        <f>IF(D152="",0,MIN(Boss参数!$B$25,IF(OR(AND(DH152="敌方",OR(DH151&lt;&gt;"敌方",DG152&lt;&gt;DG151)),AND(L152="END_TURN",DH152&lt;&gt;"洞穿"),AND(DG152&lt;&gt;DG151,DH151&lt;&gt;"洞穿",L151&lt;&gt;"END_TURN",COUNTIFS($DG$3:DG151,DG151,$DH$3:DH151,"敌方")=0)),EW152,DP151)))</f>
        <v>0</v>
      </c>
      <c r="DM152" s="1">
        <f>IF(D152="",0,MIN(Boss参数!$B$25,IF(OR(AND(DH152="敌方",OR(DH151&lt;&gt;"敌方",DG152&lt;&gt;DG151)),AND(L152="END_TURN",DH152&lt;&gt;"洞穿"),AND(DG152&lt;&gt;DG151,DH151&lt;&gt;"洞穿",L151&lt;&gt;"END_TURN",COUNTIFS($DG$3:DG151,DG151,$DH$3:DH151,"敌方")=0)),EW152,DQ151)))</f>
        <v>0</v>
      </c>
      <c r="DN152" s="1">
        <f>MAX(0,MIN(Boss参数!$B$25,DJ152+DR152)-IF(E152="红弩箭",2*DR152,0))</f>
        <v>0</v>
      </c>
      <c r="DO152" s="1">
        <f>MAX(0,MIN(Boss参数!$B$25,DK152+DR152)-IF(E152="37",2*DR152,0))</f>
        <v>0</v>
      </c>
      <c r="DP152" s="1">
        <f>MAX(0,MIN(Boss参数!$B$25,DL152+DR152)-IF(E152="小瑞安侬",2*DR152,0))</f>
        <v>0</v>
      </c>
      <c r="DQ152" s="1">
        <f>MAX(0,MIN(Boss参数!$B$25,DM152+DR152)-IF(E152="J",2*DR152,0))</f>
        <v>0</v>
      </c>
      <c r="DR152" s="1">
        <f t="shared" si="172"/>
        <v>0</v>
      </c>
      <c r="DS152" s="1">
        <f t="shared" si="173"/>
        <v>0</v>
      </c>
      <c r="DT152" s="1">
        <f>IF(OR(E152="",E152="系统"),0,IF(OR(AND(DS152=1,Boss参数!$B$32=1),L152="RHI_BERRY",OR(AND(INDEX(角色面板!$B$18:$B$21,MATCH(E152,角色面板!$A$18:$A$21,0))="星",Boss参数!$B$4="岩"),AND(INDEX(角色面板!$B$18:$B$21,MATCH(E152,角色面板!$A$18:$A$21,0))="岩",Boss参数!$B$4="兽"),AND(INDEX(角色面板!$B$18:$B$21,MATCH(E152,角色面板!$A$18:$A$21,0))="兽",Boss参数!$B$4="木"),AND(INDEX(角色面板!$B$18:$B$21,MATCH(E152,角色面板!$A$18:$A$21,0))="木",Boss参数!$B$4="星"),AND(INDEX(角色面板!$B$18:$B$21,MATCH(E152,角色面板!$A$18:$A$21,0))="智",Boss参数!$B$4="灵"),AND(INDEX(角色面板!$B$18:$B$21,MATCH(E152,角色面板!$A$18:$A$21,0))="灵",Boss参数!$B$4="智"))),1,0))</f>
        <v>0</v>
      </c>
      <c r="DU152" s="1">
        <f>IF(D152="",0,INDEX(回合状态!$E$7:$E$17,MATCH(DG152,回合状态!$A$7:$A$17,0))+IF(AND(DH152="敌方",OR(INDEX(回合状态!$C$7:$C$17,MATCH(DG152,回合状态!$A$7:$A$17,0))="普通",INDEX(回合状态!$C$7:$C$17,MATCH(DG152,回合状态!$A$7:$A$17,0))="额外")),0.05,0))</f>
        <v>0</v>
      </c>
      <c r="DV152" s="1">
        <f>MAX(Boss参数!$B$28,1+IF(AND(E152="37",AC152&gt;0,BH152&gt;0),Boss参数!$B$42,0)-DI152*Boss参数!$B$24+EA152-ER152)</f>
        <v>9.9999999999999978E-2</v>
      </c>
      <c r="DW152" s="1">
        <f>MIN(IF(Boss参数!$B$77=1,Boss参数!$B$63*Boss参数!$B$62,Boss参数!$B$61*Boss参数!$B$62),ROUNDDOWN(BQ152*(1-ES152),0))</f>
        <v>0</v>
      </c>
      <c r="DX152" s="1">
        <f>MIN(IF(Boss参数!$B$77=1,Boss参数!$B$63*Boss参数!$B$62,Boss参数!$B$61*Boss参数!$B$62),ROUNDDOWN(BR152*(1-ES152),0))</f>
        <v>0</v>
      </c>
      <c r="DY152" s="1">
        <f t="shared" si="205"/>
        <v>250</v>
      </c>
      <c r="DZ152" s="1">
        <f>IF(L152="RHI_ULT",MIN(Boss参数!$B$48,ROUNDDOWN(AY152*Boss参数!$B$47,0)),DY152)</f>
        <v>250</v>
      </c>
      <c r="EA152" s="1">
        <v>0</v>
      </c>
      <c r="EB152" s="1">
        <f t="shared" si="174"/>
        <v>0</v>
      </c>
      <c r="EC152" s="1">
        <f>SUMIFS($EB$3:EB152,$B$3:B152,"&gt;="&amp;MAX(1,B152-2),$B$3:B152,"&lt;="&amp;B152)*Boss参数!$B$51</f>
        <v>0</v>
      </c>
      <c r="ED152" s="1">
        <f>IF(D152="",EG151,IF(AND(DG152&lt;&gt;DG151,DH152&lt;&gt;"洞穿"),MIN(Boss参数!$B$55,EG151+2),EG151))</f>
        <v>0</v>
      </c>
      <c r="EE152" s="1">
        <f t="shared" si="175"/>
        <v>0</v>
      </c>
      <c r="EF152" s="1">
        <f>IF(AND(OR(L152="END_TURN",AND(DH152="敌方",OR(DH151&lt;&gt;"敌方",DG152&lt;&gt;DG151))),SUMIFS($EF$3:EF151,$DG$3:DG151,DG152)=0),MIN(1,MAX(0,ED152-EE152)),0)</f>
        <v>0</v>
      </c>
      <c r="EG152" s="1">
        <f t="shared" si="176"/>
        <v>0</v>
      </c>
      <c r="EH152" s="1">
        <f>Boss参数!$B$53-IF(Y152=1,Boss参数!$B$54,0)</f>
        <v>0</v>
      </c>
      <c r="EI152" s="1">
        <f t="shared" si="177"/>
        <v>0.15</v>
      </c>
      <c r="EJ152" s="1">
        <f t="shared" si="178"/>
        <v>0.15</v>
      </c>
      <c r="EK152" s="1" t="e">
        <f t="shared" si="179"/>
        <v>#VALUE!</v>
      </c>
      <c r="EL152" s="1">
        <f t="shared" si="206"/>
        <v>0</v>
      </c>
      <c r="EM152" s="1">
        <f>IF(AND(DG152&lt;&gt;DG151,DH152="洞穿"),0,IF(L152="ENTER_INSIGHT",Boss参数!$B$57,EO151))</f>
        <v>0</v>
      </c>
      <c r="EN152" s="1">
        <f>IF(AND(Y152=1,H152="洞知",EM152&gt;0),Boss参数!$B$56,0)</f>
        <v>0</v>
      </c>
      <c r="EO152" s="1">
        <f t="shared" si="180"/>
        <v>0</v>
      </c>
      <c r="EP152" s="1">
        <f t="shared" si="207"/>
        <v>23210479</v>
      </c>
      <c r="EQ152" s="1">
        <f>ROUNDDOWN(EP152/Boss参数!$B$62,0)</f>
        <v>232</v>
      </c>
      <c r="ER152" s="1">
        <f>IF(EQ152&gt;=Boss参数!$B$66,Boss参数!$B$69,IF(EQ152&gt;=Boss参数!$B$65,Boss参数!$B$68,IF(EQ152&gt;=Boss参数!$B$64,Boss参数!$B$67,0)))</f>
        <v>0.9</v>
      </c>
      <c r="ES152" s="1">
        <f>MIN(1,IF(EQ152&gt;=Boss参数!$B$66,Boss参数!$B$72+ROUNDDOWN((EQ152-Boss参数!$B$66)/Boss参数!$B$73,0)*Boss参数!$B$74,IF(EQ152&gt;=Boss参数!$B$65,Boss参数!$B$71,IF(EQ152&gt;=Boss参数!$B$64,Boss参数!$B$70,0))))</f>
        <v>0.65</v>
      </c>
      <c r="ET152" s="1">
        <f>MIN(Boss参数!$B$61*Boss参数!$B$62,EP152+IF(AND(Boss参数!$B$60=1,ISNUMBER(验证表!H158)),验证表!H158,EU152))</f>
        <v>23210479</v>
      </c>
      <c r="EU152" s="1">
        <f>IF(D152="",0,IF(验证表!G158="是",BV152,IF(验证表!G158="否",BU152,BW152)))</f>
        <v>0</v>
      </c>
      <c r="EV152" s="1">
        <f>IF(EQ152&gt;=Boss参数!$B$66,2,IF(EQ152&gt;=Boss参数!$B$65,1,0))</f>
        <v>2</v>
      </c>
      <c r="EW152" s="1">
        <f t="shared" si="181"/>
        <v>3</v>
      </c>
      <c r="EX152" s="1">
        <f>IF(D152="",0,INDEX(回合状态!$D$7:$D$17,MATCH(DG152,回合状态!$A$7:$A$17,0)))</f>
        <v>0</v>
      </c>
      <c r="EY152" s="1">
        <f>IF(OR(L152="RHI_ATTACK",L152="RHI_BUFF"),1,IF(L152="RHI_ULT",Boss参数!$B$52,0))</f>
        <v>0</v>
      </c>
      <c r="EZ152" s="1">
        <f>MIN(6,SUMIFS($EY$3:EY152,$EX$3:EX152,"&gt;="&amp;MAX(1,EX152-Boss参数!$B$87+1),$EX$3:EX152,"&lt;="&amp;EX152))</f>
        <v>0</v>
      </c>
      <c r="FA152" s="1">
        <f t="shared" si="208"/>
        <v>0</v>
      </c>
      <c r="FB152" s="17">
        <f>IF(L152="BOSS_CONSERVATIVE",B152+Boss参数!$B$91,FB151)</f>
        <v>7</v>
      </c>
      <c r="FC152" s="17">
        <f t="shared" si="209"/>
        <v>0</v>
      </c>
      <c r="FD152" s="17">
        <f>IF(D152="",FD151,FD151+IF(AND(DG152&lt;&gt;DG151,INDEX(回合状态!$C$7:$C$17,MATCH(DG152,回合状态!$A$7:$A$17,0))&lt;&gt;"洞穿"),1,0))</f>
        <v>8</v>
      </c>
      <c r="FE152" s="17">
        <f>IF(D152="",0,IF(AND(OR(L152="END_TURN",DH152="敌方"),INDEX(回合状态!$C$7:$C$17,MATCH(DG152,回合状态!$A$7:$A$17,0))&lt;&gt;"洞穿",SUMIFS($FE$3:FE151,$DG$3:DG151,DG152)=0),1,0))</f>
        <v>0</v>
      </c>
    </row>
    <row r="153" spans="1:161" ht="84.95" customHeight="1">
      <c r="A153" s="1" t="str">
        <f>行动模拟!A159</f>
        <v/>
      </c>
      <c r="B153" s="1">
        <f>IF(D153="",0,INDEX(回合状态!$B$7:$B$17,MATCH(DG153,回合状态!$A$7:$A$17,0)))</f>
        <v>0</v>
      </c>
      <c r="C153" s="1">
        <f>行动模拟!C159</f>
        <v>0</v>
      </c>
      <c r="D153" s="1" t="str">
        <f>IF(行动模拟!D159="","",行动模拟!D159)</f>
        <v/>
      </c>
      <c r="E153" s="1" t="str">
        <f>IF($D153="","",IFERROR(INDEX(技能数据库!$B$4:$B$38,MATCH($D153,技能数据库!$A$4:$A$38,0)),""))</f>
        <v/>
      </c>
      <c r="F153" s="1" t="str">
        <f>IF($D153="","",IFERROR(INDEX(技能数据库!$C$4:$C$38,MATCH($D153,技能数据库!$A$4:$A$38,0)),""))</f>
        <v/>
      </c>
      <c r="G153" s="1" t="str">
        <f>IF($D153="","",IFERROR(INDEX(技能数据库!$D$4:$D$38,MATCH($D153,技能数据库!$A$4:$A$38,0)),""))</f>
        <v/>
      </c>
      <c r="H153" s="1" t="str">
        <f>IF($D153="","",IFERROR(INDEX(技能数据库!$E$4:$E$38,MATCH($D153,技能数据库!$A$4:$A$38,0)),""))</f>
        <v/>
      </c>
      <c r="I153" s="1" t="str">
        <f>IF($D153="","",IFERROR(INDEX(技能数据库!$F$4:$F$38,MATCH($D153,技能数据库!$A$4:$A$38,0)),""))</f>
        <v/>
      </c>
      <c r="J153" s="1" t="str">
        <f>IF($D153="","",IFERROR(INDEX(技能数据库!$G$4:$G$38,MATCH($D153,技能数据库!$A$4:$A$38,0)),""))</f>
        <v/>
      </c>
      <c r="K153" s="1" t="str">
        <f>IF($D153="","",IFERROR(INDEX(技能数据库!$H$4:$H$38,MATCH($D153,技能数据库!$A$4:$A$38,0)),""))</f>
        <v/>
      </c>
      <c r="L153" s="1" t="str">
        <f>IF($D153="","",IFERROR(INDEX(技能数据库!$I$4:$I$38,MATCH($D153,技能数据库!$A$4:$A$38,0)),""))</f>
        <v/>
      </c>
      <c r="M153" s="1">
        <v>1</v>
      </c>
      <c r="N153" s="1"/>
      <c r="O153" s="1"/>
      <c r="P153" s="1"/>
      <c r="Q153" s="1">
        <f t="shared" si="140"/>
        <v>0</v>
      </c>
      <c r="R153" s="1">
        <v>0</v>
      </c>
      <c r="S153" s="1">
        <v>0</v>
      </c>
      <c r="T153" s="1">
        <f>行动模拟!I159</f>
        <v>0</v>
      </c>
      <c r="U153" s="1">
        <f>IF(FD153&lt;&gt;FD152,IF(BY152=1,IF(MIN(10,CA152+IF(AND(DG153&lt;&gt;DG152,DH152&lt;&gt;"洞穿",SUMIFS($FE$3:FE152,$DG$3:DG152,DG152)=0,BY152=1),3,0))&gt;=10,2,1),IF(BY152=2,IF(BZ152&lt;=1,0,2),0)),BY152)</f>
        <v>2</v>
      </c>
      <c r="V153" s="1">
        <f>IF(FD153&lt;&gt;FD152,IF(BY152=1,IF(MIN(10,CA152+IF(AND(DG153&lt;&gt;DG152,DH152&lt;&gt;"洞穿",SUMIFS($FE$3:FE152,$DG$3:DG152,DG152)=0,BY152=1),3,0))&gt;=10,2,0),IF(BY152=2,MAX(0,BZ152-1),0)),BZ152)</f>
        <v>1</v>
      </c>
      <c r="W153" s="1">
        <f>IF(AND(FD153&lt;&gt;FD152,BY152=2,BZ152&lt;=1),0,MIN(10,CA152+IF(AND(DG153&lt;&gt;DG152,DH152&lt;&gt;"洞穿",SUMIFS($FE$3:FE152,$DG$3:DG152,DG152)=0,BY152=1),3,0)))</f>
        <v>10</v>
      </c>
      <c r="X153" s="1">
        <f t="shared" si="182"/>
        <v>13</v>
      </c>
      <c r="Y153" s="1">
        <f t="shared" si="183"/>
        <v>0</v>
      </c>
      <c r="Z153" s="1">
        <f t="shared" si="184"/>
        <v>0</v>
      </c>
      <c r="AA153" s="1">
        <f t="shared" si="185"/>
        <v>0</v>
      </c>
      <c r="AB153" s="1">
        <f t="shared" si="186"/>
        <v>10</v>
      </c>
      <c r="AC153" s="1">
        <f t="shared" si="187"/>
        <v>1</v>
      </c>
      <c r="AD153" s="1">
        <f t="shared" si="188"/>
        <v>35</v>
      </c>
      <c r="AE153" s="1">
        <f>IF(D153="",0,IF(DG153&lt;&gt;DG152,IFERROR(INDEX(回合状态!$F$7:$F$17,MATCH(DG153,回合状态!$A$7:$A$17,0)),0),CI152))</f>
        <v>0</v>
      </c>
      <c r="AF153" s="1">
        <f t="shared" si="189"/>
        <v>0.875</v>
      </c>
      <c r="AG153" s="1">
        <f t="shared" si="190"/>
        <v>9</v>
      </c>
      <c r="AH153" s="1">
        <f t="shared" si="191"/>
        <v>9</v>
      </c>
      <c r="AI153" s="1">
        <f t="shared" si="192"/>
        <v>8</v>
      </c>
      <c r="AJ153" s="1">
        <f t="shared" si="193"/>
        <v>9</v>
      </c>
      <c r="AK153" s="1">
        <f t="shared" si="194"/>
        <v>8</v>
      </c>
      <c r="AL153" s="1">
        <f t="shared" si="195"/>
        <v>3</v>
      </c>
      <c r="AM153" s="1">
        <f t="shared" si="196"/>
        <v>30</v>
      </c>
      <c r="AN153" s="1">
        <f t="shared" si="197"/>
        <v>9</v>
      </c>
      <c r="AO153" s="1">
        <f t="shared" si="198"/>
        <v>0</v>
      </c>
      <c r="AP153" s="1" t="e">
        <f t="shared" si="199"/>
        <v>#VALUE!</v>
      </c>
      <c r="AQ153" s="1" t="e">
        <f t="shared" si="200"/>
        <v>#VALUE!</v>
      </c>
      <c r="AR153" s="1">
        <f t="shared" si="201"/>
        <v>0.3</v>
      </c>
      <c r="AS153" s="1">
        <f t="shared" si="202"/>
        <v>9</v>
      </c>
      <c r="AT153" s="1">
        <f t="shared" si="203"/>
        <v>0.3</v>
      </c>
      <c r="AU153" s="1">
        <f t="shared" si="204"/>
        <v>9</v>
      </c>
      <c r="AV153" s="1">
        <f>MIN(5,SUMIFS($EL$3:EL153,$B$3:B153,"&gt;="&amp;MAX(1,B153-2),$B$3:B153,"&lt;="&amp;B153)+EC153)</f>
        <v>0</v>
      </c>
      <c r="AW153" s="1">
        <f>MIN(6,SUMIFS($EY$3:EY152,$EX$3:EX152,"&gt;="&amp;MAX(1,EX153-Boss参数!$B$87+1),$EX$3:EX152,"&lt;="&amp;EX153))</f>
        <v>0</v>
      </c>
      <c r="AX153" s="1">
        <f>MIN(4,COUNTIFS($B$3:$B$152,"&gt;="&amp;MAX(1,$B153-2),$B$3:$B$152,"&lt;="&amp;$B153,$L$3:$L$152,"37_FOLLOW"))</f>
        <v>0</v>
      </c>
      <c r="AY153" s="1" t="str">
        <f>IF($E153="","",IF($E153="系统",0,ROUNDDOWN(INDEX(角色面板!$C$4:$C$7,MATCH($E153,角色面板!$A$4:$A$7,0))*(1+INDEX(角色面板!$C$11:$C$14,MATCH($E153,角色面板!$A$11:$A$14,0))+IF($E153="小瑞安侬",MAX(IF($B153&lt;=$AQ153,$AP153,0),IF(AND($L153="RHI_ATTACK",$EE153&gt;0),0.11+0.01*$G153,0)),0)+IF($E153="J",$AD153*Boss参数!$B$18,0))+IF(FD153&lt;=$AN153,MIN(Boss参数!$B$21,ROUNDDOWN(角色面板!$C$19*Boss参数!$B$20,0)),0)+IF(AND($B153&lt;=$AK153,$E153&lt;&gt;"小瑞安侬"),$DY153,0),0)))</f>
        <v/>
      </c>
      <c r="AZ153" s="1" t="str">
        <f>IF($E153="","",MAX(0,MIN(1,IFERROR(INDEX(角色面板!$G$18:$G$21,MATCH($E153,角色面板!$A$18:$A$21,0)),0)-FC153*Boss参数!$B$89-Boss参数!$E$4)))</f>
        <v/>
      </c>
      <c r="BA153" s="1" t="str">
        <f>IF(E153="","",(IF($E153="","",IF($E153="红弩箭",Boss参数!$B$80,IF($E153="J",Boss参数!$B$81,IFERROR(INDEX(角色面板!$H$18:$H$21,MATCH($E153,角色面板!$A$18:$A$21,0)),0)))+IF($B153&lt;=$AI153,Boss参数!$B$13,0)+MIN(30,$AM153)*Boss参数!$B$17+IF(AND($L153="LILYA_ULT",$X153&gt;=6),1,0)+IF(AND($Y153=1,$L153="LILYA_INSIGHT"),IF(MOD($AA153+1,3)=0,Boss参数!$B$83,Boss参数!$B$82),IF(AND($Y153=1,$L153="LILYA_FINISH"),Boss参数!$B$84,0))))-FC153*Boss参数!$B$90)</f>
        <v/>
      </c>
      <c r="BB153" s="1" t="str">
        <f>IF($E153="","",IFERROR(INDEX(角色面板!$M$18:$M$21,MATCH($E153,角色面板!$A$18:$A$21,0)),0)+$AW153*Boss参数!$B$12+IF($B153&lt;=$AG153,$AF153,0)+$EI153+IF($L153="LILYA_DIVE",IF($U153=1,IF($G153=1,0.3,IF($G153=2,0.4,0.5)),IF($U153=2,IF($G153=1,0.6,IF($G153=2,0.8,1)),0)),0)+$R153+IF(AND($E153="J",OR($L153="J_COUNTER",$L153="J_HARD")),Boss参数!$B$79,0)+IF(AND(OR(L153="J_COUNTER",L153="J_HARD"),FA153&gt;=Boss参数!$B$59),FA153*Boss参数!$B$40,0))</f>
        <v/>
      </c>
      <c r="BC153" s="1" t="e">
        <f>IF($E153="","",IFERROR(INDEX(角色面板!$K$18:$K$21,MATCH($E153,角色面板!$A$18:$A$21,0)),0)+IF($B153&lt;=$AH153,Boss参数!$B$46,0)+IF($E153="红弩箭",IF($U153=1,0.6,IF($U153=2,1.2,0))+$W153*0.06,0))-DI153*Boss参数!$B$23</f>
        <v>#VALUE!</v>
      </c>
      <c r="BD153" s="1" t="e">
        <f>IF($E153="","",IFERROR(INDEX(角色面板!$L$18:$L$21,MATCH($E153,角色面板!$A$18:$A$21,0)),0)+IF($B153&lt;=$AH153,Boss参数!$B$46,0)+IF($E153="J",$AL153*Boss参数!$B$16,0)+IF($E153="红弩箭",$X153*0.025,0)+IF(AND($L153="LILYA_ULT",$X153&gt;=6),1,0))-DI153*Boss参数!$B$23</f>
        <v>#VALUE!</v>
      </c>
      <c r="BE153" s="1" t="str">
        <f>IF($E153="","",IF($H153="洞知",IF($E153="红弩箭",$AO153*Boss参数!$B$15,0)+$AX153*Boss参数!$B$14,0))</f>
        <v/>
      </c>
      <c r="BF153" s="1">
        <f t="shared" si="141"/>
        <v>0</v>
      </c>
      <c r="BG153" s="1">
        <f>IF($D153="",0,IF(AND($L153&lt;&gt;"LILYA_DIVE",$L153&lt;&gt;"LILYA_ULT",$L153&lt;&gt;"LILYA_INSIGHT",$L153&lt;&gt;"LILYA_FINISH",$L153&lt;&gt;"37_FOLLOW",$L153&lt;&gt;"RHI_ATTACK",$L153&lt;&gt;"RHI_BERRY",$L153&lt;&gt;"J_COUNTER",$L153&lt;&gt;"J_ULT"),$J153,0)+IF($L153="LILYA_DIVE",$J153+IF($U153=1,IF($G153=1,6,IF($G153=2,12,18)),IF($U153=2,IF($G153=1,12,IF($G153=2,24,36)),0)),0)+IF($L153="LILYA_ULT",$J153+IF($X153&gt;=6,18,0),0)+IF($L153="LILYA_INSIGHT",IF($Y153=1,IF(MOD($AA153+1,3)=0,32,15),0),0)+IF($L153="LILYA_FINISH",IF($Y153=1,50+2.5*$Z153,0),0)+IF($L153="37_FOLLOW",$J153,0)+IF($L153="RHI_ATTACK",$J153*IF($B153&lt;=$AJ153,2,1),0)+IF($L153="RHI_BERRY",15+1.5*$AV153,0)+IF($L153="J_COUNTER",$J153+$AD153*Boss参数!$B$39,0)+IF($L153="J_ULT",$J153+Boss参数!$B$45*MAX(0,$AE153+$AD153-Boss参数!$I$4),0)+$S153)</f>
        <v>0</v>
      </c>
      <c r="BH153" s="1">
        <f t="shared" si="142"/>
        <v>0</v>
      </c>
      <c r="BI153" s="1" t="str">
        <f>IF(E153="","",IF(DT153=1,1+Boss参数!$B$8+AV153*Boss参数!$B$19,1))</f>
        <v/>
      </c>
      <c r="BJ153" s="1">
        <f>IF($I153="现实",Boss参数!$C$4,IF($I153="精神",Boss参数!$D$4,0))</f>
        <v>0</v>
      </c>
      <c r="BK153" s="1" t="str">
        <f>IF($E153="","",MAX($AY153*Boss参数!$B$9,$AY153-$BJ153*(1-$BF153)))</f>
        <v/>
      </c>
      <c r="BL153" s="1">
        <f>MAX(0,Boss参数!$F$4+IF(DT153=0,Boss参数!$B$27,0)-EJ153)</f>
        <v>1.25</v>
      </c>
      <c r="BM153" s="1">
        <f>Boss参数!$G$4+DU153-IF(Y153=1,Boss参数!$B$11,0)</f>
        <v>0.4</v>
      </c>
      <c r="BN153" s="1" t="str">
        <f>IF($E153="","",MAX(Boss参数!$B$10,1+IFERROR(INDEX(角色面板!$I$18:$I$21,MATCH($E153,角色面板!$A$18:$A$21,0)),0)+$BB153+Boss参数!$H$4-$BM153))</f>
        <v/>
      </c>
      <c r="BO153" s="1" t="str">
        <f>IF(E153="","",IF(OR(L153="J_COUNTER",L153="J_HARD"),MAX(0,1+INDEX(角色面板!$K$18:$K$21,MATCH(E153,角色面板!$A$18:$A$21,0))-DI153*Boss参数!$B$23+IF(OR(Boss参数!$B$43=1,L153="J_HARD"),IF(B153&lt;=AH153,Boss参数!$B$46,0),0)),MAX(0,IF(OR(H153="术法",L153="RHI_BERRY",AND(L153="37_FOLLOW",Boss参数!$B$31=1)),1+BC153,IF(H153="仪式",1+BD153,IF(H153="洞知",EK153,1))))))</f>
        <v/>
      </c>
      <c r="BP153" s="1" t="str">
        <f t="shared" si="143"/>
        <v/>
      </c>
      <c r="BQ153" s="1">
        <f t="shared" si="144"/>
        <v>0</v>
      </c>
      <c r="BR153" s="1">
        <f t="shared" si="145"/>
        <v>0</v>
      </c>
      <c r="BS153" s="1">
        <f>IF(BH153=0,0,ROUNDDOWN(AY153*BH153,0)*DV153*IF(Boss参数!$B$29=1,BN153,1)*IF(Boss参数!$B$33=1,BO153,1)*IF(Boss参数!$B$76=1,1-ES153,1))</f>
        <v>0</v>
      </c>
      <c r="BT153" s="1">
        <f t="shared" si="146"/>
        <v>0</v>
      </c>
      <c r="BU153" s="1">
        <f>IF(D153="",0,MIN(IF(Boss参数!$B$77=1,Boss参数!$B$63*Boss参数!$B$62,Boss参数!$B$61*Boss参数!$B$62),DW153+ROUNDDOWN(BS153,0)+ROUNDDOWN(DW153*Q153,0)))</f>
        <v>0</v>
      </c>
      <c r="BV153" s="1">
        <f>IF(D153="",0,MIN(IF(Boss参数!$B$77=1,Boss参数!$B$63*Boss参数!$B$62,Boss参数!$B$61*Boss参数!$B$62),DX153+ROUNDDOWN(BT153,0)+ROUNDDOWN(DX153*Q153,0)))</f>
        <v>0</v>
      </c>
      <c r="BW153" s="1">
        <f t="shared" si="147"/>
        <v>0</v>
      </c>
      <c r="BX153" s="1" t="str">
        <f t="shared" si="148"/>
        <v/>
      </c>
      <c r="BY153" s="1">
        <f t="shared" si="149"/>
        <v>2</v>
      </c>
      <c r="BZ153" s="1">
        <f t="shared" si="150"/>
        <v>1</v>
      </c>
      <c r="CA153" s="1">
        <f>MIN(10,W153+IF(AND(L153="LILYA_COBRA",COUNTIF($L$3:L153,"LILYA_COBRA")=1),5,0)+IF(AND(L153="LILYA_DIVE",U153=1,COUNTIFS($DG$3:DG153,DG153,$L$3:L153,"LILYA_DIVE")=1),2,0)+IF(AND(FE153=1,U153=1),3,0))</f>
        <v>10</v>
      </c>
      <c r="CB153" s="1">
        <f>MIN(20,MAX(0,X153+IF(L153="LILYA_COBRA",IF(COUNTIF($L$3:L153,"LILYA_COBRA")=1,6,IF(U153=1,MAX(1,G153),IF(U153=2,2*MAX(1,G153),0))),0)+IF(AND(Y153=1,E153="红弩箭",L153&lt;&gt;"ENTER_INSIGHT"),1,0)-IF(AND(L153="LILYA_ULT",X153&gt;=6),6,0)))</f>
        <v>13</v>
      </c>
      <c r="CC153" s="1">
        <f t="shared" si="151"/>
        <v>0</v>
      </c>
      <c r="CD153" s="1">
        <f t="shared" si="152"/>
        <v>0</v>
      </c>
      <c r="CE153" s="1">
        <f t="shared" si="153"/>
        <v>0</v>
      </c>
      <c r="CF153" s="1">
        <f t="shared" si="154"/>
        <v>10</v>
      </c>
      <c r="CG153" s="1">
        <f t="shared" si="155"/>
        <v>1</v>
      </c>
      <c r="CH153" s="1">
        <f>MIN(35,AD153+IF(L153="J_HARD",6,0)+IF(L153="J_COUNTER",Boss参数!$B$30,0))</f>
        <v>35</v>
      </c>
      <c r="CI153" s="1">
        <f>MIN(Boss参数!$I$4,AE153+IF(L153="J_HARD",6,0)+IF(L153="J_ULT",AD153,0)+IF(L153="J_COUNTER",Boss参数!$B$30,0))</f>
        <v>0</v>
      </c>
      <c r="CJ153" s="1">
        <f>IF(L153="J_ULT",AD153*Boss参数!$B$41,IF(B153&lt;=AG153,AF153,0))</f>
        <v>0.875</v>
      </c>
      <c r="CK153" s="1">
        <f t="shared" si="156"/>
        <v>9</v>
      </c>
      <c r="CL153" s="1">
        <f t="shared" si="157"/>
        <v>9</v>
      </c>
      <c r="CM153" s="1">
        <f t="shared" si="158"/>
        <v>8</v>
      </c>
      <c r="CN153" s="1">
        <f t="shared" si="159"/>
        <v>9</v>
      </c>
      <c r="CO153" s="1">
        <f t="shared" si="160"/>
        <v>8</v>
      </c>
      <c r="CP153" s="1">
        <f t="shared" si="161"/>
        <v>3</v>
      </c>
      <c r="CQ153" s="1">
        <f t="shared" si="162"/>
        <v>30</v>
      </c>
      <c r="CR153" s="1">
        <f t="shared" si="163"/>
        <v>9</v>
      </c>
      <c r="CS153" s="1">
        <f t="shared" si="164"/>
        <v>0</v>
      </c>
      <c r="CT153" s="1" t="e">
        <f t="shared" si="165"/>
        <v>#VALUE!</v>
      </c>
      <c r="CU153" s="1" t="e">
        <f t="shared" si="166"/>
        <v>#VALUE!</v>
      </c>
      <c r="CV153" s="1">
        <f t="shared" si="167"/>
        <v>0.3</v>
      </c>
      <c r="CW153" s="1">
        <f t="shared" si="168"/>
        <v>9</v>
      </c>
      <c r="CX153" s="1">
        <f t="shared" si="169"/>
        <v>0.3</v>
      </c>
      <c r="CY153" s="1">
        <f t="shared" si="170"/>
        <v>9</v>
      </c>
      <c r="CZ153" s="1"/>
      <c r="DA153" s="1"/>
      <c r="DB153" s="1"/>
      <c r="DC153" s="1"/>
      <c r="DD153" s="1"/>
      <c r="DE153" s="1"/>
      <c r="DF153" s="1"/>
      <c r="DG153" s="1" t="str">
        <f>IF(D153="","",行动模拟!B159)</f>
        <v/>
      </c>
      <c r="DH153" s="1" t="str">
        <f>IF(L153="END_TURN","回合结束",IF(D153="","",IF(INDEX(回合状态!$C$7:$C$17,MATCH(DG153,回合状态!$A$7:$A$17,0))="洞穿","洞穿",IF(OR(L153="J_COUNTER",L153="BOSS_ACTION",L153="BOSS_CONSERVATIVE"),"敌方",IF(AND(L153="37_FOLLOW",DG153=DG152,DH152="敌方"),"敌方",IF(INDEX(回合状态!$C$7:$C$17,MATCH(DG153,回合状态!$A$7:$A$17,0))="普通","出牌",INDEX(回合状态!$C$7:$C$17,MATCH(DG153,回合状态!$A$7:$A$17,0))))))))</f>
        <v/>
      </c>
      <c r="DI153" s="1">
        <f t="shared" si="171"/>
        <v>0</v>
      </c>
      <c r="DJ153" s="1">
        <f>IF(D153="",0,MIN(Boss参数!$B$25,IF(OR(AND(DH153="敌方",OR(DH152&lt;&gt;"敌方",DG153&lt;&gt;DG152)),AND(L153="END_TURN",DH153&lt;&gt;"洞穿"),AND(DG153&lt;&gt;DG152,DH152&lt;&gt;"洞穿",L152&lt;&gt;"END_TURN",COUNTIFS($DG$3:DG152,DG152,$DH$3:DH152,"敌方")=0)),EW153,DN152)))</f>
        <v>0</v>
      </c>
      <c r="DK153" s="1">
        <f>IF(D153="",0,MIN(Boss参数!$B$25,IF(OR(AND(DH153="敌方",OR(DH152&lt;&gt;"敌方",DG153&lt;&gt;DG152)),AND(L153="END_TURN",DH153&lt;&gt;"洞穿"),AND(DG153&lt;&gt;DG152,DH152&lt;&gt;"洞穿",L152&lt;&gt;"END_TURN",COUNTIFS($DG$3:DG152,DG152,$DH$3:DH152,"敌方")=0)),EW153,DO152)))</f>
        <v>0</v>
      </c>
      <c r="DL153" s="1">
        <f>IF(D153="",0,MIN(Boss参数!$B$25,IF(OR(AND(DH153="敌方",OR(DH152&lt;&gt;"敌方",DG153&lt;&gt;DG152)),AND(L153="END_TURN",DH153&lt;&gt;"洞穿"),AND(DG153&lt;&gt;DG152,DH152&lt;&gt;"洞穿",L152&lt;&gt;"END_TURN",COUNTIFS($DG$3:DG152,DG152,$DH$3:DH152,"敌方")=0)),EW153,DP152)))</f>
        <v>0</v>
      </c>
      <c r="DM153" s="1">
        <f>IF(D153="",0,MIN(Boss参数!$B$25,IF(OR(AND(DH153="敌方",OR(DH152&lt;&gt;"敌方",DG153&lt;&gt;DG152)),AND(L153="END_TURN",DH153&lt;&gt;"洞穿"),AND(DG153&lt;&gt;DG152,DH152&lt;&gt;"洞穿",L152&lt;&gt;"END_TURN",COUNTIFS($DG$3:DG152,DG152,$DH$3:DH152,"敌方")=0)),EW153,DQ152)))</f>
        <v>0</v>
      </c>
      <c r="DN153" s="1">
        <f>MAX(0,MIN(Boss参数!$B$25,DJ153+DR153)-IF(E153="红弩箭",2*DR153,0))</f>
        <v>0</v>
      </c>
      <c r="DO153" s="1">
        <f>MAX(0,MIN(Boss参数!$B$25,DK153+DR153)-IF(E153="37",2*DR153,0))</f>
        <v>0</v>
      </c>
      <c r="DP153" s="1">
        <f>MAX(0,MIN(Boss参数!$B$25,DL153+DR153)-IF(E153="小瑞安侬",2*DR153,0))</f>
        <v>0</v>
      </c>
      <c r="DQ153" s="1">
        <f>MAX(0,MIN(Boss参数!$B$25,DM153+DR153)-IF(E153="J",2*DR153,0))</f>
        <v>0</v>
      </c>
      <c r="DR153" s="1">
        <f t="shared" si="172"/>
        <v>0</v>
      </c>
      <c r="DS153" s="1">
        <f t="shared" si="173"/>
        <v>0</v>
      </c>
      <c r="DT153" s="1">
        <f>IF(OR(E153="",E153="系统"),0,IF(OR(AND(DS153=1,Boss参数!$B$32=1),L153="RHI_BERRY",OR(AND(INDEX(角色面板!$B$18:$B$21,MATCH(E153,角色面板!$A$18:$A$21,0))="星",Boss参数!$B$4="岩"),AND(INDEX(角色面板!$B$18:$B$21,MATCH(E153,角色面板!$A$18:$A$21,0))="岩",Boss参数!$B$4="兽"),AND(INDEX(角色面板!$B$18:$B$21,MATCH(E153,角色面板!$A$18:$A$21,0))="兽",Boss参数!$B$4="木"),AND(INDEX(角色面板!$B$18:$B$21,MATCH(E153,角色面板!$A$18:$A$21,0))="木",Boss参数!$B$4="星"),AND(INDEX(角色面板!$B$18:$B$21,MATCH(E153,角色面板!$A$18:$A$21,0))="智",Boss参数!$B$4="灵"),AND(INDEX(角色面板!$B$18:$B$21,MATCH(E153,角色面板!$A$18:$A$21,0))="灵",Boss参数!$B$4="智"))),1,0))</f>
        <v>0</v>
      </c>
      <c r="DU153" s="1">
        <f>IF(D153="",0,INDEX(回合状态!$E$7:$E$17,MATCH(DG153,回合状态!$A$7:$A$17,0))+IF(AND(DH153="敌方",OR(INDEX(回合状态!$C$7:$C$17,MATCH(DG153,回合状态!$A$7:$A$17,0))="普通",INDEX(回合状态!$C$7:$C$17,MATCH(DG153,回合状态!$A$7:$A$17,0))="额外")),0.05,0))</f>
        <v>0</v>
      </c>
      <c r="DV153" s="1">
        <f>MAX(Boss参数!$B$28,1+IF(AND(E153="37",AC153&gt;0,BH153&gt;0),Boss参数!$B$42,0)-DI153*Boss参数!$B$24+EA153-ER153)</f>
        <v>9.9999999999999978E-2</v>
      </c>
      <c r="DW153" s="1">
        <f>MIN(IF(Boss参数!$B$77=1,Boss参数!$B$63*Boss参数!$B$62,Boss参数!$B$61*Boss参数!$B$62),ROUNDDOWN(BQ153*(1-ES153),0))</f>
        <v>0</v>
      </c>
      <c r="DX153" s="1">
        <f>MIN(IF(Boss参数!$B$77=1,Boss参数!$B$63*Boss参数!$B$62,Boss参数!$B$61*Boss参数!$B$62),ROUNDDOWN(BR153*(1-ES153),0))</f>
        <v>0</v>
      </c>
      <c r="DY153" s="1">
        <f t="shared" si="205"/>
        <v>250</v>
      </c>
      <c r="DZ153" s="1">
        <f>IF(L153="RHI_ULT",MIN(Boss参数!$B$48,ROUNDDOWN(AY153*Boss参数!$B$47,0)),DY153)</f>
        <v>250</v>
      </c>
      <c r="EA153" s="1">
        <v>0</v>
      </c>
      <c r="EB153" s="1">
        <f t="shared" si="174"/>
        <v>0</v>
      </c>
      <c r="EC153" s="1">
        <f>SUMIFS($EB$3:EB153,$B$3:B153,"&gt;="&amp;MAX(1,B153-2),$B$3:B153,"&lt;="&amp;B153)*Boss参数!$B$51</f>
        <v>0</v>
      </c>
      <c r="ED153" s="1">
        <f>IF(D153="",EG152,IF(AND(DG153&lt;&gt;DG152,DH153&lt;&gt;"洞穿"),MIN(Boss参数!$B$55,EG152+2),EG152))</f>
        <v>0</v>
      </c>
      <c r="EE153" s="1">
        <f t="shared" si="175"/>
        <v>0</v>
      </c>
      <c r="EF153" s="1">
        <f>IF(AND(OR(L153="END_TURN",AND(DH153="敌方",OR(DH152&lt;&gt;"敌方",DG153&lt;&gt;DG152))),SUMIFS($EF$3:EF152,$DG$3:DG152,DG153)=0),MIN(1,MAX(0,ED153-EE153)),0)</f>
        <v>0</v>
      </c>
      <c r="EG153" s="1">
        <f t="shared" si="176"/>
        <v>0</v>
      </c>
      <c r="EH153" s="1">
        <f>Boss参数!$B$53-IF(Y153=1,Boss参数!$B$54,0)</f>
        <v>0</v>
      </c>
      <c r="EI153" s="1">
        <f t="shared" si="177"/>
        <v>0.15</v>
      </c>
      <c r="EJ153" s="1">
        <f t="shared" si="178"/>
        <v>0.15</v>
      </c>
      <c r="EK153" s="1" t="e">
        <f t="shared" si="179"/>
        <v>#VALUE!</v>
      </c>
      <c r="EL153" s="1">
        <f t="shared" si="206"/>
        <v>0</v>
      </c>
      <c r="EM153" s="1">
        <f>IF(AND(DG153&lt;&gt;DG152,DH153="洞穿"),0,IF(L153="ENTER_INSIGHT",Boss参数!$B$57,EO152))</f>
        <v>0</v>
      </c>
      <c r="EN153" s="1">
        <f>IF(AND(Y153=1,H153="洞知",EM153&gt;0),Boss参数!$B$56,0)</f>
        <v>0</v>
      </c>
      <c r="EO153" s="1">
        <f t="shared" si="180"/>
        <v>0</v>
      </c>
      <c r="EP153" s="1">
        <f t="shared" si="207"/>
        <v>23210479</v>
      </c>
      <c r="EQ153" s="1">
        <f>ROUNDDOWN(EP153/Boss参数!$B$62,0)</f>
        <v>232</v>
      </c>
      <c r="ER153" s="1">
        <f>IF(EQ153&gt;=Boss参数!$B$66,Boss参数!$B$69,IF(EQ153&gt;=Boss参数!$B$65,Boss参数!$B$68,IF(EQ153&gt;=Boss参数!$B$64,Boss参数!$B$67,0)))</f>
        <v>0.9</v>
      </c>
      <c r="ES153" s="1">
        <f>MIN(1,IF(EQ153&gt;=Boss参数!$B$66,Boss参数!$B$72+ROUNDDOWN((EQ153-Boss参数!$B$66)/Boss参数!$B$73,0)*Boss参数!$B$74,IF(EQ153&gt;=Boss参数!$B$65,Boss参数!$B$71,IF(EQ153&gt;=Boss参数!$B$64,Boss参数!$B$70,0))))</f>
        <v>0.65</v>
      </c>
      <c r="ET153" s="1">
        <f>MIN(Boss参数!$B$61*Boss参数!$B$62,EP153+IF(AND(Boss参数!$B$60=1,ISNUMBER(验证表!H159)),验证表!H159,EU153))</f>
        <v>23210479</v>
      </c>
      <c r="EU153" s="1">
        <f>IF(D153="",0,IF(验证表!G159="是",BV153,IF(验证表!G159="否",BU153,BW153)))</f>
        <v>0</v>
      </c>
      <c r="EV153" s="1">
        <f>IF(EQ153&gt;=Boss参数!$B$66,2,IF(EQ153&gt;=Boss参数!$B$65,1,0))</f>
        <v>2</v>
      </c>
      <c r="EW153" s="1">
        <f t="shared" si="181"/>
        <v>3</v>
      </c>
      <c r="EX153" s="1">
        <f>IF(D153="",0,INDEX(回合状态!$D$7:$D$17,MATCH(DG153,回合状态!$A$7:$A$17,0)))</f>
        <v>0</v>
      </c>
      <c r="EY153" s="1">
        <f>IF(OR(L153="RHI_ATTACK",L153="RHI_BUFF"),1,IF(L153="RHI_ULT",Boss参数!$B$52,0))</f>
        <v>0</v>
      </c>
      <c r="EZ153" s="1">
        <f>MIN(6,SUMIFS($EY$3:EY153,$EX$3:EX153,"&gt;="&amp;MAX(1,EX153-Boss参数!$B$87+1),$EX$3:EX153,"&lt;="&amp;EX153))</f>
        <v>0</v>
      </c>
      <c r="FA153" s="1">
        <f t="shared" si="208"/>
        <v>0</v>
      </c>
      <c r="FB153" s="17">
        <f>IF(L153="BOSS_CONSERVATIVE",B153+Boss参数!$B$91,FB152)</f>
        <v>7</v>
      </c>
      <c r="FC153" s="17">
        <f t="shared" si="209"/>
        <v>0</v>
      </c>
      <c r="FD153" s="17">
        <f>IF(D153="",FD152,FD152+IF(AND(DG153&lt;&gt;DG152,INDEX(回合状态!$C$7:$C$17,MATCH(DG153,回合状态!$A$7:$A$17,0))&lt;&gt;"洞穿"),1,0))</f>
        <v>8</v>
      </c>
      <c r="FE153" s="17">
        <f>IF(D153="",0,IF(AND(OR(L153="END_TURN",DH153="敌方"),INDEX(回合状态!$C$7:$C$17,MATCH(DG153,回合状态!$A$7:$A$17,0))&lt;&gt;"洞穿",SUMIFS($FE$3:FE152,$DG$3:DG152,DG153)=0),1,0))</f>
        <v>0</v>
      </c>
    </row>
    <row r="154" spans="1:161" ht="84.95" customHeight="1">
      <c r="A154" s="1" t="str">
        <f>行动模拟!A160</f>
        <v/>
      </c>
      <c r="B154" s="1">
        <f>IF(D154="",0,INDEX(回合状态!$B$7:$B$17,MATCH(DG154,回合状态!$A$7:$A$17,0)))</f>
        <v>0</v>
      </c>
      <c r="C154" s="1">
        <f>行动模拟!C160</f>
        <v>0</v>
      </c>
      <c r="D154" s="1" t="str">
        <f>IF(行动模拟!D160="","",行动模拟!D160)</f>
        <v/>
      </c>
      <c r="E154" s="1" t="str">
        <f>IF($D154="","",IFERROR(INDEX(技能数据库!$B$4:$B$38,MATCH($D154,技能数据库!$A$4:$A$38,0)),""))</f>
        <v/>
      </c>
      <c r="F154" s="1" t="str">
        <f>IF($D154="","",IFERROR(INDEX(技能数据库!$C$4:$C$38,MATCH($D154,技能数据库!$A$4:$A$38,0)),""))</f>
        <v/>
      </c>
      <c r="G154" s="1" t="str">
        <f>IF($D154="","",IFERROR(INDEX(技能数据库!$D$4:$D$38,MATCH($D154,技能数据库!$A$4:$A$38,0)),""))</f>
        <v/>
      </c>
      <c r="H154" s="1" t="str">
        <f>IF($D154="","",IFERROR(INDEX(技能数据库!$E$4:$E$38,MATCH($D154,技能数据库!$A$4:$A$38,0)),""))</f>
        <v/>
      </c>
      <c r="I154" s="1" t="str">
        <f>IF($D154="","",IFERROR(INDEX(技能数据库!$F$4:$F$38,MATCH($D154,技能数据库!$A$4:$A$38,0)),""))</f>
        <v/>
      </c>
      <c r="J154" s="1" t="str">
        <f>IF($D154="","",IFERROR(INDEX(技能数据库!$G$4:$G$38,MATCH($D154,技能数据库!$A$4:$A$38,0)),""))</f>
        <v/>
      </c>
      <c r="K154" s="1" t="str">
        <f>IF($D154="","",IFERROR(INDEX(技能数据库!$H$4:$H$38,MATCH($D154,技能数据库!$A$4:$A$38,0)),""))</f>
        <v/>
      </c>
      <c r="L154" s="1" t="str">
        <f>IF($D154="","",IFERROR(INDEX(技能数据库!$I$4:$I$38,MATCH($D154,技能数据库!$A$4:$A$38,0)),""))</f>
        <v/>
      </c>
      <c r="M154" s="1">
        <v>1</v>
      </c>
      <c r="N154" s="1"/>
      <c r="O154" s="1"/>
      <c r="P154" s="1"/>
      <c r="Q154" s="1">
        <f t="shared" si="140"/>
        <v>0</v>
      </c>
      <c r="R154" s="1">
        <v>0</v>
      </c>
      <c r="S154" s="1">
        <v>0</v>
      </c>
      <c r="T154" s="1">
        <f>行动模拟!I160</f>
        <v>0</v>
      </c>
      <c r="U154" s="1">
        <f>IF(FD154&lt;&gt;FD153,IF(BY153=1,IF(MIN(10,CA153+IF(AND(DG154&lt;&gt;DG153,DH153&lt;&gt;"洞穿",SUMIFS($FE$3:FE153,$DG$3:DG153,DG153)=0,BY153=1),3,0))&gt;=10,2,1),IF(BY153=2,IF(BZ153&lt;=1,0,2),0)),BY153)</f>
        <v>2</v>
      </c>
      <c r="V154" s="1">
        <f>IF(FD154&lt;&gt;FD153,IF(BY153=1,IF(MIN(10,CA153+IF(AND(DG154&lt;&gt;DG153,DH153&lt;&gt;"洞穿",SUMIFS($FE$3:FE153,$DG$3:DG153,DG153)=0,BY153=1),3,0))&gt;=10,2,0),IF(BY153=2,MAX(0,BZ153-1),0)),BZ153)</f>
        <v>1</v>
      </c>
      <c r="W154" s="1">
        <f>IF(AND(FD154&lt;&gt;FD153,BY153=2,BZ153&lt;=1),0,MIN(10,CA153+IF(AND(DG154&lt;&gt;DG153,DH153&lt;&gt;"洞穿",SUMIFS($FE$3:FE153,$DG$3:DG153,DG153)=0,BY153=1),3,0)))</f>
        <v>10</v>
      </c>
      <c r="X154" s="1">
        <f t="shared" si="182"/>
        <v>13</v>
      </c>
      <c r="Y154" s="1">
        <f t="shared" si="183"/>
        <v>0</v>
      </c>
      <c r="Z154" s="1">
        <f t="shared" si="184"/>
        <v>0</v>
      </c>
      <c r="AA154" s="1">
        <f t="shared" si="185"/>
        <v>0</v>
      </c>
      <c r="AB154" s="1">
        <f t="shared" si="186"/>
        <v>10</v>
      </c>
      <c r="AC154" s="1">
        <f t="shared" si="187"/>
        <v>1</v>
      </c>
      <c r="AD154" s="1">
        <f t="shared" si="188"/>
        <v>35</v>
      </c>
      <c r="AE154" s="1">
        <f>IF(D154="",0,IF(DG154&lt;&gt;DG153,IFERROR(INDEX(回合状态!$F$7:$F$17,MATCH(DG154,回合状态!$A$7:$A$17,0)),0),CI153))</f>
        <v>0</v>
      </c>
      <c r="AF154" s="1">
        <f t="shared" si="189"/>
        <v>0.875</v>
      </c>
      <c r="AG154" s="1">
        <f t="shared" si="190"/>
        <v>9</v>
      </c>
      <c r="AH154" s="1">
        <f t="shared" si="191"/>
        <v>9</v>
      </c>
      <c r="AI154" s="1">
        <f t="shared" si="192"/>
        <v>8</v>
      </c>
      <c r="AJ154" s="1">
        <f t="shared" si="193"/>
        <v>9</v>
      </c>
      <c r="AK154" s="1">
        <f t="shared" si="194"/>
        <v>8</v>
      </c>
      <c r="AL154" s="1">
        <f t="shared" si="195"/>
        <v>3</v>
      </c>
      <c r="AM154" s="1">
        <f t="shared" si="196"/>
        <v>30</v>
      </c>
      <c r="AN154" s="1">
        <f t="shared" si="197"/>
        <v>9</v>
      </c>
      <c r="AO154" s="1">
        <f t="shared" si="198"/>
        <v>0</v>
      </c>
      <c r="AP154" s="1" t="e">
        <f t="shared" si="199"/>
        <v>#VALUE!</v>
      </c>
      <c r="AQ154" s="1" t="e">
        <f t="shared" si="200"/>
        <v>#VALUE!</v>
      </c>
      <c r="AR154" s="1">
        <f t="shared" si="201"/>
        <v>0.3</v>
      </c>
      <c r="AS154" s="1">
        <f t="shared" si="202"/>
        <v>9</v>
      </c>
      <c r="AT154" s="1">
        <f t="shared" si="203"/>
        <v>0.3</v>
      </c>
      <c r="AU154" s="1">
        <f t="shared" si="204"/>
        <v>9</v>
      </c>
      <c r="AV154" s="1">
        <f>MIN(5,SUMIFS($EL$3:EL154,$B$3:B154,"&gt;="&amp;MAX(1,B154-2),$B$3:B154,"&lt;="&amp;B154)+EC154)</f>
        <v>0</v>
      </c>
      <c r="AW154" s="1">
        <f>MIN(6,SUMIFS($EY$3:EY153,$EX$3:EX153,"&gt;="&amp;MAX(1,EX154-Boss参数!$B$87+1),$EX$3:EX153,"&lt;="&amp;EX154))</f>
        <v>0</v>
      </c>
      <c r="AX154" s="1">
        <f>MIN(4,COUNTIFS($B$3:$B$153,"&gt;="&amp;MAX(1,$B154-2),$B$3:$B$153,"&lt;="&amp;$B154,$L$3:$L$153,"37_FOLLOW"))</f>
        <v>0</v>
      </c>
      <c r="AY154" s="1" t="str">
        <f>IF($E154="","",IF($E154="系统",0,ROUNDDOWN(INDEX(角色面板!$C$4:$C$7,MATCH($E154,角色面板!$A$4:$A$7,0))*(1+INDEX(角色面板!$C$11:$C$14,MATCH($E154,角色面板!$A$11:$A$14,0))+IF($E154="小瑞安侬",MAX(IF($B154&lt;=$AQ154,$AP154,0),IF(AND($L154="RHI_ATTACK",$EE154&gt;0),0.11+0.01*$G154,0)),0)+IF($E154="J",$AD154*Boss参数!$B$18,0))+IF(FD154&lt;=$AN154,MIN(Boss参数!$B$21,ROUNDDOWN(角色面板!$C$19*Boss参数!$B$20,0)),0)+IF(AND($B154&lt;=$AK154,$E154&lt;&gt;"小瑞安侬"),$DY154,0),0)))</f>
        <v/>
      </c>
      <c r="AZ154" s="1" t="str">
        <f>IF($E154="","",MAX(0,MIN(1,IFERROR(INDEX(角色面板!$G$18:$G$21,MATCH($E154,角色面板!$A$18:$A$21,0)),0)-FC154*Boss参数!$B$89-Boss参数!$E$4)))</f>
        <v/>
      </c>
      <c r="BA154" s="1" t="str">
        <f>IF(E154="","",(IF($E154="","",IF($E154="红弩箭",Boss参数!$B$80,IF($E154="J",Boss参数!$B$81,IFERROR(INDEX(角色面板!$H$18:$H$21,MATCH($E154,角色面板!$A$18:$A$21,0)),0)))+IF($B154&lt;=$AI154,Boss参数!$B$13,0)+MIN(30,$AM154)*Boss参数!$B$17+IF(AND($L154="LILYA_ULT",$X154&gt;=6),1,0)+IF(AND($Y154=1,$L154="LILYA_INSIGHT"),IF(MOD($AA154+1,3)=0,Boss参数!$B$83,Boss参数!$B$82),IF(AND($Y154=1,$L154="LILYA_FINISH"),Boss参数!$B$84,0))))-FC154*Boss参数!$B$90)</f>
        <v/>
      </c>
      <c r="BB154" s="1" t="str">
        <f>IF($E154="","",IFERROR(INDEX(角色面板!$M$18:$M$21,MATCH($E154,角色面板!$A$18:$A$21,0)),0)+$AW154*Boss参数!$B$12+IF($B154&lt;=$AG154,$AF154,0)+$EI154+IF($L154="LILYA_DIVE",IF($U154=1,IF($G154=1,0.3,IF($G154=2,0.4,0.5)),IF($U154=2,IF($G154=1,0.6,IF($G154=2,0.8,1)),0)),0)+$R154+IF(AND($E154="J",OR($L154="J_COUNTER",$L154="J_HARD")),Boss参数!$B$79,0)+IF(AND(OR(L154="J_COUNTER",L154="J_HARD"),FA154&gt;=Boss参数!$B$59),FA154*Boss参数!$B$40,0))</f>
        <v/>
      </c>
      <c r="BC154" s="1" t="e">
        <f>IF($E154="","",IFERROR(INDEX(角色面板!$K$18:$K$21,MATCH($E154,角色面板!$A$18:$A$21,0)),0)+IF($B154&lt;=$AH154,Boss参数!$B$46,0)+IF($E154="红弩箭",IF($U154=1,0.6,IF($U154=2,1.2,0))+$W154*0.06,0))-DI154*Boss参数!$B$23</f>
        <v>#VALUE!</v>
      </c>
      <c r="BD154" s="1" t="e">
        <f>IF($E154="","",IFERROR(INDEX(角色面板!$L$18:$L$21,MATCH($E154,角色面板!$A$18:$A$21,0)),0)+IF($B154&lt;=$AH154,Boss参数!$B$46,0)+IF($E154="J",$AL154*Boss参数!$B$16,0)+IF($E154="红弩箭",$X154*0.025,0)+IF(AND($L154="LILYA_ULT",$X154&gt;=6),1,0))-DI154*Boss参数!$B$23</f>
        <v>#VALUE!</v>
      </c>
      <c r="BE154" s="1" t="str">
        <f>IF($E154="","",IF($H154="洞知",IF($E154="红弩箭",$AO154*Boss参数!$B$15,0)+$AX154*Boss参数!$B$14,0))</f>
        <v/>
      </c>
      <c r="BF154" s="1">
        <f t="shared" si="141"/>
        <v>0</v>
      </c>
      <c r="BG154" s="1">
        <f>IF($D154="",0,IF(AND($L154&lt;&gt;"LILYA_DIVE",$L154&lt;&gt;"LILYA_ULT",$L154&lt;&gt;"LILYA_INSIGHT",$L154&lt;&gt;"LILYA_FINISH",$L154&lt;&gt;"37_FOLLOW",$L154&lt;&gt;"RHI_ATTACK",$L154&lt;&gt;"RHI_BERRY",$L154&lt;&gt;"J_COUNTER",$L154&lt;&gt;"J_ULT"),$J154,0)+IF($L154="LILYA_DIVE",$J154+IF($U154=1,IF($G154=1,6,IF($G154=2,12,18)),IF($U154=2,IF($G154=1,12,IF($G154=2,24,36)),0)),0)+IF($L154="LILYA_ULT",$J154+IF($X154&gt;=6,18,0),0)+IF($L154="LILYA_INSIGHT",IF($Y154=1,IF(MOD($AA154+1,3)=0,32,15),0),0)+IF($L154="LILYA_FINISH",IF($Y154=1,50+2.5*$Z154,0),0)+IF($L154="37_FOLLOW",$J154,0)+IF($L154="RHI_ATTACK",$J154*IF($B154&lt;=$AJ154,2,1),0)+IF($L154="RHI_BERRY",15+1.5*$AV154,0)+IF($L154="J_COUNTER",$J154+$AD154*Boss参数!$B$39,0)+IF($L154="J_ULT",$J154+Boss参数!$B$45*MAX(0,$AE154+$AD154-Boss参数!$I$4),0)+$S154)</f>
        <v>0</v>
      </c>
      <c r="BH154" s="1">
        <f t="shared" si="142"/>
        <v>0</v>
      </c>
      <c r="BI154" s="1" t="str">
        <f>IF(E154="","",IF(DT154=1,1+Boss参数!$B$8+AV154*Boss参数!$B$19,1))</f>
        <v/>
      </c>
      <c r="BJ154" s="1">
        <f>IF($I154="现实",Boss参数!$C$4,IF($I154="精神",Boss参数!$D$4,0))</f>
        <v>0</v>
      </c>
      <c r="BK154" s="1" t="str">
        <f>IF($E154="","",MAX($AY154*Boss参数!$B$9,$AY154-$BJ154*(1-$BF154)))</f>
        <v/>
      </c>
      <c r="BL154" s="1">
        <f>MAX(0,Boss参数!$F$4+IF(DT154=0,Boss参数!$B$27,0)-EJ154)</f>
        <v>1.25</v>
      </c>
      <c r="BM154" s="1">
        <f>Boss参数!$G$4+DU154-IF(Y154=1,Boss参数!$B$11,0)</f>
        <v>0.4</v>
      </c>
      <c r="BN154" s="1" t="str">
        <f>IF($E154="","",MAX(Boss参数!$B$10,1+IFERROR(INDEX(角色面板!$I$18:$I$21,MATCH($E154,角色面板!$A$18:$A$21,0)),0)+$BB154+Boss参数!$H$4-$BM154))</f>
        <v/>
      </c>
      <c r="BO154" s="1" t="str">
        <f>IF(E154="","",IF(OR(L154="J_COUNTER",L154="J_HARD"),MAX(0,1+INDEX(角色面板!$K$18:$K$21,MATCH(E154,角色面板!$A$18:$A$21,0))-DI154*Boss参数!$B$23+IF(OR(Boss参数!$B$43=1,L154="J_HARD"),IF(B154&lt;=AH154,Boss参数!$B$46,0),0)),MAX(0,IF(OR(H154="术法",L154="RHI_BERRY",AND(L154="37_FOLLOW",Boss参数!$B$31=1)),1+BC154,IF(H154="仪式",1+BD154,IF(H154="洞知",EK154,1))))))</f>
        <v/>
      </c>
      <c r="BP154" s="1" t="str">
        <f t="shared" si="143"/>
        <v/>
      </c>
      <c r="BQ154" s="1">
        <f t="shared" si="144"/>
        <v>0</v>
      </c>
      <c r="BR154" s="1">
        <f t="shared" si="145"/>
        <v>0</v>
      </c>
      <c r="BS154" s="1">
        <f>IF(BH154=0,0,ROUNDDOWN(AY154*BH154,0)*DV154*IF(Boss参数!$B$29=1,BN154,1)*IF(Boss参数!$B$33=1,BO154,1)*IF(Boss参数!$B$76=1,1-ES154,1))</f>
        <v>0</v>
      </c>
      <c r="BT154" s="1">
        <f t="shared" si="146"/>
        <v>0</v>
      </c>
      <c r="BU154" s="1">
        <f>IF(D154="",0,MIN(IF(Boss参数!$B$77=1,Boss参数!$B$63*Boss参数!$B$62,Boss参数!$B$61*Boss参数!$B$62),DW154+ROUNDDOWN(BS154,0)+ROUNDDOWN(DW154*Q154,0)))</f>
        <v>0</v>
      </c>
      <c r="BV154" s="1">
        <f>IF(D154="",0,MIN(IF(Boss参数!$B$77=1,Boss参数!$B$63*Boss参数!$B$62,Boss参数!$B$61*Boss参数!$B$62),DX154+ROUNDDOWN(BT154,0)+ROUNDDOWN(DX154*Q154,0)))</f>
        <v>0</v>
      </c>
      <c r="BW154" s="1">
        <f t="shared" si="147"/>
        <v>0</v>
      </c>
      <c r="BX154" s="1" t="str">
        <f t="shared" si="148"/>
        <v/>
      </c>
      <c r="BY154" s="1">
        <f t="shared" si="149"/>
        <v>2</v>
      </c>
      <c r="BZ154" s="1">
        <f t="shared" si="150"/>
        <v>1</v>
      </c>
      <c r="CA154" s="1">
        <f>MIN(10,W154+IF(AND(L154="LILYA_COBRA",COUNTIF($L$3:L154,"LILYA_COBRA")=1),5,0)+IF(AND(L154="LILYA_DIVE",U154=1,COUNTIFS($DG$3:DG154,DG154,$L$3:L154,"LILYA_DIVE")=1),2,0)+IF(AND(FE154=1,U154=1),3,0))</f>
        <v>10</v>
      </c>
      <c r="CB154" s="1">
        <f>MIN(20,MAX(0,X154+IF(L154="LILYA_COBRA",IF(COUNTIF($L$3:L154,"LILYA_COBRA")=1,6,IF(U154=1,MAX(1,G154),IF(U154=2,2*MAX(1,G154),0))),0)+IF(AND(Y154=1,E154="红弩箭",L154&lt;&gt;"ENTER_INSIGHT"),1,0)-IF(AND(L154="LILYA_ULT",X154&gt;=6),6,0)))</f>
        <v>13</v>
      </c>
      <c r="CC154" s="1">
        <f t="shared" si="151"/>
        <v>0</v>
      </c>
      <c r="CD154" s="1">
        <f t="shared" si="152"/>
        <v>0</v>
      </c>
      <c r="CE154" s="1">
        <f t="shared" si="153"/>
        <v>0</v>
      </c>
      <c r="CF154" s="1">
        <f t="shared" si="154"/>
        <v>10</v>
      </c>
      <c r="CG154" s="1">
        <f t="shared" si="155"/>
        <v>1</v>
      </c>
      <c r="CH154" s="1">
        <f>MIN(35,AD154+IF(L154="J_HARD",6,0)+IF(L154="J_COUNTER",Boss参数!$B$30,0))</f>
        <v>35</v>
      </c>
      <c r="CI154" s="1">
        <f>MIN(Boss参数!$I$4,AE154+IF(L154="J_HARD",6,0)+IF(L154="J_ULT",AD154,0)+IF(L154="J_COUNTER",Boss参数!$B$30,0))</f>
        <v>0</v>
      </c>
      <c r="CJ154" s="1">
        <f>IF(L154="J_ULT",AD154*Boss参数!$B$41,IF(B154&lt;=AG154,AF154,0))</f>
        <v>0.875</v>
      </c>
      <c r="CK154" s="1">
        <f t="shared" si="156"/>
        <v>9</v>
      </c>
      <c r="CL154" s="1">
        <f t="shared" si="157"/>
        <v>9</v>
      </c>
      <c r="CM154" s="1">
        <f t="shared" si="158"/>
        <v>8</v>
      </c>
      <c r="CN154" s="1">
        <f t="shared" si="159"/>
        <v>9</v>
      </c>
      <c r="CO154" s="1">
        <f t="shared" si="160"/>
        <v>8</v>
      </c>
      <c r="CP154" s="1">
        <f t="shared" si="161"/>
        <v>3</v>
      </c>
      <c r="CQ154" s="1">
        <f t="shared" si="162"/>
        <v>30</v>
      </c>
      <c r="CR154" s="1">
        <f t="shared" si="163"/>
        <v>9</v>
      </c>
      <c r="CS154" s="1">
        <f t="shared" si="164"/>
        <v>0</v>
      </c>
      <c r="CT154" s="1" t="e">
        <f t="shared" si="165"/>
        <v>#VALUE!</v>
      </c>
      <c r="CU154" s="1" t="e">
        <f t="shared" si="166"/>
        <v>#VALUE!</v>
      </c>
      <c r="CV154" s="1">
        <f t="shared" si="167"/>
        <v>0.3</v>
      </c>
      <c r="CW154" s="1">
        <f t="shared" si="168"/>
        <v>9</v>
      </c>
      <c r="CX154" s="1">
        <f t="shared" si="169"/>
        <v>0.3</v>
      </c>
      <c r="CY154" s="1">
        <f t="shared" si="170"/>
        <v>9</v>
      </c>
      <c r="CZ154" s="1"/>
      <c r="DA154" s="1"/>
      <c r="DB154" s="1"/>
      <c r="DC154" s="1"/>
      <c r="DD154" s="1"/>
      <c r="DE154" s="1"/>
      <c r="DF154" s="1"/>
      <c r="DG154" s="1" t="str">
        <f>IF(D154="","",行动模拟!B160)</f>
        <v/>
      </c>
      <c r="DH154" s="1" t="str">
        <f>IF(L154="END_TURN","回合结束",IF(D154="","",IF(INDEX(回合状态!$C$7:$C$17,MATCH(DG154,回合状态!$A$7:$A$17,0))="洞穿","洞穿",IF(OR(L154="J_COUNTER",L154="BOSS_ACTION",L154="BOSS_CONSERVATIVE"),"敌方",IF(AND(L154="37_FOLLOW",DG154=DG153,DH153="敌方"),"敌方",IF(INDEX(回合状态!$C$7:$C$17,MATCH(DG154,回合状态!$A$7:$A$17,0))="普通","出牌",INDEX(回合状态!$C$7:$C$17,MATCH(DG154,回合状态!$A$7:$A$17,0))))))))</f>
        <v/>
      </c>
      <c r="DI154" s="1">
        <f t="shared" si="171"/>
        <v>0</v>
      </c>
      <c r="DJ154" s="1">
        <f>IF(D154="",0,MIN(Boss参数!$B$25,IF(OR(AND(DH154="敌方",OR(DH153&lt;&gt;"敌方",DG154&lt;&gt;DG153)),AND(L154="END_TURN",DH154&lt;&gt;"洞穿"),AND(DG154&lt;&gt;DG153,DH153&lt;&gt;"洞穿",L153&lt;&gt;"END_TURN",COUNTIFS($DG$3:DG153,DG153,$DH$3:DH153,"敌方")=0)),EW154,DN153)))</f>
        <v>0</v>
      </c>
      <c r="DK154" s="1">
        <f>IF(D154="",0,MIN(Boss参数!$B$25,IF(OR(AND(DH154="敌方",OR(DH153&lt;&gt;"敌方",DG154&lt;&gt;DG153)),AND(L154="END_TURN",DH154&lt;&gt;"洞穿"),AND(DG154&lt;&gt;DG153,DH153&lt;&gt;"洞穿",L153&lt;&gt;"END_TURN",COUNTIFS($DG$3:DG153,DG153,$DH$3:DH153,"敌方")=0)),EW154,DO153)))</f>
        <v>0</v>
      </c>
      <c r="DL154" s="1">
        <f>IF(D154="",0,MIN(Boss参数!$B$25,IF(OR(AND(DH154="敌方",OR(DH153&lt;&gt;"敌方",DG154&lt;&gt;DG153)),AND(L154="END_TURN",DH154&lt;&gt;"洞穿"),AND(DG154&lt;&gt;DG153,DH153&lt;&gt;"洞穿",L153&lt;&gt;"END_TURN",COUNTIFS($DG$3:DG153,DG153,$DH$3:DH153,"敌方")=0)),EW154,DP153)))</f>
        <v>0</v>
      </c>
      <c r="DM154" s="1">
        <f>IF(D154="",0,MIN(Boss参数!$B$25,IF(OR(AND(DH154="敌方",OR(DH153&lt;&gt;"敌方",DG154&lt;&gt;DG153)),AND(L154="END_TURN",DH154&lt;&gt;"洞穿"),AND(DG154&lt;&gt;DG153,DH153&lt;&gt;"洞穿",L153&lt;&gt;"END_TURN",COUNTIFS($DG$3:DG153,DG153,$DH$3:DH153,"敌方")=0)),EW154,DQ153)))</f>
        <v>0</v>
      </c>
      <c r="DN154" s="1">
        <f>MAX(0,MIN(Boss参数!$B$25,DJ154+DR154)-IF(E154="红弩箭",2*DR154,0))</f>
        <v>0</v>
      </c>
      <c r="DO154" s="1">
        <f>MAX(0,MIN(Boss参数!$B$25,DK154+DR154)-IF(E154="37",2*DR154,0))</f>
        <v>0</v>
      </c>
      <c r="DP154" s="1">
        <f>MAX(0,MIN(Boss参数!$B$25,DL154+DR154)-IF(E154="小瑞安侬",2*DR154,0))</f>
        <v>0</v>
      </c>
      <c r="DQ154" s="1">
        <f>MAX(0,MIN(Boss参数!$B$25,DM154+DR154)-IF(E154="J",2*DR154,0))</f>
        <v>0</v>
      </c>
      <c r="DR154" s="1">
        <f t="shared" si="172"/>
        <v>0</v>
      </c>
      <c r="DS154" s="1">
        <f t="shared" si="173"/>
        <v>0</v>
      </c>
      <c r="DT154" s="1">
        <f>IF(OR(E154="",E154="系统"),0,IF(OR(AND(DS154=1,Boss参数!$B$32=1),L154="RHI_BERRY",OR(AND(INDEX(角色面板!$B$18:$B$21,MATCH(E154,角色面板!$A$18:$A$21,0))="星",Boss参数!$B$4="岩"),AND(INDEX(角色面板!$B$18:$B$21,MATCH(E154,角色面板!$A$18:$A$21,0))="岩",Boss参数!$B$4="兽"),AND(INDEX(角色面板!$B$18:$B$21,MATCH(E154,角色面板!$A$18:$A$21,0))="兽",Boss参数!$B$4="木"),AND(INDEX(角色面板!$B$18:$B$21,MATCH(E154,角色面板!$A$18:$A$21,0))="木",Boss参数!$B$4="星"),AND(INDEX(角色面板!$B$18:$B$21,MATCH(E154,角色面板!$A$18:$A$21,0))="智",Boss参数!$B$4="灵"),AND(INDEX(角色面板!$B$18:$B$21,MATCH(E154,角色面板!$A$18:$A$21,0))="灵",Boss参数!$B$4="智"))),1,0))</f>
        <v>0</v>
      </c>
      <c r="DU154" s="1">
        <f>IF(D154="",0,INDEX(回合状态!$E$7:$E$17,MATCH(DG154,回合状态!$A$7:$A$17,0))+IF(AND(DH154="敌方",OR(INDEX(回合状态!$C$7:$C$17,MATCH(DG154,回合状态!$A$7:$A$17,0))="普通",INDEX(回合状态!$C$7:$C$17,MATCH(DG154,回合状态!$A$7:$A$17,0))="额外")),0.05,0))</f>
        <v>0</v>
      </c>
      <c r="DV154" s="1">
        <f>MAX(Boss参数!$B$28,1+IF(AND(E154="37",AC154&gt;0,BH154&gt;0),Boss参数!$B$42,0)-DI154*Boss参数!$B$24+EA154-ER154)</f>
        <v>9.9999999999999978E-2</v>
      </c>
      <c r="DW154" s="1">
        <f>MIN(IF(Boss参数!$B$77=1,Boss参数!$B$63*Boss参数!$B$62,Boss参数!$B$61*Boss参数!$B$62),ROUNDDOWN(BQ154*(1-ES154),0))</f>
        <v>0</v>
      </c>
      <c r="DX154" s="1">
        <f>MIN(IF(Boss参数!$B$77=1,Boss参数!$B$63*Boss参数!$B$62,Boss参数!$B$61*Boss参数!$B$62),ROUNDDOWN(BR154*(1-ES154),0))</f>
        <v>0</v>
      </c>
      <c r="DY154" s="1">
        <f t="shared" si="205"/>
        <v>250</v>
      </c>
      <c r="DZ154" s="1">
        <f>IF(L154="RHI_ULT",MIN(Boss参数!$B$48,ROUNDDOWN(AY154*Boss参数!$B$47,0)),DY154)</f>
        <v>250</v>
      </c>
      <c r="EA154" s="1">
        <v>0</v>
      </c>
      <c r="EB154" s="1">
        <f t="shared" si="174"/>
        <v>0</v>
      </c>
      <c r="EC154" s="1">
        <f>SUMIFS($EB$3:EB154,$B$3:B154,"&gt;="&amp;MAX(1,B154-2),$B$3:B154,"&lt;="&amp;B154)*Boss参数!$B$51</f>
        <v>0</v>
      </c>
      <c r="ED154" s="1">
        <f>IF(D154="",EG153,IF(AND(DG154&lt;&gt;DG153,DH154&lt;&gt;"洞穿"),MIN(Boss参数!$B$55,EG153+2),EG153))</f>
        <v>0</v>
      </c>
      <c r="EE154" s="1">
        <f t="shared" si="175"/>
        <v>0</v>
      </c>
      <c r="EF154" s="1">
        <f>IF(AND(OR(L154="END_TURN",AND(DH154="敌方",OR(DH153&lt;&gt;"敌方",DG154&lt;&gt;DG153))),SUMIFS($EF$3:EF153,$DG$3:DG153,DG154)=0),MIN(1,MAX(0,ED154-EE154)),0)</f>
        <v>0</v>
      </c>
      <c r="EG154" s="1">
        <f t="shared" si="176"/>
        <v>0</v>
      </c>
      <c r="EH154" s="1">
        <f>Boss参数!$B$53-IF(Y154=1,Boss参数!$B$54,0)</f>
        <v>0</v>
      </c>
      <c r="EI154" s="1">
        <f t="shared" si="177"/>
        <v>0.15</v>
      </c>
      <c r="EJ154" s="1">
        <f t="shared" si="178"/>
        <v>0.15</v>
      </c>
      <c r="EK154" s="1" t="e">
        <f t="shared" si="179"/>
        <v>#VALUE!</v>
      </c>
      <c r="EL154" s="1">
        <f t="shared" si="206"/>
        <v>0</v>
      </c>
      <c r="EM154" s="1">
        <f>IF(AND(DG154&lt;&gt;DG153,DH154="洞穿"),0,IF(L154="ENTER_INSIGHT",Boss参数!$B$57,EO153))</f>
        <v>0</v>
      </c>
      <c r="EN154" s="1">
        <f>IF(AND(Y154=1,H154="洞知",EM154&gt;0),Boss参数!$B$56,0)</f>
        <v>0</v>
      </c>
      <c r="EO154" s="1">
        <f t="shared" si="180"/>
        <v>0</v>
      </c>
      <c r="EP154" s="1">
        <f t="shared" si="207"/>
        <v>23210479</v>
      </c>
      <c r="EQ154" s="1">
        <f>ROUNDDOWN(EP154/Boss参数!$B$62,0)</f>
        <v>232</v>
      </c>
      <c r="ER154" s="1">
        <f>IF(EQ154&gt;=Boss参数!$B$66,Boss参数!$B$69,IF(EQ154&gt;=Boss参数!$B$65,Boss参数!$B$68,IF(EQ154&gt;=Boss参数!$B$64,Boss参数!$B$67,0)))</f>
        <v>0.9</v>
      </c>
      <c r="ES154" s="1">
        <f>MIN(1,IF(EQ154&gt;=Boss参数!$B$66,Boss参数!$B$72+ROUNDDOWN((EQ154-Boss参数!$B$66)/Boss参数!$B$73,0)*Boss参数!$B$74,IF(EQ154&gt;=Boss参数!$B$65,Boss参数!$B$71,IF(EQ154&gt;=Boss参数!$B$64,Boss参数!$B$70,0))))</f>
        <v>0.65</v>
      </c>
      <c r="ET154" s="1">
        <f>MIN(Boss参数!$B$61*Boss参数!$B$62,EP154+IF(AND(Boss参数!$B$60=1,ISNUMBER(验证表!H160)),验证表!H160,EU154))</f>
        <v>23210479</v>
      </c>
      <c r="EU154" s="1">
        <f>IF(D154="",0,IF(验证表!G160="是",BV154,IF(验证表!G160="否",BU154,BW154)))</f>
        <v>0</v>
      </c>
      <c r="EV154" s="1">
        <f>IF(EQ154&gt;=Boss参数!$B$66,2,IF(EQ154&gt;=Boss参数!$B$65,1,0))</f>
        <v>2</v>
      </c>
      <c r="EW154" s="1">
        <f t="shared" si="181"/>
        <v>3</v>
      </c>
      <c r="EX154" s="1">
        <f>IF(D154="",0,INDEX(回合状态!$D$7:$D$17,MATCH(DG154,回合状态!$A$7:$A$17,0)))</f>
        <v>0</v>
      </c>
      <c r="EY154" s="1">
        <f>IF(OR(L154="RHI_ATTACK",L154="RHI_BUFF"),1,IF(L154="RHI_ULT",Boss参数!$B$52,0))</f>
        <v>0</v>
      </c>
      <c r="EZ154" s="1">
        <f>MIN(6,SUMIFS($EY$3:EY154,$EX$3:EX154,"&gt;="&amp;MAX(1,EX154-Boss参数!$B$87+1),$EX$3:EX154,"&lt;="&amp;EX154))</f>
        <v>0</v>
      </c>
      <c r="FA154" s="1">
        <f t="shared" si="208"/>
        <v>0</v>
      </c>
      <c r="FB154" s="17">
        <f>IF(L154="BOSS_CONSERVATIVE",B154+Boss参数!$B$91,FB153)</f>
        <v>7</v>
      </c>
      <c r="FC154" s="17">
        <f t="shared" si="209"/>
        <v>0</v>
      </c>
      <c r="FD154" s="17">
        <f>IF(D154="",FD153,FD153+IF(AND(DG154&lt;&gt;DG153,INDEX(回合状态!$C$7:$C$17,MATCH(DG154,回合状态!$A$7:$A$17,0))&lt;&gt;"洞穿"),1,0))</f>
        <v>8</v>
      </c>
      <c r="FE154" s="17">
        <f>IF(D154="",0,IF(AND(OR(L154="END_TURN",DH154="敌方"),INDEX(回合状态!$C$7:$C$17,MATCH(DG154,回合状态!$A$7:$A$17,0))&lt;&gt;"洞穿",SUMIFS($FE$3:FE153,$DG$3:DG153,DG154)=0),1,0))</f>
        <v>0</v>
      </c>
    </row>
    <row r="155" spans="1:161" ht="84.95" customHeight="1">
      <c r="A155" s="1" t="str">
        <f>行动模拟!A161</f>
        <v/>
      </c>
      <c r="B155" s="1">
        <f>IF(D155="",0,INDEX(回合状态!$B$7:$B$17,MATCH(DG155,回合状态!$A$7:$A$17,0)))</f>
        <v>0</v>
      </c>
      <c r="C155" s="1">
        <f>行动模拟!C161</f>
        <v>0</v>
      </c>
      <c r="D155" s="1" t="str">
        <f>IF(行动模拟!D161="","",行动模拟!D161)</f>
        <v/>
      </c>
      <c r="E155" s="1" t="str">
        <f>IF($D155="","",IFERROR(INDEX(技能数据库!$B$4:$B$38,MATCH($D155,技能数据库!$A$4:$A$38,0)),""))</f>
        <v/>
      </c>
      <c r="F155" s="1" t="str">
        <f>IF($D155="","",IFERROR(INDEX(技能数据库!$C$4:$C$38,MATCH($D155,技能数据库!$A$4:$A$38,0)),""))</f>
        <v/>
      </c>
      <c r="G155" s="1" t="str">
        <f>IF($D155="","",IFERROR(INDEX(技能数据库!$D$4:$D$38,MATCH($D155,技能数据库!$A$4:$A$38,0)),""))</f>
        <v/>
      </c>
      <c r="H155" s="1" t="str">
        <f>IF($D155="","",IFERROR(INDEX(技能数据库!$E$4:$E$38,MATCH($D155,技能数据库!$A$4:$A$38,0)),""))</f>
        <v/>
      </c>
      <c r="I155" s="1" t="str">
        <f>IF($D155="","",IFERROR(INDEX(技能数据库!$F$4:$F$38,MATCH($D155,技能数据库!$A$4:$A$38,0)),""))</f>
        <v/>
      </c>
      <c r="J155" s="1" t="str">
        <f>IF($D155="","",IFERROR(INDEX(技能数据库!$G$4:$G$38,MATCH($D155,技能数据库!$A$4:$A$38,0)),""))</f>
        <v/>
      </c>
      <c r="K155" s="1" t="str">
        <f>IF($D155="","",IFERROR(INDEX(技能数据库!$H$4:$H$38,MATCH($D155,技能数据库!$A$4:$A$38,0)),""))</f>
        <v/>
      </c>
      <c r="L155" s="1" t="str">
        <f>IF($D155="","",IFERROR(INDEX(技能数据库!$I$4:$I$38,MATCH($D155,技能数据库!$A$4:$A$38,0)),""))</f>
        <v/>
      </c>
      <c r="M155" s="1">
        <v>1</v>
      </c>
      <c r="N155" s="1"/>
      <c r="O155" s="1"/>
      <c r="P155" s="1"/>
      <c r="Q155" s="1">
        <f t="shared" si="140"/>
        <v>0</v>
      </c>
      <c r="R155" s="1">
        <v>0</v>
      </c>
      <c r="S155" s="1">
        <v>0</v>
      </c>
      <c r="T155" s="1">
        <f>行动模拟!I161</f>
        <v>0</v>
      </c>
      <c r="U155" s="1">
        <f>IF(FD155&lt;&gt;FD154,IF(BY154=1,IF(MIN(10,CA154+IF(AND(DG155&lt;&gt;DG154,DH154&lt;&gt;"洞穿",SUMIFS($FE$3:FE154,$DG$3:DG154,DG154)=0,BY154=1),3,0))&gt;=10,2,1),IF(BY154=2,IF(BZ154&lt;=1,0,2),0)),BY154)</f>
        <v>2</v>
      </c>
      <c r="V155" s="1">
        <f>IF(FD155&lt;&gt;FD154,IF(BY154=1,IF(MIN(10,CA154+IF(AND(DG155&lt;&gt;DG154,DH154&lt;&gt;"洞穿",SUMIFS($FE$3:FE154,$DG$3:DG154,DG154)=0,BY154=1),3,0))&gt;=10,2,0),IF(BY154=2,MAX(0,BZ154-1),0)),BZ154)</f>
        <v>1</v>
      </c>
      <c r="W155" s="1">
        <f>IF(AND(FD155&lt;&gt;FD154,BY154=2,BZ154&lt;=1),0,MIN(10,CA154+IF(AND(DG155&lt;&gt;DG154,DH154&lt;&gt;"洞穿",SUMIFS($FE$3:FE154,$DG$3:DG154,DG154)=0,BY154=1),3,0)))</f>
        <v>10</v>
      </c>
      <c r="X155" s="1">
        <f t="shared" si="182"/>
        <v>13</v>
      </c>
      <c r="Y155" s="1">
        <f t="shared" si="183"/>
        <v>0</v>
      </c>
      <c r="Z155" s="1">
        <f t="shared" si="184"/>
        <v>0</v>
      </c>
      <c r="AA155" s="1">
        <f t="shared" si="185"/>
        <v>0</v>
      </c>
      <c r="AB155" s="1">
        <f t="shared" si="186"/>
        <v>10</v>
      </c>
      <c r="AC155" s="1">
        <f t="shared" si="187"/>
        <v>1</v>
      </c>
      <c r="AD155" s="1">
        <f t="shared" si="188"/>
        <v>35</v>
      </c>
      <c r="AE155" s="1">
        <f>IF(D155="",0,IF(DG155&lt;&gt;DG154,IFERROR(INDEX(回合状态!$F$7:$F$17,MATCH(DG155,回合状态!$A$7:$A$17,0)),0),CI154))</f>
        <v>0</v>
      </c>
      <c r="AF155" s="1">
        <f t="shared" si="189"/>
        <v>0.875</v>
      </c>
      <c r="AG155" s="1">
        <f t="shared" si="190"/>
        <v>9</v>
      </c>
      <c r="AH155" s="1">
        <f t="shared" si="191"/>
        <v>9</v>
      </c>
      <c r="AI155" s="1">
        <f t="shared" si="192"/>
        <v>8</v>
      </c>
      <c r="AJ155" s="1">
        <f t="shared" si="193"/>
        <v>9</v>
      </c>
      <c r="AK155" s="1">
        <f t="shared" si="194"/>
        <v>8</v>
      </c>
      <c r="AL155" s="1">
        <f t="shared" si="195"/>
        <v>3</v>
      </c>
      <c r="AM155" s="1">
        <f t="shared" si="196"/>
        <v>30</v>
      </c>
      <c r="AN155" s="1">
        <f t="shared" si="197"/>
        <v>9</v>
      </c>
      <c r="AO155" s="1">
        <f t="shared" si="198"/>
        <v>0</v>
      </c>
      <c r="AP155" s="1" t="e">
        <f t="shared" si="199"/>
        <v>#VALUE!</v>
      </c>
      <c r="AQ155" s="1" t="e">
        <f t="shared" si="200"/>
        <v>#VALUE!</v>
      </c>
      <c r="AR155" s="1">
        <f t="shared" si="201"/>
        <v>0.3</v>
      </c>
      <c r="AS155" s="1">
        <f t="shared" si="202"/>
        <v>9</v>
      </c>
      <c r="AT155" s="1">
        <f t="shared" si="203"/>
        <v>0.3</v>
      </c>
      <c r="AU155" s="1">
        <f t="shared" si="204"/>
        <v>9</v>
      </c>
      <c r="AV155" s="1">
        <f>MIN(5,SUMIFS($EL$3:EL155,$B$3:B155,"&gt;="&amp;MAX(1,B155-2),$B$3:B155,"&lt;="&amp;B155)+EC155)</f>
        <v>0</v>
      </c>
      <c r="AW155" s="1">
        <f>MIN(6,SUMIFS($EY$3:EY154,$EX$3:EX154,"&gt;="&amp;MAX(1,EX155-Boss参数!$B$87+1),$EX$3:EX154,"&lt;="&amp;EX155))</f>
        <v>0</v>
      </c>
      <c r="AX155" s="1">
        <f>MIN(4,COUNTIFS($B$3:$B$154,"&gt;="&amp;MAX(1,$B155-2),$B$3:$B$154,"&lt;="&amp;$B155,$L$3:$L$154,"37_FOLLOW"))</f>
        <v>0</v>
      </c>
      <c r="AY155" s="1" t="str">
        <f>IF($E155="","",IF($E155="系统",0,ROUNDDOWN(INDEX(角色面板!$C$4:$C$7,MATCH($E155,角色面板!$A$4:$A$7,0))*(1+INDEX(角色面板!$C$11:$C$14,MATCH($E155,角色面板!$A$11:$A$14,0))+IF($E155="小瑞安侬",MAX(IF($B155&lt;=$AQ155,$AP155,0),IF(AND($L155="RHI_ATTACK",$EE155&gt;0),0.11+0.01*$G155,0)),0)+IF($E155="J",$AD155*Boss参数!$B$18,0))+IF(FD155&lt;=$AN155,MIN(Boss参数!$B$21,ROUNDDOWN(角色面板!$C$19*Boss参数!$B$20,0)),0)+IF(AND($B155&lt;=$AK155,$E155&lt;&gt;"小瑞安侬"),$DY155,0),0)))</f>
        <v/>
      </c>
      <c r="AZ155" s="1" t="str">
        <f>IF($E155="","",MAX(0,MIN(1,IFERROR(INDEX(角色面板!$G$18:$G$21,MATCH($E155,角色面板!$A$18:$A$21,0)),0)-FC155*Boss参数!$B$89-Boss参数!$E$4)))</f>
        <v/>
      </c>
      <c r="BA155" s="1" t="str">
        <f>IF(E155="","",(IF($E155="","",IF($E155="红弩箭",Boss参数!$B$80,IF($E155="J",Boss参数!$B$81,IFERROR(INDEX(角色面板!$H$18:$H$21,MATCH($E155,角色面板!$A$18:$A$21,0)),0)))+IF($B155&lt;=$AI155,Boss参数!$B$13,0)+MIN(30,$AM155)*Boss参数!$B$17+IF(AND($L155="LILYA_ULT",$X155&gt;=6),1,0)+IF(AND($Y155=1,$L155="LILYA_INSIGHT"),IF(MOD($AA155+1,3)=0,Boss参数!$B$83,Boss参数!$B$82),IF(AND($Y155=1,$L155="LILYA_FINISH"),Boss参数!$B$84,0))))-FC155*Boss参数!$B$90)</f>
        <v/>
      </c>
      <c r="BB155" s="1" t="str">
        <f>IF($E155="","",IFERROR(INDEX(角色面板!$M$18:$M$21,MATCH($E155,角色面板!$A$18:$A$21,0)),0)+$AW155*Boss参数!$B$12+IF($B155&lt;=$AG155,$AF155,0)+$EI155+IF($L155="LILYA_DIVE",IF($U155=1,IF($G155=1,0.3,IF($G155=2,0.4,0.5)),IF($U155=2,IF($G155=1,0.6,IF($G155=2,0.8,1)),0)),0)+$R155+IF(AND($E155="J",OR($L155="J_COUNTER",$L155="J_HARD")),Boss参数!$B$79,0)+IF(AND(OR(L155="J_COUNTER",L155="J_HARD"),FA155&gt;=Boss参数!$B$59),FA155*Boss参数!$B$40,0))</f>
        <v/>
      </c>
      <c r="BC155" s="1" t="e">
        <f>IF($E155="","",IFERROR(INDEX(角色面板!$K$18:$K$21,MATCH($E155,角色面板!$A$18:$A$21,0)),0)+IF($B155&lt;=$AH155,Boss参数!$B$46,0)+IF($E155="红弩箭",IF($U155=1,0.6,IF($U155=2,1.2,0))+$W155*0.06,0))-DI155*Boss参数!$B$23</f>
        <v>#VALUE!</v>
      </c>
      <c r="BD155" s="1" t="e">
        <f>IF($E155="","",IFERROR(INDEX(角色面板!$L$18:$L$21,MATCH($E155,角色面板!$A$18:$A$21,0)),0)+IF($B155&lt;=$AH155,Boss参数!$B$46,0)+IF($E155="J",$AL155*Boss参数!$B$16,0)+IF($E155="红弩箭",$X155*0.025,0)+IF(AND($L155="LILYA_ULT",$X155&gt;=6),1,0))-DI155*Boss参数!$B$23</f>
        <v>#VALUE!</v>
      </c>
      <c r="BE155" s="1" t="str">
        <f>IF($E155="","",IF($H155="洞知",IF($E155="红弩箭",$AO155*Boss参数!$B$15,0)+$AX155*Boss参数!$B$14,0))</f>
        <v/>
      </c>
      <c r="BF155" s="1">
        <f t="shared" si="141"/>
        <v>0</v>
      </c>
      <c r="BG155" s="1">
        <f>IF($D155="",0,IF(AND($L155&lt;&gt;"LILYA_DIVE",$L155&lt;&gt;"LILYA_ULT",$L155&lt;&gt;"LILYA_INSIGHT",$L155&lt;&gt;"LILYA_FINISH",$L155&lt;&gt;"37_FOLLOW",$L155&lt;&gt;"RHI_ATTACK",$L155&lt;&gt;"RHI_BERRY",$L155&lt;&gt;"J_COUNTER",$L155&lt;&gt;"J_ULT"),$J155,0)+IF($L155="LILYA_DIVE",$J155+IF($U155=1,IF($G155=1,6,IF($G155=2,12,18)),IF($U155=2,IF($G155=1,12,IF($G155=2,24,36)),0)),0)+IF($L155="LILYA_ULT",$J155+IF($X155&gt;=6,18,0),0)+IF($L155="LILYA_INSIGHT",IF($Y155=1,IF(MOD($AA155+1,3)=0,32,15),0),0)+IF($L155="LILYA_FINISH",IF($Y155=1,50+2.5*$Z155,0),0)+IF($L155="37_FOLLOW",$J155,0)+IF($L155="RHI_ATTACK",$J155*IF($B155&lt;=$AJ155,2,1),0)+IF($L155="RHI_BERRY",15+1.5*$AV155,0)+IF($L155="J_COUNTER",$J155+$AD155*Boss参数!$B$39,0)+IF($L155="J_ULT",$J155+Boss参数!$B$45*MAX(0,$AE155+$AD155-Boss参数!$I$4),0)+$S155)</f>
        <v>0</v>
      </c>
      <c r="BH155" s="1">
        <f t="shared" si="142"/>
        <v>0</v>
      </c>
      <c r="BI155" s="1" t="str">
        <f>IF(E155="","",IF(DT155=1,1+Boss参数!$B$8+AV155*Boss参数!$B$19,1))</f>
        <v/>
      </c>
      <c r="BJ155" s="1">
        <f>IF($I155="现实",Boss参数!$C$4,IF($I155="精神",Boss参数!$D$4,0))</f>
        <v>0</v>
      </c>
      <c r="BK155" s="1" t="str">
        <f>IF($E155="","",MAX($AY155*Boss参数!$B$9,$AY155-$BJ155*(1-$BF155)))</f>
        <v/>
      </c>
      <c r="BL155" s="1">
        <f>MAX(0,Boss参数!$F$4+IF(DT155=0,Boss参数!$B$27,0)-EJ155)</f>
        <v>1.25</v>
      </c>
      <c r="BM155" s="1">
        <f>Boss参数!$G$4+DU155-IF(Y155=1,Boss参数!$B$11,0)</f>
        <v>0.4</v>
      </c>
      <c r="BN155" s="1" t="str">
        <f>IF($E155="","",MAX(Boss参数!$B$10,1+IFERROR(INDEX(角色面板!$I$18:$I$21,MATCH($E155,角色面板!$A$18:$A$21,0)),0)+$BB155+Boss参数!$H$4-$BM155))</f>
        <v/>
      </c>
      <c r="BO155" s="1" t="str">
        <f>IF(E155="","",IF(OR(L155="J_COUNTER",L155="J_HARD"),MAX(0,1+INDEX(角色面板!$K$18:$K$21,MATCH(E155,角色面板!$A$18:$A$21,0))-DI155*Boss参数!$B$23+IF(OR(Boss参数!$B$43=1,L155="J_HARD"),IF(B155&lt;=AH155,Boss参数!$B$46,0),0)),MAX(0,IF(OR(H155="术法",L155="RHI_BERRY",AND(L155="37_FOLLOW",Boss参数!$B$31=1)),1+BC155,IF(H155="仪式",1+BD155,IF(H155="洞知",EK155,1))))))</f>
        <v/>
      </c>
      <c r="BP155" s="1" t="str">
        <f t="shared" si="143"/>
        <v/>
      </c>
      <c r="BQ155" s="1">
        <f t="shared" si="144"/>
        <v>0</v>
      </c>
      <c r="BR155" s="1">
        <f t="shared" si="145"/>
        <v>0</v>
      </c>
      <c r="BS155" s="1">
        <f>IF(BH155=0,0,ROUNDDOWN(AY155*BH155,0)*DV155*IF(Boss参数!$B$29=1,BN155,1)*IF(Boss参数!$B$33=1,BO155,1)*IF(Boss参数!$B$76=1,1-ES155,1))</f>
        <v>0</v>
      </c>
      <c r="BT155" s="1">
        <f t="shared" si="146"/>
        <v>0</v>
      </c>
      <c r="BU155" s="1">
        <f>IF(D155="",0,MIN(IF(Boss参数!$B$77=1,Boss参数!$B$63*Boss参数!$B$62,Boss参数!$B$61*Boss参数!$B$62),DW155+ROUNDDOWN(BS155,0)+ROUNDDOWN(DW155*Q155,0)))</f>
        <v>0</v>
      </c>
      <c r="BV155" s="1">
        <f>IF(D155="",0,MIN(IF(Boss参数!$B$77=1,Boss参数!$B$63*Boss参数!$B$62,Boss参数!$B$61*Boss参数!$B$62),DX155+ROUNDDOWN(BT155,0)+ROUNDDOWN(DX155*Q155,0)))</f>
        <v>0</v>
      </c>
      <c r="BW155" s="1">
        <f t="shared" si="147"/>
        <v>0</v>
      </c>
      <c r="BX155" s="1" t="str">
        <f t="shared" si="148"/>
        <v/>
      </c>
      <c r="BY155" s="1">
        <f t="shared" si="149"/>
        <v>2</v>
      </c>
      <c r="BZ155" s="1">
        <f t="shared" si="150"/>
        <v>1</v>
      </c>
      <c r="CA155" s="1">
        <f>MIN(10,W155+IF(AND(L155="LILYA_COBRA",COUNTIF($L$3:L155,"LILYA_COBRA")=1),5,0)+IF(AND(L155="LILYA_DIVE",U155=1,COUNTIFS($DG$3:DG155,DG155,$L$3:L155,"LILYA_DIVE")=1),2,0)+IF(AND(FE155=1,U155=1),3,0))</f>
        <v>10</v>
      </c>
      <c r="CB155" s="1">
        <f>MIN(20,MAX(0,X155+IF(L155="LILYA_COBRA",IF(COUNTIF($L$3:L155,"LILYA_COBRA")=1,6,IF(U155=1,MAX(1,G155),IF(U155=2,2*MAX(1,G155),0))),0)+IF(AND(Y155=1,E155="红弩箭",L155&lt;&gt;"ENTER_INSIGHT"),1,0)-IF(AND(L155="LILYA_ULT",X155&gt;=6),6,0)))</f>
        <v>13</v>
      </c>
      <c r="CC155" s="1">
        <f t="shared" si="151"/>
        <v>0</v>
      </c>
      <c r="CD155" s="1">
        <f t="shared" si="152"/>
        <v>0</v>
      </c>
      <c r="CE155" s="1">
        <f t="shared" si="153"/>
        <v>0</v>
      </c>
      <c r="CF155" s="1">
        <f t="shared" si="154"/>
        <v>10</v>
      </c>
      <c r="CG155" s="1">
        <f t="shared" si="155"/>
        <v>1</v>
      </c>
      <c r="CH155" s="1">
        <f>MIN(35,AD155+IF(L155="J_HARD",6,0)+IF(L155="J_COUNTER",Boss参数!$B$30,0))</f>
        <v>35</v>
      </c>
      <c r="CI155" s="1">
        <f>MIN(Boss参数!$I$4,AE155+IF(L155="J_HARD",6,0)+IF(L155="J_ULT",AD155,0)+IF(L155="J_COUNTER",Boss参数!$B$30,0))</f>
        <v>0</v>
      </c>
      <c r="CJ155" s="1">
        <f>IF(L155="J_ULT",AD155*Boss参数!$B$41,IF(B155&lt;=AG155,AF155,0))</f>
        <v>0.875</v>
      </c>
      <c r="CK155" s="1">
        <f t="shared" si="156"/>
        <v>9</v>
      </c>
      <c r="CL155" s="1">
        <f t="shared" si="157"/>
        <v>9</v>
      </c>
      <c r="CM155" s="1">
        <f t="shared" si="158"/>
        <v>8</v>
      </c>
      <c r="CN155" s="1">
        <f t="shared" si="159"/>
        <v>9</v>
      </c>
      <c r="CO155" s="1">
        <f t="shared" si="160"/>
        <v>8</v>
      </c>
      <c r="CP155" s="1">
        <f t="shared" si="161"/>
        <v>3</v>
      </c>
      <c r="CQ155" s="1">
        <f t="shared" si="162"/>
        <v>30</v>
      </c>
      <c r="CR155" s="1">
        <f t="shared" si="163"/>
        <v>9</v>
      </c>
      <c r="CS155" s="1">
        <f t="shared" si="164"/>
        <v>0</v>
      </c>
      <c r="CT155" s="1" t="e">
        <f t="shared" si="165"/>
        <v>#VALUE!</v>
      </c>
      <c r="CU155" s="1" t="e">
        <f t="shared" si="166"/>
        <v>#VALUE!</v>
      </c>
      <c r="CV155" s="1">
        <f t="shared" si="167"/>
        <v>0.3</v>
      </c>
      <c r="CW155" s="1">
        <f t="shared" si="168"/>
        <v>9</v>
      </c>
      <c r="CX155" s="1">
        <f t="shared" si="169"/>
        <v>0.3</v>
      </c>
      <c r="CY155" s="1">
        <f t="shared" si="170"/>
        <v>9</v>
      </c>
      <c r="CZ155" s="1"/>
      <c r="DA155" s="1"/>
      <c r="DB155" s="1"/>
      <c r="DC155" s="1"/>
      <c r="DD155" s="1"/>
      <c r="DE155" s="1"/>
      <c r="DF155" s="1"/>
      <c r="DG155" s="1" t="str">
        <f>IF(D155="","",行动模拟!B161)</f>
        <v/>
      </c>
      <c r="DH155" s="1" t="str">
        <f>IF(L155="END_TURN","回合结束",IF(D155="","",IF(INDEX(回合状态!$C$7:$C$17,MATCH(DG155,回合状态!$A$7:$A$17,0))="洞穿","洞穿",IF(OR(L155="J_COUNTER",L155="BOSS_ACTION",L155="BOSS_CONSERVATIVE"),"敌方",IF(AND(L155="37_FOLLOW",DG155=DG154,DH154="敌方"),"敌方",IF(INDEX(回合状态!$C$7:$C$17,MATCH(DG155,回合状态!$A$7:$A$17,0))="普通","出牌",INDEX(回合状态!$C$7:$C$17,MATCH(DG155,回合状态!$A$7:$A$17,0))))))))</f>
        <v/>
      </c>
      <c r="DI155" s="1">
        <f t="shared" si="171"/>
        <v>0</v>
      </c>
      <c r="DJ155" s="1">
        <f>IF(D155="",0,MIN(Boss参数!$B$25,IF(OR(AND(DH155="敌方",OR(DH154&lt;&gt;"敌方",DG155&lt;&gt;DG154)),AND(L155="END_TURN",DH155&lt;&gt;"洞穿"),AND(DG155&lt;&gt;DG154,DH154&lt;&gt;"洞穿",L154&lt;&gt;"END_TURN",COUNTIFS($DG$3:DG154,DG154,$DH$3:DH154,"敌方")=0)),EW155,DN154)))</f>
        <v>0</v>
      </c>
      <c r="DK155" s="1">
        <f>IF(D155="",0,MIN(Boss参数!$B$25,IF(OR(AND(DH155="敌方",OR(DH154&lt;&gt;"敌方",DG155&lt;&gt;DG154)),AND(L155="END_TURN",DH155&lt;&gt;"洞穿"),AND(DG155&lt;&gt;DG154,DH154&lt;&gt;"洞穿",L154&lt;&gt;"END_TURN",COUNTIFS($DG$3:DG154,DG154,$DH$3:DH154,"敌方")=0)),EW155,DO154)))</f>
        <v>0</v>
      </c>
      <c r="DL155" s="1">
        <f>IF(D155="",0,MIN(Boss参数!$B$25,IF(OR(AND(DH155="敌方",OR(DH154&lt;&gt;"敌方",DG155&lt;&gt;DG154)),AND(L155="END_TURN",DH155&lt;&gt;"洞穿"),AND(DG155&lt;&gt;DG154,DH154&lt;&gt;"洞穿",L154&lt;&gt;"END_TURN",COUNTIFS($DG$3:DG154,DG154,$DH$3:DH154,"敌方")=0)),EW155,DP154)))</f>
        <v>0</v>
      </c>
      <c r="DM155" s="1">
        <f>IF(D155="",0,MIN(Boss参数!$B$25,IF(OR(AND(DH155="敌方",OR(DH154&lt;&gt;"敌方",DG155&lt;&gt;DG154)),AND(L155="END_TURN",DH155&lt;&gt;"洞穿"),AND(DG155&lt;&gt;DG154,DH154&lt;&gt;"洞穿",L154&lt;&gt;"END_TURN",COUNTIFS($DG$3:DG154,DG154,$DH$3:DH154,"敌方")=0)),EW155,DQ154)))</f>
        <v>0</v>
      </c>
      <c r="DN155" s="1">
        <f>MAX(0,MIN(Boss参数!$B$25,DJ155+DR155)-IF(E155="红弩箭",2*DR155,0))</f>
        <v>0</v>
      </c>
      <c r="DO155" s="1">
        <f>MAX(0,MIN(Boss参数!$B$25,DK155+DR155)-IF(E155="37",2*DR155,0))</f>
        <v>0</v>
      </c>
      <c r="DP155" s="1">
        <f>MAX(0,MIN(Boss参数!$B$25,DL155+DR155)-IF(E155="小瑞安侬",2*DR155,0))</f>
        <v>0</v>
      </c>
      <c r="DQ155" s="1">
        <f>MAX(0,MIN(Boss参数!$B$25,DM155+DR155)-IF(E155="J",2*DR155,0))</f>
        <v>0</v>
      </c>
      <c r="DR155" s="1">
        <f t="shared" si="172"/>
        <v>0</v>
      </c>
      <c r="DS155" s="1">
        <f t="shared" si="173"/>
        <v>0</v>
      </c>
      <c r="DT155" s="1">
        <f>IF(OR(E155="",E155="系统"),0,IF(OR(AND(DS155=1,Boss参数!$B$32=1),L155="RHI_BERRY",OR(AND(INDEX(角色面板!$B$18:$B$21,MATCH(E155,角色面板!$A$18:$A$21,0))="星",Boss参数!$B$4="岩"),AND(INDEX(角色面板!$B$18:$B$21,MATCH(E155,角色面板!$A$18:$A$21,0))="岩",Boss参数!$B$4="兽"),AND(INDEX(角色面板!$B$18:$B$21,MATCH(E155,角色面板!$A$18:$A$21,0))="兽",Boss参数!$B$4="木"),AND(INDEX(角色面板!$B$18:$B$21,MATCH(E155,角色面板!$A$18:$A$21,0))="木",Boss参数!$B$4="星"),AND(INDEX(角色面板!$B$18:$B$21,MATCH(E155,角色面板!$A$18:$A$21,0))="智",Boss参数!$B$4="灵"),AND(INDEX(角色面板!$B$18:$B$21,MATCH(E155,角色面板!$A$18:$A$21,0))="灵",Boss参数!$B$4="智"))),1,0))</f>
        <v>0</v>
      </c>
      <c r="DU155" s="1">
        <f>IF(D155="",0,INDEX(回合状态!$E$7:$E$17,MATCH(DG155,回合状态!$A$7:$A$17,0))+IF(AND(DH155="敌方",OR(INDEX(回合状态!$C$7:$C$17,MATCH(DG155,回合状态!$A$7:$A$17,0))="普通",INDEX(回合状态!$C$7:$C$17,MATCH(DG155,回合状态!$A$7:$A$17,0))="额外")),0.05,0))</f>
        <v>0</v>
      </c>
      <c r="DV155" s="1">
        <f>MAX(Boss参数!$B$28,1+IF(AND(E155="37",AC155&gt;0,BH155&gt;0),Boss参数!$B$42,0)-DI155*Boss参数!$B$24+EA155-ER155)</f>
        <v>9.9999999999999978E-2</v>
      </c>
      <c r="DW155" s="1">
        <f>MIN(IF(Boss参数!$B$77=1,Boss参数!$B$63*Boss参数!$B$62,Boss参数!$B$61*Boss参数!$B$62),ROUNDDOWN(BQ155*(1-ES155),0))</f>
        <v>0</v>
      </c>
      <c r="DX155" s="1">
        <f>MIN(IF(Boss参数!$B$77=1,Boss参数!$B$63*Boss参数!$B$62,Boss参数!$B$61*Boss参数!$B$62),ROUNDDOWN(BR155*(1-ES155),0))</f>
        <v>0</v>
      </c>
      <c r="DY155" s="1">
        <f t="shared" si="205"/>
        <v>250</v>
      </c>
      <c r="DZ155" s="1">
        <f>IF(L155="RHI_ULT",MIN(Boss参数!$B$48,ROUNDDOWN(AY155*Boss参数!$B$47,0)),DY155)</f>
        <v>250</v>
      </c>
      <c r="EA155" s="1">
        <v>0</v>
      </c>
      <c r="EB155" s="1">
        <f t="shared" si="174"/>
        <v>0</v>
      </c>
      <c r="EC155" s="1">
        <f>SUMIFS($EB$3:EB155,$B$3:B155,"&gt;="&amp;MAX(1,B155-2),$B$3:B155,"&lt;="&amp;B155)*Boss参数!$B$51</f>
        <v>0</v>
      </c>
      <c r="ED155" s="1">
        <f>IF(D155="",EG154,IF(AND(DG155&lt;&gt;DG154,DH155&lt;&gt;"洞穿"),MIN(Boss参数!$B$55,EG154+2),EG154))</f>
        <v>0</v>
      </c>
      <c r="EE155" s="1">
        <f t="shared" si="175"/>
        <v>0</v>
      </c>
      <c r="EF155" s="1">
        <f>IF(AND(OR(L155="END_TURN",AND(DH155="敌方",OR(DH154&lt;&gt;"敌方",DG155&lt;&gt;DG154))),SUMIFS($EF$3:EF154,$DG$3:DG154,DG155)=0),MIN(1,MAX(0,ED155-EE155)),0)</f>
        <v>0</v>
      </c>
      <c r="EG155" s="1">
        <f t="shared" si="176"/>
        <v>0</v>
      </c>
      <c r="EH155" s="1">
        <f>Boss参数!$B$53-IF(Y155=1,Boss参数!$B$54,0)</f>
        <v>0</v>
      </c>
      <c r="EI155" s="1">
        <f t="shared" si="177"/>
        <v>0.15</v>
      </c>
      <c r="EJ155" s="1">
        <f t="shared" si="178"/>
        <v>0.15</v>
      </c>
      <c r="EK155" s="1" t="e">
        <f t="shared" si="179"/>
        <v>#VALUE!</v>
      </c>
      <c r="EL155" s="1">
        <f t="shared" si="206"/>
        <v>0</v>
      </c>
      <c r="EM155" s="1">
        <f>IF(AND(DG155&lt;&gt;DG154,DH155="洞穿"),0,IF(L155="ENTER_INSIGHT",Boss参数!$B$57,EO154))</f>
        <v>0</v>
      </c>
      <c r="EN155" s="1">
        <f>IF(AND(Y155=1,H155="洞知",EM155&gt;0),Boss参数!$B$56,0)</f>
        <v>0</v>
      </c>
      <c r="EO155" s="1">
        <f t="shared" si="180"/>
        <v>0</v>
      </c>
      <c r="EP155" s="1">
        <f t="shared" si="207"/>
        <v>23210479</v>
      </c>
      <c r="EQ155" s="1">
        <f>ROUNDDOWN(EP155/Boss参数!$B$62,0)</f>
        <v>232</v>
      </c>
      <c r="ER155" s="1">
        <f>IF(EQ155&gt;=Boss参数!$B$66,Boss参数!$B$69,IF(EQ155&gt;=Boss参数!$B$65,Boss参数!$B$68,IF(EQ155&gt;=Boss参数!$B$64,Boss参数!$B$67,0)))</f>
        <v>0.9</v>
      </c>
      <c r="ES155" s="1">
        <f>MIN(1,IF(EQ155&gt;=Boss参数!$B$66,Boss参数!$B$72+ROUNDDOWN((EQ155-Boss参数!$B$66)/Boss参数!$B$73,0)*Boss参数!$B$74,IF(EQ155&gt;=Boss参数!$B$65,Boss参数!$B$71,IF(EQ155&gt;=Boss参数!$B$64,Boss参数!$B$70,0))))</f>
        <v>0.65</v>
      </c>
      <c r="ET155" s="1">
        <f>MIN(Boss参数!$B$61*Boss参数!$B$62,EP155+IF(AND(Boss参数!$B$60=1,ISNUMBER(验证表!H161)),验证表!H161,EU155))</f>
        <v>23210479</v>
      </c>
      <c r="EU155" s="1">
        <f>IF(D155="",0,IF(验证表!G161="是",BV155,IF(验证表!G161="否",BU155,BW155)))</f>
        <v>0</v>
      </c>
      <c r="EV155" s="1">
        <f>IF(EQ155&gt;=Boss参数!$B$66,2,IF(EQ155&gt;=Boss参数!$B$65,1,0))</f>
        <v>2</v>
      </c>
      <c r="EW155" s="1">
        <f t="shared" si="181"/>
        <v>3</v>
      </c>
      <c r="EX155" s="1">
        <f>IF(D155="",0,INDEX(回合状态!$D$7:$D$17,MATCH(DG155,回合状态!$A$7:$A$17,0)))</f>
        <v>0</v>
      </c>
      <c r="EY155" s="1">
        <f>IF(OR(L155="RHI_ATTACK",L155="RHI_BUFF"),1,IF(L155="RHI_ULT",Boss参数!$B$52,0))</f>
        <v>0</v>
      </c>
      <c r="EZ155" s="1">
        <f>MIN(6,SUMIFS($EY$3:EY155,$EX$3:EX155,"&gt;="&amp;MAX(1,EX155-Boss参数!$B$87+1),$EX$3:EX155,"&lt;="&amp;EX155))</f>
        <v>0</v>
      </c>
      <c r="FA155" s="1">
        <f t="shared" si="208"/>
        <v>0</v>
      </c>
      <c r="FB155" s="17">
        <f>IF(L155="BOSS_CONSERVATIVE",B155+Boss参数!$B$91,FB154)</f>
        <v>7</v>
      </c>
      <c r="FC155" s="17">
        <f t="shared" si="209"/>
        <v>0</v>
      </c>
      <c r="FD155" s="17">
        <f>IF(D155="",FD154,FD154+IF(AND(DG155&lt;&gt;DG154,INDEX(回合状态!$C$7:$C$17,MATCH(DG155,回合状态!$A$7:$A$17,0))&lt;&gt;"洞穿"),1,0))</f>
        <v>8</v>
      </c>
      <c r="FE155" s="17">
        <f>IF(D155="",0,IF(AND(OR(L155="END_TURN",DH155="敌方"),INDEX(回合状态!$C$7:$C$17,MATCH(DG155,回合状态!$A$7:$A$17,0))&lt;&gt;"洞穿",SUMIFS($FE$3:FE154,$DG$3:DG154,DG155)=0),1,0))</f>
        <v>0</v>
      </c>
    </row>
    <row r="156" spans="1:161" ht="84.95" customHeight="1">
      <c r="A156" s="1" t="str">
        <f>行动模拟!A162</f>
        <v/>
      </c>
      <c r="B156" s="1">
        <f>IF(D156="",0,INDEX(回合状态!$B$7:$B$17,MATCH(DG156,回合状态!$A$7:$A$17,0)))</f>
        <v>0</v>
      </c>
      <c r="C156" s="1">
        <f>行动模拟!C162</f>
        <v>0</v>
      </c>
      <c r="D156" s="1" t="str">
        <f>IF(行动模拟!D162="","",行动模拟!D162)</f>
        <v/>
      </c>
      <c r="E156" s="1" t="str">
        <f>IF($D156="","",IFERROR(INDEX(技能数据库!$B$4:$B$38,MATCH($D156,技能数据库!$A$4:$A$38,0)),""))</f>
        <v/>
      </c>
      <c r="F156" s="1" t="str">
        <f>IF($D156="","",IFERROR(INDEX(技能数据库!$C$4:$C$38,MATCH($D156,技能数据库!$A$4:$A$38,0)),""))</f>
        <v/>
      </c>
      <c r="G156" s="1" t="str">
        <f>IF($D156="","",IFERROR(INDEX(技能数据库!$D$4:$D$38,MATCH($D156,技能数据库!$A$4:$A$38,0)),""))</f>
        <v/>
      </c>
      <c r="H156" s="1" t="str">
        <f>IF($D156="","",IFERROR(INDEX(技能数据库!$E$4:$E$38,MATCH($D156,技能数据库!$A$4:$A$38,0)),""))</f>
        <v/>
      </c>
      <c r="I156" s="1" t="str">
        <f>IF($D156="","",IFERROR(INDEX(技能数据库!$F$4:$F$38,MATCH($D156,技能数据库!$A$4:$A$38,0)),""))</f>
        <v/>
      </c>
      <c r="J156" s="1" t="str">
        <f>IF($D156="","",IFERROR(INDEX(技能数据库!$G$4:$G$38,MATCH($D156,技能数据库!$A$4:$A$38,0)),""))</f>
        <v/>
      </c>
      <c r="K156" s="1" t="str">
        <f>IF($D156="","",IFERROR(INDEX(技能数据库!$H$4:$H$38,MATCH($D156,技能数据库!$A$4:$A$38,0)),""))</f>
        <v/>
      </c>
      <c r="L156" s="1" t="str">
        <f>IF($D156="","",IFERROR(INDEX(技能数据库!$I$4:$I$38,MATCH($D156,技能数据库!$A$4:$A$38,0)),""))</f>
        <v/>
      </c>
      <c r="M156" s="1">
        <v>1</v>
      </c>
      <c r="N156" s="1"/>
      <c r="O156" s="1"/>
      <c r="P156" s="1"/>
      <c r="Q156" s="1">
        <f t="shared" si="140"/>
        <v>0</v>
      </c>
      <c r="R156" s="1">
        <v>0</v>
      </c>
      <c r="S156" s="1">
        <v>0</v>
      </c>
      <c r="T156" s="1">
        <f>行动模拟!I162</f>
        <v>0</v>
      </c>
      <c r="U156" s="1">
        <f>IF(FD156&lt;&gt;FD155,IF(BY155=1,IF(MIN(10,CA155+IF(AND(DG156&lt;&gt;DG155,DH155&lt;&gt;"洞穿",SUMIFS($FE$3:FE155,$DG$3:DG155,DG155)=0,BY155=1),3,0))&gt;=10,2,1),IF(BY155=2,IF(BZ155&lt;=1,0,2),0)),BY155)</f>
        <v>2</v>
      </c>
      <c r="V156" s="1">
        <f>IF(FD156&lt;&gt;FD155,IF(BY155=1,IF(MIN(10,CA155+IF(AND(DG156&lt;&gt;DG155,DH155&lt;&gt;"洞穿",SUMIFS($FE$3:FE155,$DG$3:DG155,DG155)=0,BY155=1),3,0))&gt;=10,2,0),IF(BY155=2,MAX(0,BZ155-1),0)),BZ155)</f>
        <v>1</v>
      </c>
      <c r="W156" s="1">
        <f>IF(AND(FD156&lt;&gt;FD155,BY155=2,BZ155&lt;=1),0,MIN(10,CA155+IF(AND(DG156&lt;&gt;DG155,DH155&lt;&gt;"洞穿",SUMIFS($FE$3:FE155,$DG$3:DG155,DG155)=0,BY155=1),3,0)))</f>
        <v>10</v>
      </c>
      <c r="X156" s="1">
        <f t="shared" si="182"/>
        <v>13</v>
      </c>
      <c r="Y156" s="1">
        <f t="shared" si="183"/>
        <v>0</v>
      </c>
      <c r="Z156" s="1">
        <f t="shared" si="184"/>
        <v>0</v>
      </c>
      <c r="AA156" s="1">
        <f t="shared" si="185"/>
        <v>0</v>
      </c>
      <c r="AB156" s="1">
        <f t="shared" si="186"/>
        <v>10</v>
      </c>
      <c r="AC156" s="1">
        <f t="shared" si="187"/>
        <v>1</v>
      </c>
      <c r="AD156" s="1">
        <f t="shared" si="188"/>
        <v>35</v>
      </c>
      <c r="AE156" s="1">
        <f>IF(D156="",0,IF(DG156&lt;&gt;DG155,IFERROR(INDEX(回合状态!$F$7:$F$17,MATCH(DG156,回合状态!$A$7:$A$17,0)),0),CI155))</f>
        <v>0</v>
      </c>
      <c r="AF156" s="1">
        <f t="shared" si="189"/>
        <v>0.875</v>
      </c>
      <c r="AG156" s="1">
        <f t="shared" si="190"/>
        <v>9</v>
      </c>
      <c r="AH156" s="1">
        <f t="shared" si="191"/>
        <v>9</v>
      </c>
      <c r="AI156" s="1">
        <f t="shared" si="192"/>
        <v>8</v>
      </c>
      <c r="AJ156" s="1">
        <f t="shared" si="193"/>
        <v>9</v>
      </c>
      <c r="AK156" s="1">
        <f t="shared" si="194"/>
        <v>8</v>
      </c>
      <c r="AL156" s="1">
        <f t="shared" si="195"/>
        <v>3</v>
      </c>
      <c r="AM156" s="1">
        <f t="shared" si="196"/>
        <v>30</v>
      </c>
      <c r="AN156" s="1">
        <f t="shared" si="197"/>
        <v>9</v>
      </c>
      <c r="AO156" s="1">
        <f t="shared" si="198"/>
        <v>0</v>
      </c>
      <c r="AP156" s="1" t="e">
        <f t="shared" si="199"/>
        <v>#VALUE!</v>
      </c>
      <c r="AQ156" s="1" t="e">
        <f t="shared" si="200"/>
        <v>#VALUE!</v>
      </c>
      <c r="AR156" s="1">
        <f t="shared" si="201"/>
        <v>0.3</v>
      </c>
      <c r="AS156" s="1">
        <f t="shared" si="202"/>
        <v>9</v>
      </c>
      <c r="AT156" s="1">
        <f t="shared" si="203"/>
        <v>0.3</v>
      </c>
      <c r="AU156" s="1">
        <f t="shared" si="204"/>
        <v>9</v>
      </c>
      <c r="AV156" s="1">
        <f>MIN(5,SUMIFS($EL$3:EL156,$B$3:B156,"&gt;="&amp;MAX(1,B156-2),$B$3:B156,"&lt;="&amp;B156)+EC156)</f>
        <v>0</v>
      </c>
      <c r="AW156" s="1">
        <f>MIN(6,SUMIFS($EY$3:EY155,$EX$3:EX155,"&gt;="&amp;MAX(1,EX156-Boss参数!$B$87+1),$EX$3:EX155,"&lt;="&amp;EX156))</f>
        <v>0</v>
      </c>
      <c r="AX156" s="1">
        <f>MIN(4,COUNTIFS($B$3:$B$155,"&gt;="&amp;MAX(1,$B156-2),$B$3:$B$155,"&lt;="&amp;$B156,$L$3:$L$155,"37_FOLLOW"))</f>
        <v>0</v>
      </c>
      <c r="AY156" s="1" t="str">
        <f>IF($E156="","",IF($E156="系统",0,ROUNDDOWN(INDEX(角色面板!$C$4:$C$7,MATCH($E156,角色面板!$A$4:$A$7,0))*(1+INDEX(角色面板!$C$11:$C$14,MATCH($E156,角色面板!$A$11:$A$14,0))+IF($E156="小瑞安侬",MAX(IF($B156&lt;=$AQ156,$AP156,0),IF(AND($L156="RHI_ATTACK",$EE156&gt;0),0.11+0.01*$G156,0)),0)+IF($E156="J",$AD156*Boss参数!$B$18,0))+IF(FD156&lt;=$AN156,MIN(Boss参数!$B$21,ROUNDDOWN(角色面板!$C$19*Boss参数!$B$20,0)),0)+IF(AND($B156&lt;=$AK156,$E156&lt;&gt;"小瑞安侬"),$DY156,0),0)))</f>
        <v/>
      </c>
      <c r="AZ156" s="1" t="str">
        <f>IF($E156="","",MAX(0,MIN(1,IFERROR(INDEX(角色面板!$G$18:$G$21,MATCH($E156,角色面板!$A$18:$A$21,0)),0)-FC156*Boss参数!$B$89-Boss参数!$E$4)))</f>
        <v/>
      </c>
      <c r="BA156" s="1" t="str">
        <f>IF(E156="","",(IF($E156="","",IF($E156="红弩箭",Boss参数!$B$80,IF($E156="J",Boss参数!$B$81,IFERROR(INDEX(角色面板!$H$18:$H$21,MATCH($E156,角色面板!$A$18:$A$21,0)),0)))+IF($B156&lt;=$AI156,Boss参数!$B$13,0)+MIN(30,$AM156)*Boss参数!$B$17+IF(AND($L156="LILYA_ULT",$X156&gt;=6),1,0)+IF(AND($Y156=1,$L156="LILYA_INSIGHT"),IF(MOD($AA156+1,3)=0,Boss参数!$B$83,Boss参数!$B$82),IF(AND($Y156=1,$L156="LILYA_FINISH"),Boss参数!$B$84,0))))-FC156*Boss参数!$B$90)</f>
        <v/>
      </c>
      <c r="BB156" s="1" t="str">
        <f>IF($E156="","",IFERROR(INDEX(角色面板!$M$18:$M$21,MATCH($E156,角色面板!$A$18:$A$21,0)),0)+$AW156*Boss参数!$B$12+IF($B156&lt;=$AG156,$AF156,0)+$EI156+IF($L156="LILYA_DIVE",IF($U156=1,IF($G156=1,0.3,IF($G156=2,0.4,0.5)),IF($U156=2,IF($G156=1,0.6,IF($G156=2,0.8,1)),0)),0)+$R156+IF(AND($E156="J",OR($L156="J_COUNTER",$L156="J_HARD")),Boss参数!$B$79,0)+IF(AND(OR(L156="J_COUNTER",L156="J_HARD"),FA156&gt;=Boss参数!$B$59),FA156*Boss参数!$B$40,0))</f>
        <v/>
      </c>
      <c r="BC156" s="1" t="e">
        <f>IF($E156="","",IFERROR(INDEX(角色面板!$K$18:$K$21,MATCH($E156,角色面板!$A$18:$A$21,0)),0)+IF($B156&lt;=$AH156,Boss参数!$B$46,0)+IF($E156="红弩箭",IF($U156=1,0.6,IF($U156=2,1.2,0))+$W156*0.06,0))-DI156*Boss参数!$B$23</f>
        <v>#VALUE!</v>
      </c>
      <c r="BD156" s="1" t="e">
        <f>IF($E156="","",IFERROR(INDEX(角色面板!$L$18:$L$21,MATCH($E156,角色面板!$A$18:$A$21,0)),0)+IF($B156&lt;=$AH156,Boss参数!$B$46,0)+IF($E156="J",$AL156*Boss参数!$B$16,0)+IF($E156="红弩箭",$X156*0.025,0)+IF(AND($L156="LILYA_ULT",$X156&gt;=6),1,0))-DI156*Boss参数!$B$23</f>
        <v>#VALUE!</v>
      </c>
      <c r="BE156" s="1" t="str">
        <f>IF($E156="","",IF($H156="洞知",IF($E156="红弩箭",$AO156*Boss参数!$B$15,0)+$AX156*Boss参数!$B$14,0))</f>
        <v/>
      </c>
      <c r="BF156" s="1">
        <f t="shared" si="141"/>
        <v>0</v>
      </c>
      <c r="BG156" s="1">
        <f>IF($D156="",0,IF(AND($L156&lt;&gt;"LILYA_DIVE",$L156&lt;&gt;"LILYA_ULT",$L156&lt;&gt;"LILYA_INSIGHT",$L156&lt;&gt;"LILYA_FINISH",$L156&lt;&gt;"37_FOLLOW",$L156&lt;&gt;"RHI_ATTACK",$L156&lt;&gt;"RHI_BERRY",$L156&lt;&gt;"J_COUNTER",$L156&lt;&gt;"J_ULT"),$J156,0)+IF($L156="LILYA_DIVE",$J156+IF($U156=1,IF($G156=1,6,IF($G156=2,12,18)),IF($U156=2,IF($G156=1,12,IF($G156=2,24,36)),0)),0)+IF($L156="LILYA_ULT",$J156+IF($X156&gt;=6,18,0),0)+IF($L156="LILYA_INSIGHT",IF($Y156=1,IF(MOD($AA156+1,3)=0,32,15),0),0)+IF($L156="LILYA_FINISH",IF($Y156=1,50+2.5*$Z156,0),0)+IF($L156="37_FOLLOW",$J156,0)+IF($L156="RHI_ATTACK",$J156*IF($B156&lt;=$AJ156,2,1),0)+IF($L156="RHI_BERRY",15+1.5*$AV156,0)+IF($L156="J_COUNTER",$J156+$AD156*Boss参数!$B$39,0)+IF($L156="J_ULT",$J156+Boss参数!$B$45*MAX(0,$AE156+$AD156-Boss参数!$I$4),0)+$S156)</f>
        <v>0</v>
      </c>
      <c r="BH156" s="1">
        <f t="shared" si="142"/>
        <v>0</v>
      </c>
      <c r="BI156" s="1" t="str">
        <f>IF(E156="","",IF(DT156=1,1+Boss参数!$B$8+AV156*Boss参数!$B$19,1))</f>
        <v/>
      </c>
      <c r="BJ156" s="1">
        <f>IF($I156="现实",Boss参数!$C$4,IF($I156="精神",Boss参数!$D$4,0))</f>
        <v>0</v>
      </c>
      <c r="BK156" s="1" t="str">
        <f>IF($E156="","",MAX($AY156*Boss参数!$B$9,$AY156-$BJ156*(1-$BF156)))</f>
        <v/>
      </c>
      <c r="BL156" s="1">
        <f>MAX(0,Boss参数!$F$4+IF(DT156=0,Boss参数!$B$27,0)-EJ156)</f>
        <v>1.25</v>
      </c>
      <c r="BM156" s="1">
        <f>Boss参数!$G$4+DU156-IF(Y156=1,Boss参数!$B$11,0)</f>
        <v>0.4</v>
      </c>
      <c r="BN156" s="1" t="str">
        <f>IF($E156="","",MAX(Boss参数!$B$10,1+IFERROR(INDEX(角色面板!$I$18:$I$21,MATCH($E156,角色面板!$A$18:$A$21,0)),0)+$BB156+Boss参数!$H$4-$BM156))</f>
        <v/>
      </c>
      <c r="BO156" s="1" t="str">
        <f>IF(E156="","",IF(OR(L156="J_COUNTER",L156="J_HARD"),MAX(0,1+INDEX(角色面板!$K$18:$K$21,MATCH(E156,角色面板!$A$18:$A$21,0))-DI156*Boss参数!$B$23+IF(OR(Boss参数!$B$43=1,L156="J_HARD"),IF(B156&lt;=AH156,Boss参数!$B$46,0),0)),MAX(0,IF(OR(H156="术法",L156="RHI_BERRY",AND(L156="37_FOLLOW",Boss参数!$B$31=1)),1+BC156,IF(H156="仪式",1+BD156,IF(H156="洞知",EK156,1))))))</f>
        <v/>
      </c>
      <c r="BP156" s="1" t="str">
        <f t="shared" si="143"/>
        <v/>
      </c>
      <c r="BQ156" s="1">
        <f t="shared" si="144"/>
        <v>0</v>
      </c>
      <c r="BR156" s="1">
        <f t="shared" si="145"/>
        <v>0</v>
      </c>
      <c r="BS156" s="1">
        <f>IF(BH156=0,0,ROUNDDOWN(AY156*BH156,0)*DV156*IF(Boss参数!$B$29=1,BN156,1)*IF(Boss参数!$B$33=1,BO156,1)*IF(Boss参数!$B$76=1,1-ES156,1))</f>
        <v>0</v>
      </c>
      <c r="BT156" s="1">
        <f t="shared" si="146"/>
        <v>0</v>
      </c>
      <c r="BU156" s="1">
        <f>IF(D156="",0,MIN(IF(Boss参数!$B$77=1,Boss参数!$B$63*Boss参数!$B$62,Boss参数!$B$61*Boss参数!$B$62),DW156+ROUNDDOWN(BS156,0)+ROUNDDOWN(DW156*Q156,0)))</f>
        <v>0</v>
      </c>
      <c r="BV156" s="1">
        <f>IF(D156="",0,MIN(IF(Boss参数!$B$77=1,Boss参数!$B$63*Boss参数!$B$62,Boss参数!$B$61*Boss参数!$B$62),DX156+ROUNDDOWN(BT156,0)+ROUNDDOWN(DX156*Q156,0)))</f>
        <v>0</v>
      </c>
      <c r="BW156" s="1">
        <f t="shared" si="147"/>
        <v>0</v>
      </c>
      <c r="BX156" s="1" t="str">
        <f t="shared" si="148"/>
        <v/>
      </c>
      <c r="BY156" s="1">
        <f t="shared" si="149"/>
        <v>2</v>
      </c>
      <c r="BZ156" s="1">
        <f t="shared" si="150"/>
        <v>1</v>
      </c>
      <c r="CA156" s="1">
        <f>MIN(10,W156+IF(AND(L156="LILYA_COBRA",COUNTIF($L$3:L156,"LILYA_COBRA")=1),5,0)+IF(AND(L156="LILYA_DIVE",U156=1,COUNTIFS($DG$3:DG156,DG156,$L$3:L156,"LILYA_DIVE")=1),2,0)+IF(AND(FE156=1,U156=1),3,0))</f>
        <v>10</v>
      </c>
      <c r="CB156" s="1">
        <f>MIN(20,MAX(0,X156+IF(L156="LILYA_COBRA",IF(COUNTIF($L$3:L156,"LILYA_COBRA")=1,6,IF(U156=1,MAX(1,G156),IF(U156=2,2*MAX(1,G156),0))),0)+IF(AND(Y156=1,E156="红弩箭",L156&lt;&gt;"ENTER_INSIGHT"),1,0)-IF(AND(L156="LILYA_ULT",X156&gt;=6),6,0)))</f>
        <v>13</v>
      </c>
      <c r="CC156" s="1">
        <f t="shared" si="151"/>
        <v>0</v>
      </c>
      <c r="CD156" s="1">
        <f t="shared" si="152"/>
        <v>0</v>
      </c>
      <c r="CE156" s="1">
        <f t="shared" si="153"/>
        <v>0</v>
      </c>
      <c r="CF156" s="1">
        <f t="shared" si="154"/>
        <v>10</v>
      </c>
      <c r="CG156" s="1">
        <f t="shared" si="155"/>
        <v>1</v>
      </c>
      <c r="CH156" s="1">
        <f>MIN(35,AD156+IF(L156="J_HARD",6,0)+IF(L156="J_COUNTER",Boss参数!$B$30,0))</f>
        <v>35</v>
      </c>
      <c r="CI156" s="1">
        <f>MIN(Boss参数!$I$4,AE156+IF(L156="J_HARD",6,0)+IF(L156="J_ULT",AD156,0)+IF(L156="J_COUNTER",Boss参数!$B$30,0))</f>
        <v>0</v>
      </c>
      <c r="CJ156" s="1">
        <f>IF(L156="J_ULT",AD156*Boss参数!$B$41,IF(B156&lt;=AG156,AF156,0))</f>
        <v>0.875</v>
      </c>
      <c r="CK156" s="1">
        <f t="shared" si="156"/>
        <v>9</v>
      </c>
      <c r="CL156" s="1">
        <f t="shared" si="157"/>
        <v>9</v>
      </c>
      <c r="CM156" s="1">
        <f t="shared" si="158"/>
        <v>8</v>
      </c>
      <c r="CN156" s="1">
        <f t="shared" si="159"/>
        <v>9</v>
      </c>
      <c r="CO156" s="1">
        <f t="shared" si="160"/>
        <v>8</v>
      </c>
      <c r="CP156" s="1">
        <f t="shared" si="161"/>
        <v>3</v>
      </c>
      <c r="CQ156" s="1">
        <f t="shared" si="162"/>
        <v>30</v>
      </c>
      <c r="CR156" s="1">
        <f t="shared" si="163"/>
        <v>9</v>
      </c>
      <c r="CS156" s="1">
        <f t="shared" si="164"/>
        <v>0</v>
      </c>
      <c r="CT156" s="1" t="e">
        <f t="shared" si="165"/>
        <v>#VALUE!</v>
      </c>
      <c r="CU156" s="1" t="e">
        <f t="shared" si="166"/>
        <v>#VALUE!</v>
      </c>
      <c r="CV156" s="1">
        <f t="shared" si="167"/>
        <v>0.3</v>
      </c>
      <c r="CW156" s="1">
        <f t="shared" si="168"/>
        <v>9</v>
      </c>
      <c r="CX156" s="1">
        <f t="shared" si="169"/>
        <v>0.3</v>
      </c>
      <c r="CY156" s="1">
        <f t="shared" si="170"/>
        <v>9</v>
      </c>
      <c r="CZ156" s="1"/>
      <c r="DA156" s="1"/>
      <c r="DB156" s="1"/>
      <c r="DC156" s="1"/>
      <c r="DD156" s="1"/>
      <c r="DE156" s="1"/>
      <c r="DF156" s="1"/>
      <c r="DG156" s="1" t="str">
        <f>IF(D156="","",行动模拟!B162)</f>
        <v/>
      </c>
      <c r="DH156" s="1" t="str">
        <f>IF(L156="END_TURN","回合结束",IF(D156="","",IF(INDEX(回合状态!$C$7:$C$17,MATCH(DG156,回合状态!$A$7:$A$17,0))="洞穿","洞穿",IF(OR(L156="J_COUNTER",L156="BOSS_ACTION",L156="BOSS_CONSERVATIVE"),"敌方",IF(AND(L156="37_FOLLOW",DG156=DG155,DH155="敌方"),"敌方",IF(INDEX(回合状态!$C$7:$C$17,MATCH(DG156,回合状态!$A$7:$A$17,0))="普通","出牌",INDEX(回合状态!$C$7:$C$17,MATCH(DG156,回合状态!$A$7:$A$17,0))))))))</f>
        <v/>
      </c>
      <c r="DI156" s="1">
        <f t="shared" si="171"/>
        <v>0</v>
      </c>
      <c r="DJ156" s="1">
        <f>IF(D156="",0,MIN(Boss参数!$B$25,IF(OR(AND(DH156="敌方",OR(DH155&lt;&gt;"敌方",DG156&lt;&gt;DG155)),AND(L156="END_TURN",DH156&lt;&gt;"洞穿"),AND(DG156&lt;&gt;DG155,DH155&lt;&gt;"洞穿",L155&lt;&gt;"END_TURN",COUNTIFS($DG$3:DG155,DG155,$DH$3:DH155,"敌方")=0)),EW156,DN155)))</f>
        <v>0</v>
      </c>
      <c r="DK156" s="1">
        <f>IF(D156="",0,MIN(Boss参数!$B$25,IF(OR(AND(DH156="敌方",OR(DH155&lt;&gt;"敌方",DG156&lt;&gt;DG155)),AND(L156="END_TURN",DH156&lt;&gt;"洞穿"),AND(DG156&lt;&gt;DG155,DH155&lt;&gt;"洞穿",L155&lt;&gt;"END_TURN",COUNTIFS($DG$3:DG155,DG155,$DH$3:DH155,"敌方")=0)),EW156,DO155)))</f>
        <v>0</v>
      </c>
      <c r="DL156" s="1">
        <f>IF(D156="",0,MIN(Boss参数!$B$25,IF(OR(AND(DH156="敌方",OR(DH155&lt;&gt;"敌方",DG156&lt;&gt;DG155)),AND(L156="END_TURN",DH156&lt;&gt;"洞穿"),AND(DG156&lt;&gt;DG155,DH155&lt;&gt;"洞穿",L155&lt;&gt;"END_TURN",COUNTIFS($DG$3:DG155,DG155,$DH$3:DH155,"敌方")=0)),EW156,DP155)))</f>
        <v>0</v>
      </c>
      <c r="DM156" s="1">
        <f>IF(D156="",0,MIN(Boss参数!$B$25,IF(OR(AND(DH156="敌方",OR(DH155&lt;&gt;"敌方",DG156&lt;&gt;DG155)),AND(L156="END_TURN",DH156&lt;&gt;"洞穿"),AND(DG156&lt;&gt;DG155,DH155&lt;&gt;"洞穿",L155&lt;&gt;"END_TURN",COUNTIFS($DG$3:DG155,DG155,$DH$3:DH155,"敌方")=0)),EW156,DQ155)))</f>
        <v>0</v>
      </c>
      <c r="DN156" s="1">
        <f>MAX(0,MIN(Boss参数!$B$25,DJ156+DR156)-IF(E156="红弩箭",2*DR156,0))</f>
        <v>0</v>
      </c>
      <c r="DO156" s="1">
        <f>MAX(0,MIN(Boss参数!$B$25,DK156+DR156)-IF(E156="37",2*DR156,0))</f>
        <v>0</v>
      </c>
      <c r="DP156" s="1">
        <f>MAX(0,MIN(Boss参数!$B$25,DL156+DR156)-IF(E156="小瑞安侬",2*DR156,0))</f>
        <v>0</v>
      </c>
      <c r="DQ156" s="1">
        <f>MAX(0,MIN(Boss参数!$B$25,DM156+DR156)-IF(E156="J",2*DR156,0))</f>
        <v>0</v>
      </c>
      <c r="DR156" s="1">
        <f t="shared" si="172"/>
        <v>0</v>
      </c>
      <c r="DS156" s="1">
        <f t="shared" si="173"/>
        <v>0</v>
      </c>
      <c r="DT156" s="1">
        <f>IF(OR(E156="",E156="系统"),0,IF(OR(AND(DS156=1,Boss参数!$B$32=1),L156="RHI_BERRY",OR(AND(INDEX(角色面板!$B$18:$B$21,MATCH(E156,角色面板!$A$18:$A$21,0))="星",Boss参数!$B$4="岩"),AND(INDEX(角色面板!$B$18:$B$21,MATCH(E156,角色面板!$A$18:$A$21,0))="岩",Boss参数!$B$4="兽"),AND(INDEX(角色面板!$B$18:$B$21,MATCH(E156,角色面板!$A$18:$A$21,0))="兽",Boss参数!$B$4="木"),AND(INDEX(角色面板!$B$18:$B$21,MATCH(E156,角色面板!$A$18:$A$21,0))="木",Boss参数!$B$4="星"),AND(INDEX(角色面板!$B$18:$B$21,MATCH(E156,角色面板!$A$18:$A$21,0))="智",Boss参数!$B$4="灵"),AND(INDEX(角色面板!$B$18:$B$21,MATCH(E156,角色面板!$A$18:$A$21,0))="灵",Boss参数!$B$4="智"))),1,0))</f>
        <v>0</v>
      </c>
      <c r="DU156" s="1">
        <f>IF(D156="",0,INDEX(回合状态!$E$7:$E$17,MATCH(DG156,回合状态!$A$7:$A$17,0))+IF(AND(DH156="敌方",OR(INDEX(回合状态!$C$7:$C$17,MATCH(DG156,回合状态!$A$7:$A$17,0))="普通",INDEX(回合状态!$C$7:$C$17,MATCH(DG156,回合状态!$A$7:$A$17,0))="额外")),0.05,0))</f>
        <v>0</v>
      </c>
      <c r="DV156" s="1">
        <f>MAX(Boss参数!$B$28,1+IF(AND(E156="37",AC156&gt;0,BH156&gt;0),Boss参数!$B$42,0)-DI156*Boss参数!$B$24+EA156-ER156)</f>
        <v>9.9999999999999978E-2</v>
      </c>
      <c r="DW156" s="1">
        <f>MIN(IF(Boss参数!$B$77=1,Boss参数!$B$63*Boss参数!$B$62,Boss参数!$B$61*Boss参数!$B$62),ROUNDDOWN(BQ156*(1-ES156),0))</f>
        <v>0</v>
      </c>
      <c r="DX156" s="1">
        <f>MIN(IF(Boss参数!$B$77=1,Boss参数!$B$63*Boss参数!$B$62,Boss参数!$B$61*Boss参数!$B$62),ROUNDDOWN(BR156*(1-ES156),0))</f>
        <v>0</v>
      </c>
      <c r="DY156" s="1">
        <f t="shared" si="205"/>
        <v>250</v>
      </c>
      <c r="DZ156" s="1">
        <f>IF(L156="RHI_ULT",MIN(Boss参数!$B$48,ROUNDDOWN(AY156*Boss参数!$B$47,0)),DY156)</f>
        <v>250</v>
      </c>
      <c r="EA156" s="1">
        <v>0</v>
      </c>
      <c r="EB156" s="1">
        <f t="shared" si="174"/>
        <v>0</v>
      </c>
      <c r="EC156" s="1">
        <f>SUMIFS($EB$3:EB156,$B$3:B156,"&gt;="&amp;MAX(1,B156-2),$B$3:B156,"&lt;="&amp;B156)*Boss参数!$B$51</f>
        <v>0</v>
      </c>
      <c r="ED156" s="1">
        <f>IF(D156="",EG155,IF(AND(DG156&lt;&gt;DG155,DH156&lt;&gt;"洞穿"),MIN(Boss参数!$B$55,EG155+2),EG155))</f>
        <v>0</v>
      </c>
      <c r="EE156" s="1">
        <f t="shared" si="175"/>
        <v>0</v>
      </c>
      <c r="EF156" s="1">
        <f>IF(AND(OR(L156="END_TURN",AND(DH156="敌方",OR(DH155&lt;&gt;"敌方",DG156&lt;&gt;DG155))),SUMIFS($EF$3:EF155,$DG$3:DG155,DG156)=0),MIN(1,MAX(0,ED156-EE156)),0)</f>
        <v>0</v>
      </c>
      <c r="EG156" s="1">
        <f t="shared" si="176"/>
        <v>0</v>
      </c>
      <c r="EH156" s="1">
        <f>Boss参数!$B$53-IF(Y156=1,Boss参数!$B$54,0)</f>
        <v>0</v>
      </c>
      <c r="EI156" s="1">
        <f t="shared" si="177"/>
        <v>0.15</v>
      </c>
      <c r="EJ156" s="1">
        <f t="shared" si="178"/>
        <v>0.15</v>
      </c>
      <c r="EK156" s="1" t="e">
        <f t="shared" si="179"/>
        <v>#VALUE!</v>
      </c>
      <c r="EL156" s="1">
        <f t="shared" si="206"/>
        <v>0</v>
      </c>
      <c r="EM156" s="1">
        <f>IF(AND(DG156&lt;&gt;DG155,DH156="洞穿"),0,IF(L156="ENTER_INSIGHT",Boss参数!$B$57,EO155))</f>
        <v>0</v>
      </c>
      <c r="EN156" s="1">
        <f>IF(AND(Y156=1,H156="洞知",EM156&gt;0),Boss参数!$B$56,0)</f>
        <v>0</v>
      </c>
      <c r="EO156" s="1">
        <f t="shared" si="180"/>
        <v>0</v>
      </c>
      <c r="EP156" s="1">
        <f t="shared" si="207"/>
        <v>23210479</v>
      </c>
      <c r="EQ156" s="1">
        <f>ROUNDDOWN(EP156/Boss参数!$B$62,0)</f>
        <v>232</v>
      </c>
      <c r="ER156" s="1">
        <f>IF(EQ156&gt;=Boss参数!$B$66,Boss参数!$B$69,IF(EQ156&gt;=Boss参数!$B$65,Boss参数!$B$68,IF(EQ156&gt;=Boss参数!$B$64,Boss参数!$B$67,0)))</f>
        <v>0.9</v>
      </c>
      <c r="ES156" s="1">
        <f>MIN(1,IF(EQ156&gt;=Boss参数!$B$66,Boss参数!$B$72+ROUNDDOWN((EQ156-Boss参数!$B$66)/Boss参数!$B$73,0)*Boss参数!$B$74,IF(EQ156&gt;=Boss参数!$B$65,Boss参数!$B$71,IF(EQ156&gt;=Boss参数!$B$64,Boss参数!$B$70,0))))</f>
        <v>0.65</v>
      </c>
      <c r="ET156" s="1">
        <f>MIN(Boss参数!$B$61*Boss参数!$B$62,EP156+IF(AND(Boss参数!$B$60=1,ISNUMBER(验证表!H162)),验证表!H162,EU156))</f>
        <v>23210479</v>
      </c>
      <c r="EU156" s="1">
        <f>IF(D156="",0,IF(验证表!G162="是",BV156,IF(验证表!G162="否",BU156,BW156)))</f>
        <v>0</v>
      </c>
      <c r="EV156" s="1">
        <f>IF(EQ156&gt;=Boss参数!$B$66,2,IF(EQ156&gt;=Boss参数!$B$65,1,0))</f>
        <v>2</v>
      </c>
      <c r="EW156" s="1">
        <f t="shared" si="181"/>
        <v>3</v>
      </c>
      <c r="EX156" s="1">
        <f>IF(D156="",0,INDEX(回合状态!$D$7:$D$17,MATCH(DG156,回合状态!$A$7:$A$17,0)))</f>
        <v>0</v>
      </c>
      <c r="EY156" s="1">
        <f>IF(OR(L156="RHI_ATTACK",L156="RHI_BUFF"),1,IF(L156="RHI_ULT",Boss参数!$B$52,0))</f>
        <v>0</v>
      </c>
      <c r="EZ156" s="1">
        <f>MIN(6,SUMIFS($EY$3:EY156,$EX$3:EX156,"&gt;="&amp;MAX(1,EX156-Boss参数!$B$87+1),$EX$3:EX156,"&lt;="&amp;EX156))</f>
        <v>0</v>
      </c>
      <c r="FA156" s="1">
        <f t="shared" si="208"/>
        <v>0</v>
      </c>
      <c r="FB156" s="17">
        <f>IF(L156="BOSS_CONSERVATIVE",B156+Boss参数!$B$91,FB155)</f>
        <v>7</v>
      </c>
      <c r="FC156" s="17">
        <f t="shared" si="209"/>
        <v>0</v>
      </c>
      <c r="FD156" s="17">
        <f>IF(D156="",FD155,FD155+IF(AND(DG156&lt;&gt;DG155,INDEX(回合状态!$C$7:$C$17,MATCH(DG156,回合状态!$A$7:$A$17,0))&lt;&gt;"洞穿"),1,0))</f>
        <v>8</v>
      </c>
      <c r="FE156" s="17">
        <f>IF(D156="",0,IF(AND(OR(L156="END_TURN",DH156="敌方"),INDEX(回合状态!$C$7:$C$17,MATCH(DG156,回合状态!$A$7:$A$17,0))&lt;&gt;"洞穿",SUMIFS($FE$3:FE155,$DG$3:DG155,DG156)=0),1,0))</f>
        <v>0</v>
      </c>
    </row>
    <row r="157" spans="1:161" ht="84.95" customHeight="1">
      <c r="A157" s="1" t="str">
        <f>行动模拟!A163</f>
        <v/>
      </c>
      <c r="B157" s="1">
        <f>IF(D157="",0,INDEX(回合状态!$B$7:$B$17,MATCH(DG157,回合状态!$A$7:$A$17,0)))</f>
        <v>0</v>
      </c>
      <c r="C157" s="1">
        <f>行动模拟!C163</f>
        <v>0</v>
      </c>
      <c r="D157" s="1" t="str">
        <f>IF(行动模拟!D163="","",行动模拟!D163)</f>
        <v/>
      </c>
      <c r="E157" s="1" t="str">
        <f>IF($D157="","",IFERROR(INDEX(技能数据库!$B$4:$B$38,MATCH($D157,技能数据库!$A$4:$A$38,0)),""))</f>
        <v/>
      </c>
      <c r="F157" s="1" t="str">
        <f>IF($D157="","",IFERROR(INDEX(技能数据库!$C$4:$C$38,MATCH($D157,技能数据库!$A$4:$A$38,0)),""))</f>
        <v/>
      </c>
      <c r="G157" s="1" t="str">
        <f>IF($D157="","",IFERROR(INDEX(技能数据库!$D$4:$D$38,MATCH($D157,技能数据库!$A$4:$A$38,0)),""))</f>
        <v/>
      </c>
      <c r="H157" s="1" t="str">
        <f>IF($D157="","",IFERROR(INDEX(技能数据库!$E$4:$E$38,MATCH($D157,技能数据库!$A$4:$A$38,0)),""))</f>
        <v/>
      </c>
      <c r="I157" s="1" t="str">
        <f>IF($D157="","",IFERROR(INDEX(技能数据库!$F$4:$F$38,MATCH($D157,技能数据库!$A$4:$A$38,0)),""))</f>
        <v/>
      </c>
      <c r="J157" s="1" t="str">
        <f>IF($D157="","",IFERROR(INDEX(技能数据库!$G$4:$G$38,MATCH($D157,技能数据库!$A$4:$A$38,0)),""))</f>
        <v/>
      </c>
      <c r="K157" s="1" t="str">
        <f>IF($D157="","",IFERROR(INDEX(技能数据库!$H$4:$H$38,MATCH($D157,技能数据库!$A$4:$A$38,0)),""))</f>
        <v/>
      </c>
      <c r="L157" s="1" t="str">
        <f>IF($D157="","",IFERROR(INDEX(技能数据库!$I$4:$I$38,MATCH($D157,技能数据库!$A$4:$A$38,0)),""))</f>
        <v/>
      </c>
      <c r="M157" s="1">
        <v>1</v>
      </c>
      <c r="N157" s="1"/>
      <c r="O157" s="1"/>
      <c r="P157" s="1"/>
      <c r="Q157" s="1">
        <f t="shared" si="140"/>
        <v>0</v>
      </c>
      <c r="R157" s="1">
        <v>0</v>
      </c>
      <c r="S157" s="1">
        <v>0</v>
      </c>
      <c r="T157" s="1">
        <f>行动模拟!I163</f>
        <v>0</v>
      </c>
      <c r="U157" s="1">
        <f>IF(FD157&lt;&gt;FD156,IF(BY156=1,IF(MIN(10,CA156+IF(AND(DG157&lt;&gt;DG156,DH156&lt;&gt;"洞穿",SUMIFS($FE$3:FE156,$DG$3:DG156,DG156)=0,BY156=1),3,0))&gt;=10,2,1),IF(BY156=2,IF(BZ156&lt;=1,0,2),0)),BY156)</f>
        <v>2</v>
      </c>
      <c r="V157" s="1">
        <f>IF(FD157&lt;&gt;FD156,IF(BY156=1,IF(MIN(10,CA156+IF(AND(DG157&lt;&gt;DG156,DH156&lt;&gt;"洞穿",SUMIFS($FE$3:FE156,$DG$3:DG156,DG156)=0,BY156=1),3,0))&gt;=10,2,0),IF(BY156=2,MAX(0,BZ156-1),0)),BZ156)</f>
        <v>1</v>
      </c>
      <c r="W157" s="1">
        <f>IF(AND(FD157&lt;&gt;FD156,BY156=2,BZ156&lt;=1),0,MIN(10,CA156+IF(AND(DG157&lt;&gt;DG156,DH156&lt;&gt;"洞穿",SUMIFS($FE$3:FE156,$DG$3:DG156,DG156)=0,BY156=1),3,0)))</f>
        <v>10</v>
      </c>
      <c r="X157" s="1">
        <f t="shared" si="182"/>
        <v>13</v>
      </c>
      <c r="Y157" s="1">
        <f t="shared" si="183"/>
        <v>0</v>
      </c>
      <c r="Z157" s="1">
        <f t="shared" si="184"/>
        <v>0</v>
      </c>
      <c r="AA157" s="1">
        <f t="shared" si="185"/>
        <v>0</v>
      </c>
      <c r="AB157" s="1">
        <f t="shared" si="186"/>
        <v>10</v>
      </c>
      <c r="AC157" s="1">
        <f t="shared" si="187"/>
        <v>1</v>
      </c>
      <c r="AD157" s="1">
        <f t="shared" si="188"/>
        <v>35</v>
      </c>
      <c r="AE157" s="1">
        <f>IF(D157="",0,IF(DG157&lt;&gt;DG156,IFERROR(INDEX(回合状态!$F$7:$F$17,MATCH(DG157,回合状态!$A$7:$A$17,0)),0),CI156))</f>
        <v>0</v>
      </c>
      <c r="AF157" s="1">
        <f t="shared" si="189"/>
        <v>0.875</v>
      </c>
      <c r="AG157" s="1">
        <f t="shared" si="190"/>
        <v>9</v>
      </c>
      <c r="AH157" s="1">
        <f t="shared" si="191"/>
        <v>9</v>
      </c>
      <c r="AI157" s="1">
        <f t="shared" si="192"/>
        <v>8</v>
      </c>
      <c r="AJ157" s="1">
        <f t="shared" si="193"/>
        <v>9</v>
      </c>
      <c r="AK157" s="1">
        <f t="shared" si="194"/>
        <v>8</v>
      </c>
      <c r="AL157" s="1">
        <f t="shared" si="195"/>
        <v>3</v>
      </c>
      <c r="AM157" s="1">
        <f t="shared" si="196"/>
        <v>30</v>
      </c>
      <c r="AN157" s="1">
        <f t="shared" si="197"/>
        <v>9</v>
      </c>
      <c r="AO157" s="1">
        <f t="shared" si="198"/>
        <v>0</v>
      </c>
      <c r="AP157" s="1" t="e">
        <f t="shared" si="199"/>
        <v>#VALUE!</v>
      </c>
      <c r="AQ157" s="1" t="e">
        <f t="shared" si="200"/>
        <v>#VALUE!</v>
      </c>
      <c r="AR157" s="1">
        <f t="shared" si="201"/>
        <v>0.3</v>
      </c>
      <c r="AS157" s="1">
        <f t="shared" si="202"/>
        <v>9</v>
      </c>
      <c r="AT157" s="1">
        <f t="shared" si="203"/>
        <v>0.3</v>
      </c>
      <c r="AU157" s="1">
        <f t="shared" si="204"/>
        <v>9</v>
      </c>
      <c r="AV157" s="1">
        <f>MIN(5,SUMIFS($EL$3:EL157,$B$3:B157,"&gt;="&amp;MAX(1,B157-2),$B$3:B157,"&lt;="&amp;B157)+EC157)</f>
        <v>0</v>
      </c>
      <c r="AW157" s="1">
        <f>MIN(6,SUMIFS($EY$3:EY156,$EX$3:EX156,"&gt;="&amp;MAX(1,EX157-Boss参数!$B$87+1),$EX$3:EX156,"&lt;="&amp;EX157))</f>
        <v>0</v>
      </c>
      <c r="AX157" s="1">
        <f>MIN(4,COUNTIFS($B$3:$B$156,"&gt;="&amp;MAX(1,$B157-2),$B$3:$B$156,"&lt;="&amp;$B157,$L$3:$L$156,"37_FOLLOW"))</f>
        <v>0</v>
      </c>
      <c r="AY157" s="1" t="str">
        <f>IF($E157="","",IF($E157="系统",0,ROUNDDOWN(INDEX(角色面板!$C$4:$C$7,MATCH($E157,角色面板!$A$4:$A$7,0))*(1+INDEX(角色面板!$C$11:$C$14,MATCH($E157,角色面板!$A$11:$A$14,0))+IF($E157="小瑞安侬",MAX(IF($B157&lt;=$AQ157,$AP157,0),IF(AND($L157="RHI_ATTACK",$EE157&gt;0),0.11+0.01*$G157,0)),0)+IF($E157="J",$AD157*Boss参数!$B$18,0))+IF(FD157&lt;=$AN157,MIN(Boss参数!$B$21,ROUNDDOWN(角色面板!$C$19*Boss参数!$B$20,0)),0)+IF(AND($B157&lt;=$AK157,$E157&lt;&gt;"小瑞安侬"),$DY157,0),0)))</f>
        <v/>
      </c>
      <c r="AZ157" s="1" t="str">
        <f>IF($E157="","",MAX(0,MIN(1,IFERROR(INDEX(角色面板!$G$18:$G$21,MATCH($E157,角色面板!$A$18:$A$21,0)),0)-FC157*Boss参数!$B$89-Boss参数!$E$4)))</f>
        <v/>
      </c>
      <c r="BA157" s="1" t="str">
        <f>IF(E157="","",(IF($E157="","",IF($E157="红弩箭",Boss参数!$B$80,IF($E157="J",Boss参数!$B$81,IFERROR(INDEX(角色面板!$H$18:$H$21,MATCH($E157,角色面板!$A$18:$A$21,0)),0)))+IF($B157&lt;=$AI157,Boss参数!$B$13,0)+MIN(30,$AM157)*Boss参数!$B$17+IF(AND($L157="LILYA_ULT",$X157&gt;=6),1,0)+IF(AND($Y157=1,$L157="LILYA_INSIGHT"),IF(MOD($AA157+1,3)=0,Boss参数!$B$83,Boss参数!$B$82),IF(AND($Y157=1,$L157="LILYA_FINISH"),Boss参数!$B$84,0))))-FC157*Boss参数!$B$90)</f>
        <v/>
      </c>
      <c r="BB157" s="1" t="str">
        <f>IF($E157="","",IFERROR(INDEX(角色面板!$M$18:$M$21,MATCH($E157,角色面板!$A$18:$A$21,0)),0)+$AW157*Boss参数!$B$12+IF($B157&lt;=$AG157,$AF157,0)+$EI157+IF($L157="LILYA_DIVE",IF($U157=1,IF($G157=1,0.3,IF($G157=2,0.4,0.5)),IF($U157=2,IF($G157=1,0.6,IF($G157=2,0.8,1)),0)),0)+$R157+IF(AND($E157="J",OR($L157="J_COUNTER",$L157="J_HARD")),Boss参数!$B$79,0)+IF(AND(OR(L157="J_COUNTER",L157="J_HARD"),FA157&gt;=Boss参数!$B$59),FA157*Boss参数!$B$40,0))</f>
        <v/>
      </c>
      <c r="BC157" s="1" t="e">
        <f>IF($E157="","",IFERROR(INDEX(角色面板!$K$18:$K$21,MATCH($E157,角色面板!$A$18:$A$21,0)),0)+IF($B157&lt;=$AH157,Boss参数!$B$46,0)+IF($E157="红弩箭",IF($U157=1,0.6,IF($U157=2,1.2,0))+$W157*0.06,0))-DI157*Boss参数!$B$23</f>
        <v>#VALUE!</v>
      </c>
      <c r="BD157" s="1" t="e">
        <f>IF($E157="","",IFERROR(INDEX(角色面板!$L$18:$L$21,MATCH($E157,角色面板!$A$18:$A$21,0)),0)+IF($B157&lt;=$AH157,Boss参数!$B$46,0)+IF($E157="J",$AL157*Boss参数!$B$16,0)+IF($E157="红弩箭",$X157*0.025,0)+IF(AND($L157="LILYA_ULT",$X157&gt;=6),1,0))-DI157*Boss参数!$B$23</f>
        <v>#VALUE!</v>
      </c>
      <c r="BE157" s="1" t="str">
        <f>IF($E157="","",IF($H157="洞知",IF($E157="红弩箭",$AO157*Boss参数!$B$15,0)+$AX157*Boss参数!$B$14,0))</f>
        <v/>
      </c>
      <c r="BF157" s="1">
        <f t="shared" si="141"/>
        <v>0</v>
      </c>
      <c r="BG157" s="1">
        <f>IF($D157="",0,IF(AND($L157&lt;&gt;"LILYA_DIVE",$L157&lt;&gt;"LILYA_ULT",$L157&lt;&gt;"LILYA_INSIGHT",$L157&lt;&gt;"LILYA_FINISH",$L157&lt;&gt;"37_FOLLOW",$L157&lt;&gt;"RHI_ATTACK",$L157&lt;&gt;"RHI_BERRY",$L157&lt;&gt;"J_COUNTER",$L157&lt;&gt;"J_ULT"),$J157,0)+IF($L157="LILYA_DIVE",$J157+IF($U157=1,IF($G157=1,6,IF($G157=2,12,18)),IF($U157=2,IF($G157=1,12,IF($G157=2,24,36)),0)),0)+IF($L157="LILYA_ULT",$J157+IF($X157&gt;=6,18,0),0)+IF($L157="LILYA_INSIGHT",IF($Y157=1,IF(MOD($AA157+1,3)=0,32,15),0),0)+IF($L157="LILYA_FINISH",IF($Y157=1,50+2.5*$Z157,0),0)+IF($L157="37_FOLLOW",$J157,0)+IF($L157="RHI_ATTACK",$J157*IF($B157&lt;=$AJ157,2,1),0)+IF($L157="RHI_BERRY",15+1.5*$AV157,0)+IF($L157="J_COUNTER",$J157+$AD157*Boss参数!$B$39,0)+IF($L157="J_ULT",$J157+Boss参数!$B$45*MAX(0,$AE157+$AD157-Boss参数!$I$4),0)+$S157)</f>
        <v>0</v>
      </c>
      <c r="BH157" s="1">
        <f t="shared" si="142"/>
        <v>0</v>
      </c>
      <c r="BI157" s="1" t="str">
        <f>IF(E157="","",IF(DT157=1,1+Boss参数!$B$8+AV157*Boss参数!$B$19,1))</f>
        <v/>
      </c>
      <c r="BJ157" s="1">
        <f>IF($I157="现实",Boss参数!$C$4,IF($I157="精神",Boss参数!$D$4,0))</f>
        <v>0</v>
      </c>
      <c r="BK157" s="1" t="str">
        <f>IF($E157="","",MAX($AY157*Boss参数!$B$9,$AY157-$BJ157*(1-$BF157)))</f>
        <v/>
      </c>
      <c r="BL157" s="1">
        <f>MAX(0,Boss参数!$F$4+IF(DT157=0,Boss参数!$B$27,0)-EJ157)</f>
        <v>1.25</v>
      </c>
      <c r="BM157" s="1">
        <f>Boss参数!$G$4+DU157-IF(Y157=1,Boss参数!$B$11,0)</f>
        <v>0.4</v>
      </c>
      <c r="BN157" s="1" t="str">
        <f>IF($E157="","",MAX(Boss参数!$B$10,1+IFERROR(INDEX(角色面板!$I$18:$I$21,MATCH($E157,角色面板!$A$18:$A$21,0)),0)+$BB157+Boss参数!$H$4-$BM157))</f>
        <v/>
      </c>
      <c r="BO157" s="1" t="str">
        <f>IF(E157="","",IF(OR(L157="J_COUNTER",L157="J_HARD"),MAX(0,1+INDEX(角色面板!$K$18:$K$21,MATCH(E157,角色面板!$A$18:$A$21,0))-DI157*Boss参数!$B$23+IF(OR(Boss参数!$B$43=1,L157="J_HARD"),IF(B157&lt;=AH157,Boss参数!$B$46,0),0)),MAX(0,IF(OR(H157="术法",L157="RHI_BERRY",AND(L157="37_FOLLOW",Boss参数!$B$31=1)),1+BC157,IF(H157="仪式",1+BD157,IF(H157="洞知",EK157,1))))))</f>
        <v/>
      </c>
      <c r="BP157" s="1" t="str">
        <f t="shared" si="143"/>
        <v/>
      </c>
      <c r="BQ157" s="1">
        <f t="shared" si="144"/>
        <v>0</v>
      </c>
      <c r="BR157" s="1">
        <f t="shared" si="145"/>
        <v>0</v>
      </c>
      <c r="BS157" s="1">
        <f>IF(BH157=0,0,ROUNDDOWN(AY157*BH157,0)*DV157*IF(Boss参数!$B$29=1,BN157,1)*IF(Boss参数!$B$33=1,BO157,1)*IF(Boss参数!$B$76=1,1-ES157,1))</f>
        <v>0</v>
      </c>
      <c r="BT157" s="1">
        <f t="shared" si="146"/>
        <v>0</v>
      </c>
      <c r="BU157" s="1">
        <f>IF(D157="",0,MIN(IF(Boss参数!$B$77=1,Boss参数!$B$63*Boss参数!$B$62,Boss参数!$B$61*Boss参数!$B$62),DW157+ROUNDDOWN(BS157,0)+ROUNDDOWN(DW157*Q157,0)))</f>
        <v>0</v>
      </c>
      <c r="BV157" s="1">
        <f>IF(D157="",0,MIN(IF(Boss参数!$B$77=1,Boss参数!$B$63*Boss参数!$B$62,Boss参数!$B$61*Boss参数!$B$62),DX157+ROUNDDOWN(BT157,0)+ROUNDDOWN(DX157*Q157,0)))</f>
        <v>0</v>
      </c>
      <c r="BW157" s="1">
        <f t="shared" si="147"/>
        <v>0</v>
      </c>
      <c r="BX157" s="1" t="str">
        <f t="shared" si="148"/>
        <v/>
      </c>
      <c r="BY157" s="1">
        <f t="shared" si="149"/>
        <v>2</v>
      </c>
      <c r="BZ157" s="1">
        <f t="shared" si="150"/>
        <v>1</v>
      </c>
      <c r="CA157" s="1">
        <f>MIN(10,W157+IF(AND(L157="LILYA_COBRA",COUNTIF($L$3:L157,"LILYA_COBRA")=1),5,0)+IF(AND(L157="LILYA_DIVE",U157=1,COUNTIFS($DG$3:DG157,DG157,$L$3:L157,"LILYA_DIVE")=1),2,0)+IF(AND(FE157=1,U157=1),3,0))</f>
        <v>10</v>
      </c>
      <c r="CB157" s="1">
        <f>MIN(20,MAX(0,X157+IF(L157="LILYA_COBRA",IF(COUNTIF($L$3:L157,"LILYA_COBRA")=1,6,IF(U157=1,MAX(1,G157),IF(U157=2,2*MAX(1,G157),0))),0)+IF(AND(Y157=1,E157="红弩箭",L157&lt;&gt;"ENTER_INSIGHT"),1,0)-IF(AND(L157="LILYA_ULT",X157&gt;=6),6,0)))</f>
        <v>13</v>
      </c>
      <c r="CC157" s="1">
        <f t="shared" si="151"/>
        <v>0</v>
      </c>
      <c r="CD157" s="1">
        <f t="shared" si="152"/>
        <v>0</v>
      </c>
      <c r="CE157" s="1">
        <f t="shared" si="153"/>
        <v>0</v>
      </c>
      <c r="CF157" s="1">
        <f t="shared" si="154"/>
        <v>10</v>
      </c>
      <c r="CG157" s="1">
        <f t="shared" si="155"/>
        <v>1</v>
      </c>
      <c r="CH157" s="1">
        <f>MIN(35,AD157+IF(L157="J_HARD",6,0)+IF(L157="J_COUNTER",Boss参数!$B$30,0))</f>
        <v>35</v>
      </c>
      <c r="CI157" s="1">
        <f>MIN(Boss参数!$I$4,AE157+IF(L157="J_HARD",6,0)+IF(L157="J_ULT",AD157,0)+IF(L157="J_COUNTER",Boss参数!$B$30,0))</f>
        <v>0</v>
      </c>
      <c r="CJ157" s="1">
        <f>IF(L157="J_ULT",AD157*Boss参数!$B$41,IF(B157&lt;=AG157,AF157,0))</f>
        <v>0.875</v>
      </c>
      <c r="CK157" s="1">
        <f t="shared" si="156"/>
        <v>9</v>
      </c>
      <c r="CL157" s="1">
        <f t="shared" si="157"/>
        <v>9</v>
      </c>
      <c r="CM157" s="1">
        <f t="shared" si="158"/>
        <v>8</v>
      </c>
      <c r="CN157" s="1">
        <f t="shared" si="159"/>
        <v>9</v>
      </c>
      <c r="CO157" s="1">
        <f t="shared" si="160"/>
        <v>8</v>
      </c>
      <c r="CP157" s="1">
        <f t="shared" si="161"/>
        <v>3</v>
      </c>
      <c r="CQ157" s="1">
        <f t="shared" si="162"/>
        <v>30</v>
      </c>
      <c r="CR157" s="1">
        <f t="shared" si="163"/>
        <v>9</v>
      </c>
      <c r="CS157" s="1">
        <f t="shared" si="164"/>
        <v>0</v>
      </c>
      <c r="CT157" s="1" t="e">
        <f t="shared" si="165"/>
        <v>#VALUE!</v>
      </c>
      <c r="CU157" s="1" t="e">
        <f t="shared" si="166"/>
        <v>#VALUE!</v>
      </c>
      <c r="CV157" s="1">
        <f t="shared" si="167"/>
        <v>0.3</v>
      </c>
      <c r="CW157" s="1">
        <f t="shared" si="168"/>
        <v>9</v>
      </c>
      <c r="CX157" s="1">
        <f t="shared" si="169"/>
        <v>0.3</v>
      </c>
      <c r="CY157" s="1">
        <f t="shared" si="170"/>
        <v>9</v>
      </c>
      <c r="CZ157" s="1"/>
      <c r="DA157" s="1"/>
      <c r="DB157" s="1"/>
      <c r="DC157" s="1"/>
      <c r="DD157" s="1"/>
      <c r="DE157" s="1"/>
      <c r="DF157" s="1"/>
      <c r="DG157" s="1" t="str">
        <f>IF(D157="","",行动模拟!B163)</f>
        <v/>
      </c>
      <c r="DH157" s="1" t="str">
        <f>IF(L157="END_TURN","回合结束",IF(D157="","",IF(INDEX(回合状态!$C$7:$C$17,MATCH(DG157,回合状态!$A$7:$A$17,0))="洞穿","洞穿",IF(OR(L157="J_COUNTER",L157="BOSS_ACTION",L157="BOSS_CONSERVATIVE"),"敌方",IF(AND(L157="37_FOLLOW",DG157=DG156,DH156="敌方"),"敌方",IF(INDEX(回合状态!$C$7:$C$17,MATCH(DG157,回合状态!$A$7:$A$17,0))="普通","出牌",INDEX(回合状态!$C$7:$C$17,MATCH(DG157,回合状态!$A$7:$A$17,0))))))))</f>
        <v/>
      </c>
      <c r="DI157" s="1">
        <f t="shared" si="171"/>
        <v>0</v>
      </c>
      <c r="DJ157" s="1">
        <f>IF(D157="",0,MIN(Boss参数!$B$25,IF(OR(AND(DH157="敌方",OR(DH156&lt;&gt;"敌方",DG157&lt;&gt;DG156)),AND(L157="END_TURN",DH157&lt;&gt;"洞穿"),AND(DG157&lt;&gt;DG156,DH156&lt;&gt;"洞穿",L156&lt;&gt;"END_TURN",COUNTIFS($DG$3:DG156,DG156,$DH$3:DH156,"敌方")=0)),EW157,DN156)))</f>
        <v>0</v>
      </c>
      <c r="DK157" s="1">
        <f>IF(D157="",0,MIN(Boss参数!$B$25,IF(OR(AND(DH157="敌方",OR(DH156&lt;&gt;"敌方",DG157&lt;&gt;DG156)),AND(L157="END_TURN",DH157&lt;&gt;"洞穿"),AND(DG157&lt;&gt;DG156,DH156&lt;&gt;"洞穿",L156&lt;&gt;"END_TURN",COUNTIFS($DG$3:DG156,DG156,$DH$3:DH156,"敌方")=0)),EW157,DO156)))</f>
        <v>0</v>
      </c>
      <c r="DL157" s="1">
        <f>IF(D157="",0,MIN(Boss参数!$B$25,IF(OR(AND(DH157="敌方",OR(DH156&lt;&gt;"敌方",DG157&lt;&gt;DG156)),AND(L157="END_TURN",DH157&lt;&gt;"洞穿"),AND(DG157&lt;&gt;DG156,DH156&lt;&gt;"洞穿",L156&lt;&gt;"END_TURN",COUNTIFS($DG$3:DG156,DG156,$DH$3:DH156,"敌方")=0)),EW157,DP156)))</f>
        <v>0</v>
      </c>
      <c r="DM157" s="1">
        <f>IF(D157="",0,MIN(Boss参数!$B$25,IF(OR(AND(DH157="敌方",OR(DH156&lt;&gt;"敌方",DG157&lt;&gt;DG156)),AND(L157="END_TURN",DH157&lt;&gt;"洞穿"),AND(DG157&lt;&gt;DG156,DH156&lt;&gt;"洞穿",L156&lt;&gt;"END_TURN",COUNTIFS($DG$3:DG156,DG156,$DH$3:DH156,"敌方")=0)),EW157,DQ156)))</f>
        <v>0</v>
      </c>
      <c r="DN157" s="1">
        <f>MAX(0,MIN(Boss参数!$B$25,DJ157+DR157)-IF(E157="红弩箭",2*DR157,0))</f>
        <v>0</v>
      </c>
      <c r="DO157" s="1">
        <f>MAX(0,MIN(Boss参数!$B$25,DK157+DR157)-IF(E157="37",2*DR157,0))</f>
        <v>0</v>
      </c>
      <c r="DP157" s="1">
        <f>MAX(0,MIN(Boss参数!$B$25,DL157+DR157)-IF(E157="小瑞安侬",2*DR157,0))</f>
        <v>0</v>
      </c>
      <c r="DQ157" s="1">
        <f>MAX(0,MIN(Boss参数!$B$25,DM157+DR157)-IF(E157="J",2*DR157,0))</f>
        <v>0</v>
      </c>
      <c r="DR157" s="1">
        <f t="shared" si="172"/>
        <v>0</v>
      </c>
      <c r="DS157" s="1">
        <f t="shared" si="173"/>
        <v>0</v>
      </c>
      <c r="DT157" s="1">
        <f>IF(OR(E157="",E157="系统"),0,IF(OR(AND(DS157=1,Boss参数!$B$32=1),L157="RHI_BERRY",OR(AND(INDEX(角色面板!$B$18:$B$21,MATCH(E157,角色面板!$A$18:$A$21,0))="星",Boss参数!$B$4="岩"),AND(INDEX(角色面板!$B$18:$B$21,MATCH(E157,角色面板!$A$18:$A$21,0))="岩",Boss参数!$B$4="兽"),AND(INDEX(角色面板!$B$18:$B$21,MATCH(E157,角色面板!$A$18:$A$21,0))="兽",Boss参数!$B$4="木"),AND(INDEX(角色面板!$B$18:$B$21,MATCH(E157,角色面板!$A$18:$A$21,0))="木",Boss参数!$B$4="星"),AND(INDEX(角色面板!$B$18:$B$21,MATCH(E157,角色面板!$A$18:$A$21,0))="智",Boss参数!$B$4="灵"),AND(INDEX(角色面板!$B$18:$B$21,MATCH(E157,角色面板!$A$18:$A$21,0))="灵",Boss参数!$B$4="智"))),1,0))</f>
        <v>0</v>
      </c>
      <c r="DU157" s="1">
        <f>IF(D157="",0,INDEX(回合状态!$E$7:$E$17,MATCH(DG157,回合状态!$A$7:$A$17,0))+IF(AND(DH157="敌方",OR(INDEX(回合状态!$C$7:$C$17,MATCH(DG157,回合状态!$A$7:$A$17,0))="普通",INDEX(回合状态!$C$7:$C$17,MATCH(DG157,回合状态!$A$7:$A$17,0))="额外")),0.05,0))</f>
        <v>0</v>
      </c>
      <c r="DV157" s="1">
        <f>MAX(Boss参数!$B$28,1+IF(AND(E157="37",AC157&gt;0,BH157&gt;0),Boss参数!$B$42,0)-DI157*Boss参数!$B$24+EA157-ER157)</f>
        <v>9.9999999999999978E-2</v>
      </c>
      <c r="DW157" s="1">
        <f>MIN(IF(Boss参数!$B$77=1,Boss参数!$B$63*Boss参数!$B$62,Boss参数!$B$61*Boss参数!$B$62),ROUNDDOWN(BQ157*(1-ES157),0))</f>
        <v>0</v>
      </c>
      <c r="DX157" s="1">
        <f>MIN(IF(Boss参数!$B$77=1,Boss参数!$B$63*Boss参数!$B$62,Boss参数!$B$61*Boss参数!$B$62),ROUNDDOWN(BR157*(1-ES157),0))</f>
        <v>0</v>
      </c>
      <c r="DY157" s="1">
        <f t="shared" si="205"/>
        <v>250</v>
      </c>
      <c r="DZ157" s="1">
        <f>IF(L157="RHI_ULT",MIN(Boss参数!$B$48,ROUNDDOWN(AY157*Boss参数!$B$47,0)),DY157)</f>
        <v>250</v>
      </c>
      <c r="EA157" s="1">
        <v>0</v>
      </c>
      <c r="EB157" s="1">
        <f t="shared" si="174"/>
        <v>0</v>
      </c>
      <c r="EC157" s="1">
        <f>SUMIFS($EB$3:EB157,$B$3:B157,"&gt;="&amp;MAX(1,B157-2),$B$3:B157,"&lt;="&amp;B157)*Boss参数!$B$51</f>
        <v>0</v>
      </c>
      <c r="ED157" s="1">
        <f>IF(D157="",EG156,IF(AND(DG157&lt;&gt;DG156,DH157&lt;&gt;"洞穿"),MIN(Boss参数!$B$55,EG156+2),EG156))</f>
        <v>0</v>
      </c>
      <c r="EE157" s="1">
        <f t="shared" si="175"/>
        <v>0</v>
      </c>
      <c r="EF157" s="1">
        <f>IF(AND(OR(L157="END_TURN",AND(DH157="敌方",OR(DH156&lt;&gt;"敌方",DG157&lt;&gt;DG156))),SUMIFS($EF$3:EF156,$DG$3:DG156,DG157)=0),MIN(1,MAX(0,ED157-EE157)),0)</f>
        <v>0</v>
      </c>
      <c r="EG157" s="1">
        <f t="shared" si="176"/>
        <v>0</v>
      </c>
      <c r="EH157" s="1">
        <f>Boss参数!$B$53-IF(Y157=1,Boss参数!$B$54,0)</f>
        <v>0</v>
      </c>
      <c r="EI157" s="1">
        <f t="shared" si="177"/>
        <v>0.15</v>
      </c>
      <c r="EJ157" s="1">
        <f t="shared" si="178"/>
        <v>0.15</v>
      </c>
      <c r="EK157" s="1" t="e">
        <f t="shared" si="179"/>
        <v>#VALUE!</v>
      </c>
      <c r="EL157" s="1">
        <f t="shared" si="206"/>
        <v>0</v>
      </c>
      <c r="EM157" s="1">
        <f>IF(AND(DG157&lt;&gt;DG156,DH157="洞穿"),0,IF(L157="ENTER_INSIGHT",Boss参数!$B$57,EO156))</f>
        <v>0</v>
      </c>
      <c r="EN157" s="1">
        <f>IF(AND(Y157=1,H157="洞知",EM157&gt;0),Boss参数!$B$56,0)</f>
        <v>0</v>
      </c>
      <c r="EO157" s="1">
        <f t="shared" si="180"/>
        <v>0</v>
      </c>
      <c r="EP157" s="1">
        <f t="shared" si="207"/>
        <v>23210479</v>
      </c>
      <c r="EQ157" s="1">
        <f>ROUNDDOWN(EP157/Boss参数!$B$62,0)</f>
        <v>232</v>
      </c>
      <c r="ER157" s="1">
        <f>IF(EQ157&gt;=Boss参数!$B$66,Boss参数!$B$69,IF(EQ157&gt;=Boss参数!$B$65,Boss参数!$B$68,IF(EQ157&gt;=Boss参数!$B$64,Boss参数!$B$67,0)))</f>
        <v>0.9</v>
      </c>
      <c r="ES157" s="1">
        <f>MIN(1,IF(EQ157&gt;=Boss参数!$B$66,Boss参数!$B$72+ROUNDDOWN((EQ157-Boss参数!$B$66)/Boss参数!$B$73,0)*Boss参数!$B$74,IF(EQ157&gt;=Boss参数!$B$65,Boss参数!$B$71,IF(EQ157&gt;=Boss参数!$B$64,Boss参数!$B$70,0))))</f>
        <v>0.65</v>
      </c>
      <c r="ET157" s="1">
        <f>MIN(Boss参数!$B$61*Boss参数!$B$62,EP157+IF(AND(Boss参数!$B$60=1,ISNUMBER(验证表!H163)),验证表!H163,EU157))</f>
        <v>23210479</v>
      </c>
      <c r="EU157" s="1">
        <f>IF(D157="",0,IF(验证表!G163="是",BV157,IF(验证表!G163="否",BU157,BW157)))</f>
        <v>0</v>
      </c>
      <c r="EV157" s="1">
        <f>IF(EQ157&gt;=Boss参数!$B$66,2,IF(EQ157&gt;=Boss参数!$B$65,1,0))</f>
        <v>2</v>
      </c>
      <c r="EW157" s="1">
        <f t="shared" si="181"/>
        <v>3</v>
      </c>
      <c r="EX157" s="1">
        <f>IF(D157="",0,INDEX(回合状态!$D$7:$D$17,MATCH(DG157,回合状态!$A$7:$A$17,0)))</f>
        <v>0</v>
      </c>
      <c r="EY157" s="1">
        <f>IF(OR(L157="RHI_ATTACK",L157="RHI_BUFF"),1,IF(L157="RHI_ULT",Boss参数!$B$52,0))</f>
        <v>0</v>
      </c>
      <c r="EZ157" s="1">
        <f>MIN(6,SUMIFS($EY$3:EY157,$EX$3:EX157,"&gt;="&amp;MAX(1,EX157-Boss参数!$B$87+1),$EX$3:EX157,"&lt;="&amp;EX157))</f>
        <v>0</v>
      </c>
      <c r="FA157" s="1">
        <f t="shared" si="208"/>
        <v>0</v>
      </c>
      <c r="FB157" s="17">
        <f>IF(L157="BOSS_CONSERVATIVE",B157+Boss参数!$B$91,FB156)</f>
        <v>7</v>
      </c>
      <c r="FC157" s="17">
        <f t="shared" si="209"/>
        <v>0</v>
      </c>
      <c r="FD157" s="17">
        <f>IF(D157="",FD156,FD156+IF(AND(DG157&lt;&gt;DG156,INDEX(回合状态!$C$7:$C$17,MATCH(DG157,回合状态!$A$7:$A$17,0))&lt;&gt;"洞穿"),1,0))</f>
        <v>8</v>
      </c>
      <c r="FE157" s="17">
        <f>IF(D157="",0,IF(AND(OR(L157="END_TURN",DH157="敌方"),INDEX(回合状态!$C$7:$C$17,MATCH(DG157,回合状态!$A$7:$A$17,0))&lt;&gt;"洞穿",SUMIFS($FE$3:FE156,$DG$3:DG156,DG157)=0),1,0))</f>
        <v>0</v>
      </c>
    </row>
    <row r="158" spans="1:161" ht="84.95" customHeight="1">
      <c r="A158" s="1" t="str">
        <f>行动模拟!A164</f>
        <v/>
      </c>
      <c r="B158" s="1">
        <f>IF(D158="",0,INDEX(回合状态!$B$7:$B$17,MATCH(DG158,回合状态!$A$7:$A$17,0)))</f>
        <v>0</v>
      </c>
      <c r="C158" s="1">
        <f>行动模拟!C164</f>
        <v>0</v>
      </c>
      <c r="D158" s="1" t="str">
        <f>IF(行动模拟!D164="","",行动模拟!D164)</f>
        <v/>
      </c>
      <c r="E158" s="1" t="str">
        <f>IF($D158="","",IFERROR(INDEX(技能数据库!$B$4:$B$38,MATCH($D158,技能数据库!$A$4:$A$38,0)),""))</f>
        <v/>
      </c>
      <c r="F158" s="1" t="str">
        <f>IF($D158="","",IFERROR(INDEX(技能数据库!$C$4:$C$38,MATCH($D158,技能数据库!$A$4:$A$38,0)),""))</f>
        <v/>
      </c>
      <c r="G158" s="1" t="str">
        <f>IF($D158="","",IFERROR(INDEX(技能数据库!$D$4:$D$38,MATCH($D158,技能数据库!$A$4:$A$38,0)),""))</f>
        <v/>
      </c>
      <c r="H158" s="1" t="str">
        <f>IF($D158="","",IFERROR(INDEX(技能数据库!$E$4:$E$38,MATCH($D158,技能数据库!$A$4:$A$38,0)),""))</f>
        <v/>
      </c>
      <c r="I158" s="1" t="str">
        <f>IF($D158="","",IFERROR(INDEX(技能数据库!$F$4:$F$38,MATCH($D158,技能数据库!$A$4:$A$38,0)),""))</f>
        <v/>
      </c>
      <c r="J158" s="1" t="str">
        <f>IF($D158="","",IFERROR(INDEX(技能数据库!$G$4:$G$38,MATCH($D158,技能数据库!$A$4:$A$38,0)),""))</f>
        <v/>
      </c>
      <c r="K158" s="1" t="str">
        <f>IF($D158="","",IFERROR(INDEX(技能数据库!$H$4:$H$38,MATCH($D158,技能数据库!$A$4:$A$38,0)),""))</f>
        <v/>
      </c>
      <c r="L158" s="1" t="str">
        <f>IF($D158="","",IFERROR(INDEX(技能数据库!$I$4:$I$38,MATCH($D158,技能数据库!$A$4:$A$38,0)),""))</f>
        <v/>
      </c>
      <c r="M158" s="1">
        <v>1</v>
      </c>
      <c r="N158" s="1"/>
      <c r="O158" s="1"/>
      <c r="P158" s="1"/>
      <c r="Q158" s="1">
        <f t="shared" si="140"/>
        <v>0</v>
      </c>
      <c r="R158" s="1">
        <v>0</v>
      </c>
      <c r="S158" s="1">
        <v>0</v>
      </c>
      <c r="T158" s="1">
        <f>行动模拟!I164</f>
        <v>0</v>
      </c>
      <c r="U158" s="1">
        <f>IF(FD158&lt;&gt;FD157,IF(BY157=1,IF(MIN(10,CA157+IF(AND(DG158&lt;&gt;DG157,DH157&lt;&gt;"洞穿",SUMIFS($FE$3:FE157,$DG$3:DG157,DG157)=0,BY157=1),3,0))&gt;=10,2,1),IF(BY157=2,IF(BZ157&lt;=1,0,2),0)),BY157)</f>
        <v>2</v>
      </c>
      <c r="V158" s="1">
        <f>IF(FD158&lt;&gt;FD157,IF(BY157=1,IF(MIN(10,CA157+IF(AND(DG158&lt;&gt;DG157,DH157&lt;&gt;"洞穿",SUMIFS($FE$3:FE157,$DG$3:DG157,DG157)=0,BY157=1),3,0))&gt;=10,2,0),IF(BY157=2,MAX(0,BZ157-1),0)),BZ157)</f>
        <v>1</v>
      </c>
      <c r="W158" s="1">
        <f>IF(AND(FD158&lt;&gt;FD157,BY157=2,BZ157&lt;=1),0,MIN(10,CA157+IF(AND(DG158&lt;&gt;DG157,DH157&lt;&gt;"洞穿",SUMIFS($FE$3:FE157,$DG$3:DG157,DG157)=0,BY157=1),3,0)))</f>
        <v>10</v>
      </c>
      <c r="X158" s="1">
        <f t="shared" si="182"/>
        <v>13</v>
      </c>
      <c r="Y158" s="1">
        <f t="shared" si="183"/>
        <v>0</v>
      </c>
      <c r="Z158" s="1">
        <f t="shared" si="184"/>
        <v>0</v>
      </c>
      <c r="AA158" s="1">
        <f t="shared" si="185"/>
        <v>0</v>
      </c>
      <c r="AB158" s="1">
        <f t="shared" si="186"/>
        <v>10</v>
      </c>
      <c r="AC158" s="1">
        <f t="shared" si="187"/>
        <v>1</v>
      </c>
      <c r="AD158" s="1">
        <f t="shared" si="188"/>
        <v>35</v>
      </c>
      <c r="AE158" s="1">
        <f>IF(D158="",0,IF(DG158&lt;&gt;DG157,IFERROR(INDEX(回合状态!$F$7:$F$17,MATCH(DG158,回合状态!$A$7:$A$17,0)),0),CI157))</f>
        <v>0</v>
      </c>
      <c r="AF158" s="1">
        <f t="shared" si="189"/>
        <v>0.875</v>
      </c>
      <c r="AG158" s="1">
        <f t="shared" si="190"/>
        <v>9</v>
      </c>
      <c r="AH158" s="1">
        <f t="shared" si="191"/>
        <v>9</v>
      </c>
      <c r="AI158" s="1">
        <f t="shared" si="192"/>
        <v>8</v>
      </c>
      <c r="AJ158" s="1">
        <f t="shared" si="193"/>
        <v>9</v>
      </c>
      <c r="AK158" s="1">
        <f t="shared" si="194"/>
        <v>8</v>
      </c>
      <c r="AL158" s="1">
        <f t="shared" si="195"/>
        <v>3</v>
      </c>
      <c r="AM158" s="1">
        <f t="shared" si="196"/>
        <v>30</v>
      </c>
      <c r="AN158" s="1">
        <f t="shared" si="197"/>
        <v>9</v>
      </c>
      <c r="AO158" s="1">
        <f t="shared" si="198"/>
        <v>0</v>
      </c>
      <c r="AP158" s="1" t="e">
        <f t="shared" si="199"/>
        <v>#VALUE!</v>
      </c>
      <c r="AQ158" s="1" t="e">
        <f t="shared" si="200"/>
        <v>#VALUE!</v>
      </c>
      <c r="AR158" s="1">
        <f t="shared" si="201"/>
        <v>0.3</v>
      </c>
      <c r="AS158" s="1">
        <f t="shared" si="202"/>
        <v>9</v>
      </c>
      <c r="AT158" s="1">
        <f t="shared" si="203"/>
        <v>0.3</v>
      </c>
      <c r="AU158" s="1">
        <f t="shared" si="204"/>
        <v>9</v>
      </c>
      <c r="AV158" s="1">
        <f>MIN(5,SUMIFS($EL$3:EL158,$B$3:B158,"&gt;="&amp;MAX(1,B158-2),$B$3:B158,"&lt;="&amp;B158)+EC158)</f>
        <v>0</v>
      </c>
      <c r="AW158" s="1">
        <f>MIN(6,SUMIFS($EY$3:EY157,$EX$3:EX157,"&gt;="&amp;MAX(1,EX158-Boss参数!$B$87+1),$EX$3:EX157,"&lt;="&amp;EX158))</f>
        <v>0</v>
      </c>
      <c r="AX158" s="1">
        <f>MIN(4,COUNTIFS($B$3:$B$157,"&gt;="&amp;MAX(1,$B158-2),$B$3:$B$157,"&lt;="&amp;$B158,$L$3:$L$157,"37_FOLLOW"))</f>
        <v>0</v>
      </c>
      <c r="AY158" s="1" t="str">
        <f>IF($E158="","",IF($E158="系统",0,ROUNDDOWN(INDEX(角色面板!$C$4:$C$7,MATCH($E158,角色面板!$A$4:$A$7,0))*(1+INDEX(角色面板!$C$11:$C$14,MATCH($E158,角色面板!$A$11:$A$14,0))+IF($E158="小瑞安侬",MAX(IF($B158&lt;=$AQ158,$AP158,0),IF(AND($L158="RHI_ATTACK",$EE158&gt;0),0.11+0.01*$G158,0)),0)+IF($E158="J",$AD158*Boss参数!$B$18,0))+IF(FD158&lt;=$AN158,MIN(Boss参数!$B$21,ROUNDDOWN(角色面板!$C$19*Boss参数!$B$20,0)),0)+IF(AND($B158&lt;=$AK158,$E158&lt;&gt;"小瑞安侬"),$DY158,0),0)))</f>
        <v/>
      </c>
      <c r="AZ158" s="1" t="str">
        <f>IF($E158="","",MAX(0,MIN(1,IFERROR(INDEX(角色面板!$G$18:$G$21,MATCH($E158,角色面板!$A$18:$A$21,0)),0)-FC158*Boss参数!$B$89-Boss参数!$E$4)))</f>
        <v/>
      </c>
      <c r="BA158" s="1" t="str">
        <f>IF(E158="","",(IF($E158="","",IF($E158="红弩箭",Boss参数!$B$80,IF($E158="J",Boss参数!$B$81,IFERROR(INDEX(角色面板!$H$18:$H$21,MATCH($E158,角色面板!$A$18:$A$21,0)),0)))+IF($B158&lt;=$AI158,Boss参数!$B$13,0)+MIN(30,$AM158)*Boss参数!$B$17+IF(AND($L158="LILYA_ULT",$X158&gt;=6),1,0)+IF(AND($Y158=1,$L158="LILYA_INSIGHT"),IF(MOD($AA158+1,3)=0,Boss参数!$B$83,Boss参数!$B$82),IF(AND($Y158=1,$L158="LILYA_FINISH"),Boss参数!$B$84,0))))-FC158*Boss参数!$B$90)</f>
        <v/>
      </c>
      <c r="BB158" s="1" t="str">
        <f>IF($E158="","",IFERROR(INDEX(角色面板!$M$18:$M$21,MATCH($E158,角色面板!$A$18:$A$21,0)),0)+$AW158*Boss参数!$B$12+IF($B158&lt;=$AG158,$AF158,0)+$EI158+IF($L158="LILYA_DIVE",IF($U158=1,IF($G158=1,0.3,IF($G158=2,0.4,0.5)),IF($U158=2,IF($G158=1,0.6,IF($G158=2,0.8,1)),0)),0)+$R158+IF(AND($E158="J",OR($L158="J_COUNTER",$L158="J_HARD")),Boss参数!$B$79,0)+IF(AND(OR(L158="J_COUNTER",L158="J_HARD"),FA158&gt;=Boss参数!$B$59),FA158*Boss参数!$B$40,0))</f>
        <v/>
      </c>
      <c r="BC158" s="1" t="e">
        <f>IF($E158="","",IFERROR(INDEX(角色面板!$K$18:$K$21,MATCH($E158,角色面板!$A$18:$A$21,0)),0)+IF($B158&lt;=$AH158,Boss参数!$B$46,0)+IF($E158="红弩箭",IF($U158=1,0.6,IF($U158=2,1.2,0))+$W158*0.06,0))-DI158*Boss参数!$B$23</f>
        <v>#VALUE!</v>
      </c>
      <c r="BD158" s="1" t="e">
        <f>IF($E158="","",IFERROR(INDEX(角色面板!$L$18:$L$21,MATCH($E158,角色面板!$A$18:$A$21,0)),0)+IF($B158&lt;=$AH158,Boss参数!$B$46,0)+IF($E158="J",$AL158*Boss参数!$B$16,0)+IF($E158="红弩箭",$X158*0.025,0)+IF(AND($L158="LILYA_ULT",$X158&gt;=6),1,0))-DI158*Boss参数!$B$23</f>
        <v>#VALUE!</v>
      </c>
      <c r="BE158" s="1" t="str">
        <f>IF($E158="","",IF($H158="洞知",IF($E158="红弩箭",$AO158*Boss参数!$B$15,0)+$AX158*Boss参数!$B$14,0))</f>
        <v/>
      </c>
      <c r="BF158" s="1">
        <f t="shared" si="141"/>
        <v>0</v>
      </c>
      <c r="BG158" s="1">
        <f>IF($D158="",0,IF(AND($L158&lt;&gt;"LILYA_DIVE",$L158&lt;&gt;"LILYA_ULT",$L158&lt;&gt;"LILYA_INSIGHT",$L158&lt;&gt;"LILYA_FINISH",$L158&lt;&gt;"37_FOLLOW",$L158&lt;&gt;"RHI_ATTACK",$L158&lt;&gt;"RHI_BERRY",$L158&lt;&gt;"J_COUNTER",$L158&lt;&gt;"J_ULT"),$J158,0)+IF($L158="LILYA_DIVE",$J158+IF($U158=1,IF($G158=1,6,IF($G158=2,12,18)),IF($U158=2,IF($G158=1,12,IF($G158=2,24,36)),0)),0)+IF($L158="LILYA_ULT",$J158+IF($X158&gt;=6,18,0),0)+IF($L158="LILYA_INSIGHT",IF($Y158=1,IF(MOD($AA158+1,3)=0,32,15),0),0)+IF($L158="LILYA_FINISH",IF($Y158=1,50+2.5*$Z158,0),0)+IF($L158="37_FOLLOW",$J158,0)+IF($L158="RHI_ATTACK",$J158*IF($B158&lt;=$AJ158,2,1),0)+IF($L158="RHI_BERRY",15+1.5*$AV158,0)+IF($L158="J_COUNTER",$J158+$AD158*Boss参数!$B$39,0)+IF($L158="J_ULT",$J158+Boss参数!$B$45*MAX(0,$AE158+$AD158-Boss参数!$I$4),0)+$S158)</f>
        <v>0</v>
      </c>
      <c r="BH158" s="1">
        <f t="shared" si="142"/>
        <v>0</v>
      </c>
      <c r="BI158" s="1" t="str">
        <f>IF(E158="","",IF(DT158=1,1+Boss参数!$B$8+AV158*Boss参数!$B$19,1))</f>
        <v/>
      </c>
      <c r="BJ158" s="1">
        <f>IF($I158="现实",Boss参数!$C$4,IF($I158="精神",Boss参数!$D$4,0))</f>
        <v>0</v>
      </c>
      <c r="BK158" s="1" t="str">
        <f>IF($E158="","",MAX($AY158*Boss参数!$B$9,$AY158-$BJ158*(1-$BF158)))</f>
        <v/>
      </c>
      <c r="BL158" s="1">
        <f>MAX(0,Boss参数!$F$4+IF(DT158=0,Boss参数!$B$27,0)-EJ158)</f>
        <v>1.25</v>
      </c>
      <c r="BM158" s="1">
        <f>Boss参数!$G$4+DU158-IF(Y158=1,Boss参数!$B$11,0)</f>
        <v>0.4</v>
      </c>
      <c r="BN158" s="1" t="str">
        <f>IF($E158="","",MAX(Boss参数!$B$10,1+IFERROR(INDEX(角色面板!$I$18:$I$21,MATCH($E158,角色面板!$A$18:$A$21,0)),0)+$BB158+Boss参数!$H$4-$BM158))</f>
        <v/>
      </c>
      <c r="BO158" s="1" t="str">
        <f>IF(E158="","",IF(OR(L158="J_COUNTER",L158="J_HARD"),MAX(0,1+INDEX(角色面板!$K$18:$K$21,MATCH(E158,角色面板!$A$18:$A$21,0))-DI158*Boss参数!$B$23+IF(OR(Boss参数!$B$43=1,L158="J_HARD"),IF(B158&lt;=AH158,Boss参数!$B$46,0),0)),MAX(0,IF(OR(H158="术法",L158="RHI_BERRY",AND(L158="37_FOLLOW",Boss参数!$B$31=1)),1+BC158,IF(H158="仪式",1+BD158,IF(H158="洞知",EK158,1))))))</f>
        <v/>
      </c>
      <c r="BP158" s="1" t="str">
        <f t="shared" si="143"/>
        <v/>
      </c>
      <c r="BQ158" s="1">
        <f t="shared" si="144"/>
        <v>0</v>
      </c>
      <c r="BR158" s="1">
        <f t="shared" si="145"/>
        <v>0</v>
      </c>
      <c r="BS158" s="1">
        <f>IF(BH158=0,0,ROUNDDOWN(AY158*BH158,0)*DV158*IF(Boss参数!$B$29=1,BN158,1)*IF(Boss参数!$B$33=1,BO158,1)*IF(Boss参数!$B$76=1,1-ES158,1))</f>
        <v>0</v>
      </c>
      <c r="BT158" s="1">
        <f t="shared" si="146"/>
        <v>0</v>
      </c>
      <c r="BU158" s="1">
        <f>IF(D158="",0,MIN(IF(Boss参数!$B$77=1,Boss参数!$B$63*Boss参数!$B$62,Boss参数!$B$61*Boss参数!$B$62),DW158+ROUNDDOWN(BS158,0)+ROUNDDOWN(DW158*Q158,0)))</f>
        <v>0</v>
      </c>
      <c r="BV158" s="1">
        <f>IF(D158="",0,MIN(IF(Boss参数!$B$77=1,Boss参数!$B$63*Boss参数!$B$62,Boss参数!$B$61*Boss参数!$B$62),DX158+ROUNDDOWN(BT158,0)+ROUNDDOWN(DX158*Q158,0)))</f>
        <v>0</v>
      </c>
      <c r="BW158" s="1">
        <f t="shared" si="147"/>
        <v>0</v>
      </c>
      <c r="BX158" s="1" t="str">
        <f t="shared" si="148"/>
        <v/>
      </c>
      <c r="BY158" s="1">
        <f t="shared" si="149"/>
        <v>2</v>
      </c>
      <c r="BZ158" s="1">
        <f t="shared" si="150"/>
        <v>1</v>
      </c>
      <c r="CA158" s="1">
        <f>MIN(10,W158+IF(AND(L158="LILYA_COBRA",COUNTIF($L$3:L158,"LILYA_COBRA")=1),5,0)+IF(AND(L158="LILYA_DIVE",U158=1,COUNTIFS($DG$3:DG158,DG158,$L$3:L158,"LILYA_DIVE")=1),2,0)+IF(AND(FE158=1,U158=1),3,0))</f>
        <v>10</v>
      </c>
      <c r="CB158" s="1">
        <f>MIN(20,MAX(0,X158+IF(L158="LILYA_COBRA",IF(COUNTIF($L$3:L158,"LILYA_COBRA")=1,6,IF(U158=1,MAX(1,G158),IF(U158=2,2*MAX(1,G158),0))),0)+IF(AND(Y158=1,E158="红弩箭",L158&lt;&gt;"ENTER_INSIGHT"),1,0)-IF(AND(L158="LILYA_ULT",X158&gt;=6),6,0)))</f>
        <v>13</v>
      </c>
      <c r="CC158" s="1">
        <f t="shared" si="151"/>
        <v>0</v>
      </c>
      <c r="CD158" s="1">
        <f t="shared" si="152"/>
        <v>0</v>
      </c>
      <c r="CE158" s="1">
        <f t="shared" si="153"/>
        <v>0</v>
      </c>
      <c r="CF158" s="1">
        <f t="shared" si="154"/>
        <v>10</v>
      </c>
      <c r="CG158" s="1">
        <f t="shared" si="155"/>
        <v>1</v>
      </c>
      <c r="CH158" s="1">
        <f>MIN(35,AD158+IF(L158="J_HARD",6,0)+IF(L158="J_COUNTER",Boss参数!$B$30,0))</f>
        <v>35</v>
      </c>
      <c r="CI158" s="1">
        <f>MIN(Boss参数!$I$4,AE158+IF(L158="J_HARD",6,0)+IF(L158="J_ULT",AD158,0)+IF(L158="J_COUNTER",Boss参数!$B$30,0))</f>
        <v>0</v>
      </c>
      <c r="CJ158" s="1">
        <f>IF(L158="J_ULT",AD158*Boss参数!$B$41,IF(B158&lt;=AG158,AF158,0))</f>
        <v>0.875</v>
      </c>
      <c r="CK158" s="1">
        <f t="shared" si="156"/>
        <v>9</v>
      </c>
      <c r="CL158" s="1">
        <f t="shared" si="157"/>
        <v>9</v>
      </c>
      <c r="CM158" s="1">
        <f t="shared" si="158"/>
        <v>8</v>
      </c>
      <c r="CN158" s="1">
        <f t="shared" si="159"/>
        <v>9</v>
      </c>
      <c r="CO158" s="1">
        <f t="shared" si="160"/>
        <v>8</v>
      </c>
      <c r="CP158" s="1">
        <f t="shared" si="161"/>
        <v>3</v>
      </c>
      <c r="CQ158" s="1">
        <f t="shared" si="162"/>
        <v>30</v>
      </c>
      <c r="CR158" s="1">
        <f t="shared" si="163"/>
        <v>9</v>
      </c>
      <c r="CS158" s="1">
        <f t="shared" si="164"/>
        <v>0</v>
      </c>
      <c r="CT158" s="1" t="e">
        <f t="shared" si="165"/>
        <v>#VALUE!</v>
      </c>
      <c r="CU158" s="1" t="e">
        <f t="shared" si="166"/>
        <v>#VALUE!</v>
      </c>
      <c r="CV158" s="1">
        <f t="shared" si="167"/>
        <v>0.3</v>
      </c>
      <c r="CW158" s="1">
        <f t="shared" si="168"/>
        <v>9</v>
      </c>
      <c r="CX158" s="1">
        <f t="shared" si="169"/>
        <v>0.3</v>
      </c>
      <c r="CY158" s="1">
        <f t="shared" si="170"/>
        <v>9</v>
      </c>
      <c r="CZ158" s="1"/>
      <c r="DA158" s="1"/>
      <c r="DB158" s="1"/>
      <c r="DC158" s="1"/>
      <c r="DD158" s="1"/>
      <c r="DE158" s="1"/>
      <c r="DF158" s="1"/>
      <c r="DG158" s="1" t="str">
        <f>IF(D158="","",行动模拟!B164)</f>
        <v/>
      </c>
      <c r="DH158" s="1" t="str">
        <f>IF(L158="END_TURN","回合结束",IF(D158="","",IF(INDEX(回合状态!$C$7:$C$17,MATCH(DG158,回合状态!$A$7:$A$17,0))="洞穿","洞穿",IF(OR(L158="J_COUNTER",L158="BOSS_ACTION",L158="BOSS_CONSERVATIVE"),"敌方",IF(AND(L158="37_FOLLOW",DG158=DG157,DH157="敌方"),"敌方",IF(INDEX(回合状态!$C$7:$C$17,MATCH(DG158,回合状态!$A$7:$A$17,0))="普通","出牌",INDEX(回合状态!$C$7:$C$17,MATCH(DG158,回合状态!$A$7:$A$17,0))))))))</f>
        <v/>
      </c>
      <c r="DI158" s="1">
        <f t="shared" si="171"/>
        <v>0</v>
      </c>
      <c r="DJ158" s="1">
        <f>IF(D158="",0,MIN(Boss参数!$B$25,IF(OR(AND(DH158="敌方",OR(DH157&lt;&gt;"敌方",DG158&lt;&gt;DG157)),AND(L158="END_TURN",DH158&lt;&gt;"洞穿"),AND(DG158&lt;&gt;DG157,DH157&lt;&gt;"洞穿",L157&lt;&gt;"END_TURN",COUNTIFS($DG$3:DG157,DG157,$DH$3:DH157,"敌方")=0)),EW158,DN157)))</f>
        <v>0</v>
      </c>
      <c r="DK158" s="1">
        <f>IF(D158="",0,MIN(Boss参数!$B$25,IF(OR(AND(DH158="敌方",OR(DH157&lt;&gt;"敌方",DG158&lt;&gt;DG157)),AND(L158="END_TURN",DH158&lt;&gt;"洞穿"),AND(DG158&lt;&gt;DG157,DH157&lt;&gt;"洞穿",L157&lt;&gt;"END_TURN",COUNTIFS($DG$3:DG157,DG157,$DH$3:DH157,"敌方")=0)),EW158,DO157)))</f>
        <v>0</v>
      </c>
      <c r="DL158" s="1">
        <f>IF(D158="",0,MIN(Boss参数!$B$25,IF(OR(AND(DH158="敌方",OR(DH157&lt;&gt;"敌方",DG158&lt;&gt;DG157)),AND(L158="END_TURN",DH158&lt;&gt;"洞穿"),AND(DG158&lt;&gt;DG157,DH157&lt;&gt;"洞穿",L157&lt;&gt;"END_TURN",COUNTIFS($DG$3:DG157,DG157,$DH$3:DH157,"敌方")=0)),EW158,DP157)))</f>
        <v>0</v>
      </c>
      <c r="DM158" s="1">
        <f>IF(D158="",0,MIN(Boss参数!$B$25,IF(OR(AND(DH158="敌方",OR(DH157&lt;&gt;"敌方",DG158&lt;&gt;DG157)),AND(L158="END_TURN",DH158&lt;&gt;"洞穿"),AND(DG158&lt;&gt;DG157,DH157&lt;&gt;"洞穿",L157&lt;&gt;"END_TURN",COUNTIFS($DG$3:DG157,DG157,$DH$3:DH157,"敌方")=0)),EW158,DQ157)))</f>
        <v>0</v>
      </c>
      <c r="DN158" s="1">
        <f>MAX(0,MIN(Boss参数!$B$25,DJ158+DR158)-IF(E158="红弩箭",2*DR158,0))</f>
        <v>0</v>
      </c>
      <c r="DO158" s="1">
        <f>MAX(0,MIN(Boss参数!$B$25,DK158+DR158)-IF(E158="37",2*DR158,0))</f>
        <v>0</v>
      </c>
      <c r="DP158" s="1">
        <f>MAX(0,MIN(Boss参数!$B$25,DL158+DR158)-IF(E158="小瑞安侬",2*DR158,0))</f>
        <v>0</v>
      </c>
      <c r="DQ158" s="1">
        <f>MAX(0,MIN(Boss参数!$B$25,DM158+DR158)-IF(E158="J",2*DR158,0))</f>
        <v>0</v>
      </c>
      <c r="DR158" s="1">
        <f t="shared" si="172"/>
        <v>0</v>
      </c>
      <c r="DS158" s="1">
        <f t="shared" si="173"/>
        <v>0</v>
      </c>
      <c r="DT158" s="1">
        <f>IF(OR(E158="",E158="系统"),0,IF(OR(AND(DS158=1,Boss参数!$B$32=1),L158="RHI_BERRY",OR(AND(INDEX(角色面板!$B$18:$B$21,MATCH(E158,角色面板!$A$18:$A$21,0))="星",Boss参数!$B$4="岩"),AND(INDEX(角色面板!$B$18:$B$21,MATCH(E158,角色面板!$A$18:$A$21,0))="岩",Boss参数!$B$4="兽"),AND(INDEX(角色面板!$B$18:$B$21,MATCH(E158,角色面板!$A$18:$A$21,0))="兽",Boss参数!$B$4="木"),AND(INDEX(角色面板!$B$18:$B$21,MATCH(E158,角色面板!$A$18:$A$21,0))="木",Boss参数!$B$4="星"),AND(INDEX(角色面板!$B$18:$B$21,MATCH(E158,角色面板!$A$18:$A$21,0))="智",Boss参数!$B$4="灵"),AND(INDEX(角色面板!$B$18:$B$21,MATCH(E158,角色面板!$A$18:$A$21,0))="灵",Boss参数!$B$4="智"))),1,0))</f>
        <v>0</v>
      </c>
      <c r="DU158" s="1">
        <f>IF(D158="",0,INDEX(回合状态!$E$7:$E$17,MATCH(DG158,回合状态!$A$7:$A$17,0))+IF(AND(DH158="敌方",OR(INDEX(回合状态!$C$7:$C$17,MATCH(DG158,回合状态!$A$7:$A$17,0))="普通",INDEX(回合状态!$C$7:$C$17,MATCH(DG158,回合状态!$A$7:$A$17,0))="额外")),0.05,0))</f>
        <v>0</v>
      </c>
      <c r="DV158" s="1">
        <f>MAX(Boss参数!$B$28,1+IF(AND(E158="37",AC158&gt;0,BH158&gt;0),Boss参数!$B$42,0)-DI158*Boss参数!$B$24+EA158-ER158)</f>
        <v>9.9999999999999978E-2</v>
      </c>
      <c r="DW158" s="1">
        <f>MIN(IF(Boss参数!$B$77=1,Boss参数!$B$63*Boss参数!$B$62,Boss参数!$B$61*Boss参数!$B$62),ROUNDDOWN(BQ158*(1-ES158),0))</f>
        <v>0</v>
      </c>
      <c r="DX158" s="1">
        <f>MIN(IF(Boss参数!$B$77=1,Boss参数!$B$63*Boss参数!$B$62,Boss参数!$B$61*Boss参数!$B$62),ROUNDDOWN(BR158*(1-ES158),0))</f>
        <v>0</v>
      </c>
      <c r="DY158" s="1">
        <f t="shared" si="205"/>
        <v>250</v>
      </c>
      <c r="DZ158" s="1">
        <f>IF(L158="RHI_ULT",MIN(Boss参数!$B$48,ROUNDDOWN(AY158*Boss参数!$B$47,0)),DY158)</f>
        <v>250</v>
      </c>
      <c r="EA158" s="1">
        <v>0</v>
      </c>
      <c r="EB158" s="1">
        <f t="shared" si="174"/>
        <v>0</v>
      </c>
      <c r="EC158" s="1">
        <f>SUMIFS($EB$3:EB158,$B$3:B158,"&gt;="&amp;MAX(1,B158-2),$B$3:B158,"&lt;="&amp;B158)*Boss参数!$B$51</f>
        <v>0</v>
      </c>
      <c r="ED158" s="1">
        <f>IF(D158="",EG157,IF(AND(DG158&lt;&gt;DG157,DH158&lt;&gt;"洞穿"),MIN(Boss参数!$B$55,EG157+2),EG157))</f>
        <v>0</v>
      </c>
      <c r="EE158" s="1">
        <f t="shared" si="175"/>
        <v>0</v>
      </c>
      <c r="EF158" s="1">
        <f>IF(AND(OR(L158="END_TURN",AND(DH158="敌方",OR(DH157&lt;&gt;"敌方",DG158&lt;&gt;DG157))),SUMIFS($EF$3:EF157,$DG$3:DG157,DG158)=0),MIN(1,MAX(0,ED158-EE158)),0)</f>
        <v>0</v>
      </c>
      <c r="EG158" s="1">
        <f t="shared" si="176"/>
        <v>0</v>
      </c>
      <c r="EH158" s="1">
        <f>Boss参数!$B$53-IF(Y158=1,Boss参数!$B$54,0)</f>
        <v>0</v>
      </c>
      <c r="EI158" s="1">
        <f t="shared" si="177"/>
        <v>0.15</v>
      </c>
      <c r="EJ158" s="1">
        <f t="shared" si="178"/>
        <v>0.15</v>
      </c>
      <c r="EK158" s="1" t="e">
        <f t="shared" si="179"/>
        <v>#VALUE!</v>
      </c>
      <c r="EL158" s="1">
        <f t="shared" si="206"/>
        <v>0</v>
      </c>
      <c r="EM158" s="1">
        <f>IF(AND(DG158&lt;&gt;DG157,DH158="洞穿"),0,IF(L158="ENTER_INSIGHT",Boss参数!$B$57,EO157))</f>
        <v>0</v>
      </c>
      <c r="EN158" s="1">
        <f>IF(AND(Y158=1,H158="洞知",EM158&gt;0),Boss参数!$B$56,0)</f>
        <v>0</v>
      </c>
      <c r="EO158" s="1">
        <f t="shared" si="180"/>
        <v>0</v>
      </c>
      <c r="EP158" s="1">
        <f t="shared" si="207"/>
        <v>23210479</v>
      </c>
      <c r="EQ158" s="1">
        <f>ROUNDDOWN(EP158/Boss参数!$B$62,0)</f>
        <v>232</v>
      </c>
      <c r="ER158" s="1">
        <f>IF(EQ158&gt;=Boss参数!$B$66,Boss参数!$B$69,IF(EQ158&gt;=Boss参数!$B$65,Boss参数!$B$68,IF(EQ158&gt;=Boss参数!$B$64,Boss参数!$B$67,0)))</f>
        <v>0.9</v>
      </c>
      <c r="ES158" s="1">
        <f>MIN(1,IF(EQ158&gt;=Boss参数!$B$66,Boss参数!$B$72+ROUNDDOWN((EQ158-Boss参数!$B$66)/Boss参数!$B$73,0)*Boss参数!$B$74,IF(EQ158&gt;=Boss参数!$B$65,Boss参数!$B$71,IF(EQ158&gt;=Boss参数!$B$64,Boss参数!$B$70,0))))</f>
        <v>0.65</v>
      </c>
      <c r="ET158" s="1">
        <f>MIN(Boss参数!$B$61*Boss参数!$B$62,EP158+IF(AND(Boss参数!$B$60=1,ISNUMBER(验证表!H164)),验证表!H164,EU158))</f>
        <v>23210479</v>
      </c>
      <c r="EU158" s="1">
        <f>IF(D158="",0,IF(验证表!G164="是",BV158,IF(验证表!G164="否",BU158,BW158)))</f>
        <v>0</v>
      </c>
      <c r="EV158" s="1">
        <f>IF(EQ158&gt;=Boss参数!$B$66,2,IF(EQ158&gt;=Boss参数!$B$65,1,0))</f>
        <v>2</v>
      </c>
      <c r="EW158" s="1">
        <f t="shared" si="181"/>
        <v>3</v>
      </c>
      <c r="EX158" s="1">
        <f>IF(D158="",0,INDEX(回合状态!$D$7:$D$17,MATCH(DG158,回合状态!$A$7:$A$17,0)))</f>
        <v>0</v>
      </c>
      <c r="EY158" s="1">
        <f>IF(OR(L158="RHI_ATTACK",L158="RHI_BUFF"),1,IF(L158="RHI_ULT",Boss参数!$B$52,0))</f>
        <v>0</v>
      </c>
      <c r="EZ158" s="1">
        <f>MIN(6,SUMIFS($EY$3:EY158,$EX$3:EX158,"&gt;="&amp;MAX(1,EX158-Boss参数!$B$87+1),$EX$3:EX158,"&lt;="&amp;EX158))</f>
        <v>0</v>
      </c>
      <c r="FA158" s="1">
        <f t="shared" si="208"/>
        <v>0</v>
      </c>
      <c r="FB158" s="17">
        <f>IF(L158="BOSS_CONSERVATIVE",B158+Boss参数!$B$91,FB157)</f>
        <v>7</v>
      </c>
      <c r="FC158" s="17">
        <f t="shared" si="209"/>
        <v>0</v>
      </c>
      <c r="FD158" s="17">
        <f>IF(D158="",FD157,FD157+IF(AND(DG158&lt;&gt;DG157,INDEX(回合状态!$C$7:$C$17,MATCH(DG158,回合状态!$A$7:$A$17,0))&lt;&gt;"洞穿"),1,0))</f>
        <v>8</v>
      </c>
      <c r="FE158" s="17">
        <f>IF(D158="",0,IF(AND(OR(L158="END_TURN",DH158="敌方"),INDEX(回合状态!$C$7:$C$17,MATCH(DG158,回合状态!$A$7:$A$17,0))&lt;&gt;"洞穿",SUMIFS($FE$3:FE157,$DG$3:DG157,DG158)=0),1,0))</f>
        <v>0</v>
      </c>
    </row>
    <row r="159" spans="1:161" ht="84.95" customHeight="1">
      <c r="A159" s="1" t="str">
        <f>行动模拟!A165</f>
        <v/>
      </c>
      <c r="B159" s="1">
        <f>IF(D159="",0,INDEX(回合状态!$B$7:$B$17,MATCH(DG159,回合状态!$A$7:$A$17,0)))</f>
        <v>0</v>
      </c>
      <c r="C159" s="1">
        <f>行动模拟!C165</f>
        <v>0</v>
      </c>
      <c r="D159" s="1" t="str">
        <f>IF(行动模拟!D165="","",行动模拟!D165)</f>
        <v/>
      </c>
      <c r="E159" s="1" t="str">
        <f>IF($D159="","",IFERROR(INDEX(技能数据库!$B$4:$B$38,MATCH($D159,技能数据库!$A$4:$A$38,0)),""))</f>
        <v/>
      </c>
      <c r="F159" s="1" t="str">
        <f>IF($D159="","",IFERROR(INDEX(技能数据库!$C$4:$C$38,MATCH($D159,技能数据库!$A$4:$A$38,0)),""))</f>
        <v/>
      </c>
      <c r="G159" s="1" t="str">
        <f>IF($D159="","",IFERROR(INDEX(技能数据库!$D$4:$D$38,MATCH($D159,技能数据库!$A$4:$A$38,0)),""))</f>
        <v/>
      </c>
      <c r="H159" s="1" t="str">
        <f>IF($D159="","",IFERROR(INDEX(技能数据库!$E$4:$E$38,MATCH($D159,技能数据库!$A$4:$A$38,0)),""))</f>
        <v/>
      </c>
      <c r="I159" s="1" t="str">
        <f>IF($D159="","",IFERROR(INDEX(技能数据库!$F$4:$F$38,MATCH($D159,技能数据库!$A$4:$A$38,0)),""))</f>
        <v/>
      </c>
      <c r="J159" s="1" t="str">
        <f>IF($D159="","",IFERROR(INDEX(技能数据库!$G$4:$G$38,MATCH($D159,技能数据库!$A$4:$A$38,0)),""))</f>
        <v/>
      </c>
      <c r="K159" s="1" t="str">
        <f>IF($D159="","",IFERROR(INDEX(技能数据库!$H$4:$H$38,MATCH($D159,技能数据库!$A$4:$A$38,0)),""))</f>
        <v/>
      </c>
      <c r="L159" s="1" t="str">
        <f>IF($D159="","",IFERROR(INDEX(技能数据库!$I$4:$I$38,MATCH($D159,技能数据库!$A$4:$A$38,0)),""))</f>
        <v/>
      </c>
      <c r="M159" s="1">
        <v>1</v>
      </c>
      <c r="N159" s="1"/>
      <c r="O159" s="1"/>
      <c r="P159" s="1"/>
      <c r="Q159" s="1">
        <f t="shared" si="140"/>
        <v>0</v>
      </c>
      <c r="R159" s="1">
        <v>0</v>
      </c>
      <c r="S159" s="1">
        <v>0</v>
      </c>
      <c r="T159" s="1">
        <f>行动模拟!I165</f>
        <v>0</v>
      </c>
      <c r="U159" s="1">
        <f>IF(FD159&lt;&gt;FD158,IF(BY158=1,IF(MIN(10,CA158+IF(AND(DG159&lt;&gt;DG158,DH158&lt;&gt;"洞穿",SUMIFS($FE$3:FE158,$DG$3:DG158,DG158)=0,BY158=1),3,0))&gt;=10,2,1),IF(BY158=2,IF(BZ158&lt;=1,0,2),0)),BY158)</f>
        <v>2</v>
      </c>
      <c r="V159" s="1">
        <f>IF(FD159&lt;&gt;FD158,IF(BY158=1,IF(MIN(10,CA158+IF(AND(DG159&lt;&gt;DG158,DH158&lt;&gt;"洞穿",SUMIFS($FE$3:FE158,$DG$3:DG158,DG158)=0,BY158=1),3,0))&gt;=10,2,0),IF(BY158=2,MAX(0,BZ158-1),0)),BZ158)</f>
        <v>1</v>
      </c>
      <c r="W159" s="1">
        <f>IF(AND(FD159&lt;&gt;FD158,BY158=2,BZ158&lt;=1),0,MIN(10,CA158+IF(AND(DG159&lt;&gt;DG158,DH158&lt;&gt;"洞穿",SUMIFS($FE$3:FE158,$DG$3:DG158,DG158)=0,BY158=1),3,0)))</f>
        <v>10</v>
      </c>
      <c r="X159" s="1">
        <f t="shared" si="182"/>
        <v>13</v>
      </c>
      <c r="Y159" s="1">
        <f t="shared" si="183"/>
        <v>0</v>
      </c>
      <c r="Z159" s="1">
        <f t="shared" si="184"/>
        <v>0</v>
      </c>
      <c r="AA159" s="1">
        <f t="shared" si="185"/>
        <v>0</v>
      </c>
      <c r="AB159" s="1">
        <f t="shared" si="186"/>
        <v>10</v>
      </c>
      <c r="AC159" s="1">
        <f t="shared" si="187"/>
        <v>1</v>
      </c>
      <c r="AD159" s="1">
        <f t="shared" si="188"/>
        <v>35</v>
      </c>
      <c r="AE159" s="1">
        <f>IF(D159="",0,IF(DG159&lt;&gt;DG158,IFERROR(INDEX(回合状态!$F$7:$F$17,MATCH(DG159,回合状态!$A$7:$A$17,0)),0),CI158))</f>
        <v>0</v>
      </c>
      <c r="AF159" s="1">
        <f t="shared" si="189"/>
        <v>0.875</v>
      </c>
      <c r="AG159" s="1">
        <f t="shared" si="190"/>
        <v>9</v>
      </c>
      <c r="AH159" s="1">
        <f t="shared" si="191"/>
        <v>9</v>
      </c>
      <c r="AI159" s="1">
        <f t="shared" si="192"/>
        <v>8</v>
      </c>
      <c r="AJ159" s="1">
        <f t="shared" si="193"/>
        <v>9</v>
      </c>
      <c r="AK159" s="1">
        <f t="shared" si="194"/>
        <v>8</v>
      </c>
      <c r="AL159" s="1">
        <f t="shared" si="195"/>
        <v>3</v>
      </c>
      <c r="AM159" s="1">
        <f t="shared" si="196"/>
        <v>30</v>
      </c>
      <c r="AN159" s="1">
        <f t="shared" si="197"/>
        <v>9</v>
      </c>
      <c r="AO159" s="1">
        <f t="shared" si="198"/>
        <v>0</v>
      </c>
      <c r="AP159" s="1" t="e">
        <f t="shared" si="199"/>
        <v>#VALUE!</v>
      </c>
      <c r="AQ159" s="1" t="e">
        <f t="shared" si="200"/>
        <v>#VALUE!</v>
      </c>
      <c r="AR159" s="1">
        <f t="shared" si="201"/>
        <v>0.3</v>
      </c>
      <c r="AS159" s="1">
        <f t="shared" si="202"/>
        <v>9</v>
      </c>
      <c r="AT159" s="1">
        <f t="shared" si="203"/>
        <v>0.3</v>
      </c>
      <c r="AU159" s="1">
        <f t="shared" si="204"/>
        <v>9</v>
      </c>
      <c r="AV159" s="1">
        <f>MIN(5,SUMIFS($EL$3:EL159,$B$3:B159,"&gt;="&amp;MAX(1,B159-2),$B$3:B159,"&lt;="&amp;B159)+EC159)</f>
        <v>0</v>
      </c>
      <c r="AW159" s="1">
        <f>MIN(6,SUMIFS($EY$3:EY158,$EX$3:EX158,"&gt;="&amp;MAX(1,EX159-Boss参数!$B$87+1),$EX$3:EX158,"&lt;="&amp;EX159))</f>
        <v>0</v>
      </c>
      <c r="AX159" s="1">
        <f>MIN(4,COUNTIFS($B$3:$B$158,"&gt;="&amp;MAX(1,$B159-2),$B$3:$B$158,"&lt;="&amp;$B159,$L$3:$L$158,"37_FOLLOW"))</f>
        <v>0</v>
      </c>
      <c r="AY159" s="1" t="str">
        <f>IF($E159="","",IF($E159="系统",0,ROUNDDOWN(INDEX(角色面板!$C$4:$C$7,MATCH($E159,角色面板!$A$4:$A$7,0))*(1+INDEX(角色面板!$C$11:$C$14,MATCH($E159,角色面板!$A$11:$A$14,0))+IF($E159="小瑞安侬",MAX(IF($B159&lt;=$AQ159,$AP159,0),IF(AND($L159="RHI_ATTACK",$EE159&gt;0),0.11+0.01*$G159,0)),0)+IF($E159="J",$AD159*Boss参数!$B$18,0))+IF(FD159&lt;=$AN159,MIN(Boss参数!$B$21,ROUNDDOWN(角色面板!$C$19*Boss参数!$B$20,0)),0)+IF(AND($B159&lt;=$AK159,$E159&lt;&gt;"小瑞安侬"),$DY159,0),0)))</f>
        <v/>
      </c>
      <c r="AZ159" s="1" t="str">
        <f>IF($E159="","",MAX(0,MIN(1,IFERROR(INDEX(角色面板!$G$18:$G$21,MATCH($E159,角色面板!$A$18:$A$21,0)),0)-FC159*Boss参数!$B$89-Boss参数!$E$4)))</f>
        <v/>
      </c>
      <c r="BA159" s="1" t="str">
        <f>IF(E159="","",(IF($E159="","",IF($E159="红弩箭",Boss参数!$B$80,IF($E159="J",Boss参数!$B$81,IFERROR(INDEX(角色面板!$H$18:$H$21,MATCH($E159,角色面板!$A$18:$A$21,0)),0)))+IF($B159&lt;=$AI159,Boss参数!$B$13,0)+MIN(30,$AM159)*Boss参数!$B$17+IF(AND($L159="LILYA_ULT",$X159&gt;=6),1,0)+IF(AND($Y159=1,$L159="LILYA_INSIGHT"),IF(MOD($AA159+1,3)=0,Boss参数!$B$83,Boss参数!$B$82),IF(AND($Y159=1,$L159="LILYA_FINISH"),Boss参数!$B$84,0))))-FC159*Boss参数!$B$90)</f>
        <v/>
      </c>
      <c r="BB159" s="1" t="str">
        <f>IF($E159="","",IFERROR(INDEX(角色面板!$M$18:$M$21,MATCH($E159,角色面板!$A$18:$A$21,0)),0)+$AW159*Boss参数!$B$12+IF($B159&lt;=$AG159,$AF159,0)+$EI159+IF($L159="LILYA_DIVE",IF($U159=1,IF($G159=1,0.3,IF($G159=2,0.4,0.5)),IF($U159=2,IF($G159=1,0.6,IF($G159=2,0.8,1)),0)),0)+$R159+IF(AND($E159="J",OR($L159="J_COUNTER",$L159="J_HARD")),Boss参数!$B$79,0)+IF(AND(OR(L159="J_COUNTER",L159="J_HARD"),FA159&gt;=Boss参数!$B$59),FA159*Boss参数!$B$40,0))</f>
        <v/>
      </c>
      <c r="BC159" s="1" t="e">
        <f>IF($E159="","",IFERROR(INDEX(角色面板!$K$18:$K$21,MATCH($E159,角色面板!$A$18:$A$21,0)),0)+IF($B159&lt;=$AH159,Boss参数!$B$46,0)+IF($E159="红弩箭",IF($U159=1,0.6,IF($U159=2,1.2,0))+$W159*0.06,0))-DI159*Boss参数!$B$23</f>
        <v>#VALUE!</v>
      </c>
      <c r="BD159" s="1" t="e">
        <f>IF($E159="","",IFERROR(INDEX(角色面板!$L$18:$L$21,MATCH($E159,角色面板!$A$18:$A$21,0)),0)+IF($B159&lt;=$AH159,Boss参数!$B$46,0)+IF($E159="J",$AL159*Boss参数!$B$16,0)+IF($E159="红弩箭",$X159*0.025,0)+IF(AND($L159="LILYA_ULT",$X159&gt;=6),1,0))-DI159*Boss参数!$B$23</f>
        <v>#VALUE!</v>
      </c>
      <c r="BE159" s="1" t="str">
        <f>IF($E159="","",IF($H159="洞知",IF($E159="红弩箭",$AO159*Boss参数!$B$15,0)+$AX159*Boss参数!$B$14,0))</f>
        <v/>
      </c>
      <c r="BF159" s="1">
        <f t="shared" si="141"/>
        <v>0</v>
      </c>
      <c r="BG159" s="1">
        <f>IF($D159="",0,IF(AND($L159&lt;&gt;"LILYA_DIVE",$L159&lt;&gt;"LILYA_ULT",$L159&lt;&gt;"LILYA_INSIGHT",$L159&lt;&gt;"LILYA_FINISH",$L159&lt;&gt;"37_FOLLOW",$L159&lt;&gt;"RHI_ATTACK",$L159&lt;&gt;"RHI_BERRY",$L159&lt;&gt;"J_COUNTER",$L159&lt;&gt;"J_ULT"),$J159,0)+IF($L159="LILYA_DIVE",$J159+IF($U159=1,IF($G159=1,6,IF($G159=2,12,18)),IF($U159=2,IF($G159=1,12,IF($G159=2,24,36)),0)),0)+IF($L159="LILYA_ULT",$J159+IF($X159&gt;=6,18,0),0)+IF($L159="LILYA_INSIGHT",IF($Y159=1,IF(MOD($AA159+1,3)=0,32,15),0),0)+IF($L159="LILYA_FINISH",IF($Y159=1,50+2.5*$Z159,0),0)+IF($L159="37_FOLLOW",$J159,0)+IF($L159="RHI_ATTACK",$J159*IF($B159&lt;=$AJ159,2,1),0)+IF($L159="RHI_BERRY",15+1.5*$AV159,0)+IF($L159="J_COUNTER",$J159+$AD159*Boss参数!$B$39,0)+IF($L159="J_ULT",$J159+Boss参数!$B$45*MAX(0,$AE159+$AD159-Boss参数!$I$4),0)+$S159)</f>
        <v>0</v>
      </c>
      <c r="BH159" s="1">
        <f t="shared" si="142"/>
        <v>0</v>
      </c>
      <c r="BI159" s="1" t="str">
        <f>IF(E159="","",IF(DT159=1,1+Boss参数!$B$8+AV159*Boss参数!$B$19,1))</f>
        <v/>
      </c>
      <c r="BJ159" s="1">
        <f>IF($I159="现实",Boss参数!$C$4,IF($I159="精神",Boss参数!$D$4,0))</f>
        <v>0</v>
      </c>
      <c r="BK159" s="1" t="str">
        <f>IF($E159="","",MAX($AY159*Boss参数!$B$9,$AY159-$BJ159*(1-$BF159)))</f>
        <v/>
      </c>
      <c r="BL159" s="1">
        <f>MAX(0,Boss参数!$F$4+IF(DT159=0,Boss参数!$B$27,0)-EJ159)</f>
        <v>1.25</v>
      </c>
      <c r="BM159" s="1">
        <f>Boss参数!$G$4+DU159-IF(Y159=1,Boss参数!$B$11,0)</f>
        <v>0.4</v>
      </c>
      <c r="BN159" s="1" t="str">
        <f>IF($E159="","",MAX(Boss参数!$B$10,1+IFERROR(INDEX(角色面板!$I$18:$I$21,MATCH($E159,角色面板!$A$18:$A$21,0)),0)+$BB159+Boss参数!$H$4-$BM159))</f>
        <v/>
      </c>
      <c r="BO159" s="1" t="str">
        <f>IF(E159="","",IF(OR(L159="J_COUNTER",L159="J_HARD"),MAX(0,1+INDEX(角色面板!$K$18:$K$21,MATCH(E159,角色面板!$A$18:$A$21,0))-DI159*Boss参数!$B$23+IF(OR(Boss参数!$B$43=1,L159="J_HARD"),IF(B159&lt;=AH159,Boss参数!$B$46,0),0)),MAX(0,IF(OR(H159="术法",L159="RHI_BERRY",AND(L159="37_FOLLOW",Boss参数!$B$31=1)),1+BC159,IF(H159="仪式",1+BD159,IF(H159="洞知",EK159,1))))))</f>
        <v/>
      </c>
      <c r="BP159" s="1" t="str">
        <f t="shared" si="143"/>
        <v/>
      </c>
      <c r="BQ159" s="1">
        <f t="shared" si="144"/>
        <v>0</v>
      </c>
      <c r="BR159" s="1">
        <f t="shared" si="145"/>
        <v>0</v>
      </c>
      <c r="BS159" s="1">
        <f>IF(BH159=0,0,ROUNDDOWN(AY159*BH159,0)*DV159*IF(Boss参数!$B$29=1,BN159,1)*IF(Boss参数!$B$33=1,BO159,1)*IF(Boss参数!$B$76=1,1-ES159,1))</f>
        <v>0</v>
      </c>
      <c r="BT159" s="1">
        <f t="shared" si="146"/>
        <v>0</v>
      </c>
      <c r="BU159" s="1">
        <f>IF(D159="",0,MIN(IF(Boss参数!$B$77=1,Boss参数!$B$63*Boss参数!$B$62,Boss参数!$B$61*Boss参数!$B$62),DW159+ROUNDDOWN(BS159,0)+ROUNDDOWN(DW159*Q159,0)))</f>
        <v>0</v>
      </c>
      <c r="BV159" s="1">
        <f>IF(D159="",0,MIN(IF(Boss参数!$B$77=1,Boss参数!$B$63*Boss参数!$B$62,Boss参数!$B$61*Boss参数!$B$62),DX159+ROUNDDOWN(BT159,0)+ROUNDDOWN(DX159*Q159,0)))</f>
        <v>0</v>
      </c>
      <c r="BW159" s="1">
        <f t="shared" si="147"/>
        <v>0</v>
      </c>
      <c r="BX159" s="1" t="str">
        <f t="shared" si="148"/>
        <v/>
      </c>
      <c r="BY159" s="1">
        <f t="shared" si="149"/>
        <v>2</v>
      </c>
      <c r="BZ159" s="1">
        <f t="shared" si="150"/>
        <v>1</v>
      </c>
      <c r="CA159" s="1">
        <f>MIN(10,W159+IF(AND(L159="LILYA_COBRA",COUNTIF($L$3:L159,"LILYA_COBRA")=1),5,0)+IF(AND(L159="LILYA_DIVE",U159=1,COUNTIFS($DG$3:DG159,DG159,$L$3:L159,"LILYA_DIVE")=1),2,0)+IF(AND(FE159=1,U159=1),3,0))</f>
        <v>10</v>
      </c>
      <c r="CB159" s="1">
        <f>MIN(20,MAX(0,X159+IF(L159="LILYA_COBRA",IF(COUNTIF($L$3:L159,"LILYA_COBRA")=1,6,IF(U159=1,MAX(1,G159),IF(U159=2,2*MAX(1,G159),0))),0)+IF(AND(Y159=1,E159="红弩箭",L159&lt;&gt;"ENTER_INSIGHT"),1,0)-IF(AND(L159="LILYA_ULT",X159&gt;=6),6,0)))</f>
        <v>13</v>
      </c>
      <c r="CC159" s="1">
        <f t="shared" si="151"/>
        <v>0</v>
      </c>
      <c r="CD159" s="1">
        <f t="shared" si="152"/>
        <v>0</v>
      </c>
      <c r="CE159" s="1">
        <f t="shared" si="153"/>
        <v>0</v>
      </c>
      <c r="CF159" s="1">
        <f t="shared" si="154"/>
        <v>10</v>
      </c>
      <c r="CG159" s="1">
        <f t="shared" si="155"/>
        <v>1</v>
      </c>
      <c r="CH159" s="1">
        <f>MIN(35,AD159+IF(L159="J_HARD",6,0)+IF(L159="J_COUNTER",Boss参数!$B$30,0))</f>
        <v>35</v>
      </c>
      <c r="CI159" s="1">
        <f>MIN(Boss参数!$I$4,AE159+IF(L159="J_HARD",6,0)+IF(L159="J_ULT",AD159,0)+IF(L159="J_COUNTER",Boss参数!$B$30,0))</f>
        <v>0</v>
      </c>
      <c r="CJ159" s="1">
        <f>IF(L159="J_ULT",AD159*Boss参数!$B$41,IF(B159&lt;=AG159,AF159,0))</f>
        <v>0.875</v>
      </c>
      <c r="CK159" s="1">
        <f t="shared" si="156"/>
        <v>9</v>
      </c>
      <c r="CL159" s="1">
        <f t="shared" si="157"/>
        <v>9</v>
      </c>
      <c r="CM159" s="1">
        <f t="shared" si="158"/>
        <v>8</v>
      </c>
      <c r="CN159" s="1">
        <f t="shared" si="159"/>
        <v>9</v>
      </c>
      <c r="CO159" s="1">
        <f t="shared" si="160"/>
        <v>8</v>
      </c>
      <c r="CP159" s="1">
        <f t="shared" si="161"/>
        <v>3</v>
      </c>
      <c r="CQ159" s="1">
        <f t="shared" si="162"/>
        <v>30</v>
      </c>
      <c r="CR159" s="1">
        <f t="shared" si="163"/>
        <v>9</v>
      </c>
      <c r="CS159" s="1">
        <f t="shared" si="164"/>
        <v>0</v>
      </c>
      <c r="CT159" s="1" t="e">
        <f t="shared" si="165"/>
        <v>#VALUE!</v>
      </c>
      <c r="CU159" s="1" t="e">
        <f t="shared" si="166"/>
        <v>#VALUE!</v>
      </c>
      <c r="CV159" s="1">
        <f t="shared" si="167"/>
        <v>0.3</v>
      </c>
      <c r="CW159" s="1">
        <f t="shared" si="168"/>
        <v>9</v>
      </c>
      <c r="CX159" s="1">
        <f t="shared" si="169"/>
        <v>0.3</v>
      </c>
      <c r="CY159" s="1">
        <f t="shared" si="170"/>
        <v>9</v>
      </c>
      <c r="CZ159" s="1"/>
      <c r="DA159" s="1"/>
      <c r="DB159" s="1"/>
      <c r="DC159" s="1"/>
      <c r="DD159" s="1"/>
      <c r="DE159" s="1"/>
      <c r="DF159" s="1"/>
      <c r="DG159" s="1" t="str">
        <f>IF(D159="","",行动模拟!B165)</f>
        <v/>
      </c>
      <c r="DH159" s="1" t="str">
        <f>IF(L159="END_TURN","回合结束",IF(D159="","",IF(INDEX(回合状态!$C$7:$C$17,MATCH(DG159,回合状态!$A$7:$A$17,0))="洞穿","洞穿",IF(OR(L159="J_COUNTER",L159="BOSS_ACTION",L159="BOSS_CONSERVATIVE"),"敌方",IF(AND(L159="37_FOLLOW",DG159=DG158,DH158="敌方"),"敌方",IF(INDEX(回合状态!$C$7:$C$17,MATCH(DG159,回合状态!$A$7:$A$17,0))="普通","出牌",INDEX(回合状态!$C$7:$C$17,MATCH(DG159,回合状态!$A$7:$A$17,0))))))))</f>
        <v/>
      </c>
      <c r="DI159" s="1">
        <f t="shared" si="171"/>
        <v>0</v>
      </c>
      <c r="DJ159" s="1">
        <f>IF(D159="",0,MIN(Boss参数!$B$25,IF(OR(AND(DH159="敌方",OR(DH158&lt;&gt;"敌方",DG159&lt;&gt;DG158)),AND(L159="END_TURN",DH159&lt;&gt;"洞穿"),AND(DG159&lt;&gt;DG158,DH158&lt;&gt;"洞穿",L158&lt;&gt;"END_TURN",COUNTIFS($DG$3:DG158,DG158,$DH$3:DH158,"敌方")=0)),EW159,DN158)))</f>
        <v>0</v>
      </c>
      <c r="DK159" s="1">
        <f>IF(D159="",0,MIN(Boss参数!$B$25,IF(OR(AND(DH159="敌方",OR(DH158&lt;&gt;"敌方",DG159&lt;&gt;DG158)),AND(L159="END_TURN",DH159&lt;&gt;"洞穿"),AND(DG159&lt;&gt;DG158,DH158&lt;&gt;"洞穿",L158&lt;&gt;"END_TURN",COUNTIFS($DG$3:DG158,DG158,$DH$3:DH158,"敌方")=0)),EW159,DO158)))</f>
        <v>0</v>
      </c>
      <c r="DL159" s="1">
        <f>IF(D159="",0,MIN(Boss参数!$B$25,IF(OR(AND(DH159="敌方",OR(DH158&lt;&gt;"敌方",DG159&lt;&gt;DG158)),AND(L159="END_TURN",DH159&lt;&gt;"洞穿"),AND(DG159&lt;&gt;DG158,DH158&lt;&gt;"洞穿",L158&lt;&gt;"END_TURN",COUNTIFS($DG$3:DG158,DG158,$DH$3:DH158,"敌方")=0)),EW159,DP158)))</f>
        <v>0</v>
      </c>
      <c r="DM159" s="1">
        <f>IF(D159="",0,MIN(Boss参数!$B$25,IF(OR(AND(DH159="敌方",OR(DH158&lt;&gt;"敌方",DG159&lt;&gt;DG158)),AND(L159="END_TURN",DH159&lt;&gt;"洞穿"),AND(DG159&lt;&gt;DG158,DH158&lt;&gt;"洞穿",L158&lt;&gt;"END_TURN",COUNTIFS($DG$3:DG158,DG158,$DH$3:DH158,"敌方")=0)),EW159,DQ158)))</f>
        <v>0</v>
      </c>
      <c r="DN159" s="1">
        <f>MAX(0,MIN(Boss参数!$B$25,DJ159+DR159)-IF(E159="红弩箭",2*DR159,0))</f>
        <v>0</v>
      </c>
      <c r="DO159" s="1">
        <f>MAX(0,MIN(Boss参数!$B$25,DK159+DR159)-IF(E159="37",2*DR159,0))</f>
        <v>0</v>
      </c>
      <c r="DP159" s="1">
        <f>MAX(0,MIN(Boss参数!$B$25,DL159+DR159)-IF(E159="小瑞安侬",2*DR159,0))</f>
        <v>0</v>
      </c>
      <c r="DQ159" s="1">
        <f>MAX(0,MIN(Boss参数!$B$25,DM159+DR159)-IF(E159="J",2*DR159,0))</f>
        <v>0</v>
      </c>
      <c r="DR159" s="1">
        <f t="shared" si="172"/>
        <v>0</v>
      </c>
      <c r="DS159" s="1">
        <f t="shared" si="173"/>
        <v>0</v>
      </c>
      <c r="DT159" s="1">
        <f>IF(OR(E159="",E159="系统"),0,IF(OR(AND(DS159=1,Boss参数!$B$32=1),L159="RHI_BERRY",OR(AND(INDEX(角色面板!$B$18:$B$21,MATCH(E159,角色面板!$A$18:$A$21,0))="星",Boss参数!$B$4="岩"),AND(INDEX(角色面板!$B$18:$B$21,MATCH(E159,角色面板!$A$18:$A$21,0))="岩",Boss参数!$B$4="兽"),AND(INDEX(角色面板!$B$18:$B$21,MATCH(E159,角色面板!$A$18:$A$21,0))="兽",Boss参数!$B$4="木"),AND(INDEX(角色面板!$B$18:$B$21,MATCH(E159,角色面板!$A$18:$A$21,0))="木",Boss参数!$B$4="星"),AND(INDEX(角色面板!$B$18:$B$21,MATCH(E159,角色面板!$A$18:$A$21,0))="智",Boss参数!$B$4="灵"),AND(INDEX(角色面板!$B$18:$B$21,MATCH(E159,角色面板!$A$18:$A$21,0))="灵",Boss参数!$B$4="智"))),1,0))</f>
        <v>0</v>
      </c>
      <c r="DU159" s="1">
        <f>IF(D159="",0,INDEX(回合状态!$E$7:$E$17,MATCH(DG159,回合状态!$A$7:$A$17,0))+IF(AND(DH159="敌方",OR(INDEX(回合状态!$C$7:$C$17,MATCH(DG159,回合状态!$A$7:$A$17,0))="普通",INDEX(回合状态!$C$7:$C$17,MATCH(DG159,回合状态!$A$7:$A$17,0))="额外")),0.05,0))</f>
        <v>0</v>
      </c>
      <c r="DV159" s="1">
        <f>MAX(Boss参数!$B$28,1+IF(AND(E159="37",AC159&gt;0,BH159&gt;0),Boss参数!$B$42,0)-DI159*Boss参数!$B$24+EA159-ER159)</f>
        <v>9.9999999999999978E-2</v>
      </c>
      <c r="DW159" s="1">
        <f>MIN(IF(Boss参数!$B$77=1,Boss参数!$B$63*Boss参数!$B$62,Boss参数!$B$61*Boss参数!$B$62),ROUNDDOWN(BQ159*(1-ES159),0))</f>
        <v>0</v>
      </c>
      <c r="DX159" s="1">
        <f>MIN(IF(Boss参数!$B$77=1,Boss参数!$B$63*Boss参数!$B$62,Boss参数!$B$61*Boss参数!$B$62),ROUNDDOWN(BR159*(1-ES159),0))</f>
        <v>0</v>
      </c>
      <c r="DY159" s="1">
        <f t="shared" si="205"/>
        <v>250</v>
      </c>
      <c r="DZ159" s="1">
        <f>IF(L159="RHI_ULT",MIN(Boss参数!$B$48,ROUNDDOWN(AY159*Boss参数!$B$47,0)),DY159)</f>
        <v>250</v>
      </c>
      <c r="EA159" s="1">
        <v>0</v>
      </c>
      <c r="EB159" s="1">
        <f t="shared" si="174"/>
        <v>0</v>
      </c>
      <c r="EC159" s="1">
        <f>SUMIFS($EB$3:EB159,$B$3:B159,"&gt;="&amp;MAX(1,B159-2),$B$3:B159,"&lt;="&amp;B159)*Boss参数!$B$51</f>
        <v>0</v>
      </c>
      <c r="ED159" s="1">
        <f>IF(D159="",EG158,IF(AND(DG159&lt;&gt;DG158,DH159&lt;&gt;"洞穿"),MIN(Boss参数!$B$55,EG158+2),EG158))</f>
        <v>0</v>
      </c>
      <c r="EE159" s="1">
        <f t="shared" si="175"/>
        <v>0</v>
      </c>
      <c r="EF159" s="1">
        <f>IF(AND(OR(L159="END_TURN",AND(DH159="敌方",OR(DH158&lt;&gt;"敌方",DG159&lt;&gt;DG158))),SUMIFS($EF$3:EF158,$DG$3:DG158,DG159)=0),MIN(1,MAX(0,ED159-EE159)),0)</f>
        <v>0</v>
      </c>
      <c r="EG159" s="1">
        <f t="shared" si="176"/>
        <v>0</v>
      </c>
      <c r="EH159" s="1">
        <f>Boss参数!$B$53-IF(Y159=1,Boss参数!$B$54,0)</f>
        <v>0</v>
      </c>
      <c r="EI159" s="1">
        <f t="shared" si="177"/>
        <v>0.15</v>
      </c>
      <c r="EJ159" s="1">
        <f t="shared" si="178"/>
        <v>0.15</v>
      </c>
      <c r="EK159" s="1" t="e">
        <f t="shared" si="179"/>
        <v>#VALUE!</v>
      </c>
      <c r="EL159" s="1">
        <f t="shared" si="206"/>
        <v>0</v>
      </c>
      <c r="EM159" s="1">
        <f>IF(AND(DG159&lt;&gt;DG158,DH159="洞穿"),0,IF(L159="ENTER_INSIGHT",Boss参数!$B$57,EO158))</f>
        <v>0</v>
      </c>
      <c r="EN159" s="1">
        <f>IF(AND(Y159=1,H159="洞知",EM159&gt;0),Boss参数!$B$56,0)</f>
        <v>0</v>
      </c>
      <c r="EO159" s="1">
        <f t="shared" si="180"/>
        <v>0</v>
      </c>
      <c r="EP159" s="1">
        <f t="shared" si="207"/>
        <v>23210479</v>
      </c>
      <c r="EQ159" s="1">
        <f>ROUNDDOWN(EP159/Boss参数!$B$62,0)</f>
        <v>232</v>
      </c>
      <c r="ER159" s="1">
        <f>IF(EQ159&gt;=Boss参数!$B$66,Boss参数!$B$69,IF(EQ159&gt;=Boss参数!$B$65,Boss参数!$B$68,IF(EQ159&gt;=Boss参数!$B$64,Boss参数!$B$67,0)))</f>
        <v>0.9</v>
      </c>
      <c r="ES159" s="1">
        <f>MIN(1,IF(EQ159&gt;=Boss参数!$B$66,Boss参数!$B$72+ROUNDDOWN((EQ159-Boss参数!$B$66)/Boss参数!$B$73,0)*Boss参数!$B$74,IF(EQ159&gt;=Boss参数!$B$65,Boss参数!$B$71,IF(EQ159&gt;=Boss参数!$B$64,Boss参数!$B$70,0))))</f>
        <v>0.65</v>
      </c>
      <c r="ET159" s="1">
        <f>MIN(Boss参数!$B$61*Boss参数!$B$62,EP159+IF(AND(Boss参数!$B$60=1,ISNUMBER(验证表!H165)),验证表!H165,EU159))</f>
        <v>23210479</v>
      </c>
      <c r="EU159" s="1">
        <f>IF(D159="",0,IF(验证表!G165="是",BV159,IF(验证表!G165="否",BU159,BW159)))</f>
        <v>0</v>
      </c>
      <c r="EV159" s="1">
        <f>IF(EQ159&gt;=Boss参数!$B$66,2,IF(EQ159&gt;=Boss参数!$B$65,1,0))</f>
        <v>2</v>
      </c>
      <c r="EW159" s="1">
        <f t="shared" si="181"/>
        <v>3</v>
      </c>
      <c r="EX159" s="1">
        <f>IF(D159="",0,INDEX(回合状态!$D$7:$D$17,MATCH(DG159,回合状态!$A$7:$A$17,0)))</f>
        <v>0</v>
      </c>
      <c r="EY159" s="1">
        <f>IF(OR(L159="RHI_ATTACK",L159="RHI_BUFF"),1,IF(L159="RHI_ULT",Boss参数!$B$52,0))</f>
        <v>0</v>
      </c>
      <c r="EZ159" s="1">
        <f>MIN(6,SUMIFS($EY$3:EY159,$EX$3:EX159,"&gt;="&amp;MAX(1,EX159-Boss参数!$B$87+1),$EX$3:EX159,"&lt;="&amp;EX159))</f>
        <v>0</v>
      </c>
      <c r="FA159" s="1">
        <f t="shared" si="208"/>
        <v>0</v>
      </c>
      <c r="FB159" s="17">
        <f>IF(L159="BOSS_CONSERVATIVE",B159+Boss参数!$B$91,FB158)</f>
        <v>7</v>
      </c>
      <c r="FC159" s="17">
        <f t="shared" si="209"/>
        <v>0</v>
      </c>
      <c r="FD159" s="17">
        <f>IF(D159="",FD158,FD158+IF(AND(DG159&lt;&gt;DG158,INDEX(回合状态!$C$7:$C$17,MATCH(DG159,回合状态!$A$7:$A$17,0))&lt;&gt;"洞穿"),1,0))</f>
        <v>8</v>
      </c>
      <c r="FE159" s="17">
        <f>IF(D159="",0,IF(AND(OR(L159="END_TURN",DH159="敌方"),INDEX(回合状态!$C$7:$C$17,MATCH(DG159,回合状态!$A$7:$A$17,0))&lt;&gt;"洞穿",SUMIFS($FE$3:FE158,$DG$3:DG158,DG159)=0),1,0))</f>
        <v>0</v>
      </c>
    </row>
    <row r="160" spans="1:161" ht="84.95" customHeight="1">
      <c r="A160" s="1" t="str">
        <f>行动模拟!A166</f>
        <v/>
      </c>
      <c r="B160" s="1">
        <f>IF(D160="",0,INDEX(回合状态!$B$7:$B$17,MATCH(DG160,回合状态!$A$7:$A$17,0)))</f>
        <v>0</v>
      </c>
      <c r="C160" s="1">
        <f>行动模拟!C166</f>
        <v>0</v>
      </c>
      <c r="D160" s="1" t="str">
        <f>IF(行动模拟!D166="","",行动模拟!D166)</f>
        <v/>
      </c>
      <c r="E160" s="1" t="str">
        <f>IF($D160="","",IFERROR(INDEX(技能数据库!$B$4:$B$38,MATCH($D160,技能数据库!$A$4:$A$38,0)),""))</f>
        <v/>
      </c>
      <c r="F160" s="1" t="str">
        <f>IF($D160="","",IFERROR(INDEX(技能数据库!$C$4:$C$38,MATCH($D160,技能数据库!$A$4:$A$38,0)),""))</f>
        <v/>
      </c>
      <c r="G160" s="1" t="str">
        <f>IF($D160="","",IFERROR(INDEX(技能数据库!$D$4:$D$38,MATCH($D160,技能数据库!$A$4:$A$38,0)),""))</f>
        <v/>
      </c>
      <c r="H160" s="1" t="str">
        <f>IF($D160="","",IFERROR(INDEX(技能数据库!$E$4:$E$38,MATCH($D160,技能数据库!$A$4:$A$38,0)),""))</f>
        <v/>
      </c>
      <c r="I160" s="1" t="str">
        <f>IF($D160="","",IFERROR(INDEX(技能数据库!$F$4:$F$38,MATCH($D160,技能数据库!$A$4:$A$38,0)),""))</f>
        <v/>
      </c>
      <c r="J160" s="1" t="str">
        <f>IF($D160="","",IFERROR(INDEX(技能数据库!$G$4:$G$38,MATCH($D160,技能数据库!$A$4:$A$38,0)),""))</f>
        <v/>
      </c>
      <c r="K160" s="1" t="str">
        <f>IF($D160="","",IFERROR(INDEX(技能数据库!$H$4:$H$38,MATCH($D160,技能数据库!$A$4:$A$38,0)),""))</f>
        <v/>
      </c>
      <c r="L160" s="1" t="str">
        <f>IF($D160="","",IFERROR(INDEX(技能数据库!$I$4:$I$38,MATCH($D160,技能数据库!$A$4:$A$38,0)),""))</f>
        <v/>
      </c>
      <c r="M160" s="1">
        <v>1</v>
      </c>
      <c r="N160" s="1"/>
      <c r="O160" s="1"/>
      <c r="P160" s="1"/>
      <c r="Q160" s="1">
        <f t="shared" si="140"/>
        <v>0</v>
      </c>
      <c r="R160" s="1">
        <v>0</v>
      </c>
      <c r="S160" s="1">
        <v>0</v>
      </c>
      <c r="T160" s="1">
        <f>行动模拟!I166</f>
        <v>0</v>
      </c>
      <c r="U160" s="1">
        <f>IF(FD160&lt;&gt;FD159,IF(BY159=1,IF(MIN(10,CA159+IF(AND(DG160&lt;&gt;DG159,DH159&lt;&gt;"洞穿",SUMIFS($FE$3:FE159,$DG$3:DG159,DG159)=0,BY159=1),3,0))&gt;=10,2,1),IF(BY159=2,IF(BZ159&lt;=1,0,2),0)),BY159)</f>
        <v>2</v>
      </c>
      <c r="V160" s="1">
        <f>IF(FD160&lt;&gt;FD159,IF(BY159=1,IF(MIN(10,CA159+IF(AND(DG160&lt;&gt;DG159,DH159&lt;&gt;"洞穿",SUMIFS($FE$3:FE159,$DG$3:DG159,DG159)=0,BY159=1),3,0))&gt;=10,2,0),IF(BY159=2,MAX(0,BZ159-1),0)),BZ159)</f>
        <v>1</v>
      </c>
      <c r="W160" s="1">
        <f>IF(AND(FD160&lt;&gt;FD159,BY159=2,BZ159&lt;=1),0,MIN(10,CA159+IF(AND(DG160&lt;&gt;DG159,DH159&lt;&gt;"洞穿",SUMIFS($FE$3:FE159,$DG$3:DG159,DG159)=0,BY159=1),3,0)))</f>
        <v>10</v>
      </c>
      <c r="X160" s="1">
        <f t="shared" si="182"/>
        <v>13</v>
      </c>
      <c r="Y160" s="1">
        <f t="shared" si="183"/>
        <v>0</v>
      </c>
      <c r="Z160" s="1">
        <f t="shared" si="184"/>
        <v>0</v>
      </c>
      <c r="AA160" s="1">
        <f t="shared" si="185"/>
        <v>0</v>
      </c>
      <c r="AB160" s="1">
        <f t="shared" si="186"/>
        <v>10</v>
      </c>
      <c r="AC160" s="1">
        <f t="shared" si="187"/>
        <v>1</v>
      </c>
      <c r="AD160" s="1">
        <f t="shared" si="188"/>
        <v>35</v>
      </c>
      <c r="AE160" s="1">
        <f>IF(D160="",0,IF(DG160&lt;&gt;DG159,IFERROR(INDEX(回合状态!$F$7:$F$17,MATCH(DG160,回合状态!$A$7:$A$17,0)),0),CI159))</f>
        <v>0</v>
      </c>
      <c r="AF160" s="1">
        <f t="shared" si="189"/>
        <v>0.875</v>
      </c>
      <c r="AG160" s="1">
        <f t="shared" si="190"/>
        <v>9</v>
      </c>
      <c r="AH160" s="1">
        <f t="shared" si="191"/>
        <v>9</v>
      </c>
      <c r="AI160" s="1">
        <f t="shared" si="192"/>
        <v>8</v>
      </c>
      <c r="AJ160" s="1">
        <f t="shared" si="193"/>
        <v>9</v>
      </c>
      <c r="AK160" s="1">
        <f t="shared" si="194"/>
        <v>8</v>
      </c>
      <c r="AL160" s="1">
        <f t="shared" si="195"/>
        <v>3</v>
      </c>
      <c r="AM160" s="1">
        <f t="shared" si="196"/>
        <v>30</v>
      </c>
      <c r="AN160" s="1">
        <f t="shared" si="197"/>
        <v>9</v>
      </c>
      <c r="AO160" s="1">
        <f t="shared" si="198"/>
        <v>0</v>
      </c>
      <c r="AP160" s="1" t="e">
        <f t="shared" si="199"/>
        <v>#VALUE!</v>
      </c>
      <c r="AQ160" s="1" t="e">
        <f t="shared" si="200"/>
        <v>#VALUE!</v>
      </c>
      <c r="AR160" s="1">
        <f t="shared" si="201"/>
        <v>0.3</v>
      </c>
      <c r="AS160" s="1">
        <f t="shared" si="202"/>
        <v>9</v>
      </c>
      <c r="AT160" s="1">
        <f t="shared" si="203"/>
        <v>0.3</v>
      </c>
      <c r="AU160" s="1">
        <f t="shared" si="204"/>
        <v>9</v>
      </c>
      <c r="AV160" s="1">
        <f>MIN(5,SUMIFS($EL$3:EL160,$B$3:B160,"&gt;="&amp;MAX(1,B160-2),$B$3:B160,"&lt;="&amp;B160)+EC160)</f>
        <v>0</v>
      </c>
      <c r="AW160" s="1">
        <f>MIN(6,SUMIFS($EY$3:EY159,$EX$3:EX159,"&gt;="&amp;MAX(1,EX160-Boss参数!$B$87+1),$EX$3:EX159,"&lt;="&amp;EX160))</f>
        <v>0</v>
      </c>
      <c r="AX160" s="1">
        <f>MIN(4,COUNTIFS($B$3:$B$159,"&gt;="&amp;MAX(1,$B160-2),$B$3:$B$159,"&lt;="&amp;$B160,$L$3:$L$159,"37_FOLLOW"))</f>
        <v>0</v>
      </c>
      <c r="AY160" s="1" t="str">
        <f>IF($E160="","",IF($E160="系统",0,ROUNDDOWN(INDEX(角色面板!$C$4:$C$7,MATCH($E160,角色面板!$A$4:$A$7,0))*(1+INDEX(角色面板!$C$11:$C$14,MATCH($E160,角色面板!$A$11:$A$14,0))+IF($E160="小瑞安侬",MAX(IF($B160&lt;=$AQ160,$AP160,0),IF(AND($L160="RHI_ATTACK",$EE160&gt;0),0.11+0.01*$G160,0)),0)+IF($E160="J",$AD160*Boss参数!$B$18,0))+IF(FD160&lt;=$AN160,MIN(Boss参数!$B$21,ROUNDDOWN(角色面板!$C$19*Boss参数!$B$20,0)),0)+IF(AND($B160&lt;=$AK160,$E160&lt;&gt;"小瑞安侬"),$DY160,0),0)))</f>
        <v/>
      </c>
      <c r="AZ160" s="1" t="str">
        <f>IF($E160="","",MAX(0,MIN(1,IFERROR(INDEX(角色面板!$G$18:$G$21,MATCH($E160,角色面板!$A$18:$A$21,0)),0)-FC160*Boss参数!$B$89-Boss参数!$E$4)))</f>
        <v/>
      </c>
      <c r="BA160" s="1" t="str">
        <f>IF(E160="","",(IF($E160="","",IF($E160="红弩箭",Boss参数!$B$80,IF($E160="J",Boss参数!$B$81,IFERROR(INDEX(角色面板!$H$18:$H$21,MATCH($E160,角色面板!$A$18:$A$21,0)),0)))+IF($B160&lt;=$AI160,Boss参数!$B$13,0)+MIN(30,$AM160)*Boss参数!$B$17+IF(AND($L160="LILYA_ULT",$X160&gt;=6),1,0)+IF(AND($Y160=1,$L160="LILYA_INSIGHT"),IF(MOD($AA160+1,3)=0,Boss参数!$B$83,Boss参数!$B$82),IF(AND($Y160=1,$L160="LILYA_FINISH"),Boss参数!$B$84,0))))-FC160*Boss参数!$B$90)</f>
        <v/>
      </c>
      <c r="BB160" s="1" t="str">
        <f>IF($E160="","",IFERROR(INDEX(角色面板!$M$18:$M$21,MATCH($E160,角色面板!$A$18:$A$21,0)),0)+$AW160*Boss参数!$B$12+IF($B160&lt;=$AG160,$AF160,0)+$EI160+IF($L160="LILYA_DIVE",IF($U160=1,IF($G160=1,0.3,IF($G160=2,0.4,0.5)),IF($U160=2,IF($G160=1,0.6,IF($G160=2,0.8,1)),0)),0)+$R160+IF(AND($E160="J",OR($L160="J_COUNTER",$L160="J_HARD")),Boss参数!$B$79,0)+IF(AND(OR(L160="J_COUNTER",L160="J_HARD"),FA160&gt;=Boss参数!$B$59),FA160*Boss参数!$B$40,0))</f>
        <v/>
      </c>
      <c r="BC160" s="1" t="e">
        <f>IF($E160="","",IFERROR(INDEX(角色面板!$K$18:$K$21,MATCH($E160,角色面板!$A$18:$A$21,0)),0)+IF($B160&lt;=$AH160,Boss参数!$B$46,0)+IF($E160="红弩箭",IF($U160=1,0.6,IF($U160=2,1.2,0))+$W160*0.06,0))-DI160*Boss参数!$B$23</f>
        <v>#VALUE!</v>
      </c>
      <c r="BD160" s="1" t="e">
        <f>IF($E160="","",IFERROR(INDEX(角色面板!$L$18:$L$21,MATCH($E160,角色面板!$A$18:$A$21,0)),0)+IF($B160&lt;=$AH160,Boss参数!$B$46,0)+IF($E160="J",$AL160*Boss参数!$B$16,0)+IF($E160="红弩箭",$X160*0.025,0)+IF(AND($L160="LILYA_ULT",$X160&gt;=6),1,0))-DI160*Boss参数!$B$23</f>
        <v>#VALUE!</v>
      </c>
      <c r="BE160" s="1" t="str">
        <f>IF($E160="","",IF($H160="洞知",IF($E160="红弩箭",$AO160*Boss参数!$B$15,0)+$AX160*Boss参数!$B$14,0))</f>
        <v/>
      </c>
      <c r="BF160" s="1">
        <f t="shared" si="141"/>
        <v>0</v>
      </c>
      <c r="BG160" s="1">
        <f>IF($D160="",0,IF(AND($L160&lt;&gt;"LILYA_DIVE",$L160&lt;&gt;"LILYA_ULT",$L160&lt;&gt;"LILYA_INSIGHT",$L160&lt;&gt;"LILYA_FINISH",$L160&lt;&gt;"37_FOLLOW",$L160&lt;&gt;"RHI_ATTACK",$L160&lt;&gt;"RHI_BERRY",$L160&lt;&gt;"J_COUNTER",$L160&lt;&gt;"J_ULT"),$J160,0)+IF($L160="LILYA_DIVE",$J160+IF($U160=1,IF($G160=1,6,IF($G160=2,12,18)),IF($U160=2,IF($G160=1,12,IF($G160=2,24,36)),0)),0)+IF($L160="LILYA_ULT",$J160+IF($X160&gt;=6,18,0),0)+IF($L160="LILYA_INSIGHT",IF($Y160=1,IF(MOD($AA160+1,3)=0,32,15),0),0)+IF($L160="LILYA_FINISH",IF($Y160=1,50+2.5*$Z160,0),0)+IF($L160="37_FOLLOW",$J160,0)+IF($L160="RHI_ATTACK",$J160*IF($B160&lt;=$AJ160,2,1),0)+IF($L160="RHI_BERRY",15+1.5*$AV160,0)+IF($L160="J_COUNTER",$J160+$AD160*Boss参数!$B$39,0)+IF($L160="J_ULT",$J160+Boss参数!$B$45*MAX(0,$AE160+$AD160-Boss参数!$I$4),0)+$S160)</f>
        <v>0</v>
      </c>
      <c r="BH160" s="1">
        <f t="shared" si="142"/>
        <v>0</v>
      </c>
      <c r="BI160" s="1" t="str">
        <f>IF(E160="","",IF(DT160=1,1+Boss参数!$B$8+AV160*Boss参数!$B$19,1))</f>
        <v/>
      </c>
      <c r="BJ160" s="1">
        <f>IF($I160="现实",Boss参数!$C$4,IF($I160="精神",Boss参数!$D$4,0))</f>
        <v>0</v>
      </c>
      <c r="BK160" s="1" t="str">
        <f>IF($E160="","",MAX($AY160*Boss参数!$B$9,$AY160-$BJ160*(1-$BF160)))</f>
        <v/>
      </c>
      <c r="BL160" s="1">
        <f>MAX(0,Boss参数!$F$4+IF(DT160=0,Boss参数!$B$27,0)-EJ160)</f>
        <v>1.25</v>
      </c>
      <c r="BM160" s="1">
        <f>Boss参数!$G$4+DU160-IF(Y160=1,Boss参数!$B$11,0)</f>
        <v>0.4</v>
      </c>
      <c r="BN160" s="1" t="str">
        <f>IF($E160="","",MAX(Boss参数!$B$10,1+IFERROR(INDEX(角色面板!$I$18:$I$21,MATCH($E160,角色面板!$A$18:$A$21,0)),0)+$BB160+Boss参数!$H$4-$BM160))</f>
        <v/>
      </c>
      <c r="BO160" s="1" t="str">
        <f>IF(E160="","",IF(OR(L160="J_COUNTER",L160="J_HARD"),MAX(0,1+INDEX(角色面板!$K$18:$K$21,MATCH(E160,角色面板!$A$18:$A$21,0))-DI160*Boss参数!$B$23+IF(OR(Boss参数!$B$43=1,L160="J_HARD"),IF(B160&lt;=AH160,Boss参数!$B$46,0),0)),MAX(0,IF(OR(H160="术法",L160="RHI_BERRY",AND(L160="37_FOLLOW",Boss参数!$B$31=1)),1+BC160,IF(H160="仪式",1+BD160,IF(H160="洞知",EK160,1))))))</f>
        <v/>
      </c>
      <c r="BP160" s="1" t="str">
        <f t="shared" si="143"/>
        <v/>
      </c>
      <c r="BQ160" s="1">
        <f t="shared" si="144"/>
        <v>0</v>
      </c>
      <c r="BR160" s="1">
        <f t="shared" si="145"/>
        <v>0</v>
      </c>
      <c r="BS160" s="1">
        <f>IF(BH160=0,0,ROUNDDOWN(AY160*BH160,0)*DV160*IF(Boss参数!$B$29=1,BN160,1)*IF(Boss参数!$B$33=1,BO160,1)*IF(Boss参数!$B$76=1,1-ES160,1))</f>
        <v>0</v>
      </c>
      <c r="BT160" s="1">
        <f t="shared" si="146"/>
        <v>0</v>
      </c>
      <c r="BU160" s="1">
        <f>IF(D160="",0,MIN(IF(Boss参数!$B$77=1,Boss参数!$B$63*Boss参数!$B$62,Boss参数!$B$61*Boss参数!$B$62),DW160+ROUNDDOWN(BS160,0)+ROUNDDOWN(DW160*Q160,0)))</f>
        <v>0</v>
      </c>
      <c r="BV160" s="1">
        <f>IF(D160="",0,MIN(IF(Boss参数!$B$77=1,Boss参数!$B$63*Boss参数!$B$62,Boss参数!$B$61*Boss参数!$B$62),DX160+ROUNDDOWN(BT160,0)+ROUNDDOWN(DX160*Q160,0)))</f>
        <v>0</v>
      </c>
      <c r="BW160" s="1">
        <f t="shared" si="147"/>
        <v>0</v>
      </c>
      <c r="BX160" s="1" t="str">
        <f t="shared" si="148"/>
        <v/>
      </c>
      <c r="BY160" s="1">
        <f t="shared" si="149"/>
        <v>2</v>
      </c>
      <c r="BZ160" s="1">
        <f t="shared" si="150"/>
        <v>1</v>
      </c>
      <c r="CA160" s="1">
        <f>MIN(10,W160+IF(AND(L160="LILYA_COBRA",COUNTIF($L$3:L160,"LILYA_COBRA")=1),5,0)+IF(AND(L160="LILYA_DIVE",U160=1,COUNTIFS($DG$3:DG160,DG160,$L$3:L160,"LILYA_DIVE")=1),2,0)+IF(AND(FE160=1,U160=1),3,0))</f>
        <v>10</v>
      </c>
      <c r="CB160" s="1">
        <f>MIN(20,MAX(0,X160+IF(L160="LILYA_COBRA",IF(COUNTIF($L$3:L160,"LILYA_COBRA")=1,6,IF(U160=1,MAX(1,G160),IF(U160=2,2*MAX(1,G160),0))),0)+IF(AND(Y160=1,E160="红弩箭",L160&lt;&gt;"ENTER_INSIGHT"),1,0)-IF(AND(L160="LILYA_ULT",X160&gt;=6),6,0)))</f>
        <v>13</v>
      </c>
      <c r="CC160" s="1">
        <f t="shared" si="151"/>
        <v>0</v>
      </c>
      <c r="CD160" s="1">
        <f t="shared" si="152"/>
        <v>0</v>
      </c>
      <c r="CE160" s="1">
        <f t="shared" si="153"/>
        <v>0</v>
      </c>
      <c r="CF160" s="1">
        <f t="shared" si="154"/>
        <v>10</v>
      </c>
      <c r="CG160" s="1">
        <f t="shared" si="155"/>
        <v>1</v>
      </c>
      <c r="CH160" s="1">
        <f>MIN(35,AD160+IF(L160="J_HARD",6,0)+IF(L160="J_COUNTER",Boss参数!$B$30,0))</f>
        <v>35</v>
      </c>
      <c r="CI160" s="1">
        <f>MIN(Boss参数!$I$4,AE160+IF(L160="J_HARD",6,0)+IF(L160="J_ULT",AD160,0)+IF(L160="J_COUNTER",Boss参数!$B$30,0))</f>
        <v>0</v>
      </c>
      <c r="CJ160" s="1">
        <f>IF(L160="J_ULT",AD160*Boss参数!$B$41,IF(B160&lt;=AG160,AF160,0))</f>
        <v>0.875</v>
      </c>
      <c r="CK160" s="1">
        <f t="shared" si="156"/>
        <v>9</v>
      </c>
      <c r="CL160" s="1">
        <f t="shared" si="157"/>
        <v>9</v>
      </c>
      <c r="CM160" s="1">
        <f t="shared" si="158"/>
        <v>8</v>
      </c>
      <c r="CN160" s="1">
        <f t="shared" si="159"/>
        <v>9</v>
      </c>
      <c r="CO160" s="1">
        <f t="shared" si="160"/>
        <v>8</v>
      </c>
      <c r="CP160" s="1">
        <f t="shared" si="161"/>
        <v>3</v>
      </c>
      <c r="CQ160" s="1">
        <f t="shared" si="162"/>
        <v>30</v>
      </c>
      <c r="CR160" s="1">
        <f t="shared" si="163"/>
        <v>9</v>
      </c>
      <c r="CS160" s="1">
        <f t="shared" si="164"/>
        <v>0</v>
      </c>
      <c r="CT160" s="1" t="e">
        <f t="shared" si="165"/>
        <v>#VALUE!</v>
      </c>
      <c r="CU160" s="1" t="e">
        <f t="shared" si="166"/>
        <v>#VALUE!</v>
      </c>
      <c r="CV160" s="1">
        <f t="shared" si="167"/>
        <v>0.3</v>
      </c>
      <c r="CW160" s="1">
        <f t="shared" si="168"/>
        <v>9</v>
      </c>
      <c r="CX160" s="1">
        <f t="shared" si="169"/>
        <v>0.3</v>
      </c>
      <c r="CY160" s="1">
        <f t="shared" si="170"/>
        <v>9</v>
      </c>
      <c r="CZ160" s="1"/>
      <c r="DA160" s="1"/>
      <c r="DB160" s="1"/>
      <c r="DC160" s="1"/>
      <c r="DD160" s="1"/>
      <c r="DE160" s="1"/>
      <c r="DF160" s="1"/>
      <c r="DG160" s="1" t="str">
        <f>IF(D160="","",行动模拟!B166)</f>
        <v/>
      </c>
      <c r="DH160" s="1" t="str">
        <f>IF(L160="END_TURN","回合结束",IF(D160="","",IF(INDEX(回合状态!$C$7:$C$17,MATCH(DG160,回合状态!$A$7:$A$17,0))="洞穿","洞穿",IF(OR(L160="J_COUNTER",L160="BOSS_ACTION",L160="BOSS_CONSERVATIVE"),"敌方",IF(AND(L160="37_FOLLOW",DG160=DG159,DH159="敌方"),"敌方",IF(INDEX(回合状态!$C$7:$C$17,MATCH(DG160,回合状态!$A$7:$A$17,0))="普通","出牌",INDEX(回合状态!$C$7:$C$17,MATCH(DG160,回合状态!$A$7:$A$17,0))))))))</f>
        <v/>
      </c>
      <c r="DI160" s="1">
        <f t="shared" si="171"/>
        <v>0</v>
      </c>
      <c r="DJ160" s="1">
        <f>IF(D160="",0,MIN(Boss参数!$B$25,IF(OR(AND(DH160="敌方",OR(DH159&lt;&gt;"敌方",DG160&lt;&gt;DG159)),AND(L160="END_TURN",DH160&lt;&gt;"洞穿"),AND(DG160&lt;&gt;DG159,DH159&lt;&gt;"洞穿",L159&lt;&gt;"END_TURN",COUNTIFS($DG$3:DG159,DG159,$DH$3:DH159,"敌方")=0)),EW160,DN159)))</f>
        <v>0</v>
      </c>
      <c r="DK160" s="1">
        <f>IF(D160="",0,MIN(Boss参数!$B$25,IF(OR(AND(DH160="敌方",OR(DH159&lt;&gt;"敌方",DG160&lt;&gt;DG159)),AND(L160="END_TURN",DH160&lt;&gt;"洞穿"),AND(DG160&lt;&gt;DG159,DH159&lt;&gt;"洞穿",L159&lt;&gt;"END_TURN",COUNTIFS($DG$3:DG159,DG159,$DH$3:DH159,"敌方")=0)),EW160,DO159)))</f>
        <v>0</v>
      </c>
      <c r="DL160" s="1">
        <f>IF(D160="",0,MIN(Boss参数!$B$25,IF(OR(AND(DH160="敌方",OR(DH159&lt;&gt;"敌方",DG160&lt;&gt;DG159)),AND(L160="END_TURN",DH160&lt;&gt;"洞穿"),AND(DG160&lt;&gt;DG159,DH159&lt;&gt;"洞穿",L159&lt;&gt;"END_TURN",COUNTIFS($DG$3:DG159,DG159,$DH$3:DH159,"敌方")=0)),EW160,DP159)))</f>
        <v>0</v>
      </c>
      <c r="DM160" s="1">
        <f>IF(D160="",0,MIN(Boss参数!$B$25,IF(OR(AND(DH160="敌方",OR(DH159&lt;&gt;"敌方",DG160&lt;&gt;DG159)),AND(L160="END_TURN",DH160&lt;&gt;"洞穿"),AND(DG160&lt;&gt;DG159,DH159&lt;&gt;"洞穿",L159&lt;&gt;"END_TURN",COUNTIFS($DG$3:DG159,DG159,$DH$3:DH159,"敌方")=0)),EW160,DQ159)))</f>
        <v>0</v>
      </c>
      <c r="DN160" s="1">
        <f>MAX(0,MIN(Boss参数!$B$25,DJ160+DR160)-IF(E160="红弩箭",2*DR160,0))</f>
        <v>0</v>
      </c>
      <c r="DO160" s="1">
        <f>MAX(0,MIN(Boss参数!$B$25,DK160+DR160)-IF(E160="37",2*DR160,0))</f>
        <v>0</v>
      </c>
      <c r="DP160" s="1">
        <f>MAX(0,MIN(Boss参数!$B$25,DL160+DR160)-IF(E160="小瑞安侬",2*DR160,0))</f>
        <v>0</v>
      </c>
      <c r="DQ160" s="1">
        <f>MAX(0,MIN(Boss参数!$B$25,DM160+DR160)-IF(E160="J",2*DR160,0))</f>
        <v>0</v>
      </c>
      <c r="DR160" s="1">
        <f t="shared" si="172"/>
        <v>0</v>
      </c>
      <c r="DS160" s="1">
        <f t="shared" si="173"/>
        <v>0</v>
      </c>
      <c r="DT160" s="1">
        <f>IF(OR(E160="",E160="系统"),0,IF(OR(AND(DS160=1,Boss参数!$B$32=1),L160="RHI_BERRY",OR(AND(INDEX(角色面板!$B$18:$B$21,MATCH(E160,角色面板!$A$18:$A$21,0))="星",Boss参数!$B$4="岩"),AND(INDEX(角色面板!$B$18:$B$21,MATCH(E160,角色面板!$A$18:$A$21,0))="岩",Boss参数!$B$4="兽"),AND(INDEX(角色面板!$B$18:$B$21,MATCH(E160,角色面板!$A$18:$A$21,0))="兽",Boss参数!$B$4="木"),AND(INDEX(角色面板!$B$18:$B$21,MATCH(E160,角色面板!$A$18:$A$21,0))="木",Boss参数!$B$4="星"),AND(INDEX(角色面板!$B$18:$B$21,MATCH(E160,角色面板!$A$18:$A$21,0))="智",Boss参数!$B$4="灵"),AND(INDEX(角色面板!$B$18:$B$21,MATCH(E160,角色面板!$A$18:$A$21,0))="灵",Boss参数!$B$4="智"))),1,0))</f>
        <v>0</v>
      </c>
      <c r="DU160" s="1">
        <f>IF(D160="",0,INDEX(回合状态!$E$7:$E$17,MATCH(DG160,回合状态!$A$7:$A$17,0))+IF(AND(DH160="敌方",OR(INDEX(回合状态!$C$7:$C$17,MATCH(DG160,回合状态!$A$7:$A$17,0))="普通",INDEX(回合状态!$C$7:$C$17,MATCH(DG160,回合状态!$A$7:$A$17,0))="额外")),0.05,0))</f>
        <v>0</v>
      </c>
      <c r="DV160" s="1">
        <f>MAX(Boss参数!$B$28,1+IF(AND(E160="37",AC160&gt;0,BH160&gt;0),Boss参数!$B$42,0)-DI160*Boss参数!$B$24+EA160-ER160)</f>
        <v>9.9999999999999978E-2</v>
      </c>
      <c r="DW160" s="1">
        <f>MIN(IF(Boss参数!$B$77=1,Boss参数!$B$63*Boss参数!$B$62,Boss参数!$B$61*Boss参数!$B$62),ROUNDDOWN(BQ160*(1-ES160),0))</f>
        <v>0</v>
      </c>
      <c r="DX160" s="1">
        <f>MIN(IF(Boss参数!$B$77=1,Boss参数!$B$63*Boss参数!$B$62,Boss参数!$B$61*Boss参数!$B$62),ROUNDDOWN(BR160*(1-ES160),0))</f>
        <v>0</v>
      </c>
      <c r="DY160" s="1">
        <f t="shared" si="205"/>
        <v>250</v>
      </c>
      <c r="DZ160" s="1">
        <f>IF(L160="RHI_ULT",MIN(Boss参数!$B$48,ROUNDDOWN(AY160*Boss参数!$B$47,0)),DY160)</f>
        <v>250</v>
      </c>
      <c r="EA160" s="1">
        <v>0</v>
      </c>
      <c r="EB160" s="1">
        <f t="shared" si="174"/>
        <v>0</v>
      </c>
      <c r="EC160" s="1">
        <f>SUMIFS($EB$3:EB160,$B$3:B160,"&gt;="&amp;MAX(1,B160-2),$B$3:B160,"&lt;="&amp;B160)*Boss参数!$B$51</f>
        <v>0</v>
      </c>
      <c r="ED160" s="1">
        <f>IF(D160="",EG159,IF(AND(DG160&lt;&gt;DG159,DH160&lt;&gt;"洞穿"),MIN(Boss参数!$B$55,EG159+2),EG159))</f>
        <v>0</v>
      </c>
      <c r="EE160" s="1">
        <f t="shared" si="175"/>
        <v>0</v>
      </c>
      <c r="EF160" s="1">
        <f>IF(AND(OR(L160="END_TURN",AND(DH160="敌方",OR(DH159&lt;&gt;"敌方",DG160&lt;&gt;DG159))),SUMIFS($EF$3:EF159,$DG$3:DG159,DG160)=0),MIN(1,MAX(0,ED160-EE160)),0)</f>
        <v>0</v>
      </c>
      <c r="EG160" s="1">
        <f t="shared" si="176"/>
        <v>0</v>
      </c>
      <c r="EH160" s="1">
        <f>Boss参数!$B$53-IF(Y160=1,Boss参数!$B$54,0)</f>
        <v>0</v>
      </c>
      <c r="EI160" s="1">
        <f t="shared" si="177"/>
        <v>0.15</v>
      </c>
      <c r="EJ160" s="1">
        <f t="shared" si="178"/>
        <v>0.15</v>
      </c>
      <c r="EK160" s="1" t="e">
        <f t="shared" si="179"/>
        <v>#VALUE!</v>
      </c>
      <c r="EL160" s="1">
        <f t="shared" si="206"/>
        <v>0</v>
      </c>
      <c r="EM160" s="1">
        <f>IF(AND(DG160&lt;&gt;DG159,DH160="洞穿"),0,IF(L160="ENTER_INSIGHT",Boss参数!$B$57,EO159))</f>
        <v>0</v>
      </c>
      <c r="EN160" s="1">
        <f>IF(AND(Y160=1,H160="洞知",EM160&gt;0),Boss参数!$B$56,0)</f>
        <v>0</v>
      </c>
      <c r="EO160" s="1">
        <f t="shared" si="180"/>
        <v>0</v>
      </c>
      <c r="EP160" s="1">
        <f t="shared" si="207"/>
        <v>23210479</v>
      </c>
      <c r="EQ160" s="1">
        <f>ROUNDDOWN(EP160/Boss参数!$B$62,0)</f>
        <v>232</v>
      </c>
      <c r="ER160" s="1">
        <f>IF(EQ160&gt;=Boss参数!$B$66,Boss参数!$B$69,IF(EQ160&gt;=Boss参数!$B$65,Boss参数!$B$68,IF(EQ160&gt;=Boss参数!$B$64,Boss参数!$B$67,0)))</f>
        <v>0.9</v>
      </c>
      <c r="ES160" s="1">
        <f>MIN(1,IF(EQ160&gt;=Boss参数!$B$66,Boss参数!$B$72+ROUNDDOWN((EQ160-Boss参数!$B$66)/Boss参数!$B$73,0)*Boss参数!$B$74,IF(EQ160&gt;=Boss参数!$B$65,Boss参数!$B$71,IF(EQ160&gt;=Boss参数!$B$64,Boss参数!$B$70,0))))</f>
        <v>0.65</v>
      </c>
      <c r="ET160" s="1">
        <f>MIN(Boss参数!$B$61*Boss参数!$B$62,EP160+IF(AND(Boss参数!$B$60=1,ISNUMBER(验证表!H166)),验证表!H166,EU160))</f>
        <v>23210479</v>
      </c>
      <c r="EU160" s="1">
        <f>IF(D160="",0,IF(验证表!G166="是",BV160,IF(验证表!G166="否",BU160,BW160)))</f>
        <v>0</v>
      </c>
      <c r="EV160" s="1">
        <f>IF(EQ160&gt;=Boss参数!$B$66,2,IF(EQ160&gt;=Boss参数!$B$65,1,0))</f>
        <v>2</v>
      </c>
      <c r="EW160" s="1">
        <f t="shared" si="181"/>
        <v>3</v>
      </c>
      <c r="EX160" s="1">
        <f>IF(D160="",0,INDEX(回合状态!$D$7:$D$17,MATCH(DG160,回合状态!$A$7:$A$17,0)))</f>
        <v>0</v>
      </c>
      <c r="EY160" s="1">
        <f>IF(OR(L160="RHI_ATTACK",L160="RHI_BUFF"),1,IF(L160="RHI_ULT",Boss参数!$B$52,0))</f>
        <v>0</v>
      </c>
      <c r="EZ160" s="1">
        <f>MIN(6,SUMIFS($EY$3:EY160,$EX$3:EX160,"&gt;="&amp;MAX(1,EX160-Boss参数!$B$87+1),$EX$3:EX160,"&lt;="&amp;EX160))</f>
        <v>0</v>
      </c>
      <c r="FA160" s="1">
        <f t="shared" si="208"/>
        <v>0</v>
      </c>
      <c r="FB160" s="17">
        <f>IF(L160="BOSS_CONSERVATIVE",B160+Boss参数!$B$91,FB159)</f>
        <v>7</v>
      </c>
      <c r="FC160" s="17">
        <f t="shared" si="209"/>
        <v>0</v>
      </c>
      <c r="FD160" s="17">
        <f>IF(D160="",FD159,FD159+IF(AND(DG160&lt;&gt;DG159,INDEX(回合状态!$C$7:$C$17,MATCH(DG160,回合状态!$A$7:$A$17,0))&lt;&gt;"洞穿"),1,0))</f>
        <v>8</v>
      </c>
      <c r="FE160" s="17">
        <f>IF(D160="",0,IF(AND(OR(L160="END_TURN",DH160="敌方"),INDEX(回合状态!$C$7:$C$17,MATCH(DG160,回合状态!$A$7:$A$17,0))&lt;&gt;"洞穿",SUMIFS($FE$3:FE159,$DG$3:DG159,DG160)=0),1,0))</f>
        <v>0</v>
      </c>
    </row>
    <row r="161" spans="1:161" ht="84.95" customHeight="1">
      <c r="A161" s="1" t="str">
        <f>行动模拟!A167</f>
        <v/>
      </c>
      <c r="B161" s="1">
        <f>IF(D161="",0,INDEX(回合状态!$B$7:$B$17,MATCH(DG161,回合状态!$A$7:$A$17,0)))</f>
        <v>0</v>
      </c>
      <c r="C161" s="1">
        <f>行动模拟!C167</f>
        <v>0</v>
      </c>
      <c r="D161" s="1" t="str">
        <f>IF(行动模拟!D167="","",行动模拟!D167)</f>
        <v/>
      </c>
      <c r="E161" s="1" t="str">
        <f>IF($D161="","",IFERROR(INDEX(技能数据库!$B$4:$B$38,MATCH($D161,技能数据库!$A$4:$A$38,0)),""))</f>
        <v/>
      </c>
      <c r="F161" s="1" t="str">
        <f>IF($D161="","",IFERROR(INDEX(技能数据库!$C$4:$C$38,MATCH($D161,技能数据库!$A$4:$A$38,0)),""))</f>
        <v/>
      </c>
      <c r="G161" s="1" t="str">
        <f>IF($D161="","",IFERROR(INDEX(技能数据库!$D$4:$D$38,MATCH($D161,技能数据库!$A$4:$A$38,0)),""))</f>
        <v/>
      </c>
      <c r="H161" s="1" t="str">
        <f>IF($D161="","",IFERROR(INDEX(技能数据库!$E$4:$E$38,MATCH($D161,技能数据库!$A$4:$A$38,0)),""))</f>
        <v/>
      </c>
      <c r="I161" s="1" t="str">
        <f>IF($D161="","",IFERROR(INDEX(技能数据库!$F$4:$F$38,MATCH($D161,技能数据库!$A$4:$A$38,0)),""))</f>
        <v/>
      </c>
      <c r="J161" s="1" t="str">
        <f>IF($D161="","",IFERROR(INDEX(技能数据库!$G$4:$G$38,MATCH($D161,技能数据库!$A$4:$A$38,0)),""))</f>
        <v/>
      </c>
      <c r="K161" s="1" t="str">
        <f>IF($D161="","",IFERROR(INDEX(技能数据库!$H$4:$H$38,MATCH($D161,技能数据库!$A$4:$A$38,0)),""))</f>
        <v/>
      </c>
      <c r="L161" s="1" t="str">
        <f>IF($D161="","",IFERROR(INDEX(技能数据库!$I$4:$I$38,MATCH($D161,技能数据库!$A$4:$A$38,0)),""))</f>
        <v/>
      </c>
      <c r="M161" s="1">
        <v>1</v>
      </c>
      <c r="N161" s="1"/>
      <c r="O161" s="1"/>
      <c r="P161" s="1"/>
      <c r="Q161" s="1">
        <f t="shared" si="140"/>
        <v>0</v>
      </c>
      <c r="R161" s="1">
        <v>0</v>
      </c>
      <c r="S161" s="1">
        <v>0</v>
      </c>
      <c r="T161" s="1">
        <f>行动模拟!I167</f>
        <v>0</v>
      </c>
      <c r="U161" s="1">
        <f>IF(FD161&lt;&gt;FD160,IF(BY160=1,IF(MIN(10,CA160+IF(AND(DG161&lt;&gt;DG160,DH160&lt;&gt;"洞穿",SUMIFS($FE$3:FE160,$DG$3:DG160,DG160)=0,BY160=1),3,0))&gt;=10,2,1),IF(BY160=2,IF(BZ160&lt;=1,0,2),0)),BY160)</f>
        <v>2</v>
      </c>
      <c r="V161" s="1">
        <f>IF(FD161&lt;&gt;FD160,IF(BY160=1,IF(MIN(10,CA160+IF(AND(DG161&lt;&gt;DG160,DH160&lt;&gt;"洞穿",SUMIFS($FE$3:FE160,$DG$3:DG160,DG160)=0,BY160=1),3,0))&gt;=10,2,0),IF(BY160=2,MAX(0,BZ160-1),0)),BZ160)</f>
        <v>1</v>
      </c>
      <c r="W161" s="1">
        <f>IF(AND(FD161&lt;&gt;FD160,BY160=2,BZ160&lt;=1),0,MIN(10,CA160+IF(AND(DG161&lt;&gt;DG160,DH160&lt;&gt;"洞穿",SUMIFS($FE$3:FE160,$DG$3:DG160,DG160)=0,BY160=1),3,0)))</f>
        <v>10</v>
      </c>
      <c r="X161" s="1">
        <f t="shared" si="182"/>
        <v>13</v>
      </c>
      <c r="Y161" s="1">
        <f t="shared" si="183"/>
        <v>0</v>
      </c>
      <c r="Z161" s="1">
        <f t="shared" si="184"/>
        <v>0</v>
      </c>
      <c r="AA161" s="1">
        <f t="shared" si="185"/>
        <v>0</v>
      </c>
      <c r="AB161" s="1">
        <f t="shared" si="186"/>
        <v>10</v>
      </c>
      <c r="AC161" s="1">
        <f t="shared" si="187"/>
        <v>1</v>
      </c>
      <c r="AD161" s="1">
        <f t="shared" si="188"/>
        <v>35</v>
      </c>
      <c r="AE161" s="1">
        <f>IF(D161="",0,IF(DG161&lt;&gt;DG160,IFERROR(INDEX(回合状态!$F$7:$F$17,MATCH(DG161,回合状态!$A$7:$A$17,0)),0),CI160))</f>
        <v>0</v>
      </c>
      <c r="AF161" s="1">
        <f t="shared" si="189"/>
        <v>0.875</v>
      </c>
      <c r="AG161" s="1">
        <f t="shared" si="190"/>
        <v>9</v>
      </c>
      <c r="AH161" s="1">
        <f t="shared" si="191"/>
        <v>9</v>
      </c>
      <c r="AI161" s="1">
        <f t="shared" si="192"/>
        <v>8</v>
      </c>
      <c r="AJ161" s="1">
        <f t="shared" si="193"/>
        <v>9</v>
      </c>
      <c r="AK161" s="1">
        <f t="shared" si="194"/>
        <v>8</v>
      </c>
      <c r="AL161" s="1">
        <f t="shared" si="195"/>
        <v>3</v>
      </c>
      <c r="AM161" s="1">
        <f t="shared" si="196"/>
        <v>30</v>
      </c>
      <c r="AN161" s="1">
        <f t="shared" si="197"/>
        <v>9</v>
      </c>
      <c r="AO161" s="1">
        <f t="shared" si="198"/>
        <v>0</v>
      </c>
      <c r="AP161" s="1" t="e">
        <f t="shared" si="199"/>
        <v>#VALUE!</v>
      </c>
      <c r="AQ161" s="1" t="e">
        <f t="shared" si="200"/>
        <v>#VALUE!</v>
      </c>
      <c r="AR161" s="1">
        <f t="shared" si="201"/>
        <v>0.3</v>
      </c>
      <c r="AS161" s="1">
        <f t="shared" si="202"/>
        <v>9</v>
      </c>
      <c r="AT161" s="1">
        <f t="shared" si="203"/>
        <v>0.3</v>
      </c>
      <c r="AU161" s="1">
        <f t="shared" si="204"/>
        <v>9</v>
      </c>
      <c r="AV161" s="1">
        <f>MIN(5,SUMIFS($EL$3:EL161,$B$3:B161,"&gt;="&amp;MAX(1,B161-2),$B$3:B161,"&lt;="&amp;B161)+EC161)</f>
        <v>0</v>
      </c>
      <c r="AW161" s="1">
        <f>MIN(6,SUMIFS($EY$3:EY160,$EX$3:EX160,"&gt;="&amp;MAX(1,EX161-Boss参数!$B$87+1),$EX$3:EX160,"&lt;="&amp;EX161))</f>
        <v>0</v>
      </c>
      <c r="AX161" s="1">
        <f>MIN(4,COUNTIFS($B$3:$B$160,"&gt;="&amp;MAX(1,$B161-2),$B$3:$B$160,"&lt;="&amp;$B161,$L$3:$L$160,"37_FOLLOW"))</f>
        <v>0</v>
      </c>
      <c r="AY161" s="1" t="str">
        <f>IF($E161="","",IF($E161="系统",0,ROUNDDOWN(INDEX(角色面板!$C$4:$C$7,MATCH($E161,角色面板!$A$4:$A$7,0))*(1+INDEX(角色面板!$C$11:$C$14,MATCH($E161,角色面板!$A$11:$A$14,0))+IF($E161="小瑞安侬",MAX(IF($B161&lt;=$AQ161,$AP161,0),IF(AND($L161="RHI_ATTACK",$EE161&gt;0),0.11+0.01*$G161,0)),0)+IF($E161="J",$AD161*Boss参数!$B$18,0))+IF(FD161&lt;=$AN161,MIN(Boss参数!$B$21,ROUNDDOWN(角色面板!$C$19*Boss参数!$B$20,0)),0)+IF(AND($B161&lt;=$AK161,$E161&lt;&gt;"小瑞安侬"),$DY161,0),0)))</f>
        <v/>
      </c>
      <c r="AZ161" s="1" t="str">
        <f>IF($E161="","",MAX(0,MIN(1,IFERROR(INDEX(角色面板!$G$18:$G$21,MATCH($E161,角色面板!$A$18:$A$21,0)),0)-FC161*Boss参数!$B$89-Boss参数!$E$4)))</f>
        <v/>
      </c>
      <c r="BA161" s="1" t="str">
        <f>IF(E161="","",(IF($E161="","",IF($E161="红弩箭",Boss参数!$B$80,IF($E161="J",Boss参数!$B$81,IFERROR(INDEX(角色面板!$H$18:$H$21,MATCH($E161,角色面板!$A$18:$A$21,0)),0)))+IF($B161&lt;=$AI161,Boss参数!$B$13,0)+MIN(30,$AM161)*Boss参数!$B$17+IF(AND($L161="LILYA_ULT",$X161&gt;=6),1,0)+IF(AND($Y161=1,$L161="LILYA_INSIGHT"),IF(MOD($AA161+1,3)=0,Boss参数!$B$83,Boss参数!$B$82),IF(AND($Y161=1,$L161="LILYA_FINISH"),Boss参数!$B$84,0))))-FC161*Boss参数!$B$90)</f>
        <v/>
      </c>
      <c r="BB161" s="1" t="str">
        <f>IF($E161="","",IFERROR(INDEX(角色面板!$M$18:$M$21,MATCH($E161,角色面板!$A$18:$A$21,0)),0)+$AW161*Boss参数!$B$12+IF($B161&lt;=$AG161,$AF161,0)+$EI161+IF($L161="LILYA_DIVE",IF($U161=1,IF($G161=1,0.3,IF($G161=2,0.4,0.5)),IF($U161=2,IF($G161=1,0.6,IF($G161=2,0.8,1)),0)),0)+$R161+IF(AND($E161="J",OR($L161="J_COUNTER",$L161="J_HARD")),Boss参数!$B$79,0)+IF(AND(OR(L161="J_COUNTER",L161="J_HARD"),FA161&gt;=Boss参数!$B$59),FA161*Boss参数!$B$40,0))</f>
        <v/>
      </c>
      <c r="BC161" s="1" t="e">
        <f>IF($E161="","",IFERROR(INDEX(角色面板!$K$18:$K$21,MATCH($E161,角色面板!$A$18:$A$21,0)),0)+IF($B161&lt;=$AH161,Boss参数!$B$46,0)+IF($E161="红弩箭",IF($U161=1,0.6,IF($U161=2,1.2,0))+$W161*0.06,0))-DI161*Boss参数!$B$23</f>
        <v>#VALUE!</v>
      </c>
      <c r="BD161" s="1" t="e">
        <f>IF($E161="","",IFERROR(INDEX(角色面板!$L$18:$L$21,MATCH($E161,角色面板!$A$18:$A$21,0)),0)+IF($B161&lt;=$AH161,Boss参数!$B$46,0)+IF($E161="J",$AL161*Boss参数!$B$16,0)+IF($E161="红弩箭",$X161*0.025,0)+IF(AND($L161="LILYA_ULT",$X161&gt;=6),1,0))-DI161*Boss参数!$B$23</f>
        <v>#VALUE!</v>
      </c>
      <c r="BE161" s="1" t="str">
        <f>IF($E161="","",IF($H161="洞知",IF($E161="红弩箭",$AO161*Boss参数!$B$15,0)+$AX161*Boss参数!$B$14,0))</f>
        <v/>
      </c>
      <c r="BF161" s="1">
        <f t="shared" si="141"/>
        <v>0</v>
      </c>
      <c r="BG161" s="1">
        <f>IF($D161="",0,IF(AND($L161&lt;&gt;"LILYA_DIVE",$L161&lt;&gt;"LILYA_ULT",$L161&lt;&gt;"LILYA_INSIGHT",$L161&lt;&gt;"LILYA_FINISH",$L161&lt;&gt;"37_FOLLOW",$L161&lt;&gt;"RHI_ATTACK",$L161&lt;&gt;"RHI_BERRY",$L161&lt;&gt;"J_COUNTER",$L161&lt;&gt;"J_ULT"),$J161,0)+IF($L161="LILYA_DIVE",$J161+IF($U161=1,IF($G161=1,6,IF($G161=2,12,18)),IF($U161=2,IF($G161=1,12,IF($G161=2,24,36)),0)),0)+IF($L161="LILYA_ULT",$J161+IF($X161&gt;=6,18,0),0)+IF($L161="LILYA_INSIGHT",IF($Y161=1,IF(MOD($AA161+1,3)=0,32,15),0),0)+IF($L161="LILYA_FINISH",IF($Y161=1,50+2.5*$Z161,0),0)+IF($L161="37_FOLLOW",$J161,0)+IF($L161="RHI_ATTACK",$J161*IF($B161&lt;=$AJ161,2,1),0)+IF($L161="RHI_BERRY",15+1.5*$AV161,0)+IF($L161="J_COUNTER",$J161+$AD161*Boss参数!$B$39,0)+IF($L161="J_ULT",$J161+Boss参数!$B$45*MAX(0,$AE161+$AD161-Boss参数!$I$4),0)+$S161)</f>
        <v>0</v>
      </c>
      <c r="BH161" s="1">
        <f t="shared" si="142"/>
        <v>0</v>
      </c>
      <c r="BI161" s="1" t="str">
        <f>IF(E161="","",IF(DT161=1,1+Boss参数!$B$8+AV161*Boss参数!$B$19,1))</f>
        <v/>
      </c>
      <c r="BJ161" s="1">
        <f>IF($I161="现实",Boss参数!$C$4,IF($I161="精神",Boss参数!$D$4,0))</f>
        <v>0</v>
      </c>
      <c r="BK161" s="1" t="str">
        <f>IF($E161="","",MAX($AY161*Boss参数!$B$9,$AY161-$BJ161*(1-$BF161)))</f>
        <v/>
      </c>
      <c r="BL161" s="1">
        <f>MAX(0,Boss参数!$F$4+IF(DT161=0,Boss参数!$B$27,0)-EJ161)</f>
        <v>1.25</v>
      </c>
      <c r="BM161" s="1">
        <f>Boss参数!$G$4+DU161-IF(Y161=1,Boss参数!$B$11,0)</f>
        <v>0.4</v>
      </c>
      <c r="BN161" s="1" t="str">
        <f>IF($E161="","",MAX(Boss参数!$B$10,1+IFERROR(INDEX(角色面板!$I$18:$I$21,MATCH($E161,角色面板!$A$18:$A$21,0)),0)+$BB161+Boss参数!$H$4-$BM161))</f>
        <v/>
      </c>
      <c r="BO161" s="1" t="str">
        <f>IF(E161="","",IF(OR(L161="J_COUNTER",L161="J_HARD"),MAX(0,1+INDEX(角色面板!$K$18:$K$21,MATCH(E161,角色面板!$A$18:$A$21,0))-DI161*Boss参数!$B$23+IF(OR(Boss参数!$B$43=1,L161="J_HARD"),IF(B161&lt;=AH161,Boss参数!$B$46,0),0)),MAX(0,IF(OR(H161="术法",L161="RHI_BERRY",AND(L161="37_FOLLOW",Boss参数!$B$31=1)),1+BC161,IF(H161="仪式",1+BD161,IF(H161="洞知",EK161,1))))))</f>
        <v/>
      </c>
      <c r="BP161" s="1" t="str">
        <f t="shared" si="143"/>
        <v/>
      </c>
      <c r="BQ161" s="1">
        <f t="shared" si="144"/>
        <v>0</v>
      </c>
      <c r="BR161" s="1">
        <f t="shared" si="145"/>
        <v>0</v>
      </c>
      <c r="BS161" s="1">
        <f>IF(BH161=0,0,ROUNDDOWN(AY161*BH161,0)*DV161*IF(Boss参数!$B$29=1,BN161,1)*IF(Boss参数!$B$33=1,BO161,1)*IF(Boss参数!$B$76=1,1-ES161,1))</f>
        <v>0</v>
      </c>
      <c r="BT161" s="1">
        <f t="shared" si="146"/>
        <v>0</v>
      </c>
      <c r="BU161" s="1">
        <f>IF(D161="",0,MIN(IF(Boss参数!$B$77=1,Boss参数!$B$63*Boss参数!$B$62,Boss参数!$B$61*Boss参数!$B$62),DW161+ROUNDDOWN(BS161,0)+ROUNDDOWN(DW161*Q161,0)))</f>
        <v>0</v>
      </c>
      <c r="BV161" s="1">
        <f>IF(D161="",0,MIN(IF(Boss参数!$B$77=1,Boss参数!$B$63*Boss参数!$B$62,Boss参数!$B$61*Boss参数!$B$62),DX161+ROUNDDOWN(BT161,0)+ROUNDDOWN(DX161*Q161,0)))</f>
        <v>0</v>
      </c>
      <c r="BW161" s="1">
        <f t="shared" si="147"/>
        <v>0</v>
      </c>
      <c r="BX161" s="1" t="str">
        <f t="shared" si="148"/>
        <v/>
      </c>
      <c r="BY161" s="1">
        <f t="shared" si="149"/>
        <v>2</v>
      </c>
      <c r="BZ161" s="1">
        <f t="shared" si="150"/>
        <v>1</v>
      </c>
      <c r="CA161" s="1">
        <f>MIN(10,W161+IF(AND(L161="LILYA_COBRA",COUNTIF($L$3:L161,"LILYA_COBRA")=1),5,0)+IF(AND(L161="LILYA_DIVE",U161=1,COUNTIFS($DG$3:DG161,DG161,$L$3:L161,"LILYA_DIVE")=1),2,0)+IF(AND(FE161=1,U161=1),3,0))</f>
        <v>10</v>
      </c>
      <c r="CB161" s="1">
        <f>MIN(20,MAX(0,X161+IF(L161="LILYA_COBRA",IF(COUNTIF($L$3:L161,"LILYA_COBRA")=1,6,IF(U161=1,MAX(1,G161),IF(U161=2,2*MAX(1,G161),0))),0)+IF(AND(Y161=1,E161="红弩箭",L161&lt;&gt;"ENTER_INSIGHT"),1,0)-IF(AND(L161="LILYA_ULT",X161&gt;=6),6,0)))</f>
        <v>13</v>
      </c>
      <c r="CC161" s="1">
        <f t="shared" si="151"/>
        <v>0</v>
      </c>
      <c r="CD161" s="1">
        <f t="shared" si="152"/>
        <v>0</v>
      </c>
      <c r="CE161" s="1">
        <f t="shared" si="153"/>
        <v>0</v>
      </c>
      <c r="CF161" s="1">
        <f t="shared" si="154"/>
        <v>10</v>
      </c>
      <c r="CG161" s="1">
        <f t="shared" si="155"/>
        <v>1</v>
      </c>
      <c r="CH161" s="1">
        <f>MIN(35,AD161+IF(L161="J_HARD",6,0)+IF(L161="J_COUNTER",Boss参数!$B$30,0))</f>
        <v>35</v>
      </c>
      <c r="CI161" s="1">
        <f>MIN(Boss参数!$I$4,AE161+IF(L161="J_HARD",6,0)+IF(L161="J_ULT",AD161,0)+IF(L161="J_COUNTER",Boss参数!$B$30,0))</f>
        <v>0</v>
      </c>
      <c r="CJ161" s="1">
        <f>IF(L161="J_ULT",AD161*Boss参数!$B$41,IF(B161&lt;=AG161,AF161,0))</f>
        <v>0.875</v>
      </c>
      <c r="CK161" s="1">
        <f t="shared" si="156"/>
        <v>9</v>
      </c>
      <c r="CL161" s="1">
        <f t="shared" si="157"/>
        <v>9</v>
      </c>
      <c r="CM161" s="1">
        <f t="shared" si="158"/>
        <v>8</v>
      </c>
      <c r="CN161" s="1">
        <f t="shared" si="159"/>
        <v>9</v>
      </c>
      <c r="CO161" s="1">
        <f t="shared" si="160"/>
        <v>8</v>
      </c>
      <c r="CP161" s="1">
        <f t="shared" si="161"/>
        <v>3</v>
      </c>
      <c r="CQ161" s="1">
        <f t="shared" si="162"/>
        <v>30</v>
      </c>
      <c r="CR161" s="1">
        <f t="shared" si="163"/>
        <v>9</v>
      </c>
      <c r="CS161" s="1">
        <f t="shared" si="164"/>
        <v>0</v>
      </c>
      <c r="CT161" s="1" t="e">
        <f t="shared" si="165"/>
        <v>#VALUE!</v>
      </c>
      <c r="CU161" s="1" t="e">
        <f t="shared" si="166"/>
        <v>#VALUE!</v>
      </c>
      <c r="CV161" s="1">
        <f t="shared" si="167"/>
        <v>0.3</v>
      </c>
      <c r="CW161" s="1">
        <f t="shared" si="168"/>
        <v>9</v>
      </c>
      <c r="CX161" s="1">
        <f t="shared" si="169"/>
        <v>0.3</v>
      </c>
      <c r="CY161" s="1">
        <f t="shared" si="170"/>
        <v>9</v>
      </c>
      <c r="CZ161" s="1"/>
      <c r="DA161" s="1"/>
      <c r="DB161" s="1"/>
      <c r="DC161" s="1"/>
      <c r="DD161" s="1"/>
      <c r="DE161" s="1"/>
      <c r="DF161" s="1"/>
      <c r="DG161" s="1" t="str">
        <f>IF(D161="","",行动模拟!B167)</f>
        <v/>
      </c>
      <c r="DH161" s="1" t="str">
        <f>IF(L161="END_TURN","回合结束",IF(D161="","",IF(INDEX(回合状态!$C$7:$C$17,MATCH(DG161,回合状态!$A$7:$A$17,0))="洞穿","洞穿",IF(OR(L161="J_COUNTER",L161="BOSS_ACTION",L161="BOSS_CONSERVATIVE"),"敌方",IF(AND(L161="37_FOLLOW",DG161=DG160,DH160="敌方"),"敌方",IF(INDEX(回合状态!$C$7:$C$17,MATCH(DG161,回合状态!$A$7:$A$17,0))="普通","出牌",INDEX(回合状态!$C$7:$C$17,MATCH(DG161,回合状态!$A$7:$A$17,0))))))))</f>
        <v/>
      </c>
      <c r="DI161" s="1">
        <f t="shared" si="171"/>
        <v>0</v>
      </c>
      <c r="DJ161" s="1">
        <f>IF(D161="",0,MIN(Boss参数!$B$25,IF(OR(AND(DH161="敌方",OR(DH160&lt;&gt;"敌方",DG161&lt;&gt;DG160)),AND(L161="END_TURN",DH161&lt;&gt;"洞穿"),AND(DG161&lt;&gt;DG160,DH160&lt;&gt;"洞穿",L160&lt;&gt;"END_TURN",COUNTIFS($DG$3:DG160,DG160,$DH$3:DH160,"敌方")=0)),EW161,DN160)))</f>
        <v>0</v>
      </c>
      <c r="DK161" s="1">
        <f>IF(D161="",0,MIN(Boss参数!$B$25,IF(OR(AND(DH161="敌方",OR(DH160&lt;&gt;"敌方",DG161&lt;&gt;DG160)),AND(L161="END_TURN",DH161&lt;&gt;"洞穿"),AND(DG161&lt;&gt;DG160,DH160&lt;&gt;"洞穿",L160&lt;&gt;"END_TURN",COUNTIFS($DG$3:DG160,DG160,$DH$3:DH160,"敌方")=0)),EW161,DO160)))</f>
        <v>0</v>
      </c>
      <c r="DL161" s="1">
        <f>IF(D161="",0,MIN(Boss参数!$B$25,IF(OR(AND(DH161="敌方",OR(DH160&lt;&gt;"敌方",DG161&lt;&gt;DG160)),AND(L161="END_TURN",DH161&lt;&gt;"洞穿"),AND(DG161&lt;&gt;DG160,DH160&lt;&gt;"洞穿",L160&lt;&gt;"END_TURN",COUNTIFS($DG$3:DG160,DG160,$DH$3:DH160,"敌方")=0)),EW161,DP160)))</f>
        <v>0</v>
      </c>
      <c r="DM161" s="1">
        <f>IF(D161="",0,MIN(Boss参数!$B$25,IF(OR(AND(DH161="敌方",OR(DH160&lt;&gt;"敌方",DG161&lt;&gt;DG160)),AND(L161="END_TURN",DH161&lt;&gt;"洞穿"),AND(DG161&lt;&gt;DG160,DH160&lt;&gt;"洞穿",L160&lt;&gt;"END_TURN",COUNTIFS($DG$3:DG160,DG160,$DH$3:DH160,"敌方")=0)),EW161,DQ160)))</f>
        <v>0</v>
      </c>
      <c r="DN161" s="1">
        <f>MAX(0,MIN(Boss参数!$B$25,DJ161+DR161)-IF(E161="红弩箭",2*DR161,0))</f>
        <v>0</v>
      </c>
      <c r="DO161" s="1">
        <f>MAX(0,MIN(Boss参数!$B$25,DK161+DR161)-IF(E161="37",2*DR161,0))</f>
        <v>0</v>
      </c>
      <c r="DP161" s="1">
        <f>MAX(0,MIN(Boss参数!$B$25,DL161+DR161)-IF(E161="小瑞安侬",2*DR161,0))</f>
        <v>0</v>
      </c>
      <c r="DQ161" s="1">
        <f>MAX(0,MIN(Boss参数!$B$25,DM161+DR161)-IF(E161="J",2*DR161,0))</f>
        <v>0</v>
      </c>
      <c r="DR161" s="1">
        <f t="shared" si="172"/>
        <v>0</v>
      </c>
      <c r="DS161" s="1">
        <f t="shared" si="173"/>
        <v>0</v>
      </c>
      <c r="DT161" s="1">
        <f>IF(OR(E161="",E161="系统"),0,IF(OR(AND(DS161=1,Boss参数!$B$32=1),L161="RHI_BERRY",OR(AND(INDEX(角色面板!$B$18:$B$21,MATCH(E161,角色面板!$A$18:$A$21,0))="星",Boss参数!$B$4="岩"),AND(INDEX(角色面板!$B$18:$B$21,MATCH(E161,角色面板!$A$18:$A$21,0))="岩",Boss参数!$B$4="兽"),AND(INDEX(角色面板!$B$18:$B$21,MATCH(E161,角色面板!$A$18:$A$21,0))="兽",Boss参数!$B$4="木"),AND(INDEX(角色面板!$B$18:$B$21,MATCH(E161,角色面板!$A$18:$A$21,0))="木",Boss参数!$B$4="星"),AND(INDEX(角色面板!$B$18:$B$21,MATCH(E161,角色面板!$A$18:$A$21,0))="智",Boss参数!$B$4="灵"),AND(INDEX(角色面板!$B$18:$B$21,MATCH(E161,角色面板!$A$18:$A$21,0))="灵",Boss参数!$B$4="智"))),1,0))</f>
        <v>0</v>
      </c>
      <c r="DU161" s="1">
        <f>IF(D161="",0,INDEX(回合状态!$E$7:$E$17,MATCH(DG161,回合状态!$A$7:$A$17,0))+IF(AND(DH161="敌方",OR(INDEX(回合状态!$C$7:$C$17,MATCH(DG161,回合状态!$A$7:$A$17,0))="普通",INDEX(回合状态!$C$7:$C$17,MATCH(DG161,回合状态!$A$7:$A$17,0))="额外")),0.05,0))</f>
        <v>0</v>
      </c>
      <c r="DV161" s="1">
        <f>MAX(Boss参数!$B$28,1+IF(AND(E161="37",AC161&gt;0,BH161&gt;0),Boss参数!$B$42,0)-DI161*Boss参数!$B$24+EA161-ER161)</f>
        <v>9.9999999999999978E-2</v>
      </c>
      <c r="DW161" s="1">
        <f>MIN(IF(Boss参数!$B$77=1,Boss参数!$B$63*Boss参数!$B$62,Boss参数!$B$61*Boss参数!$B$62),ROUNDDOWN(BQ161*(1-ES161),0))</f>
        <v>0</v>
      </c>
      <c r="DX161" s="1">
        <f>MIN(IF(Boss参数!$B$77=1,Boss参数!$B$63*Boss参数!$B$62,Boss参数!$B$61*Boss参数!$B$62),ROUNDDOWN(BR161*(1-ES161),0))</f>
        <v>0</v>
      </c>
      <c r="DY161" s="1">
        <f t="shared" si="205"/>
        <v>250</v>
      </c>
      <c r="DZ161" s="1">
        <f>IF(L161="RHI_ULT",MIN(Boss参数!$B$48,ROUNDDOWN(AY161*Boss参数!$B$47,0)),DY161)</f>
        <v>250</v>
      </c>
      <c r="EA161" s="1">
        <v>0</v>
      </c>
      <c r="EB161" s="1">
        <f t="shared" si="174"/>
        <v>0</v>
      </c>
      <c r="EC161" s="1">
        <f>SUMIFS($EB$3:EB161,$B$3:B161,"&gt;="&amp;MAX(1,B161-2),$B$3:B161,"&lt;="&amp;B161)*Boss参数!$B$51</f>
        <v>0</v>
      </c>
      <c r="ED161" s="1">
        <f>IF(D161="",EG160,IF(AND(DG161&lt;&gt;DG160,DH161&lt;&gt;"洞穿"),MIN(Boss参数!$B$55,EG160+2),EG160))</f>
        <v>0</v>
      </c>
      <c r="EE161" s="1">
        <f t="shared" si="175"/>
        <v>0</v>
      </c>
      <c r="EF161" s="1">
        <f>IF(AND(OR(L161="END_TURN",AND(DH161="敌方",OR(DH160&lt;&gt;"敌方",DG161&lt;&gt;DG160))),SUMIFS($EF$3:EF160,$DG$3:DG160,DG161)=0),MIN(1,MAX(0,ED161-EE161)),0)</f>
        <v>0</v>
      </c>
      <c r="EG161" s="1">
        <f t="shared" si="176"/>
        <v>0</v>
      </c>
      <c r="EH161" s="1">
        <f>Boss参数!$B$53-IF(Y161=1,Boss参数!$B$54,0)</f>
        <v>0</v>
      </c>
      <c r="EI161" s="1">
        <f t="shared" si="177"/>
        <v>0.15</v>
      </c>
      <c r="EJ161" s="1">
        <f t="shared" si="178"/>
        <v>0.15</v>
      </c>
      <c r="EK161" s="1" t="e">
        <f t="shared" si="179"/>
        <v>#VALUE!</v>
      </c>
      <c r="EL161" s="1">
        <f t="shared" si="206"/>
        <v>0</v>
      </c>
      <c r="EM161" s="1">
        <f>IF(AND(DG161&lt;&gt;DG160,DH161="洞穿"),0,IF(L161="ENTER_INSIGHT",Boss参数!$B$57,EO160))</f>
        <v>0</v>
      </c>
      <c r="EN161" s="1">
        <f>IF(AND(Y161=1,H161="洞知",EM161&gt;0),Boss参数!$B$56,0)</f>
        <v>0</v>
      </c>
      <c r="EO161" s="1">
        <f t="shared" si="180"/>
        <v>0</v>
      </c>
      <c r="EP161" s="1">
        <f t="shared" si="207"/>
        <v>23210479</v>
      </c>
      <c r="EQ161" s="1">
        <f>ROUNDDOWN(EP161/Boss参数!$B$62,0)</f>
        <v>232</v>
      </c>
      <c r="ER161" s="1">
        <f>IF(EQ161&gt;=Boss参数!$B$66,Boss参数!$B$69,IF(EQ161&gt;=Boss参数!$B$65,Boss参数!$B$68,IF(EQ161&gt;=Boss参数!$B$64,Boss参数!$B$67,0)))</f>
        <v>0.9</v>
      </c>
      <c r="ES161" s="1">
        <f>MIN(1,IF(EQ161&gt;=Boss参数!$B$66,Boss参数!$B$72+ROUNDDOWN((EQ161-Boss参数!$B$66)/Boss参数!$B$73,0)*Boss参数!$B$74,IF(EQ161&gt;=Boss参数!$B$65,Boss参数!$B$71,IF(EQ161&gt;=Boss参数!$B$64,Boss参数!$B$70,0))))</f>
        <v>0.65</v>
      </c>
      <c r="ET161" s="1">
        <f>MIN(Boss参数!$B$61*Boss参数!$B$62,EP161+IF(AND(Boss参数!$B$60=1,ISNUMBER(验证表!H167)),验证表!H167,EU161))</f>
        <v>23210479</v>
      </c>
      <c r="EU161" s="1">
        <f>IF(D161="",0,IF(验证表!G167="是",BV161,IF(验证表!G167="否",BU161,BW161)))</f>
        <v>0</v>
      </c>
      <c r="EV161" s="1">
        <f>IF(EQ161&gt;=Boss参数!$B$66,2,IF(EQ161&gt;=Boss参数!$B$65,1,0))</f>
        <v>2</v>
      </c>
      <c r="EW161" s="1">
        <f t="shared" si="181"/>
        <v>3</v>
      </c>
      <c r="EX161" s="1">
        <f>IF(D161="",0,INDEX(回合状态!$D$7:$D$17,MATCH(DG161,回合状态!$A$7:$A$17,0)))</f>
        <v>0</v>
      </c>
      <c r="EY161" s="1">
        <f>IF(OR(L161="RHI_ATTACK",L161="RHI_BUFF"),1,IF(L161="RHI_ULT",Boss参数!$B$52,0))</f>
        <v>0</v>
      </c>
      <c r="EZ161" s="1">
        <f>MIN(6,SUMIFS($EY$3:EY161,$EX$3:EX161,"&gt;="&amp;MAX(1,EX161-Boss参数!$B$87+1),$EX$3:EX161,"&lt;="&amp;EX161))</f>
        <v>0</v>
      </c>
      <c r="FA161" s="1">
        <f t="shared" si="208"/>
        <v>0</v>
      </c>
      <c r="FB161" s="17">
        <f>IF(L161="BOSS_CONSERVATIVE",B161+Boss参数!$B$91,FB160)</f>
        <v>7</v>
      </c>
      <c r="FC161" s="17">
        <f t="shared" si="209"/>
        <v>0</v>
      </c>
      <c r="FD161" s="17">
        <f>IF(D161="",FD160,FD160+IF(AND(DG161&lt;&gt;DG160,INDEX(回合状态!$C$7:$C$17,MATCH(DG161,回合状态!$A$7:$A$17,0))&lt;&gt;"洞穿"),1,0))</f>
        <v>8</v>
      </c>
      <c r="FE161" s="17">
        <f>IF(D161="",0,IF(AND(OR(L161="END_TURN",DH161="敌方"),INDEX(回合状态!$C$7:$C$17,MATCH(DG161,回合状态!$A$7:$A$17,0))&lt;&gt;"洞穿",SUMIFS($FE$3:FE160,$DG$3:DG160,DG161)=0),1,0))</f>
        <v>0</v>
      </c>
    </row>
    <row r="162" spans="1:161" ht="84.95" customHeight="1">
      <c r="A162" s="1" t="str">
        <f>行动模拟!A168</f>
        <v/>
      </c>
      <c r="B162" s="1">
        <f>IF(D162="",0,INDEX(回合状态!$B$7:$B$17,MATCH(DG162,回合状态!$A$7:$A$17,0)))</f>
        <v>0</v>
      </c>
      <c r="C162" s="1">
        <f>行动模拟!C168</f>
        <v>0</v>
      </c>
      <c r="D162" s="1" t="str">
        <f>IF(行动模拟!D168="","",行动模拟!D168)</f>
        <v/>
      </c>
      <c r="E162" s="1" t="str">
        <f>IF($D162="","",IFERROR(INDEX(技能数据库!$B$4:$B$38,MATCH($D162,技能数据库!$A$4:$A$38,0)),""))</f>
        <v/>
      </c>
      <c r="F162" s="1" t="str">
        <f>IF($D162="","",IFERROR(INDEX(技能数据库!$C$4:$C$38,MATCH($D162,技能数据库!$A$4:$A$38,0)),""))</f>
        <v/>
      </c>
      <c r="G162" s="1" t="str">
        <f>IF($D162="","",IFERROR(INDEX(技能数据库!$D$4:$D$38,MATCH($D162,技能数据库!$A$4:$A$38,0)),""))</f>
        <v/>
      </c>
      <c r="H162" s="1" t="str">
        <f>IF($D162="","",IFERROR(INDEX(技能数据库!$E$4:$E$38,MATCH($D162,技能数据库!$A$4:$A$38,0)),""))</f>
        <v/>
      </c>
      <c r="I162" s="1" t="str">
        <f>IF($D162="","",IFERROR(INDEX(技能数据库!$F$4:$F$38,MATCH($D162,技能数据库!$A$4:$A$38,0)),""))</f>
        <v/>
      </c>
      <c r="J162" s="1" t="str">
        <f>IF($D162="","",IFERROR(INDEX(技能数据库!$G$4:$G$38,MATCH($D162,技能数据库!$A$4:$A$38,0)),""))</f>
        <v/>
      </c>
      <c r="K162" s="1" t="str">
        <f>IF($D162="","",IFERROR(INDEX(技能数据库!$H$4:$H$38,MATCH($D162,技能数据库!$A$4:$A$38,0)),""))</f>
        <v/>
      </c>
      <c r="L162" s="1" t="str">
        <f>IF($D162="","",IFERROR(INDEX(技能数据库!$I$4:$I$38,MATCH($D162,技能数据库!$A$4:$A$38,0)),""))</f>
        <v/>
      </c>
      <c r="M162" s="1">
        <v>1</v>
      </c>
      <c r="N162" s="1"/>
      <c r="O162" s="1"/>
      <c r="P162" s="1"/>
      <c r="Q162" s="1">
        <f t="shared" si="140"/>
        <v>0</v>
      </c>
      <c r="R162" s="1">
        <v>0</v>
      </c>
      <c r="S162" s="1">
        <v>0</v>
      </c>
      <c r="T162" s="1">
        <f>行动模拟!I168</f>
        <v>0</v>
      </c>
      <c r="U162" s="1">
        <f>IF(FD162&lt;&gt;FD161,IF(BY161=1,IF(MIN(10,CA161+IF(AND(DG162&lt;&gt;DG161,DH161&lt;&gt;"洞穿",SUMIFS($FE$3:FE161,$DG$3:DG161,DG161)=0,BY161=1),3,0))&gt;=10,2,1),IF(BY161=2,IF(BZ161&lt;=1,0,2),0)),BY161)</f>
        <v>2</v>
      </c>
      <c r="V162" s="1">
        <f>IF(FD162&lt;&gt;FD161,IF(BY161=1,IF(MIN(10,CA161+IF(AND(DG162&lt;&gt;DG161,DH161&lt;&gt;"洞穿",SUMIFS($FE$3:FE161,$DG$3:DG161,DG161)=0,BY161=1),3,0))&gt;=10,2,0),IF(BY161=2,MAX(0,BZ161-1),0)),BZ161)</f>
        <v>1</v>
      </c>
      <c r="W162" s="1">
        <f>IF(AND(FD162&lt;&gt;FD161,BY161=2,BZ161&lt;=1),0,MIN(10,CA161+IF(AND(DG162&lt;&gt;DG161,DH161&lt;&gt;"洞穿",SUMIFS($FE$3:FE161,$DG$3:DG161,DG161)=0,BY161=1),3,0)))</f>
        <v>10</v>
      </c>
      <c r="X162" s="1">
        <f t="shared" si="182"/>
        <v>13</v>
      </c>
      <c r="Y162" s="1">
        <f t="shared" si="183"/>
        <v>0</v>
      </c>
      <c r="Z162" s="1">
        <f t="shared" si="184"/>
        <v>0</v>
      </c>
      <c r="AA162" s="1">
        <f t="shared" si="185"/>
        <v>0</v>
      </c>
      <c r="AB162" s="1">
        <f t="shared" si="186"/>
        <v>10</v>
      </c>
      <c r="AC162" s="1">
        <f t="shared" si="187"/>
        <v>1</v>
      </c>
      <c r="AD162" s="1">
        <f t="shared" si="188"/>
        <v>35</v>
      </c>
      <c r="AE162" s="1">
        <f>IF(D162="",0,IF(DG162&lt;&gt;DG161,IFERROR(INDEX(回合状态!$F$7:$F$17,MATCH(DG162,回合状态!$A$7:$A$17,0)),0),CI161))</f>
        <v>0</v>
      </c>
      <c r="AF162" s="1">
        <f t="shared" si="189"/>
        <v>0.875</v>
      </c>
      <c r="AG162" s="1">
        <f t="shared" si="190"/>
        <v>9</v>
      </c>
      <c r="AH162" s="1">
        <f t="shared" si="191"/>
        <v>9</v>
      </c>
      <c r="AI162" s="1">
        <f t="shared" si="192"/>
        <v>8</v>
      </c>
      <c r="AJ162" s="1">
        <f t="shared" si="193"/>
        <v>9</v>
      </c>
      <c r="AK162" s="1">
        <f t="shared" si="194"/>
        <v>8</v>
      </c>
      <c r="AL162" s="1">
        <f t="shared" si="195"/>
        <v>3</v>
      </c>
      <c r="AM162" s="1">
        <f t="shared" si="196"/>
        <v>30</v>
      </c>
      <c r="AN162" s="1">
        <f t="shared" si="197"/>
        <v>9</v>
      </c>
      <c r="AO162" s="1">
        <f t="shared" si="198"/>
        <v>0</v>
      </c>
      <c r="AP162" s="1" t="e">
        <f t="shared" si="199"/>
        <v>#VALUE!</v>
      </c>
      <c r="AQ162" s="1" t="e">
        <f t="shared" si="200"/>
        <v>#VALUE!</v>
      </c>
      <c r="AR162" s="1">
        <f t="shared" si="201"/>
        <v>0.3</v>
      </c>
      <c r="AS162" s="1">
        <f t="shared" si="202"/>
        <v>9</v>
      </c>
      <c r="AT162" s="1">
        <f t="shared" si="203"/>
        <v>0.3</v>
      </c>
      <c r="AU162" s="1">
        <f t="shared" si="204"/>
        <v>9</v>
      </c>
      <c r="AV162" s="1">
        <f>MIN(5,SUMIFS($EL$3:EL162,$B$3:B162,"&gt;="&amp;MAX(1,B162-2),$B$3:B162,"&lt;="&amp;B162)+EC162)</f>
        <v>0</v>
      </c>
      <c r="AW162" s="1">
        <f>MIN(6,SUMIFS($EY$3:EY161,$EX$3:EX161,"&gt;="&amp;MAX(1,EX162-Boss参数!$B$87+1),$EX$3:EX161,"&lt;="&amp;EX162))</f>
        <v>0</v>
      </c>
      <c r="AX162" s="1">
        <f>MIN(4,COUNTIFS($B$3:$B$161,"&gt;="&amp;MAX(1,$B162-2),$B$3:$B$161,"&lt;="&amp;$B162,$L$3:$L$161,"37_FOLLOW"))</f>
        <v>0</v>
      </c>
      <c r="AY162" s="1" t="str">
        <f>IF($E162="","",IF($E162="系统",0,ROUNDDOWN(INDEX(角色面板!$C$4:$C$7,MATCH($E162,角色面板!$A$4:$A$7,0))*(1+INDEX(角色面板!$C$11:$C$14,MATCH($E162,角色面板!$A$11:$A$14,0))+IF($E162="小瑞安侬",MAX(IF($B162&lt;=$AQ162,$AP162,0),IF(AND($L162="RHI_ATTACK",$EE162&gt;0),0.11+0.01*$G162,0)),0)+IF($E162="J",$AD162*Boss参数!$B$18,0))+IF(FD162&lt;=$AN162,MIN(Boss参数!$B$21,ROUNDDOWN(角色面板!$C$19*Boss参数!$B$20,0)),0)+IF(AND($B162&lt;=$AK162,$E162&lt;&gt;"小瑞安侬"),$DY162,0),0)))</f>
        <v/>
      </c>
      <c r="AZ162" s="1" t="str">
        <f>IF($E162="","",MAX(0,MIN(1,IFERROR(INDEX(角色面板!$G$18:$G$21,MATCH($E162,角色面板!$A$18:$A$21,0)),0)-FC162*Boss参数!$B$89-Boss参数!$E$4)))</f>
        <v/>
      </c>
      <c r="BA162" s="1" t="str">
        <f>IF(E162="","",(IF($E162="","",IF($E162="红弩箭",Boss参数!$B$80,IF($E162="J",Boss参数!$B$81,IFERROR(INDEX(角色面板!$H$18:$H$21,MATCH($E162,角色面板!$A$18:$A$21,0)),0)))+IF($B162&lt;=$AI162,Boss参数!$B$13,0)+MIN(30,$AM162)*Boss参数!$B$17+IF(AND($L162="LILYA_ULT",$X162&gt;=6),1,0)+IF(AND($Y162=1,$L162="LILYA_INSIGHT"),IF(MOD($AA162+1,3)=0,Boss参数!$B$83,Boss参数!$B$82),IF(AND($Y162=1,$L162="LILYA_FINISH"),Boss参数!$B$84,0))))-FC162*Boss参数!$B$90)</f>
        <v/>
      </c>
      <c r="BB162" s="1" t="str">
        <f>IF($E162="","",IFERROR(INDEX(角色面板!$M$18:$M$21,MATCH($E162,角色面板!$A$18:$A$21,0)),0)+$AW162*Boss参数!$B$12+IF($B162&lt;=$AG162,$AF162,0)+$EI162+IF($L162="LILYA_DIVE",IF($U162=1,IF($G162=1,0.3,IF($G162=2,0.4,0.5)),IF($U162=2,IF($G162=1,0.6,IF($G162=2,0.8,1)),0)),0)+$R162+IF(AND($E162="J",OR($L162="J_COUNTER",$L162="J_HARD")),Boss参数!$B$79,0)+IF(AND(OR(L162="J_COUNTER",L162="J_HARD"),FA162&gt;=Boss参数!$B$59),FA162*Boss参数!$B$40,0))</f>
        <v/>
      </c>
      <c r="BC162" s="1" t="e">
        <f>IF($E162="","",IFERROR(INDEX(角色面板!$K$18:$K$21,MATCH($E162,角色面板!$A$18:$A$21,0)),0)+IF($B162&lt;=$AH162,Boss参数!$B$46,0)+IF($E162="红弩箭",IF($U162=1,0.6,IF($U162=2,1.2,0))+$W162*0.06,0))-DI162*Boss参数!$B$23</f>
        <v>#VALUE!</v>
      </c>
      <c r="BD162" s="1" t="e">
        <f>IF($E162="","",IFERROR(INDEX(角色面板!$L$18:$L$21,MATCH($E162,角色面板!$A$18:$A$21,0)),0)+IF($B162&lt;=$AH162,Boss参数!$B$46,0)+IF($E162="J",$AL162*Boss参数!$B$16,0)+IF($E162="红弩箭",$X162*0.025,0)+IF(AND($L162="LILYA_ULT",$X162&gt;=6),1,0))-DI162*Boss参数!$B$23</f>
        <v>#VALUE!</v>
      </c>
      <c r="BE162" s="1" t="str">
        <f>IF($E162="","",IF($H162="洞知",IF($E162="红弩箭",$AO162*Boss参数!$B$15,0)+$AX162*Boss参数!$B$14,0))</f>
        <v/>
      </c>
      <c r="BF162" s="1">
        <f t="shared" si="141"/>
        <v>0</v>
      </c>
      <c r="BG162" s="1">
        <f>IF($D162="",0,IF(AND($L162&lt;&gt;"LILYA_DIVE",$L162&lt;&gt;"LILYA_ULT",$L162&lt;&gt;"LILYA_INSIGHT",$L162&lt;&gt;"LILYA_FINISH",$L162&lt;&gt;"37_FOLLOW",$L162&lt;&gt;"RHI_ATTACK",$L162&lt;&gt;"RHI_BERRY",$L162&lt;&gt;"J_COUNTER",$L162&lt;&gt;"J_ULT"),$J162,0)+IF($L162="LILYA_DIVE",$J162+IF($U162=1,IF($G162=1,6,IF($G162=2,12,18)),IF($U162=2,IF($G162=1,12,IF($G162=2,24,36)),0)),0)+IF($L162="LILYA_ULT",$J162+IF($X162&gt;=6,18,0),0)+IF($L162="LILYA_INSIGHT",IF($Y162=1,IF(MOD($AA162+1,3)=0,32,15),0),0)+IF($L162="LILYA_FINISH",IF($Y162=1,50+2.5*$Z162,0),0)+IF($L162="37_FOLLOW",$J162,0)+IF($L162="RHI_ATTACK",$J162*IF($B162&lt;=$AJ162,2,1),0)+IF($L162="RHI_BERRY",15+1.5*$AV162,0)+IF($L162="J_COUNTER",$J162+$AD162*Boss参数!$B$39,0)+IF($L162="J_ULT",$J162+Boss参数!$B$45*MAX(0,$AE162+$AD162-Boss参数!$I$4),0)+$S162)</f>
        <v>0</v>
      </c>
      <c r="BH162" s="1">
        <f t="shared" si="142"/>
        <v>0</v>
      </c>
      <c r="BI162" s="1" t="str">
        <f>IF(E162="","",IF(DT162=1,1+Boss参数!$B$8+AV162*Boss参数!$B$19,1))</f>
        <v/>
      </c>
      <c r="BJ162" s="1">
        <f>IF($I162="现实",Boss参数!$C$4,IF($I162="精神",Boss参数!$D$4,0))</f>
        <v>0</v>
      </c>
      <c r="BK162" s="1" t="str">
        <f>IF($E162="","",MAX($AY162*Boss参数!$B$9,$AY162-$BJ162*(1-$BF162)))</f>
        <v/>
      </c>
      <c r="BL162" s="1">
        <f>MAX(0,Boss参数!$F$4+IF(DT162=0,Boss参数!$B$27,0)-EJ162)</f>
        <v>1.25</v>
      </c>
      <c r="BM162" s="1">
        <f>Boss参数!$G$4+DU162-IF(Y162=1,Boss参数!$B$11,0)</f>
        <v>0.4</v>
      </c>
      <c r="BN162" s="1" t="str">
        <f>IF($E162="","",MAX(Boss参数!$B$10,1+IFERROR(INDEX(角色面板!$I$18:$I$21,MATCH($E162,角色面板!$A$18:$A$21,0)),0)+$BB162+Boss参数!$H$4-$BM162))</f>
        <v/>
      </c>
      <c r="BO162" s="1" t="str">
        <f>IF(E162="","",IF(OR(L162="J_COUNTER",L162="J_HARD"),MAX(0,1+INDEX(角色面板!$K$18:$K$21,MATCH(E162,角色面板!$A$18:$A$21,0))-DI162*Boss参数!$B$23+IF(OR(Boss参数!$B$43=1,L162="J_HARD"),IF(B162&lt;=AH162,Boss参数!$B$46,0),0)),MAX(0,IF(OR(H162="术法",L162="RHI_BERRY",AND(L162="37_FOLLOW",Boss参数!$B$31=1)),1+BC162,IF(H162="仪式",1+BD162,IF(H162="洞知",EK162,1))))))</f>
        <v/>
      </c>
      <c r="BP162" s="1" t="str">
        <f t="shared" si="143"/>
        <v/>
      </c>
      <c r="BQ162" s="1">
        <f t="shared" si="144"/>
        <v>0</v>
      </c>
      <c r="BR162" s="1">
        <f t="shared" si="145"/>
        <v>0</v>
      </c>
      <c r="BS162" s="1">
        <f>IF(BH162=0,0,ROUNDDOWN(AY162*BH162,0)*DV162*IF(Boss参数!$B$29=1,BN162,1)*IF(Boss参数!$B$33=1,BO162,1)*IF(Boss参数!$B$76=1,1-ES162,1))</f>
        <v>0</v>
      </c>
      <c r="BT162" s="1">
        <f t="shared" si="146"/>
        <v>0</v>
      </c>
      <c r="BU162" s="1">
        <f>IF(D162="",0,MIN(IF(Boss参数!$B$77=1,Boss参数!$B$63*Boss参数!$B$62,Boss参数!$B$61*Boss参数!$B$62),DW162+ROUNDDOWN(BS162,0)+ROUNDDOWN(DW162*Q162,0)))</f>
        <v>0</v>
      </c>
      <c r="BV162" s="1">
        <f>IF(D162="",0,MIN(IF(Boss参数!$B$77=1,Boss参数!$B$63*Boss参数!$B$62,Boss参数!$B$61*Boss参数!$B$62),DX162+ROUNDDOWN(BT162,0)+ROUNDDOWN(DX162*Q162,0)))</f>
        <v>0</v>
      </c>
      <c r="BW162" s="1">
        <f t="shared" si="147"/>
        <v>0</v>
      </c>
      <c r="BX162" s="1" t="str">
        <f t="shared" si="148"/>
        <v/>
      </c>
      <c r="BY162" s="1">
        <f t="shared" si="149"/>
        <v>2</v>
      </c>
      <c r="BZ162" s="1">
        <f t="shared" si="150"/>
        <v>1</v>
      </c>
      <c r="CA162" s="1">
        <f>MIN(10,W162+IF(AND(L162="LILYA_COBRA",COUNTIF($L$3:L162,"LILYA_COBRA")=1),5,0)+IF(AND(L162="LILYA_DIVE",U162=1,COUNTIFS($DG$3:DG162,DG162,$L$3:L162,"LILYA_DIVE")=1),2,0)+IF(AND(FE162=1,U162=1),3,0))</f>
        <v>10</v>
      </c>
      <c r="CB162" s="1">
        <f>MIN(20,MAX(0,X162+IF(L162="LILYA_COBRA",IF(COUNTIF($L$3:L162,"LILYA_COBRA")=1,6,IF(U162=1,MAX(1,G162),IF(U162=2,2*MAX(1,G162),0))),0)+IF(AND(Y162=1,E162="红弩箭",L162&lt;&gt;"ENTER_INSIGHT"),1,0)-IF(AND(L162="LILYA_ULT",X162&gt;=6),6,0)))</f>
        <v>13</v>
      </c>
      <c r="CC162" s="1">
        <f t="shared" si="151"/>
        <v>0</v>
      </c>
      <c r="CD162" s="1">
        <f t="shared" si="152"/>
        <v>0</v>
      </c>
      <c r="CE162" s="1">
        <f t="shared" si="153"/>
        <v>0</v>
      </c>
      <c r="CF162" s="1">
        <f t="shared" si="154"/>
        <v>10</v>
      </c>
      <c r="CG162" s="1">
        <f t="shared" si="155"/>
        <v>1</v>
      </c>
      <c r="CH162" s="1">
        <f>MIN(35,AD162+IF(L162="J_HARD",6,0)+IF(L162="J_COUNTER",Boss参数!$B$30,0))</f>
        <v>35</v>
      </c>
      <c r="CI162" s="1">
        <f>MIN(Boss参数!$I$4,AE162+IF(L162="J_HARD",6,0)+IF(L162="J_ULT",AD162,0)+IF(L162="J_COUNTER",Boss参数!$B$30,0))</f>
        <v>0</v>
      </c>
      <c r="CJ162" s="1">
        <f>IF(L162="J_ULT",AD162*Boss参数!$B$41,IF(B162&lt;=AG162,AF162,0))</f>
        <v>0.875</v>
      </c>
      <c r="CK162" s="1">
        <f t="shared" si="156"/>
        <v>9</v>
      </c>
      <c r="CL162" s="1">
        <f t="shared" si="157"/>
        <v>9</v>
      </c>
      <c r="CM162" s="1">
        <f t="shared" si="158"/>
        <v>8</v>
      </c>
      <c r="CN162" s="1">
        <f t="shared" si="159"/>
        <v>9</v>
      </c>
      <c r="CO162" s="1">
        <f t="shared" si="160"/>
        <v>8</v>
      </c>
      <c r="CP162" s="1">
        <f t="shared" si="161"/>
        <v>3</v>
      </c>
      <c r="CQ162" s="1">
        <f t="shared" si="162"/>
        <v>30</v>
      </c>
      <c r="CR162" s="1">
        <f t="shared" si="163"/>
        <v>9</v>
      </c>
      <c r="CS162" s="1">
        <f t="shared" si="164"/>
        <v>0</v>
      </c>
      <c r="CT162" s="1" t="e">
        <f t="shared" si="165"/>
        <v>#VALUE!</v>
      </c>
      <c r="CU162" s="1" t="e">
        <f t="shared" si="166"/>
        <v>#VALUE!</v>
      </c>
      <c r="CV162" s="1">
        <f t="shared" si="167"/>
        <v>0.3</v>
      </c>
      <c r="CW162" s="1">
        <f t="shared" si="168"/>
        <v>9</v>
      </c>
      <c r="CX162" s="1">
        <f t="shared" si="169"/>
        <v>0.3</v>
      </c>
      <c r="CY162" s="1">
        <f t="shared" si="170"/>
        <v>9</v>
      </c>
      <c r="CZ162" s="1"/>
      <c r="DA162" s="1"/>
      <c r="DB162" s="1"/>
      <c r="DC162" s="1"/>
      <c r="DD162" s="1"/>
      <c r="DE162" s="1"/>
      <c r="DF162" s="1"/>
      <c r="DG162" s="1" t="str">
        <f>IF(D162="","",行动模拟!B168)</f>
        <v/>
      </c>
      <c r="DH162" s="1" t="str">
        <f>IF(L162="END_TURN","回合结束",IF(D162="","",IF(INDEX(回合状态!$C$7:$C$17,MATCH(DG162,回合状态!$A$7:$A$17,0))="洞穿","洞穿",IF(OR(L162="J_COUNTER",L162="BOSS_ACTION",L162="BOSS_CONSERVATIVE"),"敌方",IF(AND(L162="37_FOLLOW",DG162=DG161,DH161="敌方"),"敌方",IF(INDEX(回合状态!$C$7:$C$17,MATCH(DG162,回合状态!$A$7:$A$17,0))="普通","出牌",INDEX(回合状态!$C$7:$C$17,MATCH(DG162,回合状态!$A$7:$A$17,0))))))))</f>
        <v/>
      </c>
      <c r="DI162" s="1">
        <f t="shared" si="171"/>
        <v>0</v>
      </c>
      <c r="DJ162" s="1">
        <f>IF(D162="",0,MIN(Boss参数!$B$25,IF(OR(AND(DH162="敌方",OR(DH161&lt;&gt;"敌方",DG162&lt;&gt;DG161)),AND(L162="END_TURN",DH162&lt;&gt;"洞穿"),AND(DG162&lt;&gt;DG161,DH161&lt;&gt;"洞穿",L161&lt;&gt;"END_TURN",COUNTIFS($DG$3:DG161,DG161,$DH$3:DH161,"敌方")=0)),EW162,DN161)))</f>
        <v>0</v>
      </c>
      <c r="DK162" s="1">
        <f>IF(D162="",0,MIN(Boss参数!$B$25,IF(OR(AND(DH162="敌方",OR(DH161&lt;&gt;"敌方",DG162&lt;&gt;DG161)),AND(L162="END_TURN",DH162&lt;&gt;"洞穿"),AND(DG162&lt;&gt;DG161,DH161&lt;&gt;"洞穿",L161&lt;&gt;"END_TURN",COUNTIFS($DG$3:DG161,DG161,$DH$3:DH161,"敌方")=0)),EW162,DO161)))</f>
        <v>0</v>
      </c>
      <c r="DL162" s="1">
        <f>IF(D162="",0,MIN(Boss参数!$B$25,IF(OR(AND(DH162="敌方",OR(DH161&lt;&gt;"敌方",DG162&lt;&gt;DG161)),AND(L162="END_TURN",DH162&lt;&gt;"洞穿"),AND(DG162&lt;&gt;DG161,DH161&lt;&gt;"洞穿",L161&lt;&gt;"END_TURN",COUNTIFS($DG$3:DG161,DG161,$DH$3:DH161,"敌方")=0)),EW162,DP161)))</f>
        <v>0</v>
      </c>
      <c r="DM162" s="1">
        <f>IF(D162="",0,MIN(Boss参数!$B$25,IF(OR(AND(DH162="敌方",OR(DH161&lt;&gt;"敌方",DG162&lt;&gt;DG161)),AND(L162="END_TURN",DH162&lt;&gt;"洞穿"),AND(DG162&lt;&gt;DG161,DH161&lt;&gt;"洞穿",L161&lt;&gt;"END_TURN",COUNTIFS($DG$3:DG161,DG161,$DH$3:DH161,"敌方")=0)),EW162,DQ161)))</f>
        <v>0</v>
      </c>
      <c r="DN162" s="1">
        <f>MAX(0,MIN(Boss参数!$B$25,DJ162+DR162)-IF(E162="红弩箭",2*DR162,0))</f>
        <v>0</v>
      </c>
      <c r="DO162" s="1">
        <f>MAX(0,MIN(Boss参数!$B$25,DK162+DR162)-IF(E162="37",2*DR162,0))</f>
        <v>0</v>
      </c>
      <c r="DP162" s="1">
        <f>MAX(0,MIN(Boss参数!$B$25,DL162+DR162)-IF(E162="小瑞安侬",2*DR162,0))</f>
        <v>0</v>
      </c>
      <c r="DQ162" s="1">
        <f>MAX(0,MIN(Boss参数!$B$25,DM162+DR162)-IF(E162="J",2*DR162,0))</f>
        <v>0</v>
      </c>
      <c r="DR162" s="1">
        <f t="shared" si="172"/>
        <v>0</v>
      </c>
      <c r="DS162" s="1">
        <f t="shared" si="173"/>
        <v>0</v>
      </c>
      <c r="DT162" s="1">
        <f>IF(OR(E162="",E162="系统"),0,IF(OR(AND(DS162=1,Boss参数!$B$32=1),L162="RHI_BERRY",OR(AND(INDEX(角色面板!$B$18:$B$21,MATCH(E162,角色面板!$A$18:$A$21,0))="星",Boss参数!$B$4="岩"),AND(INDEX(角色面板!$B$18:$B$21,MATCH(E162,角色面板!$A$18:$A$21,0))="岩",Boss参数!$B$4="兽"),AND(INDEX(角色面板!$B$18:$B$21,MATCH(E162,角色面板!$A$18:$A$21,0))="兽",Boss参数!$B$4="木"),AND(INDEX(角色面板!$B$18:$B$21,MATCH(E162,角色面板!$A$18:$A$21,0))="木",Boss参数!$B$4="星"),AND(INDEX(角色面板!$B$18:$B$21,MATCH(E162,角色面板!$A$18:$A$21,0))="智",Boss参数!$B$4="灵"),AND(INDEX(角色面板!$B$18:$B$21,MATCH(E162,角色面板!$A$18:$A$21,0))="灵",Boss参数!$B$4="智"))),1,0))</f>
        <v>0</v>
      </c>
      <c r="DU162" s="1">
        <f>IF(D162="",0,INDEX(回合状态!$E$7:$E$17,MATCH(DG162,回合状态!$A$7:$A$17,0))+IF(AND(DH162="敌方",OR(INDEX(回合状态!$C$7:$C$17,MATCH(DG162,回合状态!$A$7:$A$17,0))="普通",INDEX(回合状态!$C$7:$C$17,MATCH(DG162,回合状态!$A$7:$A$17,0))="额外")),0.05,0))</f>
        <v>0</v>
      </c>
      <c r="DV162" s="1">
        <f>MAX(Boss参数!$B$28,1+IF(AND(E162="37",AC162&gt;0,BH162&gt;0),Boss参数!$B$42,0)-DI162*Boss参数!$B$24+EA162-ER162)</f>
        <v>9.9999999999999978E-2</v>
      </c>
      <c r="DW162" s="1">
        <f>MIN(IF(Boss参数!$B$77=1,Boss参数!$B$63*Boss参数!$B$62,Boss参数!$B$61*Boss参数!$B$62),ROUNDDOWN(BQ162*(1-ES162),0))</f>
        <v>0</v>
      </c>
      <c r="DX162" s="1">
        <f>MIN(IF(Boss参数!$B$77=1,Boss参数!$B$63*Boss参数!$B$62,Boss参数!$B$61*Boss参数!$B$62),ROUNDDOWN(BR162*(1-ES162),0))</f>
        <v>0</v>
      </c>
      <c r="DY162" s="1">
        <f t="shared" si="205"/>
        <v>250</v>
      </c>
      <c r="DZ162" s="1">
        <f>IF(L162="RHI_ULT",MIN(Boss参数!$B$48,ROUNDDOWN(AY162*Boss参数!$B$47,0)),DY162)</f>
        <v>250</v>
      </c>
      <c r="EA162" s="1">
        <v>0</v>
      </c>
      <c r="EB162" s="1">
        <f t="shared" si="174"/>
        <v>0</v>
      </c>
      <c r="EC162" s="1">
        <f>SUMIFS($EB$3:EB162,$B$3:B162,"&gt;="&amp;MAX(1,B162-2),$B$3:B162,"&lt;="&amp;B162)*Boss参数!$B$51</f>
        <v>0</v>
      </c>
      <c r="ED162" s="1">
        <f>IF(D162="",EG161,IF(AND(DG162&lt;&gt;DG161,DH162&lt;&gt;"洞穿"),MIN(Boss参数!$B$55,EG161+2),EG161))</f>
        <v>0</v>
      </c>
      <c r="EE162" s="1">
        <f t="shared" si="175"/>
        <v>0</v>
      </c>
      <c r="EF162" s="1">
        <f>IF(AND(OR(L162="END_TURN",AND(DH162="敌方",OR(DH161&lt;&gt;"敌方",DG162&lt;&gt;DG161))),SUMIFS($EF$3:EF161,$DG$3:DG161,DG162)=0),MIN(1,MAX(0,ED162-EE162)),0)</f>
        <v>0</v>
      </c>
      <c r="EG162" s="1">
        <f t="shared" si="176"/>
        <v>0</v>
      </c>
      <c r="EH162" s="1">
        <f>Boss参数!$B$53-IF(Y162=1,Boss参数!$B$54,0)</f>
        <v>0</v>
      </c>
      <c r="EI162" s="1">
        <f t="shared" si="177"/>
        <v>0.15</v>
      </c>
      <c r="EJ162" s="1">
        <f t="shared" si="178"/>
        <v>0.15</v>
      </c>
      <c r="EK162" s="1" t="e">
        <f t="shared" si="179"/>
        <v>#VALUE!</v>
      </c>
      <c r="EL162" s="1">
        <f t="shared" si="206"/>
        <v>0</v>
      </c>
      <c r="EM162" s="1">
        <f>IF(AND(DG162&lt;&gt;DG161,DH162="洞穿"),0,IF(L162="ENTER_INSIGHT",Boss参数!$B$57,EO161))</f>
        <v>0</v>
      </c>
      <c r="EN162" s="1">
        <f>IF(AND(Y162=1,H162="洞知",EM162&gt;0),Boss参数!$B$56,0)</f>
        <v>0</v>
      </c>
      <c r="EO162" s="1">
        <f t="shared" si="180"/>
        <v>0</v>
      </c>
      <c r="EP162" s="1">
        <f t="shared" si="207"/>
        <v>23210479</v>
      </c>
      <c r="EQ162" s="1">
        <f>ROUNDDOWN(EP162/Boss参数!$B$62,0)</f>
        <v>232</v>
      </c>
      <c r="ER162" s="1">
        <f>IF(EQ162&gt;=Boss参数!$B$66,Boss参数!$B$69,IF(EQ162&gt;=Boss参数!$B$65,Boss参数!$B$68,IF(EQ162&gt;=Boss参数!$B$64,Boss参数!$B$67,0)))</f>
        <v>0.9</v>
      </c>
      <c r="ES162" s="1">
        <f>MIN(1,IF(EQ162&gt;=Boss参数!$B$66,Boss参数!$B$72+ROUNDDOWN((EQ162-Boss参数!$B$66)/Boss参数!$B$73,0)*Boss参数!$B$74,IF(EQ162&gt;=Boss参数!$B$65,Boss参数!$B$71,IF(EQ162&gt;=Boss参数!$B$64,Boss参数!$B$70,0))))</f>
        <v>0.65</v>
      </c>
      <c r="ET162" s="1">
        <f>MIN(Boss参数!$B$61*Boss参数!$B$62,EP162+IF(AND(Boss参数!$B$60=1,ISNUMBER(验证表!H168)),验证表!H168,EU162))</f>
        <v>23210479</v>
      </c>
      <c r="EU162" s="1">
        <f>IF(D162="",0,IF(验证表!G168="是",BV162,IF(验证表!G168="否",BU162,BW162)))</f>
        <v>0</v>
      </c>
      <c r="EV162" s="1">
        <f>IF(EQ162&gt;=Boss参数!$B$66,2,IF(EQ162&gt;=Boss参数!$B$65,1,0))</f>
        <v>2</v>
      </c>
      <c r="EW162" s="1">
        <f t="shared" si="181"/>
        <v>3</v>
      </c>
      <c r="EX162" s="1">
        <f>IF(D162="",0,INDEX(回合状态!$D$7:$D$17,MATCH(DG162,回合状态!$A$7:$A$17,0)))</f>
        <v>0</v>
      </c>
      <c r="EY162" s="1">
        <f>IF(OR(L162="RHI_ATTACK",L162="RHI_BUFF"),1,IF(L162="RHI_ULT",Boss参数!$B$52,0))</f>
        <v>0</v>
      </c>
      <c r="EZ162" s="1">
        <f>MIN(6,SUMIFS($EY$3:EY162,$EX$3:EX162,"&gt;="&amp;MAX(1,EX162-Boss参数!$B$87+1),$EX$3:EX162,"&lt;="&amp;EX162))</f>
        <v>0</v>
      </c>
      <c r="FA162" s="1">
        <f t="shared" si="208"/>
        <v>0</v>
      </c>
      <c r="FB162" s="17">
        <f>IF(L162="BOSS_CONSERVATIVE",B162+Boss参数!$B$91,FB161)</f>
        <v>7</v>
      </c>
      <c r="FC162" s="17">
        <f t="shared" si="209"/>
        <v>0</v>
      </c>
      <c r="FD162" s="17">
        <f>IF(D162="",FD161,FD161+IF(AND(DG162&lt;&gt;DG161,INDEX(回合状态!$C$7:$C$17,MATCH(DG162,回合状态!$A$7:$A$17,0))&lt;&gt;"洞穿"),1,0))</f>
        <v>8</v>
      </c>
      <c r="FE162" s="17">
        <f>IF(D162="",0,IF(AND(OR(L162="END_TURN",DH162="敌方"),INDEX(回合状态!$C$7:$C$17,MATCH(DG162,回合状态!$A$7:$A$17,0))&lt;&gt;"洞穿",SUMIFS($FE$3:FE161,$DG$3:DG161,DG162)=0),1,0))</f>
        <v>0</v>
      </c>
    </row>
    <row r="163" spans="1:161" ht="84.95" customHeight="1">
      <c r="A163" s="1" t="str">
        <f>行动模拟!A169</f>
        <v/>
      </c>
      <c r="B163" s="1">
        <f>IF(D163="",0,INDEX(回合状态!$B$7:$B$17,MATCH(DG163,回合状态!$A$7:$A$17,0)))</f>
        <v>0</v>
      </c>
      <c r="C163" s="1">
        <f>行动模拟!C169</f>
        <v>0</v>
      </c>
      <c r="D163" s="1" t="str">
        <f>IF(行动模拟!D169="","",行动模拟!D169)</f>
        <v/>
      </c>
      <c r="E163" s="1" t="str">
        <f>IF($D163="","",IFERROR(INDEX(技能数据库!$B$4:$B$38,MATCH($D163,技能数据库!$A$4:$A$38,0)),""))</f>
        <v/>
      </c>
      <c r="F163" s="1" t="str">
        <f>IF($D163="","",IFERROR(INDEX(技能数据库!$C$4:$C$38,MATCH($D163,技能数据库!$A$4:$A$38,0)),""))</f>
        <v/>
      </c>
      <c r="G163" s="1" t="str">
        <f>IF($D163="","",IFERROR(INDEX(技能数据库!$D$4:$D$38,MATCH($D163,技能数据库!$A$4:$A$38,0)),""))</f>
        <v/>
      </c>
      <c r="H163" s="1" t="str">
        <f>IF($D163="","",IFERROR(INDEX(技能数据库!$E$4:$E$38,MATCH($D163,技能数据库!$A$4:$A$38,0)),""))</f>
        <v/>
      </c>
      <c r="I163" s="1" t="str">
        <f>IF($D163="","",IFERROR(INDEX(技能数据库!$F$4:$F$38,MATCH($D163,技能数据库!$A$4:$A$38,0)),""))</f>
        <v/>
      </c>
      <c r="J163" s="1" t="str">
        <f>IF($D163="","",IFERROR(INDEX(技能数据库!$G$4:$G$38,MATCH($D163,技能数据库!$A$4:$A$38,0)),""))</f>
        <v/>
      </c>
      <c r="K163" s="1" t="str">
        <f>IF($D163="","",IFERROR(INDEX(技能数据库!$H$4:$H$38,MATCH($D163,技能数据库!$A$4:$A$38,0)),""))</f>
        <v/>
      </c>
      <c r="L163" s="1" t="str">
        <f>IF($D163="","",IFERROR(INDEX(技能数据库!$I$4:$I$38,MATCH($D163,技能数据库!$A$4:$A$38,0)),""))</f>
        <v/>
      </c>
      <c r="M163" s="1">
        <v>1</v>
      </c>
      <c r="N163" s="1"/>
      <c r="O163" s="1"/>
      <c r="P163" s="1"/>
      <c r="Q163" s="1">
        <f t="shared" si="140"/>
        <v>0</v>
      </c>
      <c r="R163" s="1">
        <v>0</v>
      </c>
      <c r="S163" s="1">
        <v>0</v>
      </c>
      <c r="T163" s="1">
        <f>行动模拟!I169</f>
        <v>0</v>
      </c>
      <c r="U163" s="1">
        <f>IF(FD163&lt;&gt;FD162,IF(BY162=1,IF(MIN(10,CA162+IF(AND(DG163&lt;&gt;DG162,DH162&lt;&gt;"洞穿",SUMIFS($FE$3:FE162,$DG$3:DG162,DG162)=0,BY162=1),3,0))&gt;=10,2,1),IF(BY162=2,IF(BZ162&lt;=1,0,2),0)),BY162)</f>
        <v>2</v>
      </c>
      <c r="V163" s="1">
        <f>IF(FD163&lt;&gt;FD162,IF(BY162=1,IF(MIN(10,CA162+IF(AND(DG163&lt;&gt;DG162,DH162&lt;&gt;"洞穿",SUMIFS($FE$3:FE162,$DG$3:DG162,DG162)=0,BY162=1),3,0))&gt;=10,2,0),IF(BY162=2,MAX(0,BZ162-1),0)),BZ162)</f>
        <v>1</v>
      </c>
      <c r="W163" s="1">
        <f>IF(AND(FD163&lt;&gt;FD162,BY162=2,BZ162&lt;=1),0,MIN(10,CA162+IF(AND(DG163&lt;&gt;DG162,DH162&lt;&gt;"洞穿",SUMIFS($FE$3:FE162,$DG$3:DG162,DG162)=0,BY162=1),3,0)))</f>
        <v>10</v>
      </c>
      <c r="X163" s="1">
        <f t="shared" si="182"/>
        <v>13</v>
      </c>
      <c r="Y163" s="1">
        <f t="shared" si="183"/>
        <v>0</v>
      </c>
      <c r="Z163" s="1">
        <f t="shared" si="184"/>
        <v>0</v>
      </c>
      <c r="AA163" s="1">
        <f t="shared" si="185"/>
        <v>0</v>
      </c>
      <c r="AB163" s="1">
        <f t="shared" si="186"/>
        <v>10</v>
      </c>
      <c r="AC163" s="1">
        <f t="shared" si="187"/>
        <v>1</v>
      </c>
      <c r="AD163" s="1">
        <f t="shared" si="188"/>
        <v>35</v>
      </c>
      <c r="AE163" s="1">
        <f>IF(D163="",0,IF(DG163&lt;&gt;DG162,IFERROR(INDEX(回合状态!$F$7:$F$17,MATCH(DG163,回合状态!$A$7:$A$17,0)),0),CI162))</f>
        <v>0</v>
      </c>
      <c r="AF163" s="1">
        <f t="shared" si="189"/>
        <v>0.875</v>
      </c>
      <c r="AG163" s="1">
        <f t="shared" si="190"/>
        <v>9</v>
      </c>
      <c r="AH163" s="1">
        <f t="shared" si="191"/>
        <v>9</v>
      </c>
      <c r="AI163" s="1">
        <f t="shared" si="192"/>
        <v>8</v>
      </c>
      <c r="AJ163" s="1">
        <f t="shared" si="193"/>
        <v>9</v>
      </c>
      <c r="AK163" s="1">
        <f t="shared" si="194"/>
        <v>8</v>
      </c>
      <c r="AL163" s="1">
        <f t="shared" si="195"/>
        <v>3</v>
      </c>
      <c r="AM163" s="1">
        <f t="shared" si="196"/>
        <v>30</v>
      </c>
      <c r="AN163" s="1">
        <f t="shared" si="197"/>
        <v>9</v>
      </c>
      <c r="AO163" s="1">
        <f t="shared" si="198"/>
        <v>0</v>
      </c>
      <c r="AP163" s="1" t="e">
        <f t="shared" si="199"/>
        <v>#VALUE!</v>
      </c>
      <c r="AQ163" s="1" t="e">
        <f t="shared" si="200"/>
        <v>#VALUE!</v>
      </c>
      <c r="AR163" s="1">
        <f t="shared" si="201"/>
        <v>0.3</v>
      </c>
      <c r="AS163" s="1">
        <f t="shared" si="202"/>
        <v>9</v>
      </c>
      <c r="AT163" s="1">
        <f t="shared" si="203"/>
        <v>0.3</v>
      </c>
      <c r="AU163" s="1">
        <f t="shared" si="204"/>
        <v>9</v>
      </c>
      <c r="AV163" s="1">
        <f>MIN(5,SUMIFS($EL$3:EL163,$B$3:B163,"&gt;="&amp;MAX(1,B163-2),$B$3:B163,"&lt;="&amp;B163)+EC163)</f>
        <v>0</v>
      </c>
      <c r="AW163" s="1">
        <f>MIN(6,SUMIFS($EY$3:EY162,$EX$3:EX162,"&gt;="&amp;MAX(1,EX163-Boss参数!$B$87+1),$EX$3:EX162,"&lt;="&amp;EX163))</f>
        <v>0</v>
      </c>
      <c r="AX163" s="1">
        <f>MIN(4,COUNTIFS($B$3:$B$162,"&gt;="&amp;MAX(1,$B163-2),$B$3:$B$162,"&lt;="&amp;$B163,$L$3:$L$162,"37_FOLLOW"))</f>
        <v>0</v>
      </c>
      <c r="AY163" s="1" t="str">
        <f>IF($E163="","",IF($E163="系统",0,ROUNDDOWN(INDEX(角色面板!$C$4:$C$7,MATCH($E163,角色面板!$A$4:$A$7,0))*(1+INDEX(角色面板!$C$11:$C$14,MATCH($E163,角色面板!$A$11:$A$14,0))+IF($E163="小瑞安侬",MAX(IF($B163&lt;=$AQ163,$AP163,0),IF(AND($L163="RHI_ATTACK",$EE163&gt;0),0.11+0.01*$G163,0)),0)+IF($E163="J",$AD163*Boss参数!$B$18,0))+IF(FD163&lt;=$AN163,MIN(Boss参数!$B$21,ROUNDDOWN(角色面板!$C$19*Boss参数!$B$20,0)),0)+IF(AND($B163&lt;=$AK163,$E163&lt;&gt;"小瑞安侬"),$DY163,0),0)))</f>
        <v/>
      </c>
      <c r="AZ163" s="1" t="str">
        <f>IF($E163="","",MAX(0,MIN(1,IFERROR(INDEX(角色面板!$G$18:$G$21,MATCH($E163,角色面板!$A$18:$A$21,0)),0)-FC163*Boss参数!$B$89-Boss参数!$E$4)))</f>
        <v/>
      </c>
      <c r="BA163" s="1" t="str">
        <f>IF(E163="","",(IF($E163="","",IF($E163="红弩箭",Boss参数!$B$80,IF($E163="J",Boss参数!$B$81,IFERROR(INDEX(角色面板!$H$18:$H$21,MATCH($E163,角色面板!$A$18:$A$21,0)),0)))+IF($B163&lt;=$AI163,Boss参数!$B$13,0)+MIN(30,$AM163)*Boss参数!$B$17+IF(AND($L163="LILYA_ULT",$X163&gt;=6),1,0)+IF(AND($Y163=1,$L163="LILYA_INSIGHT"),IF(MOD($AA163+1,3)=0,Boss参数!$B$83,Boss参数!$B$82),IF(AND($Y163=1,$L163="LILYA_FINISH"),Boss参数!$B$84,0))))-FC163*Boss参数!$B$90)</f>
        <v/>
      </c>
      <c r="BB163" s="1" t="str">
        <f>IF($E163="","",IFERROR(INDEX(角色面板!$M$18:$M$21,MATCH($E163,角色面板!$A$18:$A$21,0)),0)+$AW163*Boss参数!$B$12+IF($B163&lt;=$AG163,$AF163,0)+$EI163+IF($L163="LILYA_DIVE",IF($U163=1,IF($G163=1,0.3,IF($G163=2,0.4,0.5)),IF($U163=2,IF($G163=1,0.6,IF($G163=2,0.8,1)),0)),0)+$R163+IF(AND($E163="J",OR($L163="J_COUNTER",$L163="J_HARD")),Boss参数!$B$79,0)+IF(AND(OR(L163="J_COUNTER",L163="J_HARD"),FA163&gt;=Boss参数!$B$59),FA163*Boss参数!$B$40,0))</f>
        <v/>
      </c>
      <c r="BC163" s="1" t="e">
        <f>IF($E163="","",IFERROR(INDEX(角色面板!$K$18:$K$21,MATCH($E163,角色面板!$A$18:$A$21,0)),0)+IF($B163&lt;=$AH163,Boss参数!$B$46,0)+IF($E163="红弩箭",IF($U163=1,0.6,IF($U163=2,1.2,0))+$W163*0.06,0))-DI163*Boss参数!$B$23</f>
        <v>#VALUE!</v>
      </c>
      <c r="BD163" s="1" t="e">
        <f>IF($E163="","",IFERROR(INDEX(角色面板!$L$18:$L$21,MATCH($E163,角色面板!$A$18:$A$21,0)),0)+IF($B163&lt;=$AH163,Boss参数!$B$46,0)+IF($E163="J",$AL163*Boss参数!$B$16,0)+IF($E163="红弩箭",$X163*0.025,0)+IF(AND($L163="LILYA_ULT",$X163&gt;=6),1,0))-DI163*Boss参数!$B$23</f>
        <v>#VALUE!</v>
      </c>
      <c r="BE163" s="1" t="str">
        <f>IF($E163="","",IF($H163="洞知",IF($E163="红弩箭",$AO163*Boss参数!$B$15,0)+$AX163*Boss参数!$B$14,0))</f>
        <v/>
      </c>
      <c r="BF163" s="1">
        <f t="shared" si="141"/>
        <v>0</v>
      </c>
      <c r="BG163" s="1">
        <f>IF($D163="",0,IF(AND($L163&lt;&gt;"LILYA_DIVE",$L163&lt;&gt;"LILYA_ULT",$L163&lt;&gt;"LILYA_INSIGHT",$L163&lt;&gt;"LILYA_FINISH",$L163&lt;&gt;"37_FOLLOW",$L163&lt;&gt;"RHI_ATTACK",$L163&lt;&gt;"RHI_BERRY",$L163&lt;&gt;"J_COUNTER",$L163&lt;&gt;"J_ULT"),$J163,0)+IF($L163="LILYA_DIVE",$J163+IF($U163=1,IF($G163=1,6,IF($G163=2,12,18)),IF($U163=2,IF($G163=1,12,IF($G163=2,24,36)),0)),0)+IF($L163="LILYA_ULT",$J163+IF($X163&gt;=6,18,0),0)+IF($L163="LILYA_INSIGHT",IF($Y163=1,IF(MOD($AA163+1,3)=0,32,15),0),0)+IF($L163="LILYA_FINISH",IF($Y163=1,50+2.5*$Z163,0),0)+IF($L163="37_FOLLOW",$J163,0)+IF($L163="RHI_ATTACK",$J163*IF($B163&lt;=$AJ163,2,1),0)+IF($L163="RHI_BERRY",15+1.5*$AV163,0)+IF($L163="J_COUNTER",$J163+$AD163*Boss参数!$B$39,0)+IF($L163="J_ULT",$J163+Boss参数!$B$45*MAX(0,$AE163+$AD163-Boss参数!$I$4),0)+$S163)</f>
        <v>0</v>
      </c>
      <c r="BH163" s="1">
        <f t="shared" si="142"/>
        <v>0</v>
      </c>
      <c r="BI163" s="1" t="str">
        <f>IF(E163="","",IF(DT163=1,1+Boss参数!$B$8+AV163*Boss参数!$B$19,1))</f>
        <v/>
      </c>
      <c r="BJ163" s="1">
        <f>IF($I163="现实",Boss参数!$C$4,IF($I163="精神",Boss参数!$D$4,0))</f>
        <v>0</v>
      </c>
      <c r="BK163" s="1" t="str">
        <f>IF($E163="","",MAX($AY163*Boss参数!$B$9,$AY163-$BJ163*(1-$BF163)))</f>
        <v/>
      </c>
      <c r="BL163" s="1">
        <f>MAX(0,Boss参数!$F$4+IF(DT163=0,Boss参数!$B$27,0)-EJ163)</f>
        <v>1.25</v>
      </c>
      <c r="BM163" s="1">
        <f>Boss参数!$G$4+DU163-IF(Y163=1,Boss参数!$B$11,0)</f>
        <v>0.4</v>
      </c>
      <c r="BN163" s="1" t="str">
        <f>IF($E163="","",MAX(Boss参数!$B$10,1+IFERROR(INDEX(角色面板!$I$18:$I$21,MATCH($E163,角色面板!$A$18:$A$21,0)),0)+$BB163+Boss参数!$H$4-$BM163))</f>
        <v/>
      </c>
      <c r="BO163" s="1" t="str">
        <f>IF(E163="","",IF(OR(L163="J_COUNTER",L163="J_HARD"),MAX(0,1+INDEX(角色面板!$K$18:$K$21,MATCH(E163,角色面板!$A$18:$A$21,0))-DI163*Boss参数!$B$23+IF(OR(Boss参数!$B$43=1,L163="J_HARD"),IF(B163&lt;=AH163,Boss参数!$B$46,0),0)),MAX(0,IF(OR(H163="术法",L163="RHI_BERRY",AND(L163="37_FOLLOW",Boss参数!$B$31=1)),1+BC163,IF(H163="仪式",1+BD163,IF(H163="洞知",EK163,1))))))</f>
        <v/>
      </c>
      <c r="BP163" s="1" t="str">
        <f t="shared" si="143"/>
        <v/>
      </c>
      <c r="BQ163" s="1">
        <f t="shared" si="144"/>
        <v>0</v>
      </c>
      <c r="BR163" s="1">
        <f t="shared" si="145"/>
        <v>0</v>
      </c>
      <c r="BS163" s="1">
        <f>IF(BH163=0,0,ROUNDDOWN(AY163*BH163,0)*DV163*IF(Boss参数!$B$29=1,BN163,1)*IF(Boss参数!$B$33=1,BO163,1)*IF(Boss参数!$B$76=1,1-ES163,1))</f>
        <v>0</v>
      </c>
      <c r="BT163" s="1">
        <f t="shared" si="146"/>
        <v>0</v>
      </c>
      <c r="BU163" s="1">
        <f>IF(D163="",0,MIN(IF(Boss参数!$B$77=1,Boss参数!$B$63*Boss参数!$B$62,Boss参数!$B$61*Boss参数!$B$62),DW163+ROUNDDOWN(BS163,0)+ROUNDDOWN(DW163*Q163,0)))</f>
        <v>0</v>
      </c>
      <c r="BV163" s="1">
        <f>IF(D163="",0,MIN(IF(Boss参数!$B$77=1,Boss参数!$B$63*Boss参数!$B$62,Boss参数!$B$61*Boss参数!$B$62),DX163+ROUNDDOWN(BT163,0)+ROUNDDOWN(DX163*Q163,0)))</f>
        <v>0</v>
      </c>
      <c r="BW163" s="1">
        <f t="shared" si="147"/>
        <v>0</v>
      </c>
      <c r="BX163" s="1" t="str">
        <f t="shared" si="148"/>
        <v/>
      </c>
      <c r="BY163" s="1">
        <f t="shared" si="149"/>
        <v>2</v>
      </c>
      <c r="BZ163" s="1">
        <f t="shared" si="150"/>
        <v>1</v>
      </c>
      <c r="CA163" s="1">
        <f>MIN(10,W163+IF(AND(L163="LILYA_COBRA",COUNTIF($L$3:L163,"LILYA_COBRA")=1),5,0)+IF(AND(L163="LILYA_DIVE",U163=1,COUNTIFS($DG$3:DG163,DG163,$L$3:L163,"LILYA_DIVE")=1),2,0)+IF(AND(FE163=1,U163=1),3,0))</f>
        <v>10</v>
      </c>
      <c r="CB163" s="1">
        <f>MIN(20,MAX(0,X163+IF(L163="LILYA_COBRA",IF(COUNTIF($L$3:L163,"LILYA_COBRA")=1,6,IF(U163=1,MAX(1,G163),IF(U163=2,2*MAX(1,G163),0))),0)+IF(AND(Y163=1,E163="红弩箭",L163&lt;&gt;"ENTER_INSIGHT"),1,0)-IF(AND(L163="LILYA_ULT",X163&gt;=6),6,0)))</f>
        <v>13</v>
      </c>
      <c r="CC163" s="1">
        <f t="shared" si="151"/>
        <v>0</v>
      </c>
      <c r="CD163" s="1">
        <f t="shared" si="152"/>
        <v>0</v>
      </c>
      <c r="CE163" s="1">
        <f t="shared" si="153"/>
        <v>0</v>
      </c>
      <c r="CF163" s="1">
        <f t="shared" si="154"/>
        <v>10</v>
      </c>
      <c r="CG163" s="1">
        <f t="shared" si="155"/>
        <v>1</v>
      </c>
      <c r="CH163" s="1">
        <f>MIN(35,AD163+IF(L163="J_HARD",6,0)+IF(L163="J_COUNTER",Boss参数!$B$30,0))</f>
        <v>35</v>
      </c>
      <c r="CI163" s="1">
        <f>MIN(Boss参数!$I$4,AE163+IF(L163="J_HARD",6,0)+IF(L163="J_ULT",AD163,0)+IF(L163="J_COUNTER",Boss参数!$B$30,0))</f>
        <v>0</v>
      </c>
      <c r="CJ163" s="1">
        <f>IF(L163="J_ULT",AD163*Boss参数!$B$41,IF(B163&lt;=AG163,AF163,0))</f>
        <v>0.875</v>
      </c>
      <c r="CK163" s="1">
        <f t="shared" si="156"/>
        <v>9</v>
      </c>
      <c r="CL163" s="1">
        <f t="shared" si="157"/>
        <v>9</v>
      </c>
      <c r="CM163" s="1">
        <f t="shared" si="158"/>
        <v>8</v>
      </c>
      <c r="CN163" s="1">
        <f t="shared" si="159"/>
        <v>9</v>
      </c>
      <c r="CO163" s="1">
        <f t="shared" si="160"/>
        <v>8</v>
      </c>
      <c r="CP163" s="1">
        <f t="shared" si="161"/>
        <v>3</v>
      </c>
      <c r="CQ163" s="1">
        <f t="shared" si="162"/>
        <v>30</v>
      </c>
      <c r="CR163" s="1">
        <f t="shared" si="163"/>
        <v>9</v>
      </c>
      <c r="CS163" s="1">
        <f t="shared" si="164"/>
        <v>0</v>
      </c>
      <c r="CT163" s="1" t="e">
        <f t="shared" si="165"/>
        <v>#VALUE!</v>
      </c>
      <c r="CU163" s="1" t="e">
        <f t="shared" si="166"/>
        <v>#VALUE!</v>
      </c>
      <c r="CV163" s="1">
        <f t="shared" si="167"/>
        <v>0.3</v>
      </c>
      <c r="CW163" s="1">
        <f t="shared" si="168"/>
        <v>9</v>
      </c>
      <c r="CX163" s="1">
        <f t="shared" si="169"/>
        <v>0.3</v>
      </c>
      <c r="CY163" s="1">
        <f t="shared" si="170"/>
        <v>9</v>
      </c>
      <c r="CZ163" s="1"/>
      <c r="DA163" s="1"/>
      <c r="DB163" s="1"/>
      <c r="DC163" s="1"/>
      <c r="DD163" s="1"/>
      <c r="DE163" s="1"/>
      <c r="DF163" s="1"/>
      <c r="DG163" s="1" t="str">
        <f>IF(D163="","",行动模拟!B169)</f>
        <v/>
      </c>
      <c r="DH163" s="1" t="str">
        <f>IF(L163="END_TURN","回合结束",IF(D163="","",IF(INDEX(回合状态!$C$7:$C$17,MATCH(DG163,回合状态!$A$7:$A$17,0))="洞穿","洞穿",IF(OR(L163="J_COUNTER",L163="BOSS_ACTION",L163="BOSS_CONSERVATIVE"),"敌方",IF(AND(L163="37_FOLLOW",DG163=DG162,DH162="敌方"),"敌方",IF(INDEX(回合状态!$C$7:$C$17,MATCH(DG163,回合状态!$A$7:$A$17,0))="普通","出牌",INDEX(回合状态!$C$7:$C$17,MATCH(DG163,回合状态!$A$7:$A$17,0))))))))</f>
        <v/>
      </c>
      <c r="DI163" s="1">
        <f t="shared" si="171"/>
        <v>0</v>
      </c>
      <c r="DJ163" s="1">
        <f>IF(D163="",0,MIN(Boss参数!$B$25,IF(OR(AND(DH163="敌方",OR(DH162&lt;&gt;"敌方",DG163&lt;&gt;DG162)),AND(L163="END_TURN",DH163&lt;&gt;"洞穿"),AND(DG163&lt;&gt;DG162,DH162&lt;&gt;"洞穿",L162&lt;&gt;"END_TURN",COUNTIFS($DG$3:DG162,DG162,$DH$3:DH162,"敌方")=0)),EW163,DN162)))</f>
        <v>0</v>
      </c>
      <c r="DK163" s="1">
        <f>IF(D163="",0,MIN(Boss参数!$B$25,IF(OR(AND(DH163="敌方",OR(DH162&lt;&gt;"敌方",DG163&lt;&gt;DG162)),AND(L163="END_TURN",DH163&lt;&gt;"洞穿"),AND(DG163&lt;&gt;DG162,DH162&lt;&gt;"洞穿",L162&lt;&gt;"END_TURN",COUNTIFS($DG$3:DG162,DG162,$DH$3:DH162,"敌方")=0)),EW163,DO162)))</f>
        <v>0</v>
      </c>
      <c r="DL163" s="1">
        <f>IF(D163="",0,MIN(Boss参数!$B$25,IF(OR(AND(DH163="敌方",OR(DH162&lt;&gt;"敌方",DG163&lt;&gt;DG162)),AND(L163="END_TURN",DH163&lt;&gt;"洞穿"),AND(DG163&lt;&gt;DG162,DH162&lt;&gt;"洞穿",L162&lt;&gt;"END_TURN",COUNTIFS($DG$3:DG162,DG162,$DH$3:DH162,"敌方")=0)),EW163,DP162)))</f>
        <v>0</v>
      </c>
      <c r="DM163" s="1">
        <f>IF(D163="",0,MIN(Boss参数!$B$25,IF(OR(AND(DH163="敌方",OR(DH162&lt;&gt;"敌方",DG163&lt;&gt;DG162)),AND(L163="END_TURN",DH163&lt;&gt;"洞穿"),AND(DG163&lt;&gt;DG162,DH162&lt;&gt;"洞穿",L162&lt;&gt;"END_TURN",COUNTIFS($DG$3:DG162,DG162,$DH$3:DH162,"敌方")=0)),EW163,DQ162)))</f>
        <v>0</v>
      </c>
      <c r="DN163" s="1">
        <f>MAX(0,MIN(Boss参数!$B$25,DJ163+DR163)-IF(E163="红弩箭",2*DR163,0))</f>
        <v>0</v>
      </c>
      <c r="DO163" s="1">
        <f>MAX(0,MIN(Boss参数!$B$25,DK163+DR163)-IF(E163="37",2*DR163,0))</f>
        <v>0</v>
      </c>
      <c r="DP163" s="1">
        <f>MAX(0,MIN(Boss参数!$B$25,DL163+DR163)-IF(E163="小瑞安侬",2*DR163,0))</f>
        <v>0</v>
      </c>
      <c r="DQ163" s="1">
        <f>MAX(0,MIN(Boss参数!$B$25,DM163+DR163)-IF(E163="J",2*DR163,0))</f>
        <v>0</v>
      </c>
      <c r="DR163" s="1">
        <f t="shared" si="172"/>
        <v>0</v>
      </c>
      <c r="DS163" s="1">
        <f t="shared" si="173"/>
        <v>0</v>
      </c>
      <c r="DT163" s="1">
        <f>IF(OR(E163="",E163="系统"),0,IF(OR(AND(DS163=1,Boss参数!$B$32=1),L163="RHI_BERRY",OR(AND(INDEX(角色面板!$B$18:$B$21,MATCH(E163,角色面板!$A$18:$A$21,0))="星",Boss参数!$B$4="岩"),AND(INDEX(角色面板!$B$18:$B$21,MATCH(E163,角色面板!$A$18:$A$21,0))="岩",Boss参数!$B$4="兽"),AND(INDEX(角色面板!$B$18:$B$21,MATCH(E163,角色面板!$A$18:$A$21,0))="兽",Boss参数!$B$4="木"),AND(INDEX(角色面板!$B$18:$B$21,MATCH(E163,角色面板!$A$18:$A$21,0))="木",Boss参数!$B$4="星"),AND(INDEX(角色面板!$B$18:$B$21,MATCH(E163,角色面板!$A$18:$A$21,0))="智",Boss参数!$B$4="灵"),AND(INDEX(角色面板!$B$18:$B$21,MATCH(E163,角色面板!$A$18:$A$21,0))="灵",Boss参数!$B$4="智"))),1,0))</f>
        <v>0</v>
      </c>
      <c r="DU163" s="1">
        <f>IF(D163="",0,INDEX(回合状态!$E$7:$E$17,MATCH(DG163,回合状态!$A$7:$A$17,0))+IF(AND(DH163="敌方",OR(INDEX(回合状态!$C$7:$C$17,MATCH(DG163,回合状态!$A$7:$A$17,0))="普通",INDEX(回合状态!$C$7:$C$17,MATCH(DG163,回合状态!$A$7:$A$17,0))="额外")),0.05,0))</f>
        <v>0</v>
      </c>
      <c r="DV163" s="1">
        <f>MAX(Boss参数!$B$28,1+IF(AND(E163="37",AC163&gt;0,BH163&gt;0),Boss参数!$B$42,0)-DI163*Boss参数!$B$24+EA163-ER163)</f>
        <v>9.9999999999999978E-2</v>
      </c>
      <c r="DW163" s="1">
        <f>MIN(IF(Boss参数!$B$77=1,Boss参数!$B$63*Boss参数!$B$62,Boss参数!$B$61*Boss参数!$B$62),ROUNDDOWN(BQ163*(1-ES163),0))</f>
        <v>0</v>
      </c>
      <c r="DX163" s="1">
        <f>MIN(IF(Boss参数!$B$77=1,Boss参数!$B$63*Boss参数!$B$62,Boss参数!$B$61*Boss参数!$B$62),ROUNDDOWN(BR163*(1-ES163),0))</f>
        <v>0</v>
      </c>
      <c r="DY163" s="1">
        <f t="shared" si="205"/>
        <v>250</v>
      </c>
      <c r="DZ163" s="1">
        <f>IF(L163="RHI_ULT",MIN(Boss参数!$B$48,ROUNDDOWN(AY163*Boss参数!$B$47,0)),DY163)</f>
        <v>250</v>
      </c>
      <c r="EA163" s="1">
        <v>0</v>
      </c>
      <c r="EB163" s="1">
        <f t="shared" si="174"/>
        <v>0</v>
      </c>
      <c r="EC163" s="1">
        <f>SUMIFS($EB$3:EB163,$B$3:B163,"&gt;="&amp;MAX(1,B163-2),$B$3:B163,"&lt;="&amp;B163)*Boss参数!$B$51</f>
        <v>0</v>
      </c>
      <c r="ED163" s="1">
        <f>IF(D163="",EG162,IF(AND(DG163&lt;&gt;DG162,DH163&lt;&gt;"洞穿"),MIN(Boss参数!$B$55,EG162+2),EG162))</f>
        <v>0</v>
      </c>
      <c r="EE163" s="1">
        <f t="shared" si="175"/>
        <v>0</v>
      </c>
      <c r="EF163" s="1">
        <f>IF(AND(OR(L163="END_TURN",AND(DH163="敌方",OR(DH162&lt;&gt;"敌方",DG163&lt;&gt;DG162))),SUMIFS($EF$3:EF162,$DG$3:DG162,DG163)=0),MIN(1,MAX(0,ED163-EE163)),0)</f>
        <v>0</v>
      </c>
      <c r="EG163" s="1">
        <f t="shared" si="176"/>
        <v>0</v>
      </c>
      <c r="EH163" s="1">
        <f>Boss参数!$B$53-IF(Y163=1,Boss参数!$B$54,0)</f>
        <v>0</v>
      </c>
      <c r="EI163" s="1">
        <f t="shared" si="177"/>
        <v>0.15</v>
      </c>
      <c r="EJ163" s="1">
        <f t="shared" si="178"/>
        <v>0.15</v>
      </c>
      <c r="EK163" s="1" t="e">
        <f t="shared" si="179"/>
        <v>#VALUE!</v>
      </c>
      <c r="EL163" s="1">
        <f t="shared" si="206"/>
        <v>0</v>
      </c>
      <c r="EM163" s="1">
        <f>IF(AND(DG163&lt;&gt;DG162,DH163="洞穿"),0,IF(L163="ENTER_INSIGHT",Boss参数!$B$57,EO162))</f>
        <v>0</v>
      </c>
      <c r="EN163" s="1">
        <f>IF(AND(Y163=1,H163="洞知",EM163&gt;0),Boss参数!$B$56,0)</f>
        <v>0</v>
      </c>
      <c r="EO163" s="1">
        <f t="shared" si="180"/>
        <v>0</v>
      </c>
      <c r="EP163" s="1">
        <f t="shared" si="207"/>
        <v>23210479</v>
      </c>
      <c r="EQ163" s="1">
        <f>ROUNDDOWN(EP163/Boss参数!$B$62,0)</f>
        <v>232</v>
      </c>
      <c r="ER163" s="1">
        <f>IF(EQ163&gt;=Boss参数!$B$66,Boss参数!$B$69,IF(EQ163&gt;=Boss参数!$B$65,Boss参数!$B$68,IF(EQ163&gt;=Boss参数!$B$64,Boss参数!$B$67,0)))</f>
        <v>0.9</v>
      </c>
      <c r="ES163" s="1">
        <f>MIN(1,IF(EQ163&gt;=Boss参数!$B$66,Boss参数!$B$72+ROUNDDOWN((EQ163-Boss参数!$B$66)/Boss参数!$B$73,0)*Boss参数!$B$74,IF(EQ163&gt;=Boss参数!$B$65,Boss参数!$B$71,IF(EQ163&gt;=Boss参数!$B$64,Boss参数!$B$70,0))))</f>
        <v>0.65</v>
      </c>
      <c r="ET163" s="1">
        <f>MIN(Boss参数!$B$61*Boss参数!$B$62,EP163+IF(AND(Boss参数!$B$60=1,ISNUMBER(验证表!H169)),验证表!H169,EU163))</f>
        <v>23210479</v>
      </c>
      <c r="EU163" s="1">
        <f>IF(D163="",0,IF(验证表!G169="是",BV163,IF(验证表!G169="否",BU163,BW163)))</f>
        <v>0</v>
      </c>
      <c r="EV163" s="1">
        <f>IF(EQ163&gt;=Boss参数!$B$66,2,IF(EQ163&gt;=Boss参数!$B$65,1,0))</f>
        <v>2</v>
      </c>
      <c r="EW163" s="1">
        <f t="shared" si="181"/>
        <v>3</v>
      </c>
      <c r="EX163" s="1">
        <f>IF(D163="",0,INDEX(回合状态!$D$7:$D$17,MATCH(DG163,回合状态!$A$7:$A$17,0)))</f>
        <v>0</v>
      </c>
      <c r="EY163" s="1">
        <f>IF(OR(L163="RHI_ATTACK",L163="RHI_BUFF"),1,IF(L163="RHI_ULT",Boss参数!$B$52,0))</f>
        <v>0</v>
      </c>
      <c r="EZ163" s="1">
        <f>MIN(6,SUMIFS($EY$3:EY163,$EX$3:EX163,"&gt;="&amp;MAX(1,EX163-Boss参数!$B$87+1),$EX$3:EX163,"&lt;="&amp;EX163))</f>
        <v>0</v>
      </c>
      <c r="FA163" s="1">
        <f t="shared" si="208"/>
        <v>0</v>
      </c>
      <c r="FB163" s="17">
        <f>IF(L163="BOSS_CONSERVATIVE",B163+Boss参数!$B$91,FB162)</f>
        <v>7</v>
      </c>
      <c r="FC163" s="17">
        <f t="shared" si="209"/>
        <v>0</v>
      </c>
      <c r="FD163" s="17">
        <f>IF(D163="",FD162,FD162+IF(AND(DG163&lt;&gt;DG162,INDEX(回合状态!$C$7:$C$17,MATCH(DG163,回合状态!$A$7:$A$17,0))&lt;&gt;"洞穿"),1,0))</f>
        <v>8</v>
      </c>
      <c r="FE163" s="17">
        <f>IF(D163="",0,IF(AND(OR(L163="END_TURN",DH163="敌方"),INDEX(回合状态!$C$7:$C$17,MATCH(DG163,回合状态!$A$7:$A$17,0))&lt;&gt;"洞穿",SUMIFS($FE$3:FE162,$DG$3:DG162,DG163)=0),1,0))</f>
        <v>0</v>
      </c>
    </row>
    <row r="164" spans="1:161" ht="84.95" customHeight="1">
      <c r="A164" s="1" t="str">
        <f>行动模拟!A170</f>
        <v/>
      </c>
      <c r="B164" s="1">
        <f>IF(D164="",0,INDEX(回合状态!$B$7:$B$17,MATCH(DG164,回合状态!$A$7:$A$17,0)))</f>
        <v>0</v>
      </c>
      <c r="C164" s="1">
        <f>行动模拟!C170</f>
        <v>0</v>
      </c>
      <c r="D164" s="1" t="str">
        <f>IF(行动模拟!D170="","",行动模拟!D170)</f>
        <v/>
      </c>
      <c r="E164" s="1" t="str">
        <f>IF($D164="","",IFERROR(INDEX(技能数据库!$B$4:$B$38,MATCH($D164,技能数据库!$A$4:$A$38,0)),""))</f>
        <v/>
      </c>
      <c r="F164" s="1" t="str">
        <f>IF($D164="","",IFERROR(INDEX(技能数据库!$C$4:$C$38,MATCH($D164,技能数据库!$A$4:$A$38,0)),""))</f>
        <v/>
      </c>
      <c r="G164" s="1" t="str">
        <f>IF($D164="","",IFERROR(INDEX(技能数据库!$D$4:$D$38,MATCH($D164,技能数据库!$A$4:$A$38,0)),""))</f>
        <v/>
      </c>
      <c r="H164" s="1" t="str">
        <f>IF($D164="","",IFERROR(INDEX(技能数据库!$E$4:$E$38,MATCH($D164,技能数据库!$A$4:$A$38,0)),""))</f>
        <v/>
      </c>
      <c r="I164" s="1" t="str">
        <f>IF($D164="","",IFERROR(INDEX(技能数据库!$F$4:$F$38,MATCH($D164,技能数据库!$A$4:$A$38,0)),""))</f>
        <v/>
      </c>
      <c r="J164" s="1" t="str">
        <f>IF($D164="","",IFERROR(INDEX(技能数据库!$G$4:$G$38,MATCH($D164,技能数据库!$A$4:$A$38,0)),""))</f>
        <v/>
      </c>
      <c r="K164" s="1" t="str">
        <f>IF($D164="","",IFERROR(INDEX(技能数据库!$H$4:$H$38,MATCH($D164,技能数据库!$A$4:$A$38,0)),""))</f>
        <v/>
      </c>
      <c r="L164" s="1" t="str">
        <f>IF($D164="","",IFERROR(INDEX(技能数据库!$I$4:$I$38,MATCH($D164,技能数据库!$A$4:$A$38,0)),""))</f>
        <v/>
      </c>
      <c r="M164" s="1">
        <v>1</v>
      </c>
      <c r="N164" s="1"/>
      <c r="O164" s="1"/>
      <c r="P164" s="1"/>
      <c r="Q164" s="1">
        <f t="shared" si="140"/>
        <v>0</v>
      </c>
      <c r="R164" s="1">
        <v>0</v>
      </c>
      <c r="S164" s="1">
        <v>0</v>
      </c>
      <c r="T164" s="1">
        <f>行动模拟!I170</f>
        <v>0</v>
      </c>
      <c r="U164" s="1">
        <f>IF(FD164&lt;&gt;FD163,IF(BY163=1,IF(MIN(10,CA163+IF(AND(DG164&lt;&gt;DG163,DH163&lt;&gt;"洞穿",SUMIFS($FE$3:FE163,$DG$3:DG163,DG163)=0,BY163=1),3,0))&gt;=10,2,1),IF(BY163=2,IF(BZ163&lt;=1,0,2),0)),BY163)</f>
        <v>2</v>
      </c>
      <c r="V164" s="1">
        <f>IF(FD164&lt;&gt;FD163,IF(BY163=1,IF(MIN(10,CA163+IF(AND(DG164&lt;&gt;DG163,DH163&lt;&gt;"洞穿",SUMIFS($FE$3:FE163,$DG$3:DG163,DG163)=0,BY163=1),3,0))&gt;=10,2,0),IF(BY163=2,MAX(0,BZ163-1),0)),BZ163)</f>
        <v>1</v>
      </c>
      <c r="W164" s="1">
        <f>IF(AND(FD164&lt;&gt;FD163,BY163=2,BZ163&lt;=1),0,MIN(10,CA163+IF(AND(DG164&lt;&gt;DG163,DH163&lt;&gt;"洞穿",SUMIFS($FE$3:FE163,$DG$3:DG163,DG163)=0,BY163=1),3,0)))</f>
        <v>10</v>
      </c>
      <c r="X164" s="1">
        <f t="shared" si="182"/>
        <v>13</v>
      </c>
      <c r="Y164" s="1">
        <f t="shared" si="183"/>
        <v>0</v>
      </c>
      <c r="Z164" s="1">
        <f t="shared" si="184"/>
        <v>0</v>
      </c>
      <c r="AA164" s="1">
        <f t="shared" si="185"/>
        <v>0</v>
      </c>
      <c r="AB164" s="1">
        <f t="shared" si="186"/>
        <v>10</v>
      </c>
      <c r="AC164" s="1">
        <f t="shared" si="187"/>
        <v>1</v>
      </c>
      <c r="AD164" s="1">
        <f t="shared" si="188"/>
        <v>35</v>
      </c>
      <c r="AE164" s="1">
        <f>IF(D164="",0,IF(DG164&lt;&gt;DG163,IFERROR(INDEX(回合状态!$F$7:$F$17,MATCH(DG164,回合状态!$A$7:$A$17,0)),0),CI163))</f>
        <v>0</v>
      </c>
      <c r="AF164" s="1">
        <f t="shared" si="189"/>
        <v>0.875</v>
      </c>
      <c r="AG164" s="1">
        <f t="shared" si="190"/>
        <v>9</v>
      </c>
      <c r="AH164" s="1">
        <f t="shared" si="191"/>
        <v>9</v>
      </c>
      <c r="AI164" s="1">
        <f t="shared" si="192"/>
        <v>8</v>
      </c>
      <c r="AJ164" s="1">
        <f t="shared" si="193"/>
        <v>9</v>
      </c>
      <c r="AK164" s="1">
        <f t="shared" si="194"/>
        <v>8</v>
      </c>
      <c r="AL164" s="1">
        <f t="shared" si="195"/>
        <v>3</v>
      </c>
      <c r="AM164" s="1">
        <f t="shared" si="196"/>
        <v>30</v>
      </c>
      <c r="AN164" s="1">
        <f t="shared" si="197"/>
        <v>9</v>
      </c>
      <c r="AO164" s="1">
        <f t="shared" si="198"/>
        <v>0</v>
      </c>
      <c r="AP164" s="1" t="e">
        <f t="shared" si="199"/>
        <v>#VALUE!</v>
      </c>
      <c r="AQ164" s="1" t="e">
        <f t="shared" si="200"/>
        <v>#VALUE!</v>
      </c>
      <c r="AR164" s="1">
        <f t="shared" si="201"/>
        <v>0.3</v>
      </c>
      <c r="AS164" s="1">
        <f t="shared" si="202"/>
        <v>9</v>
      </c>
      <c r="AT164" s="1">
        <f t="shared" si="203"/>
        <v>0.3</v>
      </c>
      <c r="AU164" s="1">
        <f t="shared" si="204"/>
        <v>9</v>
      </c>
      <c r="AV164" s="1">
        <f>MIN(5,SUMIFS($EL$3:EL164,$B$3:B164,"&gt;="&amp;MAX(1,B164-2),$B$3:B164,"&lt;="&amp;B164)+EC164)</f>
        <v>0</v>
      </c>
      <c r="AW164" s="1">
        <f>MIN(6,SUMIFS($EY$3:EY163,$EX$3:EX163,"&gt;="&amp;MAX(1,EX164-Boss参数!$B$87+1),$EX$3:EX163,"&lt;="&amp;EX164))</f>
        <v>0</v>
      </c>
      <c r="AX164" s="1">
        <f>MIN(4,COUNTIFS($B$3:$B$163,"&gt;="&amp;MAX(1,$B164-2),$B$3:$B$163,"&lt;="&amp;$B164,$L$3:$L$163,"37_FOLLOW"))</f>
        <v>0</v>
      </c>
      <c r="AY164" s="1" t="str">
        <f>IF($E164="","",IF($E164="系统",0,ROUNDDOWN(INDEX(角色面板!$C$4:$C$7,MATCH($E164,角色面板!$A$4:$A$7,0))*(1+INDEX(角色面板!$C$11:$C$14,MATCH($E164,角色面板!$A$11:$A$14,0))+IF($E164="小瑞安侬",MAX(IF($B164&lt;=$AQ164,$AP164,0),IF(AND($L164="RHI_ATTACK",$EE164&gt;0),0.11+0.01*$G164,0)),0)+IF($E164="J",$AD164*Boss参数!$B$18,0))+IF(FD164&lt;=$AN164,MIN(Boss参数!$B$21,ROUNDDOWN(角色面板!$C$19*Boss参数!$B$20,0)),0)+IF(AND($B164&lt;=$AK164,$E164&lt;&gt;"小瑞安侬"),$DY164,0),0)))</f>
        <v/>
      </c>
      <c r="AZ164" s="1" t="str">
        <f>IF($E164="","",MAX(0,MIN(1,IFERROR(INDEX(角色面板!$G$18:$G$21,MATCH($E164,角色面板!$A$18:$A$21,0)),0)-FC164*Boss参数!$B$89-Boss参数!$E$4)))</f>
        <v/>
      </c>
      <c r="BA164" s="1" t="str">
        <f>IF(E164="","",(IF($E164="","",IF($E164="红弩箭",Boss参数!$B$80,IF($E164="J",Boss参数!$B$81,IFERROR(INDEX(角色面板!$H$18:$H$21,MATCH($E164,角色面板!$A$18:$A$21,0)),0)))+IF($B164&lt;=$AI164,Boss参数!$B$13,0)+MIN(30,$AM164)*Boss参数!$B$17+IF(AND($L164="LILYA_ULT",$X164&gt;=6),1,0)+IF(AND($Y164=1,$L164="LILYA_INSIGHT"),IF(MOD($AA164+1,3)=0,Boss参数!$B$83,Boss参数!$B$82),IF(AND($Y164=1,$L164="LILYA_FINISH"),Boss参数!$B$84,0))))-FC164*Boss参数!$B$90)</f>
        <v/>
      </c>
      <c r="BB164" s="1" t="str">
        <f>IF($E164="","",IFERROR(INDEX(角色面板!$M$18:$M$21,MATCH($E164,角色面板!$A$18:$A$21,0)),0)+$AW164*Boss参数!$B$12+IF($B164&lt;=$AG164,$AF164,0)+$EI164+IF($L164="LILYA_DIVE",IF($U164=1,IF($G164=1,0.3,IF($G164=2,0.4,0.5)),IF($U164=2,IF($G164=1,0.6,IF($G164=2,0.8,1)),0)),0)+$R164+IF(AND($E164="J",OR($L164="J_COUNTER",$L164="J_HARD")),Boss参数!$B$79,0)+IF(AND(OR(L164="J_COUNTER",L164="J_HARD"),FA164&gt;=Boss参数!$B$59),FA164*Boss参数!$B$40,0))</f>
        <v/>
      </c>
      <c r="BC164" s="1" t="e">
        <f>IF($E164="","",IFERROR(INDEX(角色面板!$K$18:$K$21,MATCH($E164,角色面板!$A$18:$A$21,0)),0)+IF($B164&lt;=$AH164,Boss参数!$B$46,0)+IF($E164="红弩箭",IF($U164=1,0.6,IF($U164=2,1.2,0))+$W164*0.06,0))-DI164*Boss参数!$B$23</f>
        <v>#VALUE!</v>
      </c>
      <c r="BD164" s="1" t="e">
        <f>IF($E164="","",IFERROR(INDEX(角色面板!$L$18:$L$21,MATCH($E164,角色面板!$A$18:$A$21,0)),0)+IF($B164&lt;=$AH164,Boss参数!$B$46,0)+IF($E164="J",$AL164*Boss参数!$B$16,0)+IF($E164="红弩箭",$X164*0.025,0)+IF(AND($L164="LILYA_ULT",$X164&gt;=6),1,0))-DI164*Boss参数!$B$23</f>
        <v>#VALUE!</v>
      </c>
      <c r="BE164" s="1" t="str">
        <f>IF($E164="","",IF($H164="洞知",IF($E164="红弩箭",$AO164*Boss参数!$B$15,0)+$AX164*Boss参数!$B$14,0))</f>
        <v/>
      </c>
      <c r="BF164" s="1">
        <f t="shared" si="141"/>
        <v>0</v>
      </c>
      <c r="BG164" s="1">
        <f>IF($D164="",0,IF(AND($L164&lt;&gt;"LILYA_DIVE",$L164&lt;&gt;"LILYA_ULT",$L164&lt;&gt;"LILYA_INSIGHT",$L164&lt;&gt;"LILYA_FINISH",$L164&lt;&gt;"37_FOLLOW",$L164&lt;&gt;"RHI_ATTACK",$L164&lt;&gt;"RHI_BERRY",$L164&lt;&gt;"J_COUNTER",$L164&lt;&gt;"J_ULT"),$J164,0)+IF($L164="LILYA_DIVE",$J164+IF($U164=1,IF($G164=1,6,IF($G164=2,12,18)),IF($U164=2,IF($G164=1,12,IF($G164=2,24,36)),0)),0)+IF($L164="LILYA_ULT",$J164+IF($X164&gt;=6,18,0),0)+IF($L164="LILYA_INSIGHT",IF($Y164=1,IF(MOD($AA164+1,3)=0,32,15),0),0)+IF($L164="LILYA_FINISH",IF($Y164=1,50+2.5*$Z164,0),0)+IF($L164="37_FOLLOW",$J164,0)+IF($L164="RHI_ATTACK",$J164*IF($B164&lt;=$AJ164,2,1),0)+IF($L164="RHI_BERRY",15+1.5*$AV164,0)+IF($L164="J_COUNTER",$J164+$AD164*Boss参数!$B$39,0)+IF($L164="J_ULT",$J164+Boss参数!$B$45*MAX(0,$AE164+$AD164-Boss参数!$I$4),0)+$S164)</f>
        <v>0</v>
      </c>
      <c r="BH164" s="1">
        <f t="shared" si="142"/>
        <v>0</v>
      </c>
      <c r="BI164" s="1" t="str">
        <f>IF(E164="","",IF(DT164=1,1+Boss参数!$B$8+AV164*Boss参数!$B$19,1))</f>
        <v/>
      </c>
      <c r="BJ164" s="1">
        <f>IF($I164="现实",Boss参数!$C$4,IF($I164="精神",Boss参数!$D$4,0))</f>
        <v>0</v>
      </c>
      <c r="BK164" s="1" t="str">
        <f>IF($E164="","",MAX($AY164*Boss参数!$B$9,$AY164-$BJ164*(1-$BF164)))</f>
        <v/>
      </c>
      <c r="BL164" s="1">
        <f>MAX(0,Boss参数!$F$4+IF(DT164=0,Boss参数!$B$27,0)-EJ164)</f>
        <v>1.25</v>
      </c>
      <c r="BM164" s="1">
        <f>Boss参数!$G$4+DU164-IF(Y164=1,Boss参数!$B$11,0)</f>
        <v>0.4</v>
      </c>
      <c r="BN164" s="1" t="str">
        <f>IF($E164="","",MAX(Boss参数!$B$10,1+IFERROR(INDEX(角色面板!$I$18:$I$21,MATCH($E164,角色面板!$A$18:$A$21,0)),0)+$BB164+Boss参数!$H$4-$BM164))</f>
        <v/>
      </c>
      <c r="BO164" s="1" t="str">
        <f>IF(E164="","",IF(OR(L164="J_COUNTER",L164="J_HARD"),MAX(0,1+INDEX(角色面板!$K$18:$K$21,MATCH(E164,角色面板!$A$18:$A$21,0))-DI164*Boss参数!$B$23+IF(OR(Boss参数!$B$43=1,L164="J_HARD"),IF(B164&lt;=AH164,Boss参数!$B$46,0),0)),MAX(0,IF(OR(H164="术法",L164="RHI_BERRY",AND(L164="37_FOLLOW",Boss参数!$B$31=1)),1+BC164,IF(H164="仪式",1+BD164,IF(H164="洞知",EK164,1))))))</f>
        <v/>
      </c>
      <c r="BP164" s="1" t="str">
        <f t="shared" si="143"/>
        <v/>
      </c>
      <c r="BQ164" s="1">
        <f t="shared" si="144"/>
        <v>0</v>
      </c>
      <c r="BR164" s="1">
        <f t="shared" si="145"/>
        <v>0</v>
      </c>
      <c r="BS164" s="1">
        <f>IF(BH164=0,0,ROUNDDOWN(AY164*BH164,0)*DV164*IF(Boss参数!$B$29=1,BN164,1)*IF(Boss参数!$B$33=1,BO164,1)*IF(Boss参数!$B$76=1,1-ES164,1))</f>
        <v>0</v>
      </c>
      <c r="BT164" s="1">
        <f t="shared" si="146"/>
        <v>0</v>
      </c>
      <c r="BU164" s="1">
        <f>IF(D164="",0,MIN(IF(Boss参数!$B$77=1,Boss参数!$B$63*Boss参数!$B$62,Boss参数!$B$61*Boss参数!$B$62),DW164+ROUNDDOWN(BS164,0)+ROUNDDOWN(DW164*Q164,0)))</f>
        <v>0</v>
      </c>
      <c r="BV164" s="1">
        <f>IF(D164="",0,MIN(IF(Boss参数!$B$77=1,Boss参数!$B$63*Boss参数!$B$62,Boss参数!$B$61*Boss参数!$B$62),DX164+ROUNDDOWN(BT164,0)+ROUNDDOWN(DX164*Q164,0)))</f>
        <v>0</v>
      </c>
      <c r="BW164" s="1">
        <f t="shared" si="147"/>
        <v>0</v>
      </c>
      <c r="BX164" s="1" t="str">
        <f t="shared" si="148"/>
        <v/>
      </c>
      <c r="BY164" s="1">
        <f t="shared" si="149"/>
        <v>2</v>
      </c>
      <c r="BZ164" s="1">
        <f t="shared" si="150"/>
        <v>1</v>
      </c>
      <c r="CA164" s="1">
        <f>MIN(10,W164+IF(AND(L164="LILYA_COBRA",COUNTIF($L$3:L164,"LILYA_COBRA")=1),5,0)+IF(AND(L164="LILYA_DIVE",U164=1,COUNTIFS($DG$3:DG164,DG164,$L$3:L164,"LILYA_DIVE")=1),2,0)+IF(AND(FE164=1,U164=1),3,0))</f>
        <v>10</v>
      </c>
      <c r="CB164" s="1">
        <f>MIN(20,MAX(0,X164+IF(L164="LILYA_COBRA",IF(COUNTIF($L$3:L164,"LILYA_COBRA")=1,6,IF(U164=1,MAX(1,G164),IF(U164=2,2*MAX(1,G164),0))),0)+IF(AND(Y164=1,E164="红弩箭",L164&lt;&gt;"ENTER_INSIGHT"),1,0)-IF(AND(L164="LILYA_ULT",X164&gt;=6),6,0)))</f>
        <v>13</v>
      </c>
      <c r="CC164" s="1">
        <f t="shared" si="151"/>
        <v>0</v>
      </c>
      <c r="CD164" s="1">
        <f t="shared" si="152"/>
        <v>0</v>
      </c>
      <c r="CE164" s="1">
        <f t="shared" si="153"/>
        <v>0</v>
      </c>
      <c r="CF164" s="1">
        <f t="shared" si="154"/>
        <v>10</v>
      </c>
      <c r="CG164" s="1">
        <f t="shared" si="155"/>
        <v>1</v>
      </c>
      <c r="CH164" s="1">
        <f>MIN(35,AD164+IF(L164="J_HARD",6,0)+IF(L164="J_COUNTER",Boss参数!$B$30,0))</f>
        <v>35</v>
      </c>
      <c r="CI164" s="1">
        <f>MIN(Boss参数!$I$4,AE164+IF(L164="J_HARD",6,0)+IF(L164="J_ULT",AD164,0)+IF(L164="J_COUNTER",Boss参数!$B$30,0))</f>
        <v>0</v>
      </c>
      <c r="CJ164" s="1">
        <f>IF(L164="J_ULT",AD164*Boss参数!$B$41,IF(B164&lt;=AG164,AF164,0))</f>
        <v>0.875</v>
      </c>
      <c r="CK164" s="1">
        <f t="shared" si="156"/>
        <v>9</v>
      </c>
      <c r="CL164" s="1">
        <f t="shared" si="157"/>
        <v>9</v>
      </c>
      <c r="CM164" s="1">
        <f t="shared" si="158"/>
        <v>8</v>
      </c>
      <c r="CN164" s="1">
        <f t="shared" si="159"/>
        <v>9</v>
      </c>
      <c r="CO164" s="1">
        <f t="shared" si="160"/>
        <v>8</v>
      </c>
      <c r="CP164" s="1">
        <f t="shared" si="161"/>
        <v>3</v>
      </c>
      <c r="CQ164" s="1">
        <f t="shared" si="162"/>
        <v>30</v>
      </c>
      <c r="CR164" s="1">
        <f t="shared" si="163"/>
        <v>9</v>
      </c>
      <c r="CS164" s="1">
        <f t="shared" si="164"/>
        <v>0</v>
      </c>
      <c r="CT164" s="1" t="e">
        <f t="shared" si="165"/>
        <v>#VALUE!</v>
      </c>
      <c r="CU164" s="1" t="e">
        <f t="shared" si="166"/>
        <v>#VALUE!</v>
      </c>
      <c r="CV164" s="1">
        <f t="shared" si="167"/>
        <v>0.3</v>
      </c>
      <c r="CW164" s="1">
        <f t="shared" si="168"/>
        <v>9</v>
      </c>
      <c r="CX164" s="1">
        <f t="shared" si="169"/>
        <v>0.3</v>
      </c>
      <c r="CY164" s="1">
        <f t="shared" si="170"/>
        <v>9</v>
      </c>
      <c r="CZ164" s="1"/>
      <c r="DA164" s="1"/>
      <c r="DB164" s="1"/>
      <c r="DC164" s="1"/>
      <c r="DD164" s="1"/>
      <c r="DE164" s="1"/>
      <c r="DF164" s="1"/>
      <c r="DG164" s="1" t="str">
        <f>IF(D164="","",行动模拟!B170)</f>
        <v/>
      </c>
      <c r="DH164" s="1" t="str">
        <f>IF(L164="END_TURN","回合结束",IF(D164="","",IF(INDEX(回合状态!$C$7:$C$17,MATCH(DG164,回合状态!$A$7:$A$17,0))="洞穿","洞穿",IF(OR(L164="J_COUNTER",L164="BOSS_ACTION",L164="BOSS_CONSERVATIVE"),"敌方",IF(AND(L164="37_FOLLOW",DG164=DG163,DH163="敌方"),"敌方",IF(INDEX(回合状态!$C$7:$C$17,MATCH(DG164,回合状态!$A$7:$A$17,0))="普通","出牌",INDEX(回合状态!$C$7:$C$17,MATCH(DG164,回合状态!$A$7:$A$17,0))))))))</f>
        <v/>
      </c>
      <c r="DI164" s="1">
        <f t="shared" si="171"/>
        <v>0</v>
      </c>
      <c r="DJ164" s="1">
        <f>IF(D164="",0,MIN(Boss参数!$B$25,IF(OR(AND(DH164="敌方",OR(DH163&lt;&gt;"敌方",DG164&lt;&gt;DG163)),AND(L164="END_TURN",DH164&lt;&gt;"洞穿"),AND(DG164&lt;&gt;DG163,DH163&lt;&gt;"洞穿",L163&lt;&gt;"END_TURN",COUNTIFS($DG$3:DG163,DG163,$DH$3:DH163,"敌方")=0)),EW164,DN163)))</f>
        <v>0</v>
      </c>
      <c r="DK164" s="1">
        <f>IF(D164="",0,MIN(Boss参数!$B$25,IF(OR(AND(DH164="敌方",OR(DH163&lt;&gt;"敌方",DG164&lt;&gt;DG163)),AND(L164="END_TURN",DH164&lt;&gt;"洞穿"),AND(DG164&lt;&gt;DG163,DH163&lt;&gt;"洞穿",L163&lt;&gt;"END_TURN",COUNTIFS($DG$3:DG163,DG163,$DH$3:DH163,"敌方")=0)),EW164,DO163)))</f>
        <v>0</v>
      </c>
      <c r="DL164" s="1">
        <f>IF(D164="",0,MIN(Boss参数!$B$25,IF(OR(AND(DH164="敌方",OR(DH163&lt;&gt;"敌方",DG164&lt;&gt;DG163)),AND(L164="END_TURN",DH164&lt;&gt;"洞穿"),AND(DG164&lt;&gt;DG163,DH163&lt;&gt;"洞穿",L163&lt;&gt;"END_TURN",COUNTIFS($DG$3:DG163,DG163,$DH$3:DH163,"敌方")=0)),EW164,DP163)))</f>
        <v>0</v>
      </c>
      <c r="DM164" s="1">
        <f>IF(D164="",0,MIN(Boss参数!$B$25,IF(OR(AND(DH164="敌方",OR(DH163&lt;&gt;"敌方",DG164&lt;&gt;DG163)),AND(L164="END_TURN",DH164&lt;&gt;"洞穿"),AND(DG164&lt;&gt;DG163,DH163&lt;&gt;"洞穿",L163&lt;&gt;"END_TURN",COUNTIFS($DG$3:DG163,DG163,$DH$3:DH163,"敌方")=0)),EW164,DQ163)))</f>
        <v>0</v>
      </c>
      <c r="DN164" s="1">
        <f>MAX(0,MIN(Boss参数!$B$25,DJ164+DR164)-IF(E164="红弩箭",2*DR164,0))</f>
        <v>0</v>
      </c>
      <c r="DO164" s="1">
        <f>MAX(0,MIN(Boss参数!$B$25,DK164+DR164)-IF(E164="37",2*DR164,0))</f>
        <v>0</v>
      </c>
      <c r="DP164" s="1">
        <f>MAX(0,MIN(Boss参数!$B$25,DL164+DR164)-IF(E164="小瑞安侬",2*DR164,0))</f>
        <v>0</v>
      </c>
      <c r="DQ164" s="1">
        <f>MAX(0,MIN(Boss参数!$B$25,DM164+DR164)-IF(E164="J",2*DR164,0))</f>
        <v>0</v>
      </c>
      <c r="DR164" s="1">
        <f t="shared" si="172"/>
        <v>0</v>
      </c>
      <c r="DS164" s="1">
        <f t="shared" si="173"/>
        <v>0</v>
      </c>
      <c r="DT164" s="1">
        <f>IF(OR(E164="",E164="系统"),0,IF(OR(AND(DS164=1,Boss参数!$B$32=1),L164="RHI_BERRY",OR(AND(INDEX(角色面板!$B$18:$B$21,MATCH(E164,角色面板!$A$18:$A$21,0))="星",Boss参数!$B$4="岩"),AND(INDEX(角色面板!$B$18:$B$21,MATCH(E164,角色面板!$A$18:$A$21,0))="岩",Boss参数!$B$4="兽"),AND(INDEX(角色面板!$B$18:$B$21,MATCH(E164,角色面板!$A$18:$A$21,0))="兽",Boss参数!$B$4="木"),AND(INDEX(角色面板!$B$18:$B$21,MATCH(E164,角色面板!$A$18:$A$21,0))="木",Boss参数!$B$4="星"),AND(INDEX(角色面板!$B$18:$B$21,MATCH(E164,角色面板!$A$18:$A$21,0))="智",Boss参数!$B$4="灵"),AND(INDEX(角色面板!$B$18:$B$21,MATCH(E164,角色面板!$A$18:$A$21,0))="灵",Boss参数!$B$4="智"))),1,0))</f>
        <v>0</v>
      </c>
      <c r="DU164" s="1">
        <f>IF(D164="",0,INDEX(回合状态!$E$7:$E$17,MATCH(DG164,回合状态!$A$7:$A$17,0))+IF(AND(DH164="敌方",OR(INDEX(回合状态!$C$7:$C$17,MATCH(DG164,回合状态!$A$7:$A$17,0))="普通",INDEX(回合状态!$C$7:$C$17,MATCH(DG164,回合状态!$A$7:$A$17,0))="额外")),0.05,0))</f>
        <v>0</v>
      </c>
      <c r="DV164" s="1">
        <f>MAX(Boss参数!$B$28,1+IF(AND(E164="37",AC164&gt;0,BH164&gt;0),Boss参数!$B$42,0)-DI164*Boss参数!$B$24+EA164-ER164)</f>
        <v>9.9999999999999978E-2</v>
      </c>
      <c r="DW164" s="1">
        <f>MIN(IF(Boss参数!$B$77=1,Boss参数!$B$63*Boss参数!$B$62,Boss参数!$B$61*Boss参数!$B$62),ROUNDDOWN(BQ164*(1-ES164),0))</f>
        <v>0</v>
      </c>
      <c r="DX164" s="1">
        <f>MIN(IF(Boss参数!$B$77=1,Boss参数!$B$63*Boss参数!$B$62,Boss参数!$B$61*Boss参数!$B$62),ROUNDDOWN(BR164*(1-ES164),0))</f>
        <v>0</v>
      </c>
      <c r="DY164" s="1">
        <f t="shared" si="205"/>
        <v>250</v>
      </c>
      <c r="DZ164" s="1">
        <f>IF(L164="RHI_ULT",MIN(Boss参数!$B$48,ROUNDDOWN(AY164*Boss参数!$B$47,0)),DY164)</f>
        <v>250</v>
      </c>
      <c r="EA164" s="1">
        <v>0</v>
      </c>
      <c r="EB164" s="1">
        <f t="shared" si="174"/>
        <v>0</v>
      </c>
      <c r="EC164" s="1">
        <f>SUMIFS($EB$3:EB164,$B$3:B164,"&gt;="&amp;MAX(1,B164-2),$B$3:B164,"&lt;="&amp;B164)*Boss参数!$B$51</f>
        <v>0</v>
      </c>
      <c r="ED164" s="1">
        <f>IF(D164="",EG163,IF(AND(DG164&lt;&gt;DG163,DH164&lt;&gt;"洞穿"),MIN(Boss参数!$B$55,EG163+2),EG163))</f>
        <v>0</v>
      </c>
      <c r="EE164" s="1">
        <f t="shared" si="175"/>
        <v>0</v>
      </c>
      <c r="EF164" s="1">
        <f>IF(AND(OR(L164="END_TURN",AND(DH164="敌方",OR(DH163&lt;&gt;"敌方",DG164&lt;&gt;DG163))),SUMIFS($EF$3:EF163,$DG$3:DG163,DG164)=0),MIN(1,MAX(0,ED164-EE164)),0)</f>
        <v>0</v>
      </c>
      <c r="EG164" s="1">
        <f t="shared" si="176"/>
        <v>0</v>
      </c>
      <c r="EH164" s="1">
        <f>Boss参数!$B$53-IF(Y164=1,Boss参数!$B$54,0)</f>
        <v>0</v>
      </c>
      <c r="EI164" s="1">
        <f t="shared" si="177"/>
        <v>0.15</v>
      </c>
      <c r="EJ164" s="1">
        <f t="shared" si="178"/>
        <v>0.15</v>
      </c>
      <c r="EK164" s="1" t="e">
        <f t="shared" si="179"/>
        <v>#VALUE!</v>
      </c>
      <c r="EL164" s="1">
        <f t="shared" si="206"/>
        <v>0</v>
      </c>
      <c r="EM164" s="1">
        <f>IF(AND(DG164&lt;&gt;DG163,DH164="洞穿"),0,IF(L164="ENTER_INSIGHT",Boss参数!$B$57,EO163))</f>
        <v>0</v>
      </c>
      <c r="EN164" s="1">
        <f>IF(AND(Y164=1,H164="洞知",EM164&gt;0),Boss参数!$B$56,0)</f>
        <v>0</v>
      </c>
      <c r="EO164" s="1">
        <f t="shared" si="180"/>
        <v>0</v>
      </c>
      <c r="EP164" s="1">
        <f t="shared" si="207"/>
        <v>23210479</v>
      </c>
      <c r="EQ164" s="1">
        <f>ROUNDDOWN(EP164/Boss参数!$B$62,0)</f>
        <v>232</v>
      </c>
      <c r="ER164" s="1">
        <f>IF(EQ164&gt;=Boss参数!$B$66,Boss参数!$B$69,IF(EQ164&gt;=Boss参数!$B$65,Boss参数!$B$68,IF(EQ164&gt;=Boss参数!$B$64,Boss参数!$B$67,0)))</f>
        <v>0.9</v>
      </c>
      <c r="ES164" s="1">
        <f>MIN(1,IF(EQ164&gt;=Boss参数!$B$66,Boss参数!$B$72+ROUNDDOWN((EQ164-Boss参数!$B$66)/Boss参数!$B$73,0)*Boss参数!$B$74,IF(EQ164&gt;=Boss参数!$B$65,Boss参数!$B$71,IF(EQ164&gt;=Boss参数!$B$64,Boss参数!$B$70,0))))</f>
        <v>0.65</v>
      </c>
      <c r="ET164" s="1">
        <f>MIN(Boss参数!$B$61*Boss参数!$B$62,EP164+IF(AND(Boss参数!$B$60=1,ISNUMBER(验证表!H170)),验证表!H170,EU164))</f>
        <v>23210479</v>
      </c>
      <c r="EU164" s="1">
        <f>IF(D164="",0,IF(验证表!G170="是",BV164,IF(验证表!G170="否",BU164,BW164)))</f>
        <v>0</v>
      </c>
      <c r="EV164" s="1">
        <f>IF(EQ164&gt;=Boss参数!$B$66,2,IF(EQ164&gt;=Boss参数!$B$65,1,0))</f>
        <v>2</v>
      </c>
      <c r="EW164" s="1">
        <f t="shared" si="181"/>
        <v>3</v>
      </c>
      <c r="EX164" s="1">
        <f>IF(D164="",0,INDEX(回合状态!$D$7:$D$17,MATCH(DG164,回合状态!$A$7:$A$17,0)))</f>
        <v>0</v>
      </c>
      <c r="EY164" s="1">
        <f>IF(OR(L164="RHI_ATTACK",L164="RHI_BUFF"),1,IF(L164="RHI_ULT",Boss参数!$B$52,0))</f>
        <v>0</v>
      </c>
      <c r="EZ164" s="1">
        <f>MIN(6,SUMIFS($EY$3:EY164,$EX$3:EX164,"&gt;="&amp;MAX(1,EX164-Boss参数!$B$87+1),$EX$3:EX164,"&lt;="&amp;EX164))</f>
        <v>0</v>
      </c>
      <c r="FA164" s="1">
        <f t="shared" si="208"/>
        <v>0</v>
      </c>
      <c r="FB164" s="17">
        <f>IF(L164="BOSS_CONSERVATIVE",B164+Boss参数!$B$91,FB163)</f>
        <v>7</v>
      </c>
      <c r="FC164" s="17">
        <f t="shared" si="209"/>
        <v>0</v>
      </c>
      <c r="FD164" s="17">
        <f>IF(D164="",FD163,FD163+IF(AND(DG164&lt;&gt;DG163,INDEX(回合状态!$C$7:$C$17,MATCH(DG164,回合状态!$A$7:$A$17,0))&lt;&gt;"洞穿"),1,0))</f>
        <v>8</v>
      </c>
      <c r="FE164" s="17">
        <f>IF(D164="",0,IF(AND(OR(L164="END_TURN",DH164="敌方"),INDEX(回合状态!$C$7:$C$17,MATCH(DG164,回合状态!$A$7:$A$17,0))&lt;&gt;"洞穿",SUMIFS($FE$3:FE163,$DG$3:DG163,DG164)=0),1,0))</f>
        <v>0</v>
      </c>
    </row>
    <row r="165" spans="1:161" ht="84.95" customHeight="1">
      <c r="A165" s="1" t="str">
        <f>行动模拟!A171</f>
        <v/>
      </c>
      <c r="B165" s="1">
        <f>IF(D165="",0,INDEX(回合状态!$B$7:$B$17,MATCH(DG165,回合状态!$A$7:$A$17,0)))</f>
        <v>0</v>
      </c>
      <c r="C165" s="1">
        <f>行动模拟!C171</f>
        <v>0</v>
      </c>
      <c r="D165" s="1" t="str">
        <f>IF(行动模拟!D171="","",行动模拟!D171)</f>
        <v/>
      </c>
      <c r="E165" s="1" t="str">
        <f>IF($D165="","",IFERROR(INDEX(技能数据库!$B$4:$B$38,MATCH($D165,技能数据库!$A$4:$A$38,0)),""))</f>
        <v/>
      </c>
      <c r="F165" s="1" t="str">
        <f>IF($D165="","",IFERROR(INDEX(技能数据库!$C$4:$C$38,MATCH($D165,技能数据库!$A$4:$A$38,0)),""))</f>
        <v/>
      </c>
      <c r="G165" s="1" t="str">
        <f>IF($D165="","",IFERROR(INDEX(技能数据库!$D$4:$D$38,MATCH($D165,技能数据库!$A$4:$A$38,0)),""))</f>
        <v/>
      </c>
      <c r="H165" s="1" t="str">
        <f>IF($D165="","",IFERROR(INDEX(技能数据库!$E$4:$E$38,MATCH($D165,技能数据库!$A$4:$A$38,0)),""))</f>
        <v/>
      </c>
      <c r="I165" s="1" t="str">
        <f>IF($D165="","",IFERROR(INDEX(技能数据库!$F$4:$F$38,MATCH($D165,技能数据库!$A$4:$A$38,0)),""))</f>
        <v/>
      </c>
      <c r="J165" s="1" t="str">
        <f>IF($D165="","",IFERROR(INDEX(技能数据库!$G$4:$G$38,MATCH($D165,技能数据库!$A$4:$A$38,0)),""))</f>
        <v/>
      </c>
      <c r="K165" s="1" t="str">
        <f>IF($D165="","",IFERROR(INDEX(技能数据库!$H$4:$H$38,MATCH($D165,技能数据库!$A$4:$A$38,0)),""))</f>
        <v/>
      </c>
      <c r="L165" s="1" t="str">
        <f>IF($D165="","",IFERROR(INDEX(技能数据库!$I$4:$I$38,MATCH($D165,技能数据库!$A$4:$A$38,0)),""))</f>
        <v/>
      </c>
      <c r="M165" s="1">
        <v>1</v>
      </c>
      <c r="N165" s="1"/>
      <c r="O165" s="1"/>
      <c r="P165" s="1"/>
      <c r="Q165" s="1">
        <f t="shared" si="140"/>
        <v>0</v>
      </c>
      <c r="R165" s="1">
        <v>0</v>
      </c>
      <c r="S165" s="1">
        <v>0</v>
      </c>
      <c r="T165" s="1">
        <f>行动模拟!I171</f>
        <v>0</v>
      </c>
      <c r="U165" s="1">
        <f>IF(FD165&lt;&gt;FD164,IF(BY164=1,IF(MIN(10,CA164+IF(AND(DG165&lt;&gt;DG164,DH164&lt;&gt;"洞穿",SUMIFS($FE$3:FE164,$DG$3:DG164,DG164)=0,BY164=1),3,0))&gt;=10,2,1),IF(BY164=2,IF(BZ164&lt;=1,0,2),0)),BY164)</f>
        <v>2</v>
      </c>
      <c r="V165" s="1">
        <f>IF(FD165&lt;&gt;FD164,IF(BY164=1,IF(MIN(10,CA164+IF(AND(DG165&lt;&gt;DG164,DH164&lt;&gt;"洞穿",SUMIFS($FE$3:FE164,$DG$3:DG164,DG164)=0,BY164=1),3,0))&gt;=10,2,0),IF(BY164=2,MAX(0,BZ164-1),0)),BZ164)</f>
        <v>1</v>
      </c>
      <c r="W165" s="1">
        <f>IF(AND(FD165&lt;&gt;FD164,BY164=2,BZ164&lt;=1),0,MIN(10,CA164+IF(AND(DG165&lt;&gt;DG164,DH164&lt;&gt;"洞穿",SUMIFS($FE$3:FE164,$DG$3:DG164,DG164)=0,BY164=1),3,0)))</f>
        <v>10</v>
      </c>
      <c r="X165" s="1">
        <f t="shared" si="182"/>
        <v>13</v>
      </c>
      <c r="Y165" s="1">
        <f t="shared" si="183"/>
        <v>0</v>
      </c>
      <c r="Z165" s="1">
        <f t="shared" si="184"/>
        <v>0</v>
      </c>
      <c r="AA165" s="1">
        <f t="shared" si="185"/>
        <v>0</v>
      </c>
      <c r="AB165" s="1">
        <f t="shared" si="186"/>
        <v>10</v>
      </c>
      <c r="AC165" s="1">
        <f t="shared" si="187"/>
        <v>1</v>
      </c>
      <c r="AD165" s="1">
        <f t="shared" si="188"/>
        <v>35</v>
      </c>
      <c r="AE165" s="1">
        <f>IF(D165="",0,IF(DG165&lt;&gt;DG164,IFERROR(INDEX(回合状态!$F$7:$F$17,MATCH(DG165,回合状态!$A$7:$A$17,0)),0),CI164))</f>
        <v>0</v>
      </c>
      <c r="AF165" s="1">
        <f t="shared" si="189"/>
        <v>0.875</v>
      </c>
      <c r="AG165" s="1">
        <f t="shared" si="190"/>
        <v>9</v>
      </c>
      <c r="AH165" s="1">
        <f t="shared" si="191"/>
        <v>9</v>
      </c>
      <c r="AI165" s="1">
        <f t="shared" si="192"/>
        <v>8</v>
      </c>
      <c r="AJ165" s="1">
        <f t="shared" si="193"/>
        <v>9</v>
      </c>
      <c r="AK165" s="1">
        <f t="shared" si="194"/>
        <v>8</v>
      </c>
      <c r="AL165" s="1">
        <f t="shared" si="195"/>
        <v>3</v>
      </c>
      <c r="AM165" s="1">
        <f t="shared" si="196"/>
        <v>30</v>
      </c>
      <c r="AN165" s="1">
        <f t="shared" si="197"/>
        <v>9</v>
      </c>
      <c r="AO165" s="1">
        <f t="shared" si="198"/>
        <v>0</v>
      </c>
      <c r="AP165" s="1" t="e">
        <f t="shared" si="199"/>
        <v>#VALUE!</v>
      </c>
      <c r="AQ165" s="1" t="e">
        <f t="shared" si="200"/>
        <v>#VALUE!</v>
      </c>
      <c r="AR165" s="1">
        <f t="shared" si="201"/>
        <v>0.3</v>
      </c>
      <c r="AS165" s="1">
        <f t="shared" si="202"/>
        <v>9</v>
      </c>
      <c r="AT165" s="1">
        <f t="shared" si="203"/>
        <v>0.3</v>
      </c>
      <c r="AU165" s="1">
        <f t="shared" si="204"/>
        <v>9</v>
      </c>
      <c r="AV165" s="1">
        <f>MIN(5,SUMIFS($EL$3:EL165,$B$3:B165,"&gt;="&amp;MAX(1,B165-2),$B$3:B165,"&lt;="&amp;B165)+EC165)</f>
        <v>0</v>
      </c>
      <c r="AW165" s="1">
        <f>MIN(6,SUMIFS($EY$3:EY164,$EX$3:EX164,"&gt;="&amp;MAX(1,EX165-Boss参数!$B$87+1),$EX$3:EX164,"&lt;="&amp;EX165))</f>
        <v>0</v>
      </c>
      <c r="AX165" s="1">
        <f>MIN(4,COUNTIFS($B$3:$B$164,"&gt;="&amp;MAX(1,$B165-2),$B$3:$B$164,"&lt;="&amp;$B165,$L$3:$L$164,"37_FOLLOW"))</f>
        <v>0</v>
      </c>
      <c r="AY165" s="1" t="str">
        <f>IF($E165="","",IF($E165="系统",0,ROUNDDOWN(INDEX(角色面板!$C$4:$C$7,MATCH($E165,角色面板!$A$4:$A$7,0))*(1+INDEX(角色面板!$C$11:$C$14,MATCH($E165,角色面板!$A$11:$A$14,0))+IF($E165="小瑞安侬",MAX(IF($B165&lt;=$AQ165,$AP165,0),IF(AND($L165="RHI_ATTACK",$EE165&gt;0),0.11+0.01*$G165,0)),0)+IF($E165="J",$AD165*Boss参数!$B$18,0))+IF(FD165&lt;=$AN165,MIN(Boss参数!$B$21,ROUNDDOWN(角色面板!$C$19*Boss参数!$B$20,0)),0)+IF(AND($B165&lt;=$AK165,$E165&lt;&gt;"小瑞安侬"),$DY165,0),0)))</f>
        <v/>
      </c>
      <c r="AZ165" s="1" t="str">
        <f>IF($E165="","",MAX(0,MIN(1,IFERROR(INDEX(角色面板!$G$18:$G$21,MATCH($E165,角色面板!$A$18:$A$21,0)),0)-FC165*Boss参数!$B$89-Boss参数!$E$4)))</f>
        <v/>
      </c>
      <c r="BA165" s="1" t="str">
        <f>IF(E165="","",(IF($E165="","",IF($E165="红弩箭",Boss参数!$B$80,IF($E165="J",Boss参数!$B$81,IFERROR(INDEX(角色面板!$H$18:$H$21,MATCH($E165,角色面板!$A$18:$A$21,0)),0)))+IF($B165&lt;=$AI165,Boss参数!$B$13,0)+MIN(30,$AM165)*Boss参数!$B$17+IF(AND($L165="LILYA_ULT",$X165&gt;=6),1,0)+IF(AND($Y165=1,$L165="LILYA_INSIGHT"),IF(MOD($AA165+1,3)=0,Boss参数!$B$83,Boss参数!$B$82),IF(AND($Y165=1,$L165="LILYA_FINISH"),Boss参数!$B$84,0))))-FC165*Boss参数!$B$90)</f>
        <v/>
      </c>
      <c r="BB165" s="1" t="str">
        <f>IF($E165="","",IFERROR(INDEX(角色面板!$M$18:$M$21,MATCH($E165,角色面板!$A$18:$A$21,0)),0)+$AW165*Boss参数!$B$12+IF($B165&lt;=$AG165,$AF165,0)+$EI165+IF($L165="LILYA_DIVE",IF($U165=1,IF($G165=1,0.3,IF($G165=2,0.4,0.5)),IF($U165=2,IF($G165=1,0.6,IF($G165=2,0.8,1)),0)),0)+$R165+IF(AND($E165="J",OR($L165="J_COUNTER",$L165="J_HARD")),Boss参数!$B$79,0)+IF(AND(OR(L165="J_COUNTER",L165="J_HARD"),FA165&gt;=Boss参数!$B$59),FA165*Boss参数!$B$40,0))</f>
        <v/>
      </c>
      <c r="BC165" s="1" t="e">
        <f>IF($E165="","",IFERROR(INDEX(角色面板!$K$18:$K$21,MATCH($E165,角色面板!$A$18:$A$21,0)),0)+IF($B165&lt;=$AH165,Boss参数!$B$46,0)+IF($E165="红弩箭",IF($U165=1,0.6,IF($U165=2,1.2,0))+$W165*0.06,0))-DI165*Boss参数!$B$23</f>
        <v>#VALUE!</v>
      </c>
      <c r="BD165" s="1" t="e">
        <f>IF($E165="","",IFERROR(INDEX(角色面板!$L$18:$L$21,MATCH($E165,角色面板!$A$18:$A$21,0)),0)+IF($B165&lt;=$AH165,Boss参数!$B$46,0)+IF($E165="J",$AL165*Boss参数!$B$16,0)+IF($E165="红弩箭",$X165*0.025,0)+IF(AND($L165="LILYA_ULT",$X165&gt;=6),1,0))-DI165*Boss参数!$B$23</f>
        <v>#VALUE!</v>
      </c>
      <c r="BE165" s="1" t="str">
        <f>IF($E165="","",IF($H165="洞知",IF($E165="红弩箭",$AO165*Boss参数!$B$15,0)+$AX165*Boss参数!$B$14,0))</f>
        <v/>
      </c>
      <c r="BF165" s="1">
        <f t="shared" si="141"/>
        <v>0</v>
      </c>
      <c r="BG165" s="1">
        <f>IF($D165="",0,IF(AND($L165&lt;&gt;"LILYA_DIVE",$L165&lt;&gt;"LILYA_ULT",$L165&lt;&gt;"LILYA_INSIGHT",$L165&lt;&gt;"LILYA_FINISH",$L165&lt;&gt;"37_FOLLOW",$L165&lt;&gt;"RHI_ATTACK",$L165&lt;&gt;"RHI_BERRY",$L165&lt;&gt;"J_COUNTER",$L165&lt;&gt;"J_ULT"),$J165,0)+IF($L165="LILYA_DIVE",$J165+IF($U165=1,IF($G165=1,6,IF($G165=2,12,18)),IF($U165=2,IF($G165=1,12,IF($G165=2,24,36)),0)),0)+IF($L165="LILYA_ULT",$J165+IF($X165&gt;=6,18,0),0)+IF($L165="LILYA_INSIGHT",IF($Y165=1,IF(MOD($AA165+1,3)=0,32,15),0),0)+IF($L165="LILYA_FINISH",IF($Y165=1,50+2.5*$Z165,0),0)+IF($L165="37_FOLLOW",$J165,0)+IF($L165="RHI_ATTACK",$J165*IF($B165&lt;=$AJ165,2,1),0)+IF($L165="RHI_BERRY",15+1.5*$AV165,0)+IF($L165="J_COUNTER",$J165+$AD165*Boss参数!$B$39,0)+IF($L165="J_ULT",$J165+Boss参数!$B$45*MAX(0,$AE165+$AD165-Boss参数!$I$4),0)+$S165)</f>
        <v>0</v>
      </c>
      <c r="BH165" s="1">
        <f t="shared" si="142"/>
        <v>0</v>
      </c>
      <c r="BI165" s="1" t="str">
        <f>IF(E165="","",IF(DT165=1,1+Boss参数!$B$8+AV165*Boss参数!$B$19,1))</f>
        <v/>
      </c>
      <c r="BJ165" s="1">
        <f>IF($I165="现实",Boss参数!$C$4,IF($I165="精神",Boss参数!$D$4,0))</f>
        <v>0</v>
      </c>
      <c r="BK165" s="1" t="str">
        <f>IF($E165="","",MAX($AY165*Boss参数!$B$9,$AY165-$BJ165*(1-$BF165)))</f>
        <v/>
      </c>
      <c r="BL165" s="1">
        <f>MAX(0,Boss参数!$F$4+IF(DT165=0,Boss参数!$B$27,0)-EJ165)</f>
        <v>1.25</v>
      </c>
      <c r="BM165" s="1">
        <f>Boss参数!$G$4+DU165-IF(Y165=1,Boss参数!$B$11,0)</f>
        <v>0.4</v>
      </c>
      <c r="BN165" s="1" t="str">
        <f>IF($E165="","",MAX(Boss参数!$B$10,1+IFERROR(INDEX(角色面板!$I$18:$I$21,MATCH($E165,角色面板!$A$18:$A$21,0)),0)+$BB165+Boss参数!$H$4-$BM165))</f>
        <v/>
      </c>
      <c r="BO165" s="1" t="str">
        <f>IF(E165="","",IF(OR(L165="J_COUNTER",L165="J_HARD"),MAX(0,1+INDEX(角色面板!$K$18:$K$21,MATCH(E165,角色面板!$A$18:$A$21,0))-DI165*Boss参数!$B$23+IF(OR(Boss参数!$B$43=1,L165="J_HARD"),IF(B165&lt;=AH165,Boss参数!$B$46,0),0)),MAX(0,IF(OR(H165="术法",L165="RHI_BERRY",AND(L165="37_FOLLOW",Boss参数!$B$31=1)),1+BC165,IF(H165="仪式",1+BD165,IF(H165="洞知",EK165,1))))))</f>
        <v/>
      </c>
      <c r="BP165" s="1" t="str">
        <f t="shared" si="143"/>
        <v/>
      </c>
      <c r="BQ165" s="1">
        <f t="shared" si="144"/>
        <v>0</v>
      </c>
      <c r="BR165" s="1">
        <f t="shared" si="145"/>
        <v>0</v>
      </c>
      <c r="BS165" s="1">
        <f>IF(BH165=0,0,ROUNDDOWN(AY165*BH165,0)*DV165*IF(Boss参数!$B$29=1,BN165,1)*IF(Boss参数!$B$33=1,BO165,1)*IF(Boss参数!$B$76=1,1-ES165,1))</f>
        <v>0</v>
      </c>
      <c r="BT165" s="1">
        <f t="shared" si="146"/>
        <v>0</v>
      </c>
      <c r="BU165" s="1">
        <f>IF(D165="",0,MIN(IF(Boss参数!$B$77=1,Boss参数!$B$63*Boss参数!$B$62,Boss参数!$B$61*Boss参数!$B$62),DW165+ROUNDDOWN(BS165,0)+ROUNDDOWN(DW165*Q165,0)))</f>
        <v>0</v>
      </c>
      <c r="BV165" s="1">
        <f>IF(D165="",0,MIN(IF(Boss参数!$B$77=1,Boss参数!$B$63*Boss参数!$B$62,Boss参数!$B$61*Boss参数!$B$62),DX165+ROUNDDOWN(BT165,0)+ROUNDDOWN(DX165*Q165,0)))</f>
        <v>0</v>
      </c>
      <c r="BW165" s="1">
        <f t="shared" si="147"/>
        <v>0</v>
      </c>
      <c r="BX165" s="1" t="str">
        <f t="shared" si="148"/>
        <v/>
      </c>
      <c r="BY165" s="1">
        <f t="shared" si="149"/>
        <v>2</v>
      </c>
      <c r="BZ165" s="1">
        <f t="shared" si="150"/>
        <v>1</v>
      </c>
      <c r="CA165" s="1">
        <f>MIN(10,W165+IF(AND(L165="LILYA_COBRA",COUNTIF($L$3:L165,"LILYA_COBRA")=1),5,0)+IF(AND(L165="LILYA_DIVE",U165=1,COUNTIFS($DG$3:DG165,DG165,$L$3:L165,"LILYA_DIVE")=1),2,0)+IF(AND(FE165=1,U165=1),3,0))</f>
        <v>10</v>
      </c>
      <c r="CB165" s="1">
        <f>MIN(20,MAX(0,X165+IF(L165="LILYA_COBRA",IF(COUNTIF($L$3:L165,"LILYA_COBRA")=1,6,IF(U165=1,MAX(1,G165),IF(U165=2,2*MAX(1,G165),0))),0)+IF(AND(Y165=1,E165="红弩箭",L165&lt;&gt;"ENTER_INSIGHT"),1,0)-IF(AND(L165="LILYA_ULT",X165&gt;=6),6,0)))</f>
        <v>13</v>
      </c>
      <c r="CC165" s="1">
        <f t="shared" si="151"/>
        <v>0</v>
      </c>
      <c r="CD165" s="1">
        <f t="shared" si="152"/>
        <v>0</v>
      </c>
      <c r="CE165" s="1">
        <f t="shared" si="153"/>
        <v>0</v>
      </c>
      <c r="CF165" s="1">
        <f t="shared" si="154"/>
        <v>10</v>
      </c>
      <c r="CG165" s="1">
        <f t="shared" si="155"/>
        <v>1</v>
      </c>
      <c r="CH165" s="1">
        <f>MIN(35,AD165+IF(L165="J_HARD",6,0)+IF(L165="J_COUNTER",Boss参数!$B$30,0))</f>
        <v>35</v>
      </c>
      <c r="CI165" s="1">
        <f>MIN(Boss参数!$I$4,AE165+IF(L165="J_HARD",6,0)+IF(L165="J_ULT",AD165,0)+IF(L165="J_COUNTER",Boss参数!$B$30,0))</f>
        <v>0</v>
      </c>
      <c r="CJ165" s="1">
        <f>IF(L165="J_ULT",AD165*Boss参数!$B$41,IF(B165&lt;=AG165,AF165,0))</f>
        <v>0.875</v>
      </c>
      <c r="CK165" s="1">
        <f t="shared" si="156"/>
        <v>9</v>
      </c>
      <c r="CL165" s="1">
        <f t="shared" si="157"/>
        <v>9</v>
      </c>
      <c r="CM165" s="1">
        <f t="shared" si="158"/>
        <v>8</v>
      </c>
      <c r="CN165" s="1">
        <f t="shared" si="159"/>
        <v>9</v>
      </c>
      <c r="CO165" s="1">
        <f t="shared" si="160"/>
        <v>8</v>
      </c>
      <c r="CP165" s="1">
        <f t="shared" si="161"/>
        <v>3</v>
      </c>
      <c r="CQ165" s="1">
        <f t="shared" si="162"/>
        <v>30</v>
      </c>
      <c r="CR165" s="1">
        <f t="shared" si="163"/>
        <v>9</v>
      </c>
      <c r="CS165" s="1">
        <f t="shared" si="164"/>
        <v>0</v>
      </c>
      <c r="CT165" s="1" t="e">
        <f t="shared" si="165"/>
        <v>#VALUE!</v>
      </c>
      <c r="CU165" s="1" t="e">
        <f t="shared" si="166"/>
        <v>#VALUE!</v>
      </c>
      <c r="CV165" s="1">
        <f t="shared" si="167"/>
        <v>0.3</v>
      </c>
      <c r="CW165" s="1">
        <f t="shared" si="168"/>
        <v>9</v>
      </c>
      <c r="CX165" s="1">
        <f t="shared" si="169"/>
        <v>0.3</v>
      </c>
      <c r="CY165" s="1">
        <f t="shared" si="170"/>
        <v>9</v>
      </c>
      <c r="CZ165" s="1"/>
      <c r="DA165" s="1"/>
      <c r="DB165" s="1"/>
      <c r="DC165" s="1"/>
      <c r="DD165" s="1"/>
      <c r="DE165" s="1"/>
      <c r="DF165" s="1"/>
      <c r="DG165" s="1" t="str">
        <f>IF(D165="","",行动模拟!B171)</f>
        <v/>
      </c>
      <c r="DH165" s="1" t="str">
        <f>IF(L165="END_TURN","回合结束",IF(D165="","",IF(INDEX(回合状态!$C$7:$C$17,MATCH(DG165,回合状态!$A$7:$A$17,0))="洞穿","洞穿",IF(OR(L165="J_COUNTER",L165="BOSS_ACTION",L165="BOSS_CONSERVATIVE"),"敌方",IF(AND(L165="37_FOLLOW",DG165=DG164,DH164="敌方"),"敌方",IF(INDEX(回合状态!$C$7:$C$17,MATCH(DG165,回合状态!$A$7:$A$17,0))="普通","出牌",INDEX(回合状态!$C$7:$C$17,MATCH(DG165,回合状态!$A$7:$A$17,0))))))))</f>
        <v/>
      </c>
      <c r="DI165" s="1">
        <f t="shared" si="171"/>
        <v>0</v>
      </c>
      <c r="DJ165" s="1">
        <f>IF(D165="",0,MIN(Boss参数!$B$25,IF(OR(AND(DH165="敌方",OR(DH164&lt;&gt;"敌方",DG165&lt;&gt;DG164)),AND(L165="END_TURN",DH165&lt;&gt;"洞穿"),AND(DG165&lt;&gt;DG164,DH164&lt;&gt;"洞穿",L164&lt;&gt;"END_TURN",COUNTIFS($DG$3:DG164,DG164,$DH$3:DH164,"敌方")=0)),EW165,DN164)))</f>
        <v>0</v>
      </c>
      <c r="DK165" s="1">
        <f>IF(D165="",0,MIN(Boss参数!$B$25,IF(OR(AND(DH165="敌方",OR(DH164&lt;&gt;"敌方",DG165&lt;&gt;DG164)),AND(L165="END_TURN",DH165&lt;&gt;"洞穿"),AND(DG165&lt;&gt;DG164,DH164&lt;&gt;"洞穿",L164&lt;&gt;"END_TURN",COUNTIFS($DG$3:DG164,DG164,$DH$3:DH164,"敌方")=0)),EW165,DO164)))</f>
        <v>0</v>
      </c>
      <c r="DL165" s="1">
        <f>IF(D165="",0,MIN(Boss参数!$B$25,IF(OR(AND(DH165="敌方",OR(DH164&lt;&gt;"敌方",DG165&lt;&gt;DG164)),AND(L165="END_TURN",DH165&lt;&gt;"洞穿"),AND(DG165&lt;&gt;DG164,DH164&lt;&gt;"洞穿",L164&lt;&gt;"END_TURN",COUNTIFS($DG$3:DG164,DG164,$DH$3:DH164,"敌方")=0)),EW165,DP164)))</f>
        <v>0</v>
      </c>
      <c r="DM165" s="1">
        <f>IF(D165="",0,MIN(Boss参数!$B$25,IF(OR(AND(DH165="敌方",OR(DH164&lt;&gt;"敌方",DG165&lt;&gt;DG164)),AND(L165="END_TURN",DH165&lt;&gt;"洞穿"),AND(DG165&lt;&gt;DG164,DH164&lt;&gt;"洞穿",L164&lt;&gt;"END_TURN",COUNTIFS($DG$3:DG164,DG164,$DH$3:DH164,"敌方")=0)),EW165,DQ164)))</f>
        <v>0</v>
      </c>
      <c r="DN165" s="1">
        <f>MAX(0,MIN(Boss参数!$B$25,DJ165+DR165)-IF(E165="红弩箭",2*DR165,0))</f>
        <v>0</v>
      </c>
      <c r="DO165" s="1">
        <f>MAX(0,MIN(Boss参数!$B$25,DK165+DR165)-IF(E165="37",2*DR165,0))</f>
        <v>0</v>
      </c>
      <c r="DP165" s="1">
        <f>MAX(0,MIN(Boss参数!$B$25,DL165+DR165)-IF(E165="小瑞安侬",2*DR165,0))</f>
        <v>0</v>
      </c>
      <c r="DQ165" s="1">
        <f>MAX(0,MIN(Boss参数!$B$25,DM165+DR165)-IF(E165="J",2*DR165,0))</f>
        <v>0</v>
      </c>
      <c r="DR165" s="1">
        <f t="shared" si="172"/>
        <v>0</v>
      </c>
      <c r="DS165" s="1">
        <f t="shared" si="173"/>
        <v>0</v>
      </c>
      <c r="DT165" s="1">
        <f>IF(OR(E165="",E165="系统"),0,IF(OR(AND(DS165=1,Boss参数!$B$32=1),L165="RHI_BERRY",OR(AND(INDEX(角色面板!$B$18:$B$21,MATCH(E165,角色面板!$A$18:$A$21,0))="星",Boss参数!$B$4="岩"),AND(INDEX(角色面板!$B$18:$B$21,MATCH(E165,角色面板!$A$18:$A$21,0))="岩",Boss参数!$B$4="兽"),AND(INDEX(角色面板!$B$18:$B$21,MATCH(E165,角色面板!$A$18:$A$21,0))="兽",Boss参数!$B$4="木"),AND(INDEX(角色面板!$B$18:$B$21,MATCH(E165,角色面板!$A$18:$A$21,0))="木",Boss参数!$B$4="星"),AND(INDEX(角色面板!$B$18:$B$21,MATCH(E165,角色面板!$A$18:$A$21,0))="智",Boss参数!$B$4="灵"),AND(INDEX(角色面板!$B$18:$B$21,MATCH(E165,角色面板!$A$18:$A$21,0))="灵",Boss参数!$B$4="智"))),1,0))</f>
        <v>0</v>
      </c>
      <c r="DU165" s="1">
        <f>IF(D165="",0,INDEX(回合状态!$E$7:$E$17,MATCH(DG165,回合状态!$A$7:$A$17,0))+IF(AND(DH165="敌方",OR(INDEX(回合状态!$C$7:$C$17,MATCH(DG165,回合状态!$A$7:$A$17,0))="普通",INDEX(回合状态!$C$7:$C$17,MATCH(DG165,回合状态!$A$7:$A$17,0))="额外")),0.05,0))</f>
        <v>0</v>
      </c>
      <c r="DV165" s="1">
        <f>MAX(Boss参数!$B$28,1+IF(AND(E165="37",AC165&gt;0,BH165&gt;0),Boss参数!$B$42,0)-DI165*Boss参数!$B$24+EA165-ER165)</f>
        <v>9.9999999999999978E-2</v>
      </c>
      <c r="DW165" s="1">
        <f>MIN(IF(Boss参数!$B$77=1,Boss参数!$B$63*Boss参数!$B$62,Boss参数!$B$61*Boss参数!$B$62),ROUNDDOWN(BQ165*(1-ES165),0))</f>
        <v>0</v>
      </c>
      <c r="DX165" s="1">
        <f>MIN(IF(Boss参数!$B$77=1,Boss参数!$B$63*Boss参数!$B$62,Boss参数!$B$61*Boss参数!$B$62),ROUNDDOWN(BR165*(1-ES165),0))</f>
        <v>0</v>
      </c>
      <c r="DY165" s="1">
        <f t="shared" si="205"/>
        <v>250</v>
      </c>
      <c r="DZ165" s="1">
        <f>IF(L165="RHI_ULT",MIN(Boss参数!$B$48,ROUNDDOWN(AY165*Boss参数!$B$47,0)),DY165)</f>
        <v>250</v>
      </c>
      <c r="EA165" s="1">
        <v>0</v>
      </c>
      <c r="EB165" s="1">
        <f t="shared" si="174"/>
        <v>0</v>
      </c>
      <c r="EC165" s="1">
        <f>SUMIFS($EB$3:EB165,$B$3:B165,"&gt;="&amp;MAX(1,B165-2),$B$3:B165,"&lt;="&amp;B165)*Boss参数!$B$51</f>
        <v>0</v>
      </c>
      <c r="ED165" s="1">
        <f>IF(D165="",EG164,IF(AND(DG165&lt;&gt;DG164,DH165&lt;&gt;"洞穿"),MIN(Boss参数!$B$55,EG164+2),EG164))</f>
        <v>0</v>
      </c>
      <c r="EE165" s="1">
        <f t="shared" si="175"/>
        <v>0</v>
      </c>
      <c r="EF165" s="1">
        <f>IF(AND(OR(L165="END_TURN",AND(DH165="敌方",OR(DH164&lt;&gt;"敌方",DG165&lt;&gt;DG164))),SUMIFS($EF$3:EF164,$DG$3:DG164,DG165)=0),MIN(1,MAX(0,ED165-EE165)),0)</f>
        <v>0</v>
      </c>
      <c r="EG165" s="1">
        <f t="shared" si="176"/>
        <v>0</v>
      </c>
      <c r="EH165" s="1">
        <f>Boss参数!$B$53-IF(Y165=1,Boss参数!$B$54,0)</f>
        <v>0</v>
      </c>
      <c r="EI165" s="1">
        <f t="shared" si="177"/>
        <v>0.15</v>
      </c>
      <c r="EJ165" s="1">
        <f t="shared" si="178"/>
        <v>0.15</v>
      </c>
      <c r="EK165" s="1" t="e">
        <f t="shared" si="179"/>
        <v>#VALUE!</v>
      </c>
      <c r="EL165" s="1">
        <f t="shared" si="206"/>
        <v>0</v>
      </c>
      <c r="EM165" s="1">
        <f>IF(AND(DG165&lt;&gt;DG164,DH165="洞穿"),0,IF(L165="ENTER_INSIGHT",Boss参数!$B$57,EO164))</f>
        <v>0</v>
      </c>
      <c r="EN165" s="1">
        <f>IF(AND(Y165=1,H165="洞知",EM165&gt;0),Boss参数!$B$56,0)</f>
        <v>0</v>
      </c>
      <c r="EO165" s="1">
        <f t="shared" si="180"/>
        <v>0</v>
      </c>
      <c r="EP165" s="1">
        <f t="shared" si="207"/>
        <v>23210479</v>
      </c>
      <c r="EQ165" s="1">
        <f>ROUNDDOWN(EP165/Boss参数!$B$62,0)</f>
        <v>232</v>
      </c>
      <c r="ER165" s="1">
        <f>IF(EQ165&gt;=Boss参数!$B$66,Boss参数!$B$69,IF(EQ165&gt;=Boss参数!$B$65,Boss参数!$B$68,IF(EQ165&gt;=Boss参数!$B$64,Boss参数!$B$67,0)))</f>
        <v>0.9</v>
      </c>
      <c r="ES165" s="1">
        <f>MIN(1,IF(EQ165&gt;=Boss参数!$B$66,Boss参数!$B$72+ROUNDDOWN((EQ165-Boss参数!$B$66)/Boss参数!$B$73,0)*Boss参数!$B$74,IF(EQ165&gt;=Boss参数!$B$65,Boss参数!$B$71,IF(EQ165&gt;=Boss参数!$B$64,Boss参数!$B$70,0))))</f>
        <v>0.65</v>
      </c>
      <c r="ET165" s="1">
        <f>MIN(Boss参数!$B$61*Boss参数!$B$62,EP165+IF(AND(Boss参数!$B$60=1,ISNUMBER(验证表!H171)),验证表!H171,EU165))</f>
        <v>23210479</v>
      </c>
      <c r="EU165" s="1">
        <f>IF(D165="",0,IF(验证表!G171="是",BV165,IF(验证表!G171="否",BU165,BW165)))</f>
        <v>0</v>
      </c>
      <c r="EV165" s="1">
        <f>IF(EQ165&gt;=Boss参数!$B$66,2,IF(EQ165&gt;=Boss参数!$B$65,1,0))</f>
        <v>2</v>
      </c>
      <c r="EW165" s="1">
        <f t="shared" si="181"/>
        <v>3</v>
      </c>
      <c r="EX165" s="1">
        <f>IF(D165="",0,INDEX(回合状态!$D$7:$D$17,MATCH(DG165,回合状态!$A$7:$A$17,0)))</f>
        <v>0</v>
      </c>
      <c r="EY165" s="1">
        <f>IF(OR(L165="RHI_ATTACK",L165="RHI_BUFF"),1,IF(L165="RHI_ULT",Boss参数!$B$52,0))</f>
        <v>0</v>
      </c>
      <c r="EZ165" s="1">
        <f>MIN(6,SUMIFS($EY$3:EY165,$EX$3:EX165,"&gt;="&amp;MAX(1,EX165-Boss参数!$B$87+1),$EX$3:EX165,"&lt;="&amp;EX165))</f>
        <v>0</v>
      </c>
      <c r="FA165" s="1">
        <f t="shared" si="208"/>
        <v>0</v>
      </c>
      <c r="FB165" s="17">
        <f>IF(L165="BOSS_CONSERVATIVE",B165+Boss参数!$B$91,FB164)</f>
        <v>7</v>
      </c>
      <c r="FC165" s="17">
        <f t="shared" si="209"/>
        <v>0</v>
      </c>
      <c r="FD165" s="17">
        <f>IF(D165="",FD164,FD164+IF(AND(DG165&lt;&gt;DG164,INDEX(回合状态!$C$7:$C$17,MATCH(DG165,回合状态!$A$7:$A$17,0))&lt;&gt;"洞穿"),1,0))</f>
        <v>8</v>
      </c>
      <c r="FE165" s="17">
        <f>IF(D165="",0,IF(AND(OR(L165="END_TURN",DH165="敌方"),INDEX(回合状态!$C$7:$C$17,MATCH(DG165,回合状态!$A$7:$A$17,0))&lt;&gt;"洞穿",SUMIFS($FE$3:FE164,$DG$3:DG164,DG165)=0),1,0))</f>
        <v>0</v>
      </c>
    </row>
    <row r="166" spans="1:161" ht="84.95" customHeight="1">
      <c r="A166" s="1" t="str">
        <f>行动模拟!A172</f>
        <v/>
      </c>
      <c r="B166" s="1">
        <f>IF(D166="",0,INDEX(回合状态!$B$7:$B$17,MATCH(DG166,回合状态!$A$7:$A$17,0)))</f>
        <v>0</v>
      </c>
      <c r="C166" s="1">
        <f>行动模拟!C172</f>
        <v>0</v>
      </c>
      <c r="D166" s="1" t="str">
        <f>IF(行动模拟!D172="","",行动模拟!D172)</f>
        <v/>
      </c>
      <c r="E166" s="1" t="str">
        <f>IF($D166="","",IFERROR(INDEX(技能数据库!$B$4:$B$38,MATCH($D166,技能数据库!$A$4:$A$38,0)),""))</f>
        <v/>
      </c>
      <c r="F166" s="1" t="str">
        <f>IF($D166="","",IFERROR(INDEX(技能数据库!$C$4:$C$38,MATCH($D166,技能数据库!$A$4:$A$38,0)),""))</f>
        <v/>
      </c>
      <c r="G166" s="1" t="str">
        <f>IF($D166="","",IFERROR(INDEX(技能数据库!$D$4:$D$38,MATCH($D166,技能数据库!$A$4:$A$38,0)),""))</f>
        <v/>
      </c>
      <c r="H166" s="1" t="str">
        <f>IF($D166="","",IFERROR(INDEX(技能数据库!$E$4:$E$38,MATCH($D166,技能数据库!$A$4:$A$38,0)),""))</f>
        <v/>
      </c>
      <c r="I166" s="1" t="str">
        <f>IF($D166="","",IFERROR(INDEX(技能数据库!$F$4:$F$38,MATCH($D166,技能数据库!$A$4:$A$38,0)),""))</f>
        <v/>
      </c>
      <c r="J166" s="1" t="str">
        <f>IF($D166="","",IFERROR(INDEX(技能数据库!$G$4:$G$38,MATCH($D166,技能数据库!$A$4:$A$38,0)),""))</f>
        <v/>
      </c>
      <c r="K166" s="1" t="str">
        <f>IF($D166="","",IFERROR(INDEX(技能数据库!$H$4:$H$38,MATCH($D166,技能数据库!$A$4:$A$38,0)),""))</f>
        <v/>
      </c>
      <c r="L166" s="1" t="str">
        <f>IF($D166="","",IFERROR(INDEX(技能数据库!$I$4:$I$38,MATCH($D166,技能数据库!$A$4:$A$38,0)),""))</f>
        <v/>
      </c>
      <c r="M166" s="1">
        <v>1</v>
      </c>
      <c r="N166" s="1"/>
      <c r="O166" s="1"/>
      <c r="P166" s="1"/>
      <c r="Q166" s="1">
        <f t="shared" si="140"/>
        <v>0</v>
      </c>
      <c r="R166" s="1">
        <v>0</v>
      </c>
      <c r="S166" s="1">
        <v>0</v>
      </c>
      <c r="T166" s="1">
        <f>行动模拟!I172</f>
        <v>0</v>
      </c>
      <c r="U166" s="1">
        <f>IF(FD166&lt;&gt;FD165,IF(BY165=1,IF(MIN(10,CA165+IF(AND(DG166&lt;&gt;DG165,DH165&lt;&gt;"洞穿",SUMIFS($FE$3:FE165,$DG$3:DG165,DG165)=0,BY165=1),3,0))&gt;=10,2,1),IF(BY165=2,IF(BZ165&lt;=1,0,2),0)),BY165)</f>
        <v>2</v>
      </c>
      <c r="V166" s="1">
        <f>IF(FD166&lt;&gt;FD165,IF(BY165=1,IF(MIN(10,CA165+IF(AND(DG166&lt;&gt;DG165,DH165&lt;&gt;"洞穿",SUMIFS($FE$3:FE165,$DG$3:DG165,DG165)=0,BY165=1),3,0))&gt;=10,2,0),IF(BY165=2,MAX(0,BZ165-1),0)),BZ165)</f>
        <v>1</v>
      </c>
      <c r="W166" s="1">
        <f>IF(AND(FD166&lt;&gt;FD165,BY165=2,BZ165&lt;=1),0,MIN(10,CA165+IF(AND(DG166&lt;&gt;DG165,DH165&lt;&gt;"洞穿",SUMIFS($FE$3:FE165,$DG$3:DG165,DG165)=0,BY165=1),3,0)))</f>
        <v>10</v>
      </c>
      <c r="X166" s="1">
        <f t="shared" si="182"/>
        <v>13</v>
      </c>
      <c r="Y166" s="1">
        <f t="shared" si="183"/>
        <v>0</v>
      </c>
      <c r="Z166" s="1">
        <f t="shared" si="184"/>
        <v>0</v>
      </c>
      <c r="AA166" s="1">
        <f t="shared" si="185"/>
        <v>0</v>
      </c>
      <c r="AB166" s="1">
        <f t="shared" si="186"/>
        <v>10</v>
      </c>
      <c r="AC166" s="1">
        <f t="shared" si="187"/>
        <v>1</v>
      </c>
      <c r="AD166" s="1">
        <f t="shared" si="188"/>
        <v>35</v>
      </c>
      <c r="AE166" s="1">
        <f>IF(D166="",0,IF(DG166&lt;&gt;DG165,IFERROR(INDEX(回合状态!$F$7:$F$17,MATCH(DG166,回合状态!$A$7:$A$17,0)),0),CI165))</f>
        <v>0</v>
      </c>
      <c r="AF166" s="1">
        <f t="shared" si="189"/>
        <v>0.875</v>
      </c>
      <c r="AG166" s="1">
        <f t="shared" si="190"/>
        <v>9</v>
      </c>
      <c r="AH166" s="1">
        <f t="shared" si="191"/>
        <v>9</v>
      </c>
      <c r="AI166" s="1">
        <f t="shared" si="192"/>
        <v>8</v>
      </c>
      <c r="AJ166" s="1">
        <f t="shared" si="193"/>
        <v>9</v>
      </c>
      <c r="AK166" s="1">
        <f t="shared" si="194"/>
        <v>8</v>
      </c>
      <c r="AL166" s="1">
        <f t="shared" si="195"/>
        <v>3</v>
      </c>
      <c r="AM166" s="1">
        <f t="shared" si="196"/>
        <v>30</v>
      </c>
      <c r="AN166" s="1">
        <f t="shared" si="197"/>
        <v>9</v>
      </c>
      <c r="AO166" s="1">
        <f t="shared" si="198"/>
        <v>0</v>
      </c>
      <c r="AP166" s="1" t="e">
        <f t="shared" si="199"/>
        <v>#VALUE!</v>
      </c>
      <c r="AQ166" s="1" t="e">
        <f t="shared" si="200"/>
        <v>#VALUE!</v>
      </c>
      <c r="AR166" s="1">
        <f t="shared" si="201"/>
        <v>0.3</v>
      </c>
      <c r="AS166" s="1">
        <f t="shared" si="202"/>
        <v>9</v>
      </c>
      <c r="AT166" s="1">
        <f t="shared" si="203"/>
        <v>0.3</v>
      </c>
      <c r="AU166" s="1">
        <f t="shared" si="204"/>
        <v>9</v>
      </c>
      <c r="AV166" s="1">
        <f>MIN(5,SUMIFS($EL$3:EL166,$B$3:B166,"&gt;="&amp;MAX(1,B166-2),$B$3:B166,"&lt;="&amp;B166)+EC166)</f>
        <v>0</v>
      </c>
      <c r="AW166" s="1">
        <f>MIN(6,SUMIFS($EY$3:EY165,$EX$3:EX165,"&gt;="&amp;MAX(1,EX166-Boss参数!$B$87+1),$EX$3:EX165,"&lt;="&amp;EX166))</f>
        <v>0</v>
      </c>
      <c r="AX166" s="1">
        <f>MIN(4,COUNTIFS($B$3:$B$165,"&gt;="&amp;MAX(1,$B166-2),$B$3:$B$165,"&lt;="&amp;$B166,$L$3:$L$165,"37_FOLLOW"))</f>
        <v>0</v>
      </c>
      <c r="AY166" s="1" t="str">
        <f>IF($E166="","",IF($E166="系统",0,ROUNDDOWN(INDEX(角色面板!$C$4:$C$7,MATCH($E166,角色面板!$A$4:$A$7,0))*(1+INDEX(角色面板!$C$11:$C$14,MATCH($E166,角色面板!$A$11:$A$14,0))+IF($E166="小瑞安侬",MAX(IF($B166&lt;=$AQ166,$AP166,0),IF(AND($L166="RHI_ATTACK",$EE166&gt;0),0.11+0.01*$G166,0)),0)+IF($E166="J",$AD166*Boss参数!$B$18,0))+IF(FD166&lt;=$AN166,MIN(Boss参数!$B$21,ROUNDDOWN(角色面板!$C$19*Boss参数!$B$20,0)),0)+IF(AND($B166&lt;=$AK166,$E166&lt;&gt;"小瑞安侬"),$DY166,0),0)))</f>
        <v/>
      </c>
      <c r="AZ166" s="1" t="str">
        <f>IF($E166="","",MAX(0,MIN(1,IFERROR(INDEX(角色面板!$G$18:$G$21,MATCH($E166,角色面板!$A$18:$A$21,0)),0)-FC166*Boss参数!$B$89-Boss参数!$E$4)))</f>
        <v/>
      </c>
      <c r="BA166" s="1" t="str">
        <f>IF(E166="","",(IF($E166="","",IF($E166="红弩箭",Boss参数!$B$80,IF($E166="J",Boss参数!$B$81,IFERROR(INDEX(角色面板!$H$18:$H$21,MATCH($E166,角色面板!$A$18:$A$21,0)),0)))+IF($B166&lt;=$AI166,Boss参数!$B$13,0)+MIN(30,$AM166)*Boss参数!$B$17+IF(AND($L166="LILYA_ULT",$X166&gt;=6),1,0)+IF(AND($Y166=1,$L166="LILYA_INSIGHT"),IF(MOD($AA166+1,3)=0,Boss参数!$B$83,Boss参数!$B$82),IF(AND($Y166=1,$L166="LILYA_FINISH"),Boss参数!$B$84,0))))-FC166*Boss参数!$B$90)</f>
        <v/>
      </c>
      <c r="BB166" s="1" t="str">
        <f>IF($E166="","",IFERROR(INDEX(角色面板!$M$18:$M$21,MATCH($E166,角色面板!$A$18:$A$21,0)),0)+$AW166*Boss参数!$B$12+IF($B166&lt;=$AG166,$AF166,0)+$EI166+IF($L166="LILYA_DIVE",IF($U166=1,IF($G166=1,0.3,IF($G166=2,0.4,0.5)),IF($U166=2,IF($G166=1,0.6,IF($G166=2,0.8,1)),0)),0)+$R166+IF(AND($E166="J",OR($L166="J_COUNTER",$L166="J_HARD")),Boss参数!$B$79,0)+IF(AND(OR(L166="J_COUNTER",L166="J_HARD"),FA166&gt;=Boss参数!$B$59),FA166*Boss参数!$B$40,0))</f>
        <v/>
      </c>
      <c r="BC166" s="1" t="e">
        <f>IF($E166="","",IFERROR(INDEX(角色面板!$K$18:$K$21,MATCH($E166,角色面板!$A$18:$A$21,0)),0)+IF($B166&lt;=$AH166,Boss参数!$B$46,0)+IF($E166="红弩箭",IF($U166=1,0.6,IF($U166=2,1.2,0))+$W166*0.06,0))-DI166*Boss参数!$B$23</f>
        <v>#VALUE!</v>
      </c>
      <c r="BD166" s="1" t="e">
        <f>IF($E166="","",IFERROR(INDEX(角色面板!$L$18:$L$21,MATCH($E166,角色面板!$A$18:$A$21,0)),0)+IF($B166&lt;=$AH166,Boss参数!$B$46,0)+IF($E166="J",$AL166*Boss参数!$B$16,0)+IF($E166="红弩箭",$X166*0.025,0)+IF(AND($L166="LILYA_ULT",$X166&gt;=6),1,0))-DI166*Boss参数!$B$23</f>
        <v>#VALUE!</v>
      </c>
      <c r="BE166" s="1" t="str">
        <f>IF($E166="","",IF($H166="洞知",IF($E166="红弩箭",$AO166*Boss参数!$B$15,0)+$AX166*Boss参数!$B$14,0))</f>
        <v/>
      </c>
      <c r="BF166" s="1">
        <f t="shared" si="141"/>
        <v>0</v>
      </c>
      <c r="BG166" s="1">
        <f>IF($D166="",0,IF(AND($L166&lt;&gt;"LILYA_DIVE",$L166&lt;&gt;"LILYA_ULT",$L166&lt;&gt;"LILYA_INSIGHT",$L166&lt;&gt;"LILYA_FINISH",$L166&lt;&gt;"37_FOLLOW",$L166&lt;&gt;"RHI_ATTACK",$L166&lt;&gt;"RHI_BERRY",$L166&lt;&gt;"J_COUNTER",$L166&lt;&gt;"J_ULT"),$J166,0)+IF($L166="LILYA_DIVE",$J166+IF($U166=1,IF($G166=1,6,IF($G166=2,12,18)),IF($U166=2,IF($G166=1,12,IF($G166=2,24,36)),0)),0)+IF($L166="LILYA_ULT",$J166+IF($X166&gt;=6,18,0),0)+IF($L166="LILYA_INSIGHT",IF($Y166=1,IF(MOD($AA166+1,3)=0,32,15),0),0)+IF($L166="LILYA_FINISH",IF($Y166=1,50+2.5*$Z166,0),0)+IF($L166="37_FOLLOW",$J166,0)+IF($L166="RHI_ATTACK",$J166*IF($B166&lt;=$AJ166,2,1),0)+IF($L166="RHI_BERRY",15+1.5*$AV166,0)+IF($L166="J_COUNTER",$J166+$AD166*Boss参数!$B$39,0)+IF($L166="J_ULT",$J166+Boss参数!$B$45*MAX(0,$AE166+$AD166-Boss参数!$I$4),0)+$S166)</f>
        <v>0</v>
      </c>
      <c r="BH166" s="1">
        <f t="shared" si="142"/>
        <v>0</v>
      </c>
      <c r="BI166" s="1" t="str">
        <f>IF(E166="","",IF(DT166=1,1+Boss参数!$B$8+AV166*Boss参数!$B$19,1))</f>
        <v/>
      </c>
      <c r="BJ166" s="1">
        <f>IF($I166="现实",Boss参数!$C$4,IF($I166="精神",Boss参数!$D$4,0))</f>
        <v>0</v>
      </c>
      <c r="BK166" s="1" t="str">
        <f>IF($E166="","",MAX($AY166*Boss参数!$B$9,$AY166-$BJ166*(1-$BF166)))</f>
        <v/>
      </c>
      <c r="BL166" s="1">
        <f>MAX(0,Boss参数!$F$4+IF(DT166=0,Boss参数!$B$27,0)-EJ166)</f>
        <v>1.25</v>
      </c>
      <c r="BM166" s="1">
        <f>Boss参数!$G$4+DU166-IF(Y166=1,Boss参数!$B$11,0)</f>
        <v>0.4</v>
      </c>
      <c r="BN166" s="1" t="str">
        <f>IF($E166="","",MAX(Boss参数!$B$10,1+IFERROR(INDEX(角色面板!$I$18:$I$21,MATCH($E166,角色面板!$A$18:$A$21,0)),0)+$BB166+Boss参数!$H$4-$BM166))</f>
        <v/>
      </c>
      <c r="BO166" s="1" t="str">
        <f>IF(E166="","",IF(OR(L166="J_COUNTER",L166="J_HARD"),MAX(0,1+INDEX(角色面板!$K$18:$K$21,MATCH(E166,角色面板!$A$18:$A$21,0))-DI166*Boss参数!$B$23+IF(OR(Boss参数!$B$43=1,L166="J_HARD"),IF(B166&lt;=AH166,Boss参数!$B$46,0),0)),MAX(0,IF(OR(H166="术法",L166="RHI_BERRY",AND(L166="37_FOLLOW",Boss参数!$B$31=1)),1+BC166,IF(H166="仪式",1+BD166,IF(H166="洞知",EK166,1))))))</f>
        <v/>
      </c>
      <c r="BP166" s="1" t="str">
        <f t="shared" si="143"/>
        <v/>
      </c>
      <c r="BQ166" s="1">
        <f t="shared" si="144"/>
        <v>0</v>
      </c>
      <c r="BR166" s="1">
        <f t="shared" si="145"/>
        <v>0</v>
      </c>
      <c r="BS166" s="1">
        <f>IF(BH166=0,0,ROUNDDOWN(AY166*BH166,0)*DV166*IF(Boss参数!$B$29=1,BN166,1)*IF(Boss参数!$B$33=1,BO166,1)*IF(Boss参数!$B$76=1,1-ES166,1))</f>
        <v>0</v>
      </c>
      <c r="BT166" s="1">
        <f t="shared" si="146"/>
        <v>0</v>
      </c>
      <c r="BU166" s="1">
        <f>IF(D166="",0,MIN(IF(Boss参数!$B$77=1,Boss参数!$B$63*Boss参数!$B$62,Boss参数!$B$61*Boss参数!$B$62),DW166+ROUNDDOWN(BS166,0)+ROUNDDOWN(DW166*Q166,0)))</f>
        <v>0</v>
      </c>
      <c r="BV166" s="1">
        <f>IF(D166="",0,MIN(IF(Boss参数!$B$77=1,Boss参数!$B$63*Boss参数!$B$62,Boss参数!$B$61*Boss参数!$B$62),DX166+ROUNDDOWN(BT166,0)+ROUNDDOWN(DX166*Q166,0)))</f>
        <v>0</v>
      </c>
      <c r="BW166" s="1">
        <f t="shared" si="147"/>
        <v>0</v>
      </c>
      <c r="BX166" s="1" t="str">
        <f t="shared" si="148"/>
        <v/>
      </c>
      <c r="BY166" s="1">
        <f t="shared" si="149"/>
        <v>2</v>
      </c>
      <c r="BZ166" s="1">
        <f t="shared" si="150"/>
        <v>1</v>
      </c>
      <c r="CA166" s="1">
        <f>MIN(10,W166+IF(AND(L166="LILYA_COBRA",COUNTIF($L$3:L166,"LILYA_COBRA")=1),5,0)+IF(AND(L166="LILYA_DIVE",U166=1,COUNTIFS($DG$3:DG166,DG166,$L$3:L166,"LILYA_DIVE")=1),2,0)+IF(AND(FE166=1,U166=1),3,0))</f>
        <v>10</v>
      </c>
      <c r="CB166" s="1">
        <f>MIN(20,MAX(0,X166+IF(L166="LILYA_COBRA",IF(COUNTIF($L$3:L166,"LILYA_COBRA")=1,6,IF(U166=1,MAX(1,G166),IF(U166=2,2*MAX(1,G166),0))),0)+IF(AND(Y166=1,E166="红弩箭",L166&lt;&gt;"ENTER_INSIGHT"),1,0)-IF(AND(L166="LILYA_ULT",X166&gt;=6),6,0)))</f>
        <v>13</v>
      </c>
      <c r="CC166" s="1">
        <f t="shared" si="151"/>
        <v>0</v>
      </c>
      <c r="CD166" s="1">
        <f t="shared" si="152"/>
        <v>0</v>
      </c>
      <c r="CE166" s="1">
        <f t="shared" si="153"/>
        <v>0</v>
      </c>
      <c r="CF166" s="1">
        <f t="shared" si="154"/>
        <v>10</v>
      </c>
      <c r="CG166" s="1">
        <f t="shared" si="155"/>
        <v>1</v>
      </c>
      <c r="CH166" s="1">
        <f>MIN(35,AD166+IF(L166="J_HARD",6,0)+IF(L166="J_COUNTER",Boss参数!$B$30,0))</f>
        <v>35</v>
      </c>
      <c r="CI166" s="1">
        <f>MIN(Boss参数!$I$4,AE166+IF(L166="J_HARD",6,0)+IF(L166="J_ULT",AD166,0)+IF(L166="J_COUNTER",Boss参数!$B$30,0))</f>
        <v>0</v>
      </c>
      <c r="CJ166" s="1">
        <f>IF(L166="J_ULT",AD166*Boss参数!$B$41,IF(B166&lt;=AG166,AF166,0))</f>
        <v>0.875</v>
      </c>
      <c r="CK166" s="1">
        <f t="shared" si="156"/>
        <v>9</v>
      </c>
      <c r="CL166" s="1">
        <f t="shared" si="157"/>
        <v>9</v>
      </c>
      <c r="CM166" s="1">
        <f t="shared" si="158"/>
        <v>8</v>
      </c>
      <c r="CN166" s="1">
        <f t="shared" si="159"/>
        <v>9</v>
      </c>
      <c r="CO166" s="1">
        <f t="shared" si="160"/>
        <v>8</v>
      </c>
      <c r="CP166" s="1">
        <f t="shared" si="161"/>
        <v>3</v>
      </c>
      <c r="CQ166" s="1">
        <f t="shared" si="162"/>
        <v>30</v>
      </c>
      <c r="CR166" s="1">
        <f t="shared" si="163"/>
        <v>9</v>
      </c>
      <c r="CS166" s="1">
        <f t="shared" si="164"/>
        <v>0</v>
      </c>
      <c r="CT166" s="1" t="e">
        <f t="shared" si="165"/>
        <v>#VALUE!</v>
      </c>
      <c r="CU166" s="1" t="e">
        <f t="shared" si="166"/>
        <v>#VALUE!</v>
      </c>
      <c r="CV166" s="1">
        <f t="shared" si="167"/>
        <v>0.3</v>
      </c>
      <c r="CW166" s="1">
        <f t="shared" si="168"/>
        <v>9</v>
      </c>
      <c r="CX166" s="1">
        <f t="shared" si="169"/>
        <v>0.3</v>
      </c>
      <c r="CY166" s="1">
        <f t="shared" si="170"/>
        <v>9</v>
      </c>
      <c r="CZ166" s="1"/>
      <c r="DA166" s="1"/>
      <c r="DB166" s="1"/>
      <c r="DC166" s="1"/>
      <c r="DD166" s="1"/>
      <c r="DE166" s="1"/>
      <c r="DF166" s="1"/>
      <c r="DG166" s="1" t="str">
        <f>IF(D166="","",行动模拟!B172)</f>
        <v/>
      </c>
      <c r="DH166" s="1" t="str">
        <f>IF(L166="END_TURN","回合结束",IF(D166="","",IF(INDEX(回合状态!$C$7:$C$17,MATCH(DG166,回合状态!$A$7:$A$17,0))="洞穿","洞穿",IF(OR(L166="J_COUNTER",L166="BOSS_ACTION",L166="BOSS_CONSERVATIVE"),"敌方",IF(AND(L166="37_FOLLOW",DG166=DG165,DH165="敌方"),"敌方",IF(INDEX(回合状态!$C$7:$C$17,MATCH(DG166,回合状态!$A$7:$A$17,0))="普通","出牌",INDEX(回合状态!$C$7:$C$17,MATCH(DG166,回合状态!$A$7:$A$17,0))))))))</f>
        <v/>
      </c>
      <c r="DI166" s="1">
        <f t="shared" si="171"/>
        <v>0</v>
      </c>
      <c r="DJ166" s="1">
        <f>IF(D166="",0,MIN(Boss参数!$B$25,IF(OR(AND(DH166="敌方",OR(DH165&lt;&gt;"敌方",DG166&lt;&gt;DG165)),AND(L166="END_TURN",DH166&lt;&gt;"洞穿"),AND(DG166&lt;&gt;DG165,DH165&lt;&gt;"洞穿",L165&lt;&gt;"END_TURN",COUNTIFS($DG$3:DG165,DG165,$DH$3:DH165,"敌方")=0)),EW166,DN165)))</f>
        <v>0</v>
      </c>
      <c r="DK166" s="1">
        <f>IF(D166="",0,MIN(Boss参数!$B$25,IF(OR(AND(DH166="敌方",OR(DH165&lt;&gt;"敌方",DG166&lt;&gt;DG165)),AND(L166="END_TURN",DH166&lt;&gt;"洞穿"),AND(DG166&lt;&gt;DG165,DH165&lt;&gt;"洞穿",L165&lt;&gt;"END_TURN",COUNTIFS($DG$3:DG165,DG165,$DH$3:DH165,"敌方")=0)),EW166,DO165)))</f>
        <v>0</v>
      </c>
      <c r="DL166" s="1">
        <f>IF(D166="",0,MIN(Boss参数!$B$25,IF(OR(AND(DH166="敌方",OR(DH165&lt;&gt;"敌方",DG166&lt;&gt;DG165)),AND(L166="END_TURN",DH166&lt;&gt;"洞穿"),AND(DG166&lt;&gt;DG165,DH165&lt;&gt;"洞穿",L165&lt;&gt;"END_TURN",COUNTIFS($DG$3:DG165,DG165,$DH$3:DH165,"敌方")=0)),EW166,DP165)))</f>
        <v>0</v>
      </c>
      <c r="DM166" s="1">
        <f>IF(D166="",0,MIN(Boss参数!$B$25,IF(OR(AND(DH166="敌方",OR(DH165&lt;&gt;"敌方",DG166&lt;&gt;DG165)),AND(L166="END_TURN",DH166&lt;&gt;"洞穿"),AND(DG166&lt;&gt;DG165,DH165&lt;&gt;"洞穿",L165&lt;&gt;"END_TURN",COUNTIFS($DG$3:DG165,DG165,$DH$3:DH165,"敌方")=0)),EW166,DQ165)))</f>
        <v>0</v>
      </c>
      <c r="DN166" s="1">
        <f>MAX(0,MIN(Boss参数!$B$25,DJ166+DR166)-IF(E166="红弩箭",2*DR166,0))</f>
        <v>0</v>
      </c>
      <c r="DO166" s="1">
        <f>MAX(0,MIN(Boss参数!$B$25,DK166+DR166)-IF(E166="37",2*DR166,0))</f>
        <v>0</v>
      </c>
      <c r="DP166" s="1">
        <f>MAX(0,MIN(Boss参数!$B$25,DL166+DR166)-IF(E166="小瑞安侬",2*DR166,0))</f>
        <v>0</v>
      </c>
      <c r="DQ166" s="1">
        <f>MAX(0,MIN(Boss参数!$B$25,DM166+DR166)-IF(E166="J",2*DR166,0))</f>
        <v>0</v>
      </c>
      <c r="DR166" s="1">
        <f t="shared" si="172"/>
        <v>0</v>
      </c>
      <c r="DS166" s="1">
        <f t="shared" si="173"/>
        <v>0</v>
      </c>
      <c r="DT166" s="1">
        <f>IF(OR(E166="",E166="系统"),0,IF(OR(AND(DS166=1,Boss参数!$B$32=1),L166="RHI_BERRY",OR(AND(INDEX(角色面板!$B$18:$B$21,MATCH(E166,角色面板!$A$18:$A$21,0))="星",Boss参数!$B$4="岩"),AND(INDEX(角色面板!$B$18:$B$21,MATCH(E166,角色面板!$A$18:$A$21,0))="岩",Boss参数!$B$4="兽"),AND(INDEX(角色面板!$B$18:$B$21,MATCH(E166,角色面板!$A$18:$A$21,0))="兽",Boss参数!$B$4="木"),AND(INDEX(角色面板!$B$18:$B$21,MATCH(E166,角色面板!$A$18:$A$21,0))="木",Boss参数!$B$4="星"),AND(INDEX(角色面板!$B$18:$B$21,MATCH(E166,角色面板!$A$18:$A$21,0))="智",Boss参数!$B$4="灵"),AND(INDEX(角色面板!$B$18:$B$21,MATCH(E166,角色面板!$A$18:$A$21,0))="灵",Boss参数!$B$4="智"))),1,0))</f>
        <v>0</v>
      </c>
      <c r="DU166" s="1">
        <f>IF(D166="",0,INDEX(回合状态!$E$7:$E$17,MATCH(DG166,回合状态!$A$7:$A$17,0))+IF(AND(DH166="敌方",OR(INDEX(回合状态!$C$7:$C$17,MATCH(DG166,回合状态!$A$7:$A$17,0))="普通",INDEX(回合状态!$C$7:$C$17,MATCH(DG166,回合状态!$A$7:$A$17,0))="额外")),0.05,0))</f>
        <v>0</v>
      </c>
      <c r="DV166" s="1">
        <f>MAX(Boss参数!$B$28,1+IF(AND(E166="37",AC166&gt;0,BH166&gt;0),Boss参数!$B$42,0)-DI166*Boss参数!$B$24+EA166-ER166)</f>
        <v>9.9999999999999978E-2</v>
      </c>
      <c r="DW166" s="1">
        <f>MIN(IF(Boss参数!$B$77=1,Boss参数!$B$63*Boss参数!$B$62,Boss参数!$B$61*Boss参数!$B$62),ROUNDDOWN(BQ166*(1-ES166),0))</f>
        <v>0</v>
      </c>
      <c r="DX166" s="1">
        <f>MIN(IF(Boss参数!$B$77=1,Boss参数!$B$63*Boss参数!$B$62,Boss参数!$B$61*Boss参数!$B$62),ROUNDDOWN(BR166*(1-ES166),0))</f>
        <v>0</v>
      </c>
      <c r="DY166" s="1">
        <f t="shared" si="205"/>
        <v>250</v>
      </c>
      <c r="DZ166" s="1">
        <f>IF(L166="RHI_ULT",MIN(Boss参数!$B$48,ROUNDDOWN(AY166*Boss参数!$B$47,0)),DY166)</f>
        <v>250</v>
      </c>
      <c r="EA166" s="1">
        <v>0</v>
      </c>
      <c r="EB166" s="1">
        <f t="shared" si="174"/>
        <v>0</v>
      </c>
      <c r="EC166" s="1">
        <f>SUMIFS($EB$3:EB166,$B$3:B166,"&gt;="&amp;MAX(1,B166-2),$B$3:B166,"&lt;="&amp;B166)*Boss参数!$B$51</f>
        <v>0</v>
      </c>
      <c r="ED166" s="1">
        <f>IF(D166="",EG165,IF(AND(DG166&lt;&gt;DG165,DH166&lt;&gt;"洞穿"),MIN(Boss参数!$B$55,EG165+2),EG165))</f>
        <v>0</v>
      </c>
      <c r="EE166" s="1">
        <f t="shared" si="175"/>
        <v>0</v>
      </c>
      <c r="EF166" s="1">
        <f>IF(AND(OR(L166="END_TURN",AND(DH166="敌方",OR(DH165&lt;&gt;"敌方",DG166&lt;&gt;DG165))),SUMIFS($EF$3:EF165,$DG$3:DG165,DG166)=0),MIN(1,MAX(0,ED166-EE166)),0)</f>
        <v>0</v>
      </c>
      <c r="EG166" s="1">
        <f t="shared" si="176"/>
        <v>0</v>
      </c>
      <c r="EH166" s="1">
        <f>Boss参数!$B$53-IF(Y166=1,Boss参数!$B$54,0)</f>
        <v>0</v>
      </c>
      <c r="EI166" s="1">
        <f t="shared" si="177"/>
        <v>0.15</v>
      </c>
      <c r="EJ166" s="1">
        <f t="shared" si="178"/>
        <v>0.15</v>
      </c>
      <c r="EK166" s="1" t="e">
        <f t="shared" si="179"/>
        <v>#VALUE!</v>
      </c>
      <c r="EL166" s="1">
        <f t="shared" si="206"/>
        <v>0</v>
      </c>
      <c r="EM166" s="1">
        <f>IF(AND(DG166&lt;&gt;DG165,DH166="洞穿"),0,IF(L166="ENTER_INSIGHT",Boss参数!$B$57,EO165))</f>
        <v>0</v>
      </c>
      <c r="EN166" s="1">
        <f>IF(AND(Y166=1,H166="洞知",EM166&gt;0),Boss参数!$B$56,0)</f>
        <v>0</v>
      </c>
      <c r="EO166" s="1">
        <f t="shared" si="180"/>
        <v>0</v>
      </c>
      <c r="EP166" s="1">
        <f t="shared" si="207"/>
        <v>23210479</v>
      </c>
      <c r="EQ166" s="1">
        <f>ROUNDDOWN(EP166/Boss参数!$B$62,0)</f>
        <v>232</v>
      </c>
      <c r="ER166" s="1">
        <f>IF(EQ166&gt;=Boss参数!$B$66,Boss参数!$B$69,IF(EQ166&gt;=Boss参数!$B$65,Boss参数!$B$68,IF(EQ166&gt;=Boss参数!$B$64,Boss参数!$B$67,0)))</f>
        <v>0.9</v>
      </c>
      <c r="ES166" s="1">
        <f>MIN(1,IF(EQ166&gt;=Boss参数!$B$66,Boss参数!$B$72+ROUNDDOWN((EQ166-Boss参数!$B$66)/Boss参数!$B$73,0)*Boss参数!$B$74,IF(EQ166&gt;=Boss参数!$B$65,Boss参数!$B$71,IF(EQ166&gt;=Boss参数!$B$64,Boss参数!$B$70,0))))</f>
        <v>0.65</v>
      </c>
      <c r="ET166" s="1">
        <f>MIN(Boss参数!$B$61*Boss参数!$B$62,EP166+IF(AND(Boss参数!$B$60=1,ISNUMBER(验证表!H172)),验证表!H172,EU166))</f>
        <v>23210479</v>
      </c>
      <c r="EU166" s="1">
        <f>IF(D166="",0,IF(验证表!G172="是",BV166,IF(验证表!G172="否",BU166,BW166)))</f>
        <v>0</v>
      </c>
      <c r="EV166" s="1">
        <f>IF(EQ166&gt;=Boss参数!$B$66,2,IF(EQ166&gt;=Boss参数!$B$65,1,0))</f>
        <v>2</v>
      </c>
      <c r="EW166" s="1">
        <f t="shared" si="181"/>
        <v>3</v>
      </c>
      <c r="EX166" s="1">
        <f>IF(D166="",0,INDEX(回合状态!$D$7:$D$17,MATCH(DG166,回合状态!$A$7:$A$17,0)))</f>
        <v>0</v>
      </c>
      <c r="EY166" s="1">
        <f>IF(OR(L166="RHI_ATTACK",L166="RHI_BUFF"),1,IF(L166="RHI_ULT",Boss参数!$B$52,0))</f>
        <v>0</v>
      </c>
      <c r="EZ166" s="1">
        <f>MIN(6,SUMIFS($EY$3:EY166,$EX$3:EX166,"&gt;="&amp;MAX(1,EX166-Boss参数!$B$87+1),$EX$3:EX166,"&lt;="&amp;EX166))</f>
        <v>0</v>
      </c>
      <c r="FA166" s="1">
        <f t="shared" si="208"/>
        <v>0</v>
      </c>
      <c r="FB166" s="17">
        <f>IF(L166="BOSS_CONSERVATIVE",B166+Boss参数!$B$91,FB165)</f>
        <v>7</v>
      </c>
      <c r="FC166" s="17">
        <f t="shared" si="209"/>
        <v>0</v>
      </c>
      <c r="FD166" s="17">
        <f>IF(D166="",FD165,FD165+IF(AND(DG166&lt;&gt;DG165,INDEX(回合状态!$C$7:$C$17,MATCH(DG166,回合状态!$A$7:$A$17,0))&lt;&gt;"洞穿"),1,0))</f>
        <v>8</v>
      </c>
      <c r="FE166" s="17">
        <f>IF(D166="",0,IF(AND(OR(L166="END_TURN",DH166="敌方"),INDEX(回合状态!$C$7:$C$17,MATCH(DG166,回合状态!$A$7:$A$17,0))&lt;&gt;"洞穿",SUMIFS($FE$3:FE165,$DG$3:DG165,DG166)=0),1,0))</f>
        <v>0</v>
      </c>
    </row>
    <row r="167" spans="1:161" ht="84.95" customHeight="1">
      <c r="A167" s="1" t="str">
        <f>行动模拟!A173</f>
        <v/>
      </c>
      <c r="B167" s="1">
        <f>IF(D167="",0,INDEX(回合状态!$B$7:$B$17,MATCH(DG167,回合状态!$A$7:$A$17,0)))</f>
        <v>0</v>
      </c>
      <c r="C167" s="1">
        <f>行动模拟!C173</f>
        <v>0</v>
      </c>
      <c r="D167" s="1" t="str">
        <f>IF(行动模拟!D173="","",行动模拟!D173)</f>
        <v/>
      </c>
      <c r="E167" s="1" t="str">
        <f>IF($D167="","",IFERROR(INDEX(技能数据库!$B$4:$B$38,MATCH($D167,技能数据库!$A$4:$A$38,0)),""))</f>
        <v/>
      </c>
      <c r="F167" s="1" t="str">
        <f>IF($D167="","",IFERROR(INDEX(技能数据库!$C$4:$C$38,MATCH($D167,技能数据库!$A$4:$A$38,0)),""))</f>
        <v/>
      </c>
      <c r="G167" s="1" t="str">
        <f>IF($D167="","",IFERROR(INDEX(技能数据库!$D$4:$D$38,MATCH($D167,技能数据库!$A$4:$A$38,0)),""))</f>
        <v/>
      </c>
      <c r="H167" s="1" t="str">
        <f>IF($D167="","",IFERROR(INDEX(技能数据库!$E$4:$E$38,MATCH($D167,技能数据库!$A$4:$A$38,0)),""))</f>
        <v/>
      </c>
      <c r="I167" s="1" t="str">
        <f>IF($D167="","",IFERROR(INDEX(技能数据库!$F$4:$F$38,MATCH($D167,技能数据库!$A$4:$A$38,0)),""))</f>
        <v/>
      </c>
      <c r="J167" s="1" t="str">
        <f>IF($D167="","",IFERROR(INDEX(技能数据库!$G$4:$G$38,MATCH($D167,技能数据库!$A$4:$A$38,0)),""))</f>
        <v/>
      </c>
      <c r="K167" s="1" t="str">
        <f>IF($D167="","",IFERROR(INDEX(技能数据库!$H$4:$H$38,MATCH($D167,技能数据库!$A$4:$A$38,0)),""))</f>
        <v/>
      </c>
      <c r="L167" s="1" t="str">
        <f>IF($D167="","",IFERROR(INDEX(技能数据库!$I$4:$I$38,MATCH($D167,技能数据库!$A$4:$A$38,0)),""))</f>
        <v/>
      </c>
      <c r="M167" s="1">
        <v>1</v>
      </c>
      <c r="N167" s="1"/>
      <c r="O167" s="1"/>
      <c r="P167" s="1"/>
      <c r="Q167" s="1">
        <f t="shared" si="140"/>
        <v>0</v>
      </c>
      <c r="R167" s="1">
        <v>0</v>
      </c>
      <c r="S167" s="1">
        <v>0</v>
      </c>
      <c r="T167" s="1">
        <f>行动模拟!I173</f>
        <v>0</v>
      </c>
      <c r="U167" s="1">
        <f>IF(FD167&lt;&gt;FD166,IF(BY166=1,IF(MIN(10,CA166+IF(AND(DG167&lt;&gt;DG166,DH166&lt;&gt;"洞穿",SUMIFS($FE$3:FE166,$DG$3:DG166,DG166)=0,BY166=1),3,0))&gt;=10,2,1),IF(BY166=2,IF(BZ166&lt;=1,0,2),0)),BY166)</f>
        <v>2</v>
      </c>
      <c r="V167" s="1">
        <f>IF(FD167&lt;&gt;FD166,IF(BY166=1,IF(MIN(10,CA166+IF(AND(DG167&lt;&gt;DG166,DH166&lt;&gt;"洞穿",SUMIFS($FE$3:FE166,$DG$3:DG166,DG166)=0,BY166=1),3,0))&gt;=10,2,0),IF(BY166=2,MAX(0,BZ166-1),0)),BZ166)</f>
        <v>1</v>
      </c>
      <c r="W167" s="1">
        <f>IF(AND(FD167&lt;&gt;FD166,BY166=2,BZ166&lt;=1),0,MIN(10,CA166+IF(AND(DG167&lt;&gt;DG166,DH166&lt;&gt;"洞穿",SUMIFS($FE$3:FE166,$DG$3:DG166,DG166)=0,BY166=1),3,0)))</f>
        <v>10</v>
      </c>
      <c r="X167" s="1">
        <f t="shared" si="182"/>
        <v>13</v>
      </c>
      <c r="Y167" s="1">
        <f t="shared" si="183"/>
        <v>0</v>
      </c>
      <c r="Z167" s="1">
        <f t="shared" si="184"/>
        <v>0</v>
      </c>
      <c r="AA167" s="1">
        <f t="shared" si="185"/>
        <v>0</v>
      </c>
      <c r="AB167" s="1">
        <f t="shared" si="186"/>
        <v>10</v>
      </c>
      <c r="AC167" s="1">
        <f t="shared" si="187"/>
        <v>1</v>
      </c>
      <c r="AD167" s="1">
        <f t="shared" si="188"/>
        <v>35</v>
      </c>
      <c r="AE167" s="1">
        <f>IF(D167="",0,IF(DG167&lt;&gt;DG166,IFERROR(INDEX(回合状态!$F$7:$F$17,MATCH(DG167,回合状态!$A$7:$A$17,0)),0),CI166))</f>
        <v>0</v>
      </c>
      <c r="AF167" s="1">
        <f t="shared" si="189"/>
        <v>0.875</v>
      </c>
      <c r="AG167" s="1">
        <f t="shared" si="190"/>
        <v>9</v>
      </c>
      <c r="AH167" s="1">
        <f t="shared" si="191"/>
        <v>9</v>
      </c>
      <c r="AI167" s="1">
        <f t="shared" si="192"/>
        <v>8</v>
      </c>
      <c r="AJ167" s="1">
        <f t="shared" si="193"/>
        <v>9</v>
      </c>
      <c r="AK167" s="1">
        <f t="shared" si="194"/>
        <v>8</v>
      </c>
      <c r="AL167" s="1">
        <f t="shared" si="195"/>
        <v>3</v>
      </c>
      <c r="AM167" s="1">
        <f t="shared" si="196"/>
        <v>30</v>
      </c>
      <c r="AN167" s="1">
        <f t="shared" si="197"/>
        <v>9</v>
      </c>
      <c r="AO167" s="1">
        <f t="shared" si="198"/>
        <v>0</v>
      </c>
      <c r="AP167" s="1" t="e">
        <f t="shared" si="199"/>
        <v>#VALUE!</v>
      </c>
      <c r="AQ167" s="1" t="e">
        <f t="shared" si="200"/>
        <v>#VALUE!</v>
      </c>
      <c r="AR167" s="1">
        <f t="shared" si="201"/>
        <v>0.3</v>
      </c>
      <c r="AS167" s="1">
        <f t="shared" si="202"/>
        <v>9</v>
      </c>
      <c r="AT167" s="1">
        <f t="shared" si="203"/>
        <v>0.3</v>
      </c>
      <c r="AU167" s="1">
        <f t="shared" si="204"/>
        <v>9</v>
      </c>
      <c r="AV167" s="1">
        <f>MIN(5,SUMIFS($EL$3:EL167,$B$3:B167,"&gt;="&amp;MAX(1,B167-2),$B$3:B167,"&lt;="&amp;B167)+EC167)</f>
        <v>0</v>
      </c>
      <c r="AW167" s="1">
        <f>MIN(6,SUMIFS($EY$3:EY166,$EX$3:EX166,"&gt;="&amp;MAX(1,EX167-Boss参数!$B$87+1),$EX$3:EX166,"&lt;="&amp;EX167))</f>
        <v>0</v>
      </c>
      <c r="AX167" s="1">
        <f>MIN(4,COUNTIFS($B$3:$B$166,"&gt;="&amp;MAX(1,$B167-2),$B$3:$B$166,"&lt;="&amp;$B167,$L$3:$L$166,"37_FOLLOW"))</f>
        <v>0</v>
      </c>
      <c r="AY167" s="1" t="str">
        <f>IF($E167="","",IF($E167="系统",0,ROUNDDOWN(INDEX(角色面板!$C$4:$C$7,MATCH($E167,角色面板!$A$4:$A$7,0))*(1+INDEX(角色面板!$C$11:$C$14,MATCH($E167,角色面板!$A$11:$A$14,0))+IF($E167="小瑞安侬",MAX(IF($B167&lt;=$AQ167,$AP167,0),IF(AND($L167="RHI_ATTACK",$EE167&gt;0),0.11+0.01*$G167,0)),0)+IF($E167="J",$AD167*Boss参数!$B$18,0))+IF(FD167&lt;=$AN167,MIN(Boss参数!$B$21,ROUNDDOWN(角色面板!$C$19*Boss参数!$B$20,0)),0)+IF(AND($B167&lt;=$AK167,$E167&lt;&gt;"小瑞安侬"),$DY167,0),0)))</f>
        <v/>
      </c>
      <c r="AZ167" s="1" t="str">
        <f>IF($E167="","",MAX(0,MIN(1,IFERROR(INDEX(角色面板!$G$18:$G$21,MATCH($E167,角色面板!$A$18:$A$21,0)),0)-FC167*Boss参数!$B$89-Boss参数!$E$4)))</f>
        <v/>
      </c>
      <c r="BA167" s="1" t="str">
        <f>IF(E167="","",(IF($E167="","",IF($E167="红弩箭",Boss参数!$B$80,IF($E167="J",Boss参数!$B$81,IFERROR(INDEX(角色面板!$H$18:$H$21,MATCH($E167,角色面板!$A$18:$A$21,0)),0)))+IF($B167&lt;=$AI167,Boss参数!$B$13,0)+MIN(30,$AM167)*Boss参数!$B$17+IF(AND($L167="LILYA_ULT",$X167&gt;=6),1,0)+IF(AND($Y167=1,$L167="LILYA_INSIGHT"),IF(MOD($AA167+1,3)=0,Boss参数!$B$83,Boss参数!$B$82),IF(AND($Y167=1,$L167="LILYA_FINISH"),Boss参数!$B$84,0))))-FC167*Boss参数!$B$90)</f>
        <v/>
      </c>
      <c r="BB167" s="1" t="str">
        <f>IF($E167="","",IFERROR(INDEX(角色面板!$M$18:$M$21,MATCH($E167,角色面板!$A$18:$A$21,0)),0)+$AW167*Boss参数!$B$12+IF($B167&lt;=$AG167,$AF167,0)+$EI167+IF($L167="LILYA_DIVE",IF($U167=1,IF($G167=1,0.3,IF($G167=2,0.4,0.5)),IF($U167=2,IF($G167=1,0.6,IF($G167=2,0.8,1)),0)),0)+$R167+IF(AND($E167="J",OR($L167="J_COUNTER",$L167="J_HARD")),Boss参数!$B$79,0)+IF(AND(OR(L167="J_COUNTER",L167="J_HARD"),FA167&gt;=Boss参数!$B$59),FA167*Boss参数!$B$40,0))</f>
        <v/>
      </c>
      <c r="BC167" s="1" t="e">
        <f>IF($E167="","",IFERROR(INDEX(角色面板!$K$18:$K$21,MATCH($E167,角色面板!$A$18:$A$21,0)),0)+IF($B167&lt;=$AH167,Boss参数!$B$46,0)+IF($E167="红弩箭",IF($U167=1,0.6,IF($U167=2,1.2,0))+$W167*0.06,0))-DI167*Boss参数!$B$23</f>
        <v>#VALUE!</v>
      </c>
      <c r="BD167" s="1" t="e">
        <f>IF($E167="","",IFERROR(INDEX(角色面板!$L$18:$L$21,MATCH($E167,角色面板!$A$18:$A$21,0)),0)+IF($B167&lt;=$AH167,Boss参数!$B$46,0)+IF($E167="J",$AL167*Boss参数!$B$16,0)+IF($E167="红弩箭",$X167*0.025,0)+IF(AND($L167="LILYA_ULT",$X167&gt;=6),1,0))-DI167*Boss参数!$B$23</f>
        <v>#VALUE!</v>
      </c>
      <c r="BE167" s="1" t="str">
        <f>IF($E167="","",IF($H167="洞知",IF($E167="红弩箭",$AO167*Boss参数!$B$15,0)+$AX167*Boss参数!$B$14,0))</f>
        <v/>
      </c>
      <c r="BF167" s="1">
        <f t="shared" si="141"/>
        <v>0</v>
      </c>
      <c r="BG167" s="1">
        <f>IF($D167="",0,IF(AND($L167&lt;&gt;"LILYA_DIVE",$L167&lt;&gt;"LILYA_ULT",$L167&lt;&gt;"LILYA_INSIGHT",$L167&lt;&gt;"LILYA_FINISH",$L167&lt;&gt;"37_FOLLOW",$L167&lt;&gt;"RHI_ATTACK",$L167&lt;&gt;"RHI_BERRY",$L167&lt;&gt;"J_COUNTER",$L167&lt;&gt;"J_ULT"),$J167,0)+IF($L167="LILYA_DIVE",$J167+IF($U167=1,IF($G167=1,6,IF($G167=2,12,18)),IF($U167=2,IF($G167=1,12,IF($G167=2,24,36)),0)),0)+IF($L167="LILYA_ULT",$J167+IF($X167&gt;=6,18,0),0)+IF($L167="LILYA_INSIGHT",IF($Y167=1,IF(MOD($AA167+1,3)=0,32,15),0),0)+IF($L167="LILYA_FINISH",IF($Y167=1,50+2.5*$Z167,0),0)+IF($L167="37_FOLLOW",$J167,0)+IF($L167="RHI_ATTACK",$J167*IF($B167&lt;=$AJ167,2,1),0)+IF($L167="RHI_BERRY",15+1.5*$AV167,0)+IF($L167="J_COUNTER",$J167+$AD167*Boss参数!$B$39,0)+IF($L167="J_ULT",$J167+Boss参数!$B$45*MAX(0,$AE167+$AD167-Boss参数!$I$4),0)+$S167)</f>
        <v>0</v>
      </c>
      <c r="BH167" s="1">
        <f t="shared" si="142"/>
        <v>0</v>
      </c>
      <c r="BI167" s="1" t="str">
        <f>IF(E167="","",IF(DT167=1,1+Boss参数!$B$8+AV167*Boss参数!$B$19,1))</f>
        <v/>
      </c>
      <c r="BJ167" s="1">
        <f>IF($I167="现实",Boss参数!$C$4,IF($I167="精神",Boss参数!$D$4,0))</f>
        <v>0</v>
      </c>
      <c r="BK167" s="1" t="str">
        <f>IF($E167="","",MAX($AY167*Boss参数!$B$9,$AY167-$BJ167*(1-$BF167)))</f>
        <v/>
      </c>
      <c r="BL167" s="1">
        <f>MAX(0,Boss参数!$F$4+IF(DT167=0,Boss参数!$B$27,0)-EJ167)</f>
        <v>1.25</v>
      </c>
      <c r="BM167" s="1">
        <f>Boss参数!$G$4+DU167-IF(Y167=1,Boss参数!$B$11,0)</f>
        <v>0.4</v>
      </c>
      <c r="BN167" s="1" t="str">
        <f>IF($E167="","",MAX(Boss参数!$B$10,1+IFERROR(INDEX(角色面板!$I$18:$I$21,MATCH($E167,角色面板!$A$18:$A$21,0)),0)+$BB167+Boss参数!$H$4-$BM167))</f>
        <v/>
      </c>
      <c r="BO167" s="1" t="str">
        <f>IF(E167="","",IF(OR(L167="J_COUNTER",L167="J_HARD"),MAX(0,1+INDEX(角色面板!$K$18:$K$21,MATCH(E167,角色面板!$A$18:$A$21,0))-DI167*Boss参数!$B$23+IF(OR(Boss参数!$B$43=1,L167="J_HARD"),IF(B167&lt;=AH167,Boss参数!$B$46,0),0)),MAX(0,IF(OR(H167="术法",L167="RHI_BERRY",AND(L167="37_FOLLOW",Boss参数!$B$31=1)),1+BC167,IF(H167="仪式",1+BD167,IF(H167="洞知",EK167,1))))))</f>
        <v/>
      </c>
      <c r="BP167" s="1" t="str">
        <f t="shared" si="143"/>
        <v/>
      </c>
      <c r="BQ167" s="1">
        <f t="shared" si="144"/>
        <v>0</v>
      </c>
      <c r="BR167" s="1">
        <f t="shared" si="145"/>
        <v>0</v>
      </c>
      <c r="BS167" s="1">
        <f>IF(BH167=0,0,ROUNDDOWN(AY167*BH167,0)*DV167*IF(Boss参数!$B$29=1,BN167,1)*IF(Boss参数!$B$33=1,BO167,1)*IF(Boss参数!$B$76=1,1-ES167,1))</f>
        <v>0</v>
      </c>
      <c r="BT167" s="1">
        <f t="shared" si="146"/>
        <v>0</v>
      </c>
      <c r="BU167" s="1">
        <f>IF(D167="",0,MIN(IF(Boss参数!$B$77=1,Boss参数!$B$63*Boss参数!$B$62,Boss参数!$B$61*Boss参数!$B$62),DW167+ROUNDDOWN(BS167,0)+ROUNDDOWN(DW167*Q167,0)))</f>
        <v>0</v>
      </c>
      <c r="BV167" s="1">
        <f>IF(D167="",0,MIN(IF(Boss参数!$B$77=1,Boss参数!$B$63*Boss参数!$B$62,Boss参数!$B$61*Boss参数!$B$62),DX167+ROUNDDOWN(BT167,0)+ROUNDDOWN(DX167*Q167,0)))</f>
        <v>0</v>
      </c>
      <c r="BW167" s="1">
        <f t="shared" si="147"/>
        <v>0</v>
      </c>
      <c r="BX167" s="1" t="str">
        <f t="shared" si="148"/>
        <v/>
      </c>
      <c r="BY167" s="1">
        <f t="shared" si="149"/>
        <v>2</v>
      </c>
      <c r="BZ167" s="1">
        <f t="shared" si="150"/>
        <v>1</v>
      </c>
      <c r="CA167" s="1">
        <f>MIN(10,W167+IF(AND(L167="LILYA_COBRA",COUNTIF($L$3:L167,"LILYA_COBRA")=1),5,0)+IF(AND(L167="LILYA_DIVE",U167=1,COUNTIFS($DG$3:DG167,DG167,$L$3:L167,"LILYA_DIVE")=1),2,0)+IF(AND(FE167=1,U167=1),3,0))</f>
        <v>10</v>
      </c>
      <c r="CB167" s="1">
        <f>MIN(20,MAX(0,X167+IF(L167="LILYA_COBRA",IF(COUNTIF($L$3:L167,"LILYA_COBRA")=1,6,IF(U167=1,MAX(1,G167),IF(U167=2,2*MAX(1,G167),0))),0)+IF(AND(Y167=1,E167="红弩箭",L167&lt;&gt;"ENTER_INSIGHT"),1,0)-IF(AND(L167="LILYA_ULT",X167&gt;=6),6,0)))</f>
        <v>13</v>
      </c>
      <c r="CC167" s="1">
        <f t="shared" si="151"/>
        <v>0</v>
      </c>
      <c r="CD167" s="1">
        <f t="shared" si="152"/>
        <v>0</v>
      </c>
      <c r="CE167" s="1">
        <f t="shared" si="153"/>
        <v>0</v>
      </c>
      <c r="CF167" s="1">
        <f t="shared" si="154"/>
        <v>10</v>
      </c>
      <c r="CG167" s="1">
        <f t="shared" si="155"/>
        <v>1</v>
      </c>
      <c r="CH167" s="1">
        <f>MIN(35,AD167+IF(L167="J_HARD",6,0)+IF(L167="J_COUNTER",Boss参数!$B$30,0))</f>
        <v>35</v>
      </c>
      <c r="CI167" s="1">
        <f>MIN(Boss参数!$I$4,AE167+IF(L167="J_HARD",6,0)+IF(L167="J_ULT",AD167,0)+IF(L167="J_COUNTER",Boss参数!$B$30,0))</f>
        <v>0</v>
      </c>
      <c r="CJ167" s="1">
        <f>IF(L167="J_ULT",AD167*Boss参数!$B$41,IF(B167&lt;=AG167,AF167,0))</f>
        <v>0.875</v>
      </c>
      <c r="CK167" s="1">
        <f t="shared" si="156"/>
        <v>9</v>
      </c>
      <c r="CL167" s="1">
        <f t="shared" si="157"/>
        <v>9</v>
      </c>
      <c r="CM167" s="1">
        <f t="shared" si="158"/>
        <v>8</v>
      </c>
      <c r="CN167" s="1">
        <f t="shared" si="159"/>
        <v>9</v>
      </c>
      <c r="CO167" s="1">
        <f t="shared" si="160"/>
        <v>8</v>
      </c>
      <c r="CP167" s="1">
        <f t="shared" si="161"/>
        <v>3</v>
      </c>
      <c r="CQ167" s="1">
        <f t="shared" si="162"/>
        <v>30</v>
      </c>
      <c r="CR167" s="1">
        <f t="shared" si="163"/>
        <v>9</v>
      </c>
      <c r="CS167" s="1">
        <f t="shared" si="164"/>
        <v>0</v>
      </c>
      <c r="CT167" s="1" t="e">
        <f t="shared" si="165"/>
        <v>#VALUE!</v>
      </c>
      <c r="CU167" s="1" t="e">
        <f t="shared" si="166"/>
        <v>#VALUE!</v>
      </c>
      <c r="CV167" s="1">
        <f t="shared" si="167"/>
        <v>0.3</v>
      </c>
      <c r="CW167" s="1">
        <f t="shared" si="168"/>
        <v>9</v>
      </c>
      <c r="CX167" s="1">
        <f t="shared" si="169"/>
        <v>0.3</v>
      </c>
      <c r="CY167" s="1">
        <f t="shared" si="170"/>
        <v>9</v>
      </c>
      <c r="CZ167" s="1"/>
      <c r="DA167" s="1"/>
      <c r="DB167" s="1"/>
      <c r="DC167" s="1"/>
      <c r="DD167" s="1"/>
      <c r="DE167" s="1"/>
      <c r="DF167" s="1"/>
      <c r="DG167" s="1" t="str">
        <f>IF(D167="","",行动模拟!B173)</f>
        <v/>
      </c>
      <c r="DH167" s="1" t="str">
        <f>IF(L167="END_TURN","回合结束",IF(D167="","",IF(INDEX(回合状态!$C$7:$C$17,MATCH(DG167,回合状态!$A$7:$A$17,0))="洞穿","洞穿",IF(OR(L167="J_COUNTER",L167="BOSS_ACTION",L167="BOSS_CONSERVATIVE"),"敌方",IF(AND(L167="37_FOLLOW",DG167=DG166,DH166="敌方"),"敌方",IF(INDEX(回合状态!$C$7:$C$17,MATCH(DG167,回合状态!$A$7:$A$17,0))="普通","出牌",INDEX(回合状态!$C$7:$C$17,MATCH(DG167,回合状态!$A$7:$A$17,0))))))))</f>
        <v/>
      </c>
      <c r="DI167" s="1">
        <f t="shared" si="171"/>
        <v>0</v>
      </c>
      <c r="DJ167" s="1">
        <f>IF(D167="",0,MIN(Boss参数!$B$25,IF(OR(AND(DH167="敌方",OR(DH166&lt;&gt;"敌方",DG167&lt;&gt;DG166)),AND(L167="END_TURN",DH167&lt;&gt;"洞穿"),AND(DG167&lt;&gt;DG166,DH166&lt;&gt;"洞穿",L166&lt;&gt;"END_TURN",COUNTIFS($DG$3:DG166,DG166,$DH$3:DH166,"敌方")=0)),EW167,DN166)))</f>
        <v>0</v>
      </c>
      <c r="DK167" s="1">
        <f>IF(D167="",0,MIN(Boss参数!$B$25,IF(OR(AND(DH167="敌方",OR(DH166&lt;&gt;"敌方",DG167&lt;&gt;DG166)),AND(L167="END_TURN",DH167&lt;&gt;"洞穿"),AND(DG167&lt;&gt;DG166,DH166&lt;&gt;"洞穿",L166&lt;&gt;"END_TURN",COUNTIFS($DG$3:DG166,DG166,$DH$3:DH166,"敌方")=0)),EW167,DO166)))</f>
        <v>0</v>
      </c>
      <c r="DL167" s="1">
        <f>IF(D167="",0,MIN(Boss参数!$B$25,IF(OR(AND(DH167="敌方",OR(DH166&lt;&gt;"敌方",DG167&lt;&gt;DG166)),AND(L167="END_TURN",DH167&lt;&gt;"洞穿"),AND(DG167&lt;&gt;DG166,DH166&lt;&gt;"洞穿",L166&lt;&gt;"END_TURN",COUNTIFS($DG$3:DG166,DG166,$DH$3:DH166,"敌方")=0)),EW167,DP166)))</f>
        <v>0</v>
      </c>
      <c r="DM167" s="1">
        <f>IF(D167="",0,MIN(Boss参数!$B$25,IF(OR(AND(DH167="敌方",OR(DH166&lt;&gt;"敌方",DG167&lt;&gt;DG166)),AND(L167="END_TURN",DH167&lt;&gt;"洞穿"),AND(DG167&lt;&gt;DG166,DH166&lt;&gt;"洞穿",L166&lt;&gt;"END_TURN",COUNTIFS($DG$3:DG166,DG166,$DH$3:DH166,"敌方")=0)),EW167,DQ166)))</f>
        <v>0</v>
      </c>
      <c r="DN167" s="1">
        <f>MAX(0,MIN(Boss参数!$B$25,DJ167+DR167)-IF(E167="红弩箭",2*DR167,0))</f>
        <v>0</v>
      </c>
      <c r="DO167" s="1">
        <f>MAX(0,MIN(Boss参数!$B$25,DK167+DR167)-IF(E167="37",2*DR167,0))</f>
        <v>0</v>
      </c>
      <c r="DP167" s="1">
        <f>MAX(0,MIN(Boss参数!$B$25,DL167+DR167)-IF(E167="小瑞安侬",2*DR167,0))</f>
        <v>0</v>
      </c>
      <c r="DQ167" s="1">
        <f>MAX(0,MIN(Boss参数!$B$25,DM167+DR167)-IF(E167="J",2*DR167,0))</f>
        <v>0</v>
      </c>
      <c r="DR167" s="1">
        <f t="shared" si="172"/>
        <v>0</v>
      </c>
      <c r="DS167" s="1">
        <f t="shared" si="173"/>
        <v>0</v>
      </c>
      <c r="DT167" s="1">
        <f>IF(OR(E167="",E167="系统"),0,IF(OR(AND(DS167=1,Boss参数!$B$32=1),L167="RHI_BERRY",OR(AND(INDEX(角色面板!$B$18:$B$21,MATCH(E167,角色面板!$A$18:$A$21,0))="星",Boss参数!$B$4="岩"),AND(INDEX(角色面板!$B$18:$B$21,MATCH(E167,角色面板!$A$18:$A$21,0))="岩",Boss参数!$B$4="兽"),AND(INDEX(角色面板!$B$18:$B$21,MATCH(E167,角色面板!$A$18:$A$21,0))="兽",Boss参数!$B$4="木"),AND(INDEX(角色面板!$B$18:$B$21,MATCH(E167,角色面板!$A$18:$A$21,0))="木",Boss参数!$B$4="星"),AND(INDEX(角色面板!$B$18:$B$21,MATCH(E167,角色面板!$A$18:$A$21,0))="智",Boss参数!$B$4="灵"),AND(INDEX(角色面板!$B$18:$B$21,MATCH(E167,角色面板!$A$18:$A$21,0))="灵",Boss参数!$B$4="智"))),1,0))</f>
        <v>0</v>
      </c>
      <c r="DU167" s="1">
        <f>IF(D167="",0,INDEX(回合状态!$E$7:$E$17,MATCH(DG167,回合状态!$A$7:$A$17,0))+IF(AND(DH167="敌方",OR(INDEX(回合状态!$C$7:$C$17,MATCH(DG167,回合状态!$A$7:$A$17,0))="普通",INDEX(回合状态!$C$7:$C$17,MATCH(DG167,回合状态!$A$7:$A$17,0))="额外")),0.05,0))</f>
        <v>0</v>
      </c>
      <c r="DV167" s="1">
        <f>MAX(Boss参数!$B$28,1+IF(AND(E167="37",AC167&gt;0,BH167&gt;0),Boss参数!$B$42,0)-DI167*Boss参数!$B$24+EA167-ER167)</f>
        <v>9.9999999999999978E-2</v>
      </c>
      <c r="DW167" s="1">
        <f>MIN(IF(Boss参数!$B$77=1,Boss参数!$B$63*Boss参数!$B$62,Boss参数!$B$61*Boss参数!$B$62),ROUNDDOWN(BQ167*(1-ES167),0))</f>
        <v>0</v>
      </c>
      <c r="DX167" s="1">
        <f>MIN(IF(Boss参数!$B$77=1,Boss参数!$B$63*Boss参数!$B$62,Boss参数!$B$61*Boss参数!$B$62),ROUNDDOWN(BR167*(1-ES167),0))</f>
        <v>0</v>
      </c>
      <c r="DY167" s="1">
        <f t="shared" si="205"/>
        <v>250</v>
      </c>
      <c r="DZ167" s="1">
        <f>IF(L167="RHI_ULT",MIN(Boss参数!$B$48,ROUNDDOWN(AY167*Boss参数!$B$47,0)),DY167)</f>
        <v>250</v>
      </c>
      <c r="EA167" s="1">
        <v>0</v>
      </c>
      <c r="EB167" s="1">
        <f t="shared" si="174"/>
        <v>0</v>
      </c>
      <c r="EC167" s="1">
        <f>SUMIFS($EB$3:EB167,$B$3:B167,"&gt;="&amp;MAX(1,B167-2),$B$3:B167,"&lt;="&amp;B167)*Boss参数!$B$51</f>
        <v>0</v>
      </c>
      <c r="ED167" s="1">
        <f>IF(D167="",EG166,IF(AND(DG167&lt;&gt;DG166,DH167&lt;&gt;"洞穿"),MIN(Boss参数!$B$55,EG166+2),EG166))</f>
        <v>0</v>
      </c>
      <c r="EE167" s="1">
        <f t="shared" si="175"/>
        <v>0</v>
      </c>
      <c r="EF167" s="1">
        <f>IF(AND(OR(L167="END_TURN",AND(DH167="敌方",OR(DH166&lt;&gt;"敌方",DG167&lt;&gt;DG166))),SUMIFS($EF$3:EF166,$DG$3:DG166,DG167)=0),MIN(1,MAX(0,ED167-EE167)),0)</f>
        <v>0</v>
      </c>
      <c r="EG167" s="1">
        <f t="shared" si="176"/>
        <v>0</v>
      </c>
      <c r="EH167" s="1">
        <f>Boss参数!$B$53-IF(Y167=1,Boss参数!$B$54,0)</f>
        <v>0</v>
      </c>
      <c r="EI167" s="1">
        <f t="shared" si="177"/>
        <v>0.15</v>
      </c>
      <c r="EJ167" s="1">
        <f t="shared" si="178"/>
        <v>0.15</v>
      </c>
      <c r="EK167" s="1" t="e">
        <f t="shared" si="179"/>
        <v>#VALUE!</v>
      </c>
      <c r="EL167" s="1">
        <f t="shared" si="206"/>
        <v>0</v>
      </c>
      <c r="EM167" s="1">
        <f>IF(AND(DG167&lt;&gt;DG166,DH167="洞穿"),0,IF(L167="ENTER_INSIGHT",Boss参数!$B$57,EO166))</f>
        <v>0</v>
      </c>
      <c r="EN167" s="1">
        <f>IF(AND(Y167=1,H167="洞知",EM167&gt;0),Boss参数!$B$56,0)</f>
        <v>0</v>
      </c>
      <c r="EO167" s="1">
        <f t="shared" si="180"/>
        <v>0</v>
      </c>
      <c r="EP167" s="1">
        <f t="shared" si="207"/>
        <v>23210479</v>
      </c>
      <c r="EQ167" s="1">
        <f>ROUNDDOWN(EP167/Boss参数!$B$62,0)</f>
        <v>232</v>
      </c>
      <c r="ER167" s="1">
        <f>IF(EQ167&gt;=Boss参数!$B$66,Boss参数!$B$69,IF(EQ167&gt;=Boss参数!$B$65,Boss参数!$B$68,IF(EQ167&gt;=Boss参数!$B$64,Boss参数!$B$67,0)))</f>
        <v>0.9</v>
      </c>
      <c r="ES167" s="1">
        <f>MIN(1,IF(EQ167&gt;=Boss参数!$B$66,Boss参数!$B$72+ROUNDDOWN((EQ167-Boss参数!$B$66)/Boss参数!$B$73,0)*Boss参数!$B$74,IF(EQ167&gt;=Boss参数!$B$65,Boss参数!$B$71,IF(EQ167&gt;=Boss参数!$B$64,Boss参数!$B$70,0))))</f>
        <v>0.65</v>
      </c>
      <c r="ET167" s="1">
        <f>MIN(Boss参数!$B$61*Boss参数!$B$62,EP167+IF(AND(Boss参数!$B$60=1,ISNUMBER(验证表!H173)),验证表!H173,EU167))</f>
        <v>23210479</v>
      </c>
      <c r="EU167" s="1">
        <f>IF(D167="",0,IF(验证表!G173="是",BV167,IF(验证表!G173="否",BU167,BW167)))</f>
        <v>0</v>
      </c>
      <c r="EV167" s="1">
        <f>IF(EQ167&gt;=Boss参数!$B$66,2,IF(EQ167&gt;=Boss参数!$B$65,1,0))</f>
        <v>2</v>
      </c>
      <c r="EW167" s="1">
        <f t="shared" si="181"/>
        <v>3</v>
      </c>
      <c r="EX167" s="1">
        <f>IF(D167="",0,INDEX(回合状态!$D$7:$D$17,MATCH(DG167,回合状态!$A$7:$A$17,0)))</f>
        <v>0</v>
      </c>
      <c r="EY167" s="1">
        <f>IF(OR(L167="RHI_ATTACK",L167="RHI_BUFF"),1,IF(L167="RHI_ULT",Boss参数!$B$52,0))</f>
        <v>0</v>
      </c>
      <c r="EZ167" s="1">
        <f>MIN(6,SUMIFS($EY$3:EY167,$EX$3:EX167,"&gt;="&amp;MAX(1,EX167-Boss参数!$B$87+1),$EX$3:EX167,"&lt;="&amp;EX167))</f>
        <v>0</v>
      </c>
      <c r="FA167" s="1">
        <f t="shared" si="208"/>
        <v>0</v>
      </c>
      <c r="FB167" s="17">
        <f>IF(L167="BOSS_CONSERVATIVE",B167+Boss参数!$B$91,FB166)</f>
        <v>7</v>
      </c>
      <c r="FC167" s="17">
        <f t="shared" si="209"/>
        <v>0</v>
      </c>
      <c r="FD167" s="17">
        <f>IF(D167="",FD166,FD166+IF(AND(DG167&lt;&gt;DG166,INDEX(回合状态!$C$7:$C$17,MATCH(DG167,回合状态!$A$7:$A$17,0))&lt;&gt;"洞穿"),1,0))</f>
        <v>8</v>
      </c>
      <c r="FE167" s="17">
        <f>IF(D167="",0,IF(AND(OR(L167="END_TURN",DH167="敌方"),INDEX(回合状态!$C$7:$C$17,MATCH(DG167,回合状态!$A$7:$A$17,0))&lt;&gt;"洞穿",SUMIFS($FE$3:FE166,$DG$3:DG166,DG167)=0),1,0))</f>
        <v>0</v>
      </c>
    </row>
    <row r="168" spans="1:161" ht="84.95" customHeight="1">
      <c r="A168" s="1" t="str">
        <f>行动模拟!A174</f>
        <v/>
      </c>
      <c r="B168" s="1">
        <f>IF(D168="",0,INDEX(回合状态!$B$7:$B$17,MATCH(DG168,回合状态!$A$7:$A$17,0)))</f>
        <v>0</v>
      </c>
      <c r="C168" s="1">
        <f>行动模拟!C174</f>
        <v>0</v>
      </c>
      <c r="D168" s="1" t="str">
        <f>IF(行动模拟!D174="","",行动模拟!D174)</f>
        <v/>
      </c>
      <c r="E168" s="1" t="str">
        <f>IF($D168="","",IFERROR(INDEX(技能数据库!$B$4:$B$38,MATCH($D168,技能数据库!$A$4:$A$38,0)),""))</f>
        <v/>
      </c>
      <c r="F168" s="1" t="str">
        <f>IF($D168="","",IFERROR(INDEX(技能数据库!$C$4:$C$38,MATCH($D168,技能数据库!$A$4:$A$38,0)),""))</f>
        <v/>
      </c>
      <c r="G168" s="1" t="str">
        <f>IF($D168="","",IFERROR(INDEX(技能数据库!$D$4:$D$38,MATCH($D168,技能数据库!$A$4:$A$38,0)),""))</f>
        <v/>
      </c>
      <c r="H168" s="1" t="str">
        <f>IF($D168="","",IFERROR(INDEX(技能数据库!$E$4:$E$38,MATCH($D168,技能数据库!$A$4:$A$38,0)),""))</f>
        <v/>
      </c>
      <c r="I168" s="1" t="str">
        <f>IF($D168="","",IFERROR(INDEX(技能数据库!$F$4:$F$38,MATCH($D168,技能数据库!$A$4:$A$38,0)),""))</f>
        <v/>
      </c>
      <c r="J168" s="1" t="str">
        <f>IF($D168="","",IFERROR(INDEX(技能数据库!$G$4:$G$38,MATCH($D168,技能数据库!$A$4:$A$38,0)),""))</f>
        <v/>
      </c>
      <c r="K168" s="1" t="str">
        <f>IF($D168="","",IFERROR(INDEX(技能数据库!$H$4:$H$38,MATCH($D168,技能数据库!$A$4:$A$38,0)),""))</f>
        <v/>
      </c>
      <c r="L168" s="1" t="str">
        <f>IF($D168="","",IFERROR(INDEX(技能数据库!$I$4:$I$38,MATCH($D168,技能数据库!$A$4:$A$38,0)),""))</f>
        <v/>
      </c>
      <c r="M168" s="1">
        <v>1</v>
      </c>
      <c r="N168" s="1"/>
      <c r="O168" s="1"/>
      <c r="P168" s="1"/>
      <c r="Q168" s="1">
        <f t="shared" si="140"/>
        <v>0</v>
      </c>
      <c r="R168" s="1">
        <v>0</v>
      </c>
      <c r="S168" s="1">
        <v>0</v>
      </c>
      <c r="T168" s="1">
        <f>行动模拟!I174</f>
        <v>0</v>
      </c>
      <c r="U168" s="1">
        <f>IF(FD168&lt;&gt;FD167,IF(BY167=1,IF(MIN(10,CA167+IF(AND(DG168&lt;&gt;DG167,DH167&lt;&gt;"洞穿",SUMIFS($FE$3:FE167,$DG$3:DG167,DG167)=0,BY167=1),3,0))&gt;=10,2,1),IF(BY167=2,IF(BZ167&lt;=1,0,2),0)),BY167)</f>
        <v>2</v>
      </c>
      <c r="V168" s="1">
        <f>IF(FD168&lt;&gt;FD167,IF(BY167=1,IF(MIN(10,CA167+IF(AND(DG168&lt;&gt;DG167,DH167&lt;&gt;"洞穿",SUMIFS($FE$3:FE167,$DG$3:DG167,DG167)=0,BY167=1),3,0))&gt;=10,2,0),IF(BY167=2,MAX(0,BZ167-1),0)),BZ167)</f>
        <v>1</v>
      </c>
      <c r="W168" s="1">
        <f>IF(AND(FD168&lt;&gt;FD167,BY167=2,BZ167&lt;=1),0,MIN(10,CA167+IF(AND(DG168&lt;&gt;DG167,DH167&lt;&gt;"洞穿",SUMIFS($FE$3:FE167,$DG$3:DG167,DG167)=0,BY167=1),3,0)))</f>
        <v>10</v>
      </c>
      <c r="X168" s="1">
        <f t="shared" si="182"/>
        <v>13</v>
      </c>
      <c r="Y168" s="1">
        <f t="shared" si="183"/>
        <v>0</v>
      </c>
      <c r="Z168" s="1">
        <f t="shared" si="184"/>
        <v>0</v>
      </c>
      <c r="AA168" s="1">
        <f t="shared" si="185"/>
        <v>0</v>
      </c>
      <c r="AB168" s="1">
        <f t="shared" si="186"/>
        <v>10</v>
      </c>
      <c r="AC168" s="1">
        <f t="shared" si="187"/>
        <v>1</v>
      </c>
      <c r="AD168" s="1">
        <f t="shared" si="188"/>
        <v>35</v>
      </c>
      <c r="AE168" s="1">
        <f>IF(D168="",0,IF(DG168&lt;&gt;DG167,IFERROR(INDEX(回合状态!$F$7:$F$17,MATCH(DG168,回合状态!$A$7:$A$17,0)),0),CI167))</f>
        <v>0</v>
      </c>
      <c r="AF168" s="1">
        <f t="shared" si="189"/>
        <v>0.875</v>
      </c>
      <c r="AG168" s="1">
        <f t="shared" si="190"/>
        <v>9</v>
      </c>
      <c r="AH168" s="1">
        <f t="shared" si="191"/>
        <v>9</v>
      </c>
      <c r="AI168" s="1">
        <f t="shared" si="192"/>
        <v>8</v>
      </c>
      <c r="AJ168" s="1">
        <f t="shared" si="193"/>
        <v>9</v>
      </c>
      <c r="AK168" s="1">
        <f t="shared" si="194"/>
        <v>8</v>
      </c>
      <c r="AL168" s="1">
        <f t="shared" si="195"/>
        <v>3</v>
      </c>
      <c r="AM168" s="1">
        <f t="shared" si="196"/>
        <v>30</v>
      </c>
      <c r="AN168" s="1">
        <f t="shared" si="197"/>
        <v>9</v>
      </c>
      <c r="AO168" s="1">
        <f t="shared" si="198"/>
        <v>0</v>
      </c>
      <c r="AP168" s="1" t="e">
        <f t="shared" si="199"/>
        <v>#VALUE!</v>
      </c>
      <c r="AQ168" s="1" t="e">
        <f t="shared" si="200"/>
        <v>#VALUE!</v>
      </c>
      <c r="AR168" s="1">
        <f t="shared" si="201"/>
        <v>0.3</v>
      </c>
      <c r="AS168" s="1">
        <f t="shared" si="202"/>
        <v>9</v>
      </c>
      <c r="AT168" s="1">
        <f t="shared" si="203"/>
        <v>0.3</v>
      </c>
      <c r="AU168" s="1">
        <f t="shared" si="204"/>
        <v>9</v>
      </c>
      <c r="AV168" s="1">
        <f>MIN(5,SUMIFS($EL$3:EL168,$B$3:B168,"&gt;="&amp;MAX(1,B168-2),$B$3:B168,"&lt;="&amp;B168)+EC168)</f>
        <v>0</v>
      </c>
      <c r="AW168" s="1">
        <f>MIN(6,SUMIFS($EY$3:EY167,$EX$3:EX167,"&gt;="&amp;MAX(1,EX168-Boss参数!$B$87+1),$EX$3:EX167,"&lt;="&amp;EX168))</f>
        <v>0</v>
      </c>
      <c r="AX168" s="1">
        <f>MIN(4,COUNTIFS($B$3:$B$167,"&gt;="&amp;MAX(1,$B168-2),$B$3:$B$167,"&lt;="&amp;$B168,$L$3:$L$167,"37_FOLLOW"))</f>
        <v>0</v>
      </c>
      <c r="AY168" s="1" t="str">
        <f>IF($E168="","",IF($E168="系统",0,ROUNDDOWN(INDEX(角色面板!$C$4:$C$7,MATCH($E168,角色面板!$A$4:$A$7,0))*(1+INDEX(角色面板!$C$11:$C$14,MATCH($E168,角色面板!$A$11:$A$14,0))+IF($E168="小瑞安侬",MAX(IF($B168&lt;=$AQ168,$AP168,0),IF(AND($L168="RHI_ATTACK",$EE168&gt;0),0.11+0.01*$G168,0)),0)+IF($E168="J",$AD168*Boss参数!$B$18,0))+IF(FD168&lt;=$AN168,MIN(Boss参数!$B$21,ROUNDDOWN(角色面板!$C$19*Boss参数!$B$20,0)),0)+IF(AND($B168&lt;=$AK168,$E168&lt;&gt;"小瑞安侬"),$DY168,0),0)))</f>
        <v/>
      </c>
      <c r="AZ168" s="1" t="str">
        <f>IF($E168="","",MAX(0,MIN(1,IFERROR(INDEX(角色面板!$G$18:$G$21,MATCH($E168,角色面板!$A$18:$A$21,0)),0)-FC168*Boss参数!$B$89-Boss参数!$E$4)))</f>
        <v/>
      </c>
      <c r="BA168" s="1" t="str">
        <f>IF(E168="","",(IF($E168="","",IF($E168="红弩箭",Boss参数!$B$80,IF($E168="J",Boss参数!$B$81,IFERROR(INDEX(角色面板!$H$18:$H$21,MATCH($E168,角色面板!$A$18:$A$21,0)),0)))+IF($B168&lt;=$AI168,Boss参数!$B$13,0)+MIN(30,$AM168)*Boss参数!$B$17+IF(AND($L168="LILYA_ULT",$X168&gt;=6),1,0)+IF(AND($Y168=1,$L168="LILYA_INSIGHT"),IF(MOD($AA168+1,3)=0,Boss参数!$B$83,Boss参数!$B$82),IF(AND($Y168=1,$L168="LILYA_FINISH"),Boss参数!$B$84,0))))-FC168*Boss参数!$B$90)</f>
        <v/>
      </c>
      <c r="BB168" s="1" t="str">
        <f>IF($E168="","",IFERROR(INDEX(角色面板!$M$18:$M$21,MATCH($E168,角色面板!$A$18:$A$21,0)),0)+$AW168*Boss参数!$B$12+IF($B168&lt;=$AG168,$AF168,0)+$EI168+IF($L168="LILYA_DIVE",IF($U168=1,IF($G168=1,0.3,IF($G168=2,0.4,0.5)),IF($U168=2,IF($G168=1,0.6,IF($G168=2,0.8,1)),0)),0)+$R168+IF(AND($E168="J",OR($L168="J_COUNTER",$L168="J_HARD")),Boss参数!$B$79,0)+IF(AND(OR(L168="J_COUNTER",L168="J_HARD"),FA168&gt;=Boss参数!$B$59),FA168*Boss参数!$B$40,0))</f>
        <v/>
      </c>
      <c r="BC168" s="1" t="e">
        <f>IF($E168="","",IFERROR(INDEX(角色面板!$K$18:$K$21,MATCH($E168,角色面板!$A$18:$A$21,0)),0)+IF($B168&lt;=$AH168,Boss参数!$B$46,0)+IF($E168="红弩箭",IF($U168=1,0.6,IF($U168=2,1.2,0))+$W168*0.06,0))-DI168*Boss参数!$B$23</f>
        <v>#VALUE!</v>
      </c>
      <c r="BD168" s="1" t="e">
        <f>IF($E168="","",IFERROR(INDEX(角色面板!$L$18:$L$21,MATCH($E168,角色面板!$A$18:$A$21,0)),0)+IF($B168&lt;=$AH168,Boss参数!$B$46,0)+IF($E168="J",$AL168*Boss参数!$B$16,0)+IF($E168="红弩箭",$X168*0.025,0)+IF(AND($L168="LILYA_ULT",$X168&gt;=6),1,0))-DI168*Boss参数!$B$23</f>
        <v>#VALUE!</v>
      </c>
      <c r="BE168" s="1" t="str">
        <f>IF($E168="","",IF($H168="洞知",IF($E168="红弩箭",$AO168*Boss参数!$B$15,0)+$AX168*Boss参数!$B$14,0))</f>
        <v/>
      </c>
      <c r="BF168" s="1">
        <f t="shared" si="141"/>
        <v>0</v>
      </c>
      <c r="BG168" s="1">
        <f>IF($D168="",0,IF(AND($L168&lt;&gt;"LILYA_DIVE",$L168&lt;&gt;"LILYA_ULT",$L168&lt;&gt;"LILYA_INSIGHT",$L168&lt;&gt;"LILYA_FINISH",$L168&lt;&gt;"37_FOLLOW",$L168&lt;&gt;"RHI_ATTACK",$L168&lt;&gt;"RHI_BERRY",$L168&lt;&gt;"J_COUNTER",$L168&lt;&gt;"J_ULT"),$J168,0)+IF($L168="LILYA_DIVE",$J168+IF($U168=1,IF($G168=1,6,IF($G168=2,12,18)),IF($U168=2,IF($G168=1,12,IF($G168=2,24,36)),0)),0)+IF($L168="LILYA_ULT",$J168+IF($X168&gt;=6,18,0),0)+IF($L168="LILYA_INSIGHT",IF($Y168=1,IF(MOD($AA168+1,3)=0,32,15),0),0)+IF($L168="LILYA_FINISH",IF($Y168=1,50+2.5*$Z168,0),0)+IF($L168="37_FOLLOW",$J168,0)+IF($L168="RHI_ATTACK",$J168*IF($B168&lt;=$AJ168,2,1),0)+IF($L168="RHI_BERRY",15+1.5*$AV168,0)+IF($L168="J_COUNTER",$J168+$AD168*Boss参数!$B$39,0)+IF($L168="J_ULT",$J168+Boss参数!$B$45*MAX(0,$AE168+$AD168-Boss参数!$I$4),0)+$S168)</f>
        <v>0</v>
      </c>
      <c r="BH168" s="1">
        <f t="shared" si="142"/>
        <v>0</v>
      </c>
      <c r="BI168" s="1" t="str">
        <f>IF(E168="","",IF(DT168=1,1+Boss参数!$B$8+AV168*Boss参数!$B$19,1))</f>
        <v/>
      </c>
      <c r="BJ168" s="1">
        <f>IF($I168="现实",Boss参数!$C$4,IF($I168="精神",Boss参数!$D$4,0))</f>
        <v>0</v>
      </c>
      <c r="BK168" s="1" t="str">
        <f>IF($E168="","",MAX($AY168*Boss参数!$B$9,$AY168-$BJ168*(1-$BF168)))</f>
        <v/>
      </c>
      <c r="BL168" s="1">
        <f>MAX(0,Boss参数!$F$4+IF(DT168=0,Boss参数!$B$27,0)-EJ168)</f>
        <v>1.25</v>
      </c>
      <c r="BM168" s="1">
        <f>Boss参数!$G$4+DU168-IF(Y168=1,Boss参数!$B$11,0)</f>
        <v>0.4</v>
      </c>
      <c r="BN168" s="1" t="str">
        <f>IF($E168="","",MAX(Boss参数!$B$10,1+IFERROR(INDEX(角色面板!$I$18:$I$21,MATCH($E168,角色面板!$A$18:$A$21,0)),0)+$BB168+Boss参数!$H$4-$BM168))</f>
        <v/>
      </c>
      <c r="BO168" s="1" t="str">
        <f>IF(E168="","",IF(OR(L168="J_COUNTER",L168="J_HARD"),MAX(0,1+INDEX(角色面板!$K$18:$K$21,MATCH(E168,角色面板!$A$18:$A$21,0))-DI168*Boss参数!$B$23+IF(OR(Boss参数!$B$43=1,L168="J_HARD"),IF(B168&lt;=AH168,Boss参数!$B$46,0),0)),MAX(0,IF(OR(H168="术法",L168="RHI_BERRY",AND(L168="37_FOLLOW",Boss参数!$B$31=1)),1+BC168,IF(H168="仪式",1+BD168,IF(H168="洞知",EK168,1))))))</f>
        <v/>
      </c>
      <c r="BP168" s="1" t="str">
        <f t="shared" si="143"/>
        <v/>
      </c>
      <c r="BQ168" s="1">
        <f t="shared" si="144"/>
        <v>0</v>
      </c>
      <c r="BR168" s="1">
        <f t="shared" si="145"/>
        <v>0</v>
      </c>
      <c r="BS168" s="1">
        <f>IF(BH168=0,0,ROUNDDOWN(AY168*BH168,0)*DV168*IF(Boss参数!$B$29=1,BN168,1)*IF(Boss参数!$B$33=1,BO168,1)*IF(Boss参数!$B$76=1,1-ES168,1))</f>
        <v>0</v>
      </c>
      <c r="BT168" s="1">
        <f t="shared" si="146"/>
        <v>0</v>
      </c>
      <c r="BU168" s="1">
        <f>IF(D168="",0,MIN(IF(Boss参数!$B$77=1,Boss参数!$B$63*Boss参数!$B$62,Boss参数!$B$61*Boss参数!$B$62),DW168+ROUNDDOWN(BS168,0)+ROUNDDOWN(DW168*Q168,0)))</f>
        <v>0</v>
      </c>
      <c r="BV168" s="1">
        <f>IF(D168="",0,MIN(IF(Boss参数!$B$77=1,Boss参数!$B$63*Boss参数!$B$62,Boss参数!$B$61*Boss参数!$B$62),DX168+ROUNDDOWN(BT168,0)+ROUNDDOWN(DX168*Q168,0)))</f>
        <v>0</v>
      </c>
      <c r="BW168" s="1">
        <f t="shared" si="147"/>
        <v>0</v>
      </c>
      <c r="BX168" s="1" t="str">
        <f t="shared" si="148"/>
        <v/>
      </c>
      <c r="BY168" s="1">
        <f t="shared" si="149"/>
        <v>2</v>
      </c>
      <c r="BZ168" s="1">
        <f t="shared" si="150"/>
        <v>1</v>
      </c>
      <c r="CA168" s="1">
        <f>MIN(10,W168+IF(AND(L168="LILYA_COBRA",COUNTIF($L$3:L168,"LILYA_COBRA")=1),5,0)+IF(AND(L168="LILYA_DIVE",U168=1,COUNTIFS($DG$3:DG168,DG168,$L$3:L168,"LILYA_DIVE")=1),2,0)+IF(AND(FE168=1,U168=1),3,0))</f>
        <v>10</v>
      </c>
      <c r="CB168" s="1">
        <f>MIN(20,MAX(0,X168+IF(L168="LILYA_COBRA",IF(COUNTIF($L$3:L168,"LILYA_COBRA")=1,6,IF(U168=1,MAX(1,G168),IF(U168=2,2*MAX(1,G168),0))),0)+IF(AND(Y168=1,E168="红弩箭",L168&lt;&gt;"ENTER_INSIGHT"),1,0)-IF(AND(L168="LILYA_ULT",X168&gt;=6),6,0)))</f>
        <v>13</v>
      </c>
      <c r="CC168" s="1">
        <f t="shared" si="151"/>
        <v>0</v>
      </c>
      <c r="CD168" s="1">
        <f t="shared" si="152"/>
        <v>0</v>
      </c>
      <c r="CE168" s="1">
        <f t="shared" si="153"/>
        <v>0</v>
      </c>
      <c r="CF168" s="1">
        <f t="shared" si="154"/>
        <v>10</v>
      </c>
      <c r="CG168" s="1">
        <f t="shared" si="155"/>
        <v>1</v>
      </c>
      <c r="CH168" s="1">
        <f>MIN(35,AD168+IF(L168="J_HARD",6,0)+IF(L168="J_COUNTER",Boss参数!$B$30,0))</f>
        <v>35</v>
      </c>
      <c r="CI168" s="1">
        <f>MIN(Boss参数!$I$4,AE168+IF(L168="J_HARD",6,0)+IF(L168="J_ULT",AD168,0)+IF(L168="J_COUNTER",Boss参数!$B$30,0))</f>
        <v>0</v>
      </c>
      <c r="CJ168" s="1">
        <f>IF(L168="J_ULT",AD168*Boss参数!$B$41,IF(B168&lt;=AG168,AF168,0))</f>
        <v>0.875</v>
      </c>
      <c r="CK168" s="1">
        <f t="shared" si="156"/>
        <v>9</v>
      </c>
      <c r="CL168" s="1">
        <f t="shared" si="157"/>
        <v>9</v>
      </c>
      <c r="CM168" s="1">
        <f t="shared" si="158"/>
        <v>8</v>
      </c>
      <c r="CN168" s="1">
        <f t="shared" si="159"/>
        <v>9</v>
      </c>
      <c r="CO168" s="1">
        <f t="shared" si="160"/>
        <v>8</v>
      </c>
      <c r="CP168" s="1">
        <f t="shared" si="161"/>
        <v>3</v>
      </c>
      <c r="CQ168" s="1">
        <f t="shared" si="162"/>
        <v>30</v>
      </c>
      <c r="CR168" s="1">
        <f t="shared" si="163"/>
        <v>9</v>
      </c>
      <c r="CS168" s="1">
        <f t="shared" si="164"/>
        <v>0</v>
      </c>
      <c r="CT168" s="1" t="e">
        <f t="shared" si="165"/>
        <v>#VALUE!</v>
      </c>
      <c r="CU168" s="1" t="e">
        <f t="shared" si="166"/>
        <v>#VALUE!</v>
      </c>
      <c r="CV168" s="1">
        <f t="shared" si="167"/>
        <v>0.3</v>
      </c>
      <c r="CW168" s="1">
        <f t="shared" si="168"/>
        <v>9</v>
      </c>
      <c r="CX168" s="1">
        <f t="shared" si="169"/>
        <v>0.3</v>
      </c>
      <c r="CY168" s="1">
        <f t="shared" si="170"/>
        <v>9</v>
      </c>
      <c r="CZ168" s="1"/>
      <c r="DA168" s="1"/>
      <c r="DB168" s="1"/>
      <c r="DC168" s="1"/>
      <c r="DD168" s="1"/>
      <c r="DE168" s="1"/>
      <c r="DF168" s="1"/>
      <c r="DG168" s="1" t="str">
        <f>IF(D168="","",行动模拟!B174)</f>
        <v/>
      </c>
      <c r="DH168" s="1" t="str">
        <f>IF(L168="END_TURN","回合结束",IF(D168="","",IF(INDEX(回合状态!$C$7:$C$17,MATCH(DG168,回合状态!$A$7:$A$17,0))="洞穿","洞穿",IF(OR(L168="J_COUNTER",L168="BOSS_ACTION",L168="BOSS_CONSERVATIVE"),"敌方",IF(AND(L168="37_FOLLOW",DG168=DG167,DH167="敌方"),"敌方",IF(INDEX(回合状态!$C$7:$C$17,MATCH(DG168,回合状态!$A$7:$A$17,0))="普通","出牌",INDEX(回合状态!$C$7:$C$17,MATCH(DG168,回合状态!$A$7:$A$17,0))))))))</f>
        <v/>
      </c>
      <c r="DI168" s="1">
        <f t="shared" si="171"/>
        <v>0</v>
      </c>
      <c r="DJ168" s="1">
        <f>IF(D168="",0,MIN(Boss参数!$B$25,IF(OR(AND(DH168="敌方",OR(DH167&lt;&gt;"敌方",DG168&lt;&gt;DG167)),AND(L168="END_TURN",DH168&lt;&gt;"洞穿"),AND(DG168&lt;&gt;DG167,DH167&lt;&gt;"洞穿",L167&lt;&gt;"END_TURN",COUNTIFS($DG$3:DG167,DG167,$DH$3:DH167,"敌方")=0)),EW168,DN167)))</f>
        <v>0</v>
      </c>
      <c r="DK168" s="1">
        <f>IF(D168="",0,MIN(Boss参数!$B$25,IF(OR(AND(DH168="敌方",OR(DH167&lt;&gt;"敌方",DG168&lt;&gt;DG167)),AND(L168="END_TURN",DH168&lt;&gt;"洞穿"),AND(DG168&lt;&gt;DG167,DH167&lt;&gt;"洞穿",L167&lt;&gt;"END_TURN",COUNTIFS($DG$3:DG167,DG167,$DH$3:DH167,"敌方")=0)),EW168,DO167)))</f>
        <v>0</v>
      </c>
      <c r="DL168" s="1">
        <f>IF(D168="",0,MIN(Boss参数!$B$25,IF(OR(AND(DH168="敌方",OR(DH167&lt;&gt;"敌方",DG168&lt;&gt;DG167)),AND(L168="END_TURN",DH168&lt;&gt;"洞穿"),AND(DG168&lt;&gt;DG167,DH167&lt;&gt;"洞穿",L167&lt;&gt;"END_TURN",COUNTIFS($DG$3:DG167,DG167,$DH$3:DH167,"敌方")=0)),EW168,DP167)))</f>
        <v>0</v>
      </c>
      <c r="DM168" s="1">
        <f>IF(D168="",0,MIN(Boss参数!$B$25,IF(OR(AND(DH168="敌方",OR(DH167&lt;&gt;"敌方",DG168&lt;&gt;DG167)),AND(L168="END_TURN",DH168&lt;&gt;"洞穿"),AND(DG168&lt;&gt;DG167,DH167&lt;&gt;"洞穿",L167&lt;&gt;"END_TURN",COUNTIFS($DG$3:DG167,DG167,$DH$3:DH167,"敌方")=0)),EW168,DQ167)))</f>
        <v>0</v>
      </c>
      <c r="DN168" s="1">
        <f>MAX(0,MIN(Boss参数!$B$25,DJ168+DR168)-IF(E168="红弩箭",2*DR168,0))</f>
        <v>0</v>
      </c>
      <c r="DO168" s="1">
        <f>MAX(0,MIN(Boss参数!$B$25,DK168+DR168)-IF(E168="37",2*DR168,0))</f>
        <v>0</v>
      </c>
      <c r="DP168" s="1">
        <f>MAX(0,MIN(Boss参数!$B$25,DL168+DR168)-IF(E168="小瑞安侬",2*DR168,0))</f>
        <v>0</v>
      </c>
      <c r="DQ168" s="1">
        <f>MAX(0,MIN(Boss参数!$B$25,DM168+DR168)-IF(E168="J",2*DR168,0))</f>
        <v>0</v>
      </c>
      <c r="DR168" s="1">
        <f t="shared" si="172"/>
        <v>0</v>
      </c>
      <c r="DS168" s="1">
        <f t="shared" si="173"/>
        <v>0</v>
      </c>
      <c r="DT168" s="1">
        <f>IF(OR(E168="",E168="系统"),0,IF(OR(AND(DS168=1,Boss参数!$B$32=1),L168="RHI_BERRY",OR(AND(INDEX(角色面板!$B$18:$B$21,MATCH(E168,角色面板!$A$18:$A$21,0))="星",Boss参数!$B$4="岩"),AND(INDEX(角色面板!$B$18:$B$21,MATCH(E168,角色面板!$A$18:$A$21,0))="岩",Boss参数!$B$4="兽"),AND(INDEX(角色面板!$B$18:$B$21,MATCH(E168,角色面板!$A$18:$A$21,0))="兽",Boss参数!$B$4="木"),AND(INDEX(角色面板!$B$18:$B$21,MATCH(E168,角色面板!$A$18:$A$21,0))="木",Boss参数!$B$4="星"),AND(INDEX(角色面板!$B$18:$B$21,MATCH(E168,角色面板!$A$18:$A$21,0))="智",Boss参数!$B$4="灵"),AND(INDEX(角色面板!$B$18:$B$21,MATCH(E168,角色面板!$A$18:$A$21,0))="灵",Boss参数!$B$4="智"))),1,0))</f>
        <v>0</v>
      </c>
      <c r="DU168" s="1">
        <f>IF(D168="",0,INDEX(回合状态!$E$7:$E$17,MATCH(DG168,回合状态!$A$7:$A$17,0))+IF(AND(DH168="敌方",OR(INDEX(回合状态!$C$7:$C$17,MATCH(DG168,回合状态!$A$7:$A$17,0))="普通",INDEX(回合状态!$C$7:$C$17,MATCH(DG168,回合状态!$A$7:$A$17,0))="额外")),0.05,0))</f>
        <v>0</v>
      </c>
      <c r="DV168" s="1">
        <f>MAX(Boss参数!$B$28,1+IF(AND(E168="37",AC168&gt;0,BH168&gt;0),Boss参数!$B$42,0)-DI168*Boss参数!$B$24+EA168-ER168)</f>
        <v>9.9999999999999978E-2</v>
      </c>
      <c r="DW168" s="1">
        <f>MIN(IF(Boss参数!$B$77=1,Boss参数!$B$63*Boss参数!$B$62,Boss参数!$B$61*Boss参数!$B$62),ROUNDDOWN(BQ168*(1-ES168),0))</f>
        <v>0</v>
      </c>
      <c r="DX168" s="1">
        <f>MIN(IF(Boss参数!$B$77=1,Boss参数!$B$63*Boss参数!$B$62,Boss参数!$B$61*Boss参数!$B$62),ROUNDDOWN(BR168*(1-ES168),0))</f>
        <v>0</v>
      </c>
      <c r="DY168" s="1">
        <f t="shared" si="205"/>
        <v>250</v>
      </c>
      <c r="DZ168" s="1">
        <f>IF(L168="RHI_ULT",MIN(Boss参数!$B$48,ROUNDDOWN(AY168*Boss参数!$B$47,0)),DY168)</f>
        <v>250</v>
      </c>
      <c r="EA168" s="1">
        <v>0</v>
      </c>
      <c r="EB168" s="1">
        <f t="shared" si="174"/>
        <v>0</v>
      </c>
      <c r="EC168" s="1">
        <f>SUMIFS($EB$3:EB168,$B$3:B168,"&gt;="&amp;MAX(1,B168-2),$B$3:B168,"&lt;="&amp;B168)*Boss参数!$B$51</f>
        <v>0</v>
      </c>
      <c r="ED168" s="1">
        <f>IF(D168="",EG167,IF(AND(DG168&lt;&gt;DG167,DH168&lt;&gt;"洞穿"),MIN(Boss参数!$B$55,EG167+2),EG167))</f>
        <v>0</v>
      </c>
      <c r="EE168" s="1">
        <f t="shared" si="175"/>
        <v>0</v>
      </c>
      <c r="EF168" s="1">
        <f>IF(AND(OR(L168="END_TURN",AND(DH168="敌方",OR(DH167&lt;&gt;"敌方",DG168&lt;&gt;DG167))),SUMIFS($EF$3:EF167,$DG$3:DG167,DG168)=0),MIN(1,MAX(0,ED168-EE168)),0)</f>
        <v>0</v>
      </c>
      <c r="EG168" s="1">
        <f t="shared" si="176"/>
        <v>0</v>
      </c>
      <c r="EH168" s="1">
        <f>Boss参数!$B$53-IF(Y168=1,Boss参数!$B$54,0)</f>
        <v>0</v>
      </c>
      <c r="EI168" s="1">
        <f t="shared" si="177"/>
        <v>0.15</v>
      </c>
      <c r="EJ168" s="1">
        <f t="shared" si="178"/>
        <v>0.15</v>
      </c>
      <c r="EK168" s="1" t="e">
        <f t="shared" si="179"/>
        <v>#VALUE!</v>
      </c>
      <c r="EL168" s="1">
        <f t="shared" si="206"/>
        <v>0</v>
      </c>
      <c r="EM168" s="1">
        <f>IF(AND(DG168&lt;&gt;DG167,DH168="洞穿"),0,IF(L168="ENTER_INSIGHT",Boss参数!$B$57,EO167))</f>
        <v>0</v>
      </c>
      <c r="EN168" s="1">
        <f>IF(AND(Y168=1,H168="洞知",EM168&gt;0),Boss参数!$B$56,0)</f>
        <v>0</v>
      </c>
      <c r="EO168" s="1">
        <f t="shared" si="180"/>
        <v>0</v>
      </c>
      <c r="EP168" s="1">
        <f t="shared" si="207"/>
        <v>23210479</v>
      </c>
      <c r="EQ168" s="1">
        <f>ROUNDDOWN(EP168/Boss参数!$B$62,0)</f>
        <v>232</v>
      </c>
      <c r="ER168" s="1">
        <f>IF(EQ168&gt;=Boss参数!$B$66,Boss参数!$B$69,IF(EQ168&gt;=Boss参数!$B$65,Boss参数!$B$68,IF(EQ168&gt;=Boss参数!$B$64,Boss参数!$B$67,0)))</f>
        <v>0.9</v>
      </c>
      <c r="ES168" s="1">
        <f>MIN(1,IF(EQ168&gt;=Boss参数!$B$66,Boss参数!$B$72+ROUNDDOWN((EQ168-Boss参数!$B$66)/Boss参数!$B$73,0)*Boss参数!$B$74,IF(EQ168&gt;=Boss参数!$B$65,Boss参数!$B$71,IF(EQ168&gt;=Boss参数!$B$64,Boss参数!$B$70,0))))</f>
        <v>0.65</v>
      </c>
      <c r="ET168" s="1">
        <f>MIN(Boss参数!$B$61*Boss参数!$B$62,EP168+IF(AND(Boss参数!$B$60=1,ISNUMBER(验证表!H174)),验证表!H174,EU168))</f>
        <v>23210479</v>
      </c>
      <c r="EU168" s="1">
        <f>IF(D168="",0,IF(验证表!G174="是",BV168,IF(验证表!G174="否",BU168,BW168)))</f>
        <v>0</v>
      </c>
      <c r="EV168" s="1">
        <f>IF(EQ168&gt;=Boss参数!$B$66,2,IF(EQ168&gt;=Boss参数!$B$65,1,0))</f>
        <v>2</v>
      </c>
      <c r="EW168" s="1">
        <f t="shared" si="181"/>
        <v>3</v>
      </c>
      <c r="EX168" s="1">
        <f>IF(D168="",0,INDEX(回合状态!$D$7:$D$17,MATCH(DG168,回合状态!$A$7:$A$17,0)))</f>
        <v>0</v>
      </c>
      <c r="EY168" s="1">
        <f>IF(OR(L168="RHI_ATTACK",L168="RHI_BUFF"),1,IF(L168="RHI_ULT",Boss参数!$B$52,0))</f>
        <v>0</v>
      </c>
      <c r="EZ168" s="1">
        <f>MIN(6,SUMIFS($EY$3:EY168,$EX$3:EX168,"&gt;="&amp;MAX(1,EX168-Boss参数!$B$87+1),$EX$3:EX168,"&lt;="&amp;EX168))</f>
        <v>0</v>
      </c>
      <c r="FA168" s="1">
        <f t="shared" si="208"/>
        <v>0</v>
      </c>
      <c r="FB168" s="17">
        <f>IF(L168="BOSS_CONSERVATIVE",B168+Boss参数!$B$91,FB167)</f>
        <v>7</v>
      </c>
      <c r="FC168" s="17">
        <f t="shared" si="209"/>
        <v>0</v>
      </c>
      <c r="FD168" s="17">
        <f>IF(D168="",FD167,FD167+IF(AND(DG168&lt;&gt;DG167,INDEX(回合状态!$C$7:$C$17,MATCH(DG168,回合状态!$A$7:$A$17,0))&lt;&gt;"洞穿"),1,0))</f>
        <v>8</v>
      </c>
      <c r="FE168" s="17">
        <f>IF(D168="",0,IF(AND(OR(L168="END_TURN",DH168="敌方"),INDEX(回合状态!$C$7:$C$17,MATCH(DG168,回合状态!$A$7:$A$17,0))&lt;&gt;"洞穿",SUMIFS($FE$3:FE167,$DG$3:DG167,DG168)=0),1,0))</f>
        <v>0</v>
      </c>
    </row>
    <row r="169" spans="1:161" ht="84.95" customHeight="1">
      <c r="A169" s="1" t="str">
        <f>行动模拟!A175</f>
        <v/>
      </c>
      <c r="B169" s="1">
        <f>IF(D169="",0,INDEX(回合状态!$B$7:$B$17,MATCH(DG169,回合状态!$A$7:$A$17,0)))</f>
        <v>0</v>
      </c>
      <c r="C169" s="1">
        <f>行动模拟!C175</f>
        <v>0</v>
      </c>
      <c r="D169" s="1" t="str">
        <f>IF(行动模拟!D175="","",行动模拟!D175)</f>
        <v/>
      </c>
      <c r="E169" s="1" t="str">
        <f>IF($D169="","",IFERROR(INDEX(技能数据库!$B$4:$B$38,MATCH($D169,技能数据库!$A$4:$A$38,0)),""))</f>
        <v/>
      </c>
      <c r="F169" s="1" t="str">
        <f>IF($D169="","",IFERROR(INDEX(技能数据库!$C$4:$C$38,MATCH($D169,技能数据库!$A$4:$A$38,0)),""))</f>
        <v/>
      </c>
      <c r="G169" s="1" t="str">
        <f>IF($D169="","",IFERROR(INDEX(技能数据库!$D$4:$D$38,MATCH($D169,技能数据库!$A$4:$A$38,0)),""))</f>
        <v/>
      </c>
      <c r="H169" s="1" t="str">
        <f>IF($D169="","",IFERROR(INDEX(技能数据库!$E$4:$E$38,MATCH($D169,技能数据库!$A$4:$A$38,0)),""))</f>
        <v/>
      </c>
      <c r="I169" s="1" t="str">
        <f>IF($D169="","",IFERROR(INDEX(技能数据库!$F$4:$F$38,MATCH($D169,技能数据库!$A$4:$A$38,0)),""))</f>
        <v/>
      </c>
      <c r="J169" s="1" t="str">
        <f>IF($D169="","",IFERROR(INDEX(技能数据库!$G$4:$G$38,MATCH($D169,技能数据库!$A$4:$A$38,0)),""))</f>
        <v/>
      </c>
      <c r="K169" s="1" t="str">
        <f>IF($D169="","",IFERROR(INDEX(技能数据库!$H$4:$H$38,MATCH($D169,技能数据库!$A$4:$A$38,0)),""))</f>
        <v/>
      </c>
      <c r="L169" s="1" t="str">
        <f>IF($D169="","",IFERROR(INDEX(技能数据库!$I$4:$I$38,MATCH($D169,技能数据库!$A$4:$A$38,0)),""))</f>
        <v/>
      </c>
      <c r="M169" s="1">
        <v>1</v>
      </c>
      <c r="N169" s="1"/>
      <c r="O169" s="1"/>
      <c r="P169" s="1"/>
      <c r="Q169" s="1">
        <f t="shared" si="140"/>
        <v>0</v>
      </c>
      <c r="R169" s="1">
        <v>0</v>
      </c>
      <c r="S169" s="1">
        <v>0</v>
      </c>
      <c r="T169" s="1">
        <f>行动模拟!I175</f>
        <v>0</v>
      </c>
      <c r="U169" s="1">
        <f>IF(FD169&lt;&gt;FD168,IF(BY168=1,IF(MIN(10,CA168+IF(AND(DG169&lt;&gt;DG168,DH168&lt;&gt;"洞穿",SUMIFS($FE$3:FE168,$DG$3:DG168,DG168)=0,BY168=1),3,0))&gt;=10,2,1),IF(BY168=2,IF(BZ168&lt;=1,0,2),0)),BY168)</f>
        <v>2</v>
      </c>
      <c r="V169" s="1">
        <f>IF(FD169&lt;&gt;FD168,IF(BY168=1,IF(MIN(10,CA168+IF(AND(DG169&lt;&gt;DG168,DH168&lt;&gt;"洞穿",SUMIFS($FE$3:FE168,$DG$3:DG168,DG168)=0,BY168=1),3,0))&gt;=10,2,0),IF(BY168=2,MAX(0,BZ168-1),0)),BZ168)</f>
        <v>1</v>
      </c>
      <c r="W169" s="1">
        <f>IF(AND(FD169&lt;&gt;FD168,BY168=2,BZ168&lt;=1),0,MIN(10,CA168+IF(AND(DG169&lt;&gt;DG168,DH168&lt;&gt;"洞穿",SUMIFS($FE$3:FE168,$DG$3:DG168,DG168)=0,BY168=1),3,0)))</f>
        <v>10</v>
      </c>
      <c r="X169" s="1">
        <f t="shared" si="182"/>
        <v>13</v>
      </c>
      <c r="Y169" s="1">
        <f t="shared" si="183"/>
        <v>0</v>
      </c>
      <c r="Z169" s="1">
        <f t="shared" si="184"/>
        <v>0</v>
      </c>
      <c r="AA169" s="1">
        <f t="shared" si="185"/>
        <v>0</v>
      </c>
      <c r="AB169" s="1">
        <f t="shared" si="186"/>
        <v>10</v>
      </c>
      <c r="AC169" s="1">
        <f t="shared" si="187"/>
        <v>1</v>
      </c>
      <c r="AD169" s="1">
        <f t="shared" si="188"/>
        <v>35</v>
      </c>
      <c r="AE169" s="1">
        <f>IF(D169="",0,IF(DG169&lt;&gt;DG168,IFERROR(INDEX(回合状态!$F$7:$F$17,MATCH(DG169,回合状态!$A$7:$A$17,0)),0),CI168))</f>
        <v>0</v>
      </c>
      <c r="AF169" s="1">
        <f t="shared" si="189"/>
        <v>0.875</v>
      </c>
      <c r="AG169" s="1">
        <f t="shared" si="190"/>
        <v>9</v>
      </c>
      <c r="AH169" s="1">
        <f t="shared" si="191"/>
        <v>9</v>
      </c>
      <c r="AI169" s="1">
        <f t="shared" si="192"/>
        <v>8</v>
      </c>
      <c r="AJ169" s="1">
        <f t="shared" si="193"/>
        <v>9</v>
      </c>
      <c r="AK169" s="1">
        <f t="shared" si="194"/>
        <v>8</v>
      </c>
      <c r="AL169" s="1">
        <f t="shared" si="195"/>
        <v>3</v>
      </c>
      <c r="AM169" s="1">
        <f t="shared" si="196"/>
        <v>30</v>
      </c>
      <c r="AN169" s="1">
        <f t="shared" si="197"/>
        <v>9</v>
      </c>
      <c r="AO169" s="1">
        <f t="shared" si="198"/>
        <v>0</v>
      </c>
      <c r="AP169" s="1" t="e">
        <f t="shared" si="199"/>
        <v>#VALUE!</v>
      </c>
      <c r="AQ169" s="1" t="e">
        <f t="shared" si="200"/>
        <v>#VALUE!</v>
      </c>
      <c r="AR169" s="1">
        <f t="shared" si="201"/>
        <v>0.3</v>
      </c>
      <c r="AS169" s="1">
        <f t="shared" si="202"/>
        <v>9</v>
      </c>
      <c r="AT169" s="1">
        <f t="shared" si="203"/>
        <v>0.3</v>
      </c>
      <c r="AU169" s="1">
        <f t="shared" si="204"/>
        <v>9</v>
      </c>
      <c r="AV169" s="1">
        <f>MIN(5,SUMIFS($EL$3:EL169,$B$3:B169,"&gt;="&amp;MAX(1,B169-2),$B$3:B169,"&lt;="&amp;B169)+EC169)</f>
        <v>0</v>
      </c>
      <c r="AW169" s="1">
        <f>MIN(6,SUMIFS($EY$3:EY168,$EX$3:EX168,"&gt;="&amp;MAX(1,EX169-Boss参数!$B$87+1),$EX$3:EX168,"&lt;="&amp;EX169))</f>
        <v>0</v>
      </c>
      <c r="AX169" s="1">
        <f>MIN(4,COUNTIFS($B$3:$B$168,"&gt;="&amp;MAX(1,$B169-2),$B$3:$B$168,"&lt;="&amp;$B169,$L$3:$L$168,"37_FOLLOW"))</f>
        <v>0</v>
      </c>
      <c r="AY169" s="1" t="str">
        <f>IF($E169="","",IF($E169="系统",0,ROUNDDOWN(INDEX(角色面板!$C$4:$C$7,MATCH($E169,角色面板!$A$4:$A$7,0))*(1+INDEX(角色面板!$C$11:$C$14,MATCH($E169,角色面板!$A$11:$A$14,0))+IF($E169="小瑞安侬",MAX(IF($B169&lt;=$AQ169,$AP169,0),IF(AND($L169="RHI_ATTACK",$EE169&gt;0),0.11+0.01*$G169,0)),0)+IF($E169="J",$AD169*Boss参数!$B$18,0))+IF(FD169&lt;=$AN169,MIN(Boss参数!$B$21,ROUNDDOWN(角色面板!$C$19*Boss参数!$B$20,0)),0)+IF(AND($B169&lt;=$AK169,$E169&lt;&gt;"小瑞安侬"),$DY169,0),0)))</f>
        <v/>
      </c>
      <c r="AZ169" s="1" t="str">
        <f>IF($E169="","",MAX(0,MIN(1,IFERROR(INDEX(角色面板!$G$18:$G$21,MATCH($E169,角色面板!$A$18:$A$21,0)),0)-FC169*Boss参数!$B$89-Boss参数!$E$4)))</f>
        <v/>
      </c>
      <c r="BA169" s="1" t="str">
        <f>IF(E169="","",(IF($E169="","",IF($E169="红弩箭",Boss参数!$B$80,IF($E169="J",Boss参数!$B$81,IFERROR(INDEX(角色面板!$H$18:$H$21,MATCH($E169,角色面板!$A$18:$A$21,0)),0)))+IF($B169&lt;=$AI169,Boss参数!$B$13,0)+MIN(30,$AM169)*Boss参数!$B$17+IF(AND($L169="LILYA_ULT",$X169&gt;=6),1,0)+IF(AND($Y169=1,$L169="LILYA_INSIGHT"),IF(MOD($AA169+1,3)=0,Boss参数!$B$83,Boss参数!$B$82),IF(AND($Y169=1,$L169="LILYA_FINISH"),Boss参数!$B$84,0))))-FC169*Boss参数!$B$90)</f>
        <v/>
      </c>
      <c r="BB169" s="1" t="str">
        <f>IF($E169="","",IFERROR(INDEX(角色面板!$M$18:$M$21,MATCH($E169,角色面板!$A$18:$A$21,0)),0)+$AW169*Boss参数!$B$12+IF($B169&lt;=$AG169,$AF169,0)+$EI169+IF($L169="LILYA_DIVE",IF($U169=1,IF($G169=1,0.3,IF($G169=2,0.4,0.5)),IF($U169=2,IF($G169=1,0.6,IF($G169=2,0.8,1)),0)),0)+$R169+IF(AND($E169="J",OR($L169="J_COUNTER",$L169="J_HARD")),Boss参数!$B$79,0)+IF(AND(OR(L169="J_COUNTER",L169="J_HARD"),FA169&gt;=Boss参数!$B$59),FA169*Boss参数!$B$40,0))</f>
        <v/>
      </c>
      <c r="BC169" s="1" t="e">
        <f>IF($E169="","",IFERROR(INDEX(角色面板!$K$18:$K$21,MATCH($E169,角色面板!$A$18:$A$21,0)),0)+IF($B169&lt;=$AH169,Boss参数!$B$46,0)+IF($E169="红弩箭",IF($U169=1,0.6,IF($U169=2,1.2,0))+$W169*0.06,0))-DI169*Boss参数!$B$23</f>
        <v>#VALUE!</v>
      </c>
      <c r="BD169" s="1" t="e">
        <f>IF($E169="","",IFERROR(INDEX(角色面板!$L$18:$L$21,MATCH($E169,角色面板!$A$18:$A$21,0)),0)+IF($B169&lt;=$AH169,Boss参数!$B$46,0)+IF($E169="J",$AL169*Boss参数!$B$16,0)+IF($E169="红弩箭",$X169*0.025,0)+IF(AND($L169="LILYA_ULT",$X169&gt;=6),1,0))-DI169*Boss参数!$B$23</f>
        <v>#VALUE!</v>
      </c>
      <c r="BE169" s="1" t="str">
        <f>IF($E169="","",IF($H169="洞知",IF($E169="红弩箭",$AO169*Boss参数!$B$15,0)+$AX169*Boss参数!$B$14,0))</f>
        <v/>
      </c>
      <c r="BF169" s="1">
        <f t="shared" si="141"/>
        <v>0</v>
      </c>
      <c r="BG169" s="1">
        <f>IF($D169="",0,IF(AND($L169&lt;&gt;"LILYA_DIVE",$L169&lt;&gt;"LILYA_ULT",$L169&lt;&gt;"LILYA_INSIGHT",$L169&lt;&gt;"LILYA_FINISH",$L169&lt;&gt;"37_FOLLOW",$L169&lt;&gt;"RHI_ATTACK",$L169&lt;&gt;"RHI_BERRY",$L169&lt;&gt;"J_COUNTER",$L169&lt;&gt;"J_ULT"),$J169,0)+IF($L169="LILYA_DIVE",$J169+IF($U169=1,IF($G169=1,6,IF($G169=2,12,18)),IF($U169=2,IF($G169=1,12,IF($G169=2,24,36)),0)),0)+IF($L169="LILYA_ULT",$J169+IF($X169&gt;=6,18,0),0)+IF($L169="LILYA_INSIGHT",IF($Y169=1,IF(MOD($AA169+1,3)=0,32,15),0),0)+IF($L169="LILYA_FINISH",IF($Y169=1,50+2.5*$Z169,0),0)+IF($L169="37_FOLLOW",$J169,0)+IF($L169="RHI_ATTACK",$J169*IF($B169&lt;=$AJ169,2,1),0)+IF($L169="RHI_BERRY",15+1.5*$AV169,0)+IF($L169="J_COUNTER",$J169+$AD169*Boss参数!$B$39,0)+IF($L169="J_ULT",$J169+Boss参数!$B$45*MAX(0,$AE169+$AD169-Boss参数!$I$4),0)+$S169)</f>
        <v>0</v>
      </c>
      <c r="BH169" s="1">
        <f t="shared" si="142"/>
        <v>0</v>
      </c>
      <c r="BI169" s="1" t="str">
        <f>IF(E169="","",IF(DT169=1,1+Boss参数!$B$8+AV169*Boss参数!$B$19,1))</f>
        <v/>
      </c>
      <c r="BJ169" s="1">
        <f>IF($I169="现实",Boss参数!$C$4,IF($I169="精神",Boss参数!$D$4,0))</f>
        <v>0</v>
      </c>
      <c r="BK169" s="1" t="str">
        <f>IF($E169="","",MAX($AY169*Boss参数!$B$9,$AY169-$BJ169*(1-$BF169)))</f>
        <v/>
      </c>
      <c r="BL169" s="1">
        <f>MAX(0,Boss参数!$F$4+IF(DT169=0,Boss参数!$B$27,0)-EJ169)</f>
        <v>1.25</v>
      </c>
      <c r="BM169" s="1">
        <f>Boss参数!$G$4+DU169-IF(Y169=1,Boss参数!$B$11,0)</f>
        <v>0.4</v>
      </c>
      <c r="BN169" s="1" t="str">
        <f>IF($E169="","",MAX(Boss参数!$B$10,1+IFERROR(INDEX(角色面板!$I$18:$I$21,MATCH($E169,角色面板!$A$18:$A$21,0)),0)+$BB169+Boss参数!$H$4-$BM169))</f>
        <v/>
      </c>
      <c r="BO169" s="1" t="str">
        <f>IF(E169="","",IF(OR(L169="J_COUNTER",L169="J_HARD"),MAX(0,1+INDEX(角色面板!$K$18:$K$21,MATCH(E169,角色面板!$A$18:$A$21,0))-DI169*Boss参数!$B$23+IF(OR(Boss参数!$B$43=1,L169="J_HARD"),IF(B169&lt;=AH169,Boss参数!$B$46,0),0)),MAX(0,IF(OR(H169="术法",L169="RHI_BERRY",AND(L169="37_FOLLOW",Boss参数!$B$31=1)),1+BC169,IF(H169="仪式",1+BD169,IF(H169="洞知",EK169,1))))))</f>
        <v/>
      </c>
      <c r="BP169" s="1" t="str">
        <f t="shared" si="143"/>
        <v/>
      </c>
      <c r="BQ169" s="1">
        <f t="shared" si="144"/>
        <v>0</v>
      </c>
      <c r="BR169" s="1">
        <f t="shared" si="145"/>
        <v>0</v>
      </c>
      <c r="BS169" s="1">
        <f>IF(BH169=0,0,ROUNDDOWN(AY169*BH169,0)*DV169*IF(Boss参数!$B$29=1,BN169,1)*IF(Boss参数!$B$33=1,BO169,1)*IF(Boss参数!$B$76=1,1-ES169,1))</f>
        <v>0</v>
      </c>
      <c r="BT169" s="1">
        <f t="shared" si="146"/>
        <v>0</v>
      </c>
      <c r="BU169" s="1">
        <f>IF(D169="",0,MIN(IF(Boss参数!$B$77=1,Boss参数!$B$63*Boss参数!$B$62,Boss参数!$B$61*Boss参数!$B$62),DW169+ROUNDDOWN(BS169,0)+ROUNDDOWN(DW169*Q169,0)))</f>
        <v>0</v>
      </c>
      <c r="BV169" s="1">
        <f>IF(D169="",0,MIN(IF(Boss参数!$B$77=1,Boss参数!$B$63*Boss参数!$B$62,Boss参数!$B$61*Boss参数!$B$62),DX169+ROUNDDOWN(BT169,0)+ROUNDDOWN(DX169*Q169,0)))</f>
        <v>0</v>
      </c>
      <c r="BW169" s="1">
        <f t="shared" si="147"/>
        <v>0</v>
      </c>
      <c r="BX169" s="1" t="str">
        <f t="shared" si="148"/>
        <v/>
      </c>
      <c r="BY169" s="1">
        <f t="shared" si="149"/>
        <v>2</v>
      </c>
      <c r="BZ169" s="1">
        <f t="shared" si="150"/>
        <v>1</v>
      </c>
      <c r="CA169" s="1">
        <f>MIN(10,W169+IF(AND(L169="LILYA_COBRA",COUNTIF($L$3:L169,"LILYA_COBRA")=1),5,0)+IF(AND(L169="LILYA_DIVE",U169=1,COUNTIFS($DG$3:DG169,DG169,$L$3:L169,"LILYA_DIVE")=1),2,0)+IF(AND(FE169=1,U169=1),3,0))</f>
        <v>10</v>
      </c>
      <c r="CB169" s="1">
        <f>MIN(20,MAX(0,X169+IF(L169="LILYA_COBRA",IF(COUNTIF($L$3:L169,"LILYA_COBRA")=1,6,IF(U169=1,MAX(1,G169),IF(U169=2,2*MAX(1,G169),0))),0)+IF(AND(Y169=1,E169="红弩箭",L169&lt;&gt;"ENTER_INSIGHT"),1,0)-IF(AND(L169="LILYA_ULT",X169&gt;=6),6,0)))</f>
        <v>13</v>
      </c>
      <c r="CC169" s="1">
        <f t="shared" si="151"/>
        <v>0</v>
      </c>
      <c r="CD169" s="1">
        <f t="shared" si="152"/>
        <v>0</v>
      </c>
      <c r="CE169" s="1">
        <f t="shared" si="153"/>
        <v>0</v>
      </c>
      <c r="CF169" s="1">
        <f t="shared" si="154"/>
        <v>10</v>
      </c>
      <c r="CG169" s="1">
        <f t="shared" si="155"/>
        <v>1</v>
      </c>
      <c r="CH169" s="1">
        <f>MIN(35,AD169+IF(L169="J_HARD",6,0)+IF(L169="J_COUNTER",Boss参数!$B$30,0))</f>
        <v>35</v>
      </c>
      <c r="CI169" s="1">
        <f>MIN(Boss参数!$I$4,AE169+IF(L169="J_HARD",6,0)+IF(L169="J_ULT",AD169,0)+IF(L169="J_COUNTER",Boss参数!$B$30,0))</f>
        <v>0</v>
      </c>
      <c r="CJ169" s="1">
        <f>IF(L169="J_ULT",AD169*Boss参数!$B$41,IF(B169&lt;=AG169,AF169,0))</f>
        <v>0.875</v>
      </c>
      <c r="CK169" s="1">
        <f t="shared" si="156"/>
        <v>9</v>
      </c>
      <c r="CL169" s="1">
        <f t="shared" si="157"/>
        <v>9</v>
      </c>
      <c r="CM169" s="1">
        <f t="shared" si="158"/>
        <v>8</v>
      </c>
      <c r="CN169" s="1">
        <f t="shared" si="159"/>
        <v>9</v>
      </c>
      <c r="CO169" s="1">
        <f t="shared" si="160"/>
        <v>8</v>
      </c>
      <c r="CP169" s="1">
        <f t="shared" si="161"/>
        <v>3</v>
      </c>
      <c r="CQ169" s="1">
        <f t="shared" si="162"/>
        <v>30</v>
      </c>
      <c r="CR169" s="1">
        <f t="shared" si="163"/>
        <v>9</v>
      </c>
      <c r="CS169" s="1">
        <f t="shared" si="164"/>
        <v>0</v>
      </c>
      <c r="CT169" s="1" t="e">
        <f t="shared" si="165"/>
        <v>#VALUE!</v>
      </c>
      <c r="CU169" s="1" t="e">
        <f t="shared" si="166"/>
        <v>#VALUE!</v>
      </c>
      <c r="CV169" s="1">
        <f t="shared" si="167"/>
        <v>0.3</v>
      </c>
      <c r="CW169" s="1">
        <f t="shared" si="168"/>
        <v>9</v>
      </c>
      <c r="CX169" s="1">
        <f t="shared" si="169"/>
        <v>0.3</v>
      </c>
      <c r="CY169" s="1">
        <f t="shared" si="170"/>
        <v>9</v>
      </c>
      <c r="CZ169" s="1"/>
      <c r="DA169" s="1"/>
      <c r="DB169" s="1"/>
      <c r="DC169" s="1"/>
      <c r="DD169" s="1"/>
      <c r="DE169" s="1"/>
      <c r="DF169" s="1"/>
      <c r="DG169" s="1" t="str">
        <f>IF(D169="","",行动模拟!B175)</f>
        <v/>
      </c>
      <c r="DH169" s="1" t="str">
        <f>IF(L169="END_TURN","回合结束",IF(D169="","",IF(INDEX(回合状态!$C$7:$C$17,MATCH(DG169,回合状态!$A$7:$A$17,0))="洞穿","洞穿",IF(OR(L169="J_COUNTER",L169="BOSS_ACTION",L169="BOSS_CONSERVATIVE"),"敌方",IF(AND(L169="37_FOLLOW",DG169=DG168,DH168="敌方"),"敌方",IF(INDEX(回合状态!$C$7:$C$17,MATCH(DG169,回合状态!$A$7:$A$17,0))="普通","出牌",INDEX(回合状态!$C$7:$C$17,MATCH(DG169,回合状态!$A$7:$A$17,0))))))))</f>
        <v/>
      </c>
      <c r="DI169" s="1">
        <f t="shared" si="171"/>
        <v>0</v>
      </c>
      <c r="DJ169" s="1">
        <f>IF(D169="",0,MIN(Boss参数!$B$25,IF(OR(AND(DH169="敌方",OR(DH168&lt;&gt;"敌方",DG169&lt;&gt;DG168)),AND(L169="END_TURN",DH169&lt;&gt;"洞穿"),AND(DG169&lt;&gt;DG168,DH168&lt;&gt;"洞穿",L168&lt;&gt;"END_TURN",COUNTIFS($DG$3:DG168,DG168,$DH$3:DH168,"敌方")=0)),EW169,DN168)))</f>
        <v>0</v>
      </c>
      <c r="DK169" s="1">
        <f>IF(D169="",0,MIN(Boss参数!$B$25,IF(OR(AND(DH169="敌方",OR(DH168&lt;&gt;"敌方",DG169&lt;&gt;DG168)),AND(L169="END_TURN",DH169&lt;&gt;"洞穿"),AND(DG169&lt;&gt;DG168,DH168&lt;&gt;"洞穿",L168&lt;&gt;"END_TURN",COUNTIFS($DG$3:DG168,DG168,$DH$3:DH168,"敌方")=0)),EW169,DO168)))</f>
        <v>0</v>
      </c>
      <c r="DL169" s="1">
        <f>IF(D169="",0,MIN(Boss参数!$B$25,IF(OR(AND(DH169="敌方",OR(DH168&lt;&gt;"敌方",DG169&lt;&gt;DG168)),AND(L169="END_TURN",DH169&lt;&gt;"洞穿"),AND(DG169&lt;&gt;DG168,DH168&lt;&gt;"洞穿",L168&lt;&gt;"END_TURN",COUNTIFS($DG$3:DG168,DG168,$DH$3:DH168,"敌方")=0)),EW169,DP168)))</f>
        <v>0</v>
      </c>
      <c r="DM169" s="1">
        <f>IF(D169="",0,MIN(Boss参数!$B$25,IF(OR(AND(DH169="敌方",OR(DH168&lt;&gt;"敌方",DG169&lt;&gt;DG168)),AND(L169="END_TURN",DH169&lt;&gt;"洞穿"),AND(DG169&lt;&gt;DG168,DH168&lt;&gt;"洞穿",L168&lt;&gt;"END_TURN",COUNTIFS($DG$3:DG168,DG168,$DH$3:DH168,"敌方")=0)),EW169,DQ168)))</f>
        <v>0</v>
      </c>
      <c r="DN169" s="1">
        <f>MAX(0,MIN(Boss参数!$B$25,DJ169+DR169)-IF(E169="红弩箭",2*DR169,0))</f>
        <v>0</v>
      </c>
      <c r="DO169" s="1">
        <f>MAX(0,MIN(Boss参数!$B$25,DK169+DR169)-IF(E169="37",2*DR169,0))</f>
        <v>0</v>
      </c>
      <c r="DP169" s="1">
        <f>MAX(0,MIN(Boss参数!$B$25,DL169+DR169)-IF(E169="小瑞安侬",2*DR169,0))</f>
        <v>0</v>
      </c>
      <c r="DQ169" s="1">
        <f>MAX(0,MIN(Boss参数!$B$25,DM169+DR169)-IF(E169="J",2*DR169,0))</f>
        <v>0</v>
      </c>
      <c r="DR169" s="1">
        <f t="shared" si="172"/>
        <v>0</v>
      </c>
      <c r="DS169" s="1">
        <f t="shared" si="173"/>
        <v>0</v>
      </c>
      <c r="DT169" s="1">
        <f>IF(OR(E169="",E169="系统"),0,IF(OR(AND(DS169=1,Boss参数!$B$32=1),L169="RHI_BERRY",OR(AND(INDEX(角色面板!$B$18:$B$21,MATCH(E169,角色面板!$A$18:$A$21,0))="星",Boss参数!$B$4="岩"),AND(INDEX(角色面板!$B$18:$B$21,MATCH(E169,角色面板!$A$18:$A$21,0))="岩",Boss参数!$B$4="兽"),AND(INDEX(角色面板!$B$18:$B$21,MATCH(E169,角色面板!$A$18:$A$21,0))="兽",Boss参数!$B$4="木"),AND(INDEX(角色面板!$B$18:$B$21,MATCH(E169,角色面板!$A$18:$A$21,0))="木",Boss参数!$B$4="星"),AND(INDEX(角色面板!$B$18:$B$21,MATCH(E169,角色面板!$A$18:$A$21,0))="智",Boss参数!$B$4="灵"),AND(INDEX(角色面板!$B$18:$B$21,MATCH(E169,角色面板!$A$18:$A$21,0))="灵",Boss参数!$B$4="智"))),1,0))</f>
        <v>0</v>
      </c>
      <c r="DU169" s="1">
        <f>IF(D169="",0,INDEX(回合状态!$E$7:$E$17,MATCH(DG169,回合状态!$A$7:$A$17,0))+IF(AND(DH169="敌方",OR(INDEX(回合状态!$C$7:$C$17,MATCH(DG169,回合状态!$A$7:$A$17,0))="普通",INDEX(回合状态!$C$7:$C$17,MATCH(DG169,回合状态!$A$7:$A$17,0))="额外")),0.05,0))</f>
        <v>0</v>
      </c>
      <c r="DV169" s="1">
        <f>MAX(Boss参数!$B$28,1+IF(AND(E169="37",AC169&gt;0,BH169&gt;0),Boss参数!$B$42,0)-DI169*Boss参数!$B$24+EA169-ER169)</f>
        <v>9.9999999999999978E-2</v>
      </c>
      <c r="DW169" s="1">
        <f>MIN(IF(Boss参数!$B$77=1,Boss参数!$B$63*Boss参数!$B$62,Boss参数!$B$61*Boss参数!$B$62),ROUNDDOWN(BQ169*(1-ES169),0))</f>
        <v>0</v>
      </c>
      <c r="DX169" s="1">
        <f>MIN(IF(Boss参数!$B$77=1,Boss参数!$B$63*Boss参数!$B$62,Boss参数!$B$61*Boss参数!$B$62),ROUNDDOWN(BR169*(1-ES169),0))</f>
        <v>0</v>
      </c>
      <c r="DY169" s="1">
        <f t="shared" si="205"/>
        <v>250</v>
      </c>
      <c r="DZ169" s="1">
        <f>IF(L169="RHI_ULT",MIN(Boss参数!$B$48,ROUNDDOWN(AY169*Boss参数!$B$47,0)),DY169)</f>
        <v>250</v>
      </c>
      <c r="EA169" s="1">
        <v>0</v>
      </c>
      <c r="EB169" s="1">
        <f t="shared" si="174"/>
        <v>0</v>
      </c>
      <c r="EC169" s="1">
        <f>SUMIFS($EB$3:EB169,$B$3:B169,"&gt;="&amp;MAX(1,B169-2),$B$3:B169,"&lt;="&amp;B169)*Boss参数!$B$51</f>
        <v>0</v>
      </c>
      <c r="ED169" s="1">
        <f>IF(D169="",EG168,IF(AND(DG169&lt;&gt;DG168,DH169&lt;&gt;"洞穿"),MIN(Boss参数!$B$55,EG168+2),EG168))</f>
        <v>0</v>
      </c>
      <c r="EE169" s="1">
        <f t="shared" si="175"/>
        <v>0</v>
      </c>
      <c r="EF169" s="1">
        <f>IF(AND(OR(L169="END_TURN",AND(DH169="敌方",OR(DH168&lt;&gt;"敌方",DG169&lt;&gt;DG168))),SUMIFS($EF$3:EF168,$DG$3:DG168,DG169)=0),MIN(1,MAX(0,ED169-EE169)),0)</f>
        <v>0</v>
      </c>
      <c r="EG169" s="1">
        <f t="shared" si="176"/>
        <v>0</v>
      </c>
      <c r="EH169" s="1">
        <f>Boss参数!$B$53-IF(Y169=1,Boss参数!$B$54,0)</f>
        <v>0</v>
      </c>
      <c r="EI169" s="1">
        <f t="shared" si="177"/>
        <v>0.15</v>
      </c>
      <c r="EJ169" s="1">
        <f t="shared" si="178"/>
        <v>0.15</v>
      </c>
      <c r="EK169" s="1" t="e">
        <f t="shared" si="179"/>
        <v>#VALUE!</v>
      </c>
      <c r="EL169" s="1">
        <f t="shared" si="206"/>
        <v>0</v>
      </c>
      <c r="EM169" s="1">
        <f>IF(AND(DG169&lt;&gt;DG168,DH169="洞穿"),0,IF(L169="ENTER_INSIGHT",Boss参数!$B$57,EO168))</f>
        <v>0</v>
      </c>
      <c r="EN169" s="1">
        <f>IF(AND(Y169=1,H169="洞知",EM169&gt;0),Boss参数!$B$56,0)</f>
        <v>0</v>
      </c>
      <c r="EO169" s="1">
        <f t="shared" si="180"/>
        <v>0</v>
      </c>
      <c r="EP169" s="1">
        <f t="shared" si="207"/>
        <v>23210479</v>
      </c>
      <c r="EQ169" s="1">
        <f>ROUNDDOWN(EP169/Boss参数!$B$62,0)</f>
        <v>232</v>
      </c>
      <c r="ER169" s="1">
        <f>IF(EQ169&gt;=Boss参数!$B$66,Boss参数!$B$69,IF(EQ169&gt;=Boss参数!$B$65,Boss参数!$B$68,IF(EQ169&gt;=Boss参数!$B$64,Boss参数!$B$67,0)))</f>
        <v>0.9</v>
      </c>
      <c r="ES169" s="1">
        <f>MIN(1,IF(EQ169&gt;=Boss参数!$B$66,Boss参数!$B$72+ROUNDDOWN((EQ169-Boss参数!$B$66)/Boss参数!$B$73,0)*Boss参数!$B$74,IF(EQ169&gt;=Boss参数!$B$65,Boss参数!$B$71,IF(EQ169&gt;=Boss参数!$B$64,Boss参数!$B$70,0))))</f>
        <v>0.65</v>
      </c>
      <c r="ET169" s="1">
        <f>MIN(Boss参数!$B$61*Boss参数!$B$62,EP169+IF(AND(Boss参数!$B$60=1,ISNUMBER(验证表!H175)),验证表!H175,EU169))</f>
        <v>23210479</v>
      </c>
      <c r="EU169" s="1">
        <f>IF(D169="",0,IF(验证表!G175="是",BV169,IF(验证表!G175="否",BU169,BW169)))</f>
        <v>0</v>
      </c>
      <c r="EV169" s="1">
        <f>IF(EQ169&gt;=Boss参数!$B$66,2,IF(EQ169&gt;=Boss参数!$B$65,1,0))</f>
        <v>2</v>
      </c>
      <c r="EW169" s="1">
        <f t="shared" si="181"/>
        <v>3</v>
      </c>
      <c r="EX169" s="1">
        <f>IF(D169="",0,INDEX(回合状态!$D$7:$D$17,MATCH(DG169,回合状态!$A$7:$A$17,0)))</f>
        <v>0</v>
      </c>
      <c r="EY169" s="1">
        <f>IF(OR(L169="RHI_ATTACK",L169="RHI_BUFF"),1,IF(L169="RHI_ULT",Boss参数!$B$52,0))</f>
        <v>0</v>
      </c>
      <c r="EZ169" s="1">
        <f>MIN(6,SUMIFS($EY$3:EY169,$EX$3:EX169,"&gt;="&amp;MAX(1,EX169-Boss参数!$B$87+1),$EX$3:EX169,"&lt;="&amp;EX169))</f>
        <v>0</v>
      </c>
      <c r="FA169" s="1">
        <f t="shared" si="208"/>
        <v>0</v>
      </c>
      <c r="FB169" s="17">
        <f>IF(L169="BOSS_CONSERVATIVE",B169+Boss参数!$B$91,FB168)</f>
        <v>7</v>
      </c>
      <c r="FC169" s="17">
        <f t="shared" si="209"/>
        <v>0</v>
      </c>
      <c r="FD169" s="17">
        <f>IF(D169="",FD168,FD168+IF(AND(DG169&lt;&gt;DG168,INDEX(回合状态!$C$7:$C$17,MATCH(DG169,回合状态!$A$7:$A$17,0))&lt;&gt;"洞穿"),1,0))</f>
        <v>8</v>
      </c>
      <c r="FE169" s="17">
        <f>IF(D169="",0,IF(AND(OR(L169="END_TURN",DH169="敌方"),INDEX(回合状态!$C$7:$C$17,MATCH(DG169,回合状态!$A$7:$A$17,0))&lt;&gt;"洞穿",SUMIFS($FE$3:FE168,$DG$3:DG168,DG169)=0),1,0))</f>
        <v>0</v>
      </c>
    </row>
    <row r="170" spans="1:161" ht="84.95" customHeight="1">
      <c r="A170" s="1" t="str">
        <f>行动模拟!A176</f>
        <v/>
      </c>
      <c r="B170" s="1">
        <f>IF(D170="",0,INDEX(回合状态!$B$7:$B$17,MATCH(DG170,回合状态!$A$7:$A$17,0)))</f>
        <v>0</v>
      </c>
      <c r="C170" s="1">
        <f>行动模拟!C176</f>
        <v>0</v>
      </c>
      <c r="D170" s="1" t="str">
        <f>IF(行动模拟!D176="","",行动模拟!D176)</f>
        <v/>
      </c>
      <c r="E170" s="1" t="str">
        <f>IF($D170="","",IFERROR(INDEX(技能数据库!$B$4:$B$38,MATCH($D170,技能数据库!$A$4:$A$38,0)),""))</f>
        <v/>
      </c>
      <c r="F170" s="1" t="str">
        <f>IF($D170="","",IFERROR(INDEX(技能数据库!$C$4:$C$38,MATCH($D170,技能数据库!$A$4:$A$38,0)),""))</f>
        <v/>
      </c>
      <c r="G170" s="1" t="str">
        <f>IF($D170="","",IFERROR(INDEX(技能数据库!$D$4:$D$38,MATCH($D170,技能数据库!$A$4:$A$38,0)),""))</f>
        <v/>
      </c>
      <c r="H170" s="1" t="str">
        <f>IF($D170="","",IFERROR(INDEX(技能数据库!$E$4:$E$38,MATCH($D170,技能数据库!$A$4:$A$38,0)),""))</f>
        <v/>
      </c>
      <c r="I170" s="1" t="str">
        <f>IF($D170="","",IFERROR(INDEX(技能数据库!$F$4:$F$38,MATCH($D170,技能数据库!$A$4:$A$38,0)),""))</f>
        <v/>
      </c>
      <c r="J170" s="1" t="str">
        <f>IF($D170="","",IFERROR(INDEX(技能数据库!$G$4:$G$38,MATCH($D170,技能数据库!$A$4:$A$38,0)),""))</f>
        <v/>
      </c>
      <c r="K170" s="1" t="str">
        <f>IF($D170="","",IFERROR(INDEX(技能数据库!$H$4:$H$38,MATCH($D170,技能数据库!$A$4:$A$38,0)),""))</f>
        <v/>
      </c>
      <c r="L170" s="1" t="str">
        <f>IF($D170="","",IFERROR(INDEX(技能数据库!$I$4:$I$38,MATCH($D170,技能数据库!$A$4:$A$38,0)),""))</f>
        <v/>
      </c>
      <c r="M170" s="1">
        <v>1</v>
      </c>
      <c r="N170" s="1"/>
      <c r="O170" s="1"/>
      <c r="P170" s="1"/>
      <c r="Q170" s="1">
        <f t="shared" si="140"/>
        <v>0</v>
      </c>
      <c r="R170" s="1">
        <v>0</v>
      </c>
      <c r="S170" s="1">
        <v>0</v>
      </c>
      <c r="T170" s="1">
        <f>行动模拟!I176</f>
        <v>0</v>
      </c>
      <c r="U170" s="1">
        <f>IF(FD170&lt;&gt;FD169,IF(BY169=1,IF(MIN(10,CA169+IF(AND(DG170&lt;&gt;DG169,DH169&lt;&gt;"洞穿",SUMIFS($FE$3:FE169,$DG$3:DG169,DG169)=0,BY169=1),3,0))&gt;=10,2,1),IF(BY169=2,IF(BZ169&lt;=1,0,2),0)),BY169)</f>
        <v>2</v>
      </c>
      <c r="V170" s="1">
        <f>IF(FD170&lt;&gt;FD169,IF(BY169=1,IF(MIN(10,CA169+IF(AND(DG170&lt;&gt;DG169,DH169&lt;&gt;"洞穿",SUMIFS($FE$3:FE169,$DG$3:DG169,DG169)=0,BY169=1),3,0))&gt;=10,2,0),IF(BY169=2,MAX(0,BZ169-1),0)),BZ169)</f>
        <v>1</v>
      </c>
      <c r="W170" s="1">
        <f>IF(AND(FD170&lt;&gt;FD169,BY169=2,BZ169&lt;=1),0,MIN(10,CA169+IF(AND(DG170&lt;&gt;DG169,DH169&lt;&gt;"洞穿",SUMIFS($FE$3:FE169,$DG$3:DG169,DG169)=0,BY169=1),3,0)))</f>
        <v>10</v>
      </c>
      <c r="X170" s="1">
        <f t="shared" si="182"/>
        <v>13</v>
      </c>
      <c r="Y170" s="1">
        <f t="shared" si="183"/>
        <v>0</v>
      </c>
      <c r="Z170" s="1">
        <f t="shared" si="184"/>
        <v>0</v>
      </c>
      <c r="AA170" s="1">
        <f t="shared" si="185"/>
        <v>0</v>
      </c>
      <c r="AB170" s="1">
        <f t="shared" si="186"/>
        <v>10</v>
      </c>
      <c r="AC170" s="1">
        <f t="shared" si="187"/>
        <v>1</v>
      </c>
      <c r="AD170" s="1">
        <f t="shared" si="188"/>
        <v>35</v>
      </c>
      <c r="AE170" s="1">
        <f>IF(D170="",0,IF(DG170&lt;&gt;DG169,IFERROR(INDEX(回合状态!$F$7:$F$17,MATCH(DG170,回合状态!$A$7:$A$17,0)),0),CI169))</f>
        <v>0</v>
      </c>
      <c r="AF170" s="1">
        <f t="shared" si="189"/>
        <v>0.875</v>
      </c>
      <c r="AG170" s="1">
        <f t="shared" si="190"/>
        <v>9</v>
      </c>
      <c r="AH170" s="1">
        <f t="shared" si="191"/>
        <v>9</v>
      </c>
      <c r="AI170" s="1">
        <f t="shared" si="192"/>
        <v>8</v>
      </c>
      <c r="AJ170" s="1">
        <f t="shared" si="193"/>
        <v>9</v>
      </c>
      <c r="AK170" s="1">
        <f t="shared" si="194"/>
        <v>8</v>
      </c>
      <c r="AL170" s="1">
        <f t="shared" si="195"/>
        <v>3</v>
      </c>
      <c r="AM170" s="1">
        <f t="shared" si="196"/>
        <v>30</v>
      </c>
      <c r="AN170" s="1">
        <f t="shared" si="197"/>
        <v>9</v>
      </c>
      <c r="AO170" s="1">
        <f t="shared" si="198"/>
        <v>0</v>
      </c>
      <c r="AP170" s="1" t="e">
        <f t="shared" si="199"/>
        <v>#VALUE!</v>
      </c>
      <c r="AQ170" s="1" t="e">
        <f t="shared" si="200"/>
        <v>#VALUE!</v>
      </c>
      <c r="AR170" s="1">
        <f t="shared" si="201"/>
        <v>0.3</v>
      </c>
      <c r="AS170" s="1">
        <f t="shared" si="202"/>
        <v>9</v>
      </c>
      <c r="AT170" s="1">
        <f t="shared" si="203"/>
        <v>0.3</v>
      </c>
      <c r="AU170" s="1">
        <f t="shared" si="204"/>
        <v>9</v>
      </c>
      <c r="AV170" s="1">
        <f>MIN(5,SUMIFS($EL$3:EL170,$B$3:B170,"&gt;="&amp;MAX(1,B170-2),$B$3:B170,"&lt;="&amp;B170)+EC170)</f>
        <v>0</v>
      </c>
      <c r="AW170" s="1">
        <f>MIN(6,SUMIFS($EY$3:EY169,$EX$3:EX169,"&gt;="&amp;MAX(1,EX170-Boss参数!$B$87+1),$EX$3:EX169,"&lt;="&amp;EX170))</f>
        <v>0</v>
      </c>
      <c r="AX170" s="1">
        <f>MIN(4,COUNTIFS($B$3:$B$169,"&gt;="&amp;MAX(1,$B170-2),$B$3:$B$169,"&lt;="&amp;$B170,$L$3:$L$169,"37_FOLLOW"))</f>
        <v>0</v>
      </c>
      <c r="AY170" s="1" t="str">
        <f>IF($E170="","",IF($E170="系统",0,ROUNDDOWN(INDEX(角色面板!$C$4:$C$7,MATCH($E170,角色面板!$A$4:$A$7,0))*(1+INDEX(角色面板!$C$11:$C$14,MATCH($E170,角色面板!$A$11:$A$14,0))+IF($E170="小瑞安侬",MAX(IF($B170&lt;=$AQ170,$AP170,0),IF(AND($L170="RHI_ATTACK",$EE170&gt;0),0.11+0.01*$G170,0)),0)+IF($E170="J",$AD170*Boss参数!$B$18,0))+IF(FD170&lt;=$AN170,MIN(Boss参数!$B$21,ROUNDDOWN(角色面板!$C$19*Boss参数!$B$20,0)),0)+IF(AND($B170&lt;=$AK170,$E170&lt;&gt;"小瑞安侬"),$DY170,0),0)))</f>
        <v/>
      </c>
      <c r="AZ170" s="1" t="str">
        <f>IF($E170="","",MAX(0,MIN(1,IFERROR(INDEX(角色面板!$G$18:$G$21,MATCH($E170,角色面板!$A$18:$A$21,0)),0)-FC170*Boss参数!$B$89-Boss参数!$E$4)))</f>
        <v/>
      </c>
      <c r="BA170" s="1" t="str">
        <f>IF(E170="","",(IF($E170="","",IF($E170="红弩箭",Boss参数!$B$80,IF($E170="J",Boss参数!$B$81,IFERROR(INDEX(角色面板!$H$18:$H$21,MATCH($E170,角色面板!$A$18:$A$21,0)),0)))+IF($B170&lt;=$AI170,Boss参数!$B$13,0)+MIN(30,$AM170)*Boss参数!$B$17+IF(AND($L170="LILYA_ULT",$X170&gt;=6),1,0)+IF(AND($Y170=1,$L170="LILYA_INSIGHT"),IF(MOD($AA170+1,3)=0,Boss参数!$B$83,Boss参数!$B$82),IF(AND($Y170=1,$L170="LILYA_FINISH"),Boss参数!$B$84,0))))-FC170*Boss参数!$B$90)</f>
        <v/>
      </c>
      <c r="BB170" s="1" t="str">
        <f>IF($E170="","",IFERROR(INDEX(角色面板!$M$18:$M$21,MATCH($E170,角色面板!$A$18:$A$21,0)),0)+$AW170*Boss参数!$B$12+IF($B170&lt;=$AG170,$AF170,0)+$EI170+IF($L170="LILYA_DIVE",IF($U170=1,IF($G170=1,0.3,IF($G170=2,0.4,0.5)),IF($U170=2,IF($G170=1,0.6,IF($G170=2,0.8,1)),0)),0)+$R170+IF(AND($E170="J",OR($L170="J_COUNTER",$L170="J_HARD")),Boss参数!$B$79,0)+IF(AND(OR(L170="J_COUNTER",L170="J_HARD"),FA170&gt;=Boss参数!$B$59),FA170*Boss参数!$B$40,0))</f>
        <v/>
      </c>
      <c r="BC170" s="1" t="e">
        <f>IF($E170="","",IFERROR(INDEX(角色面板!$K$18:$K$21,MATCH($E170,角色面板!$A$18:$A$21,0)),0)+IF($B170&lt;=$AH170,Boss参数!$B$46,0)+IF($E170="红弩箭",IF($U170=1,0.6,IF($U170=2,1.2,0))+$W170*0.06,0))-DI170*Boss参数!$B$23</f>
        <v>#VALUE!</v>
      </c>
      <c r="BD170" s="1" t="e">
        <f>IF($E170="","",IFERROR(INDEX(角色面板!$L$18:$L$21,MATCH($E170,角色面板!$A$18:$A$21,0)),0)+IF($B170&lt;=$AH170,Boss参数!$B$46,0)+IF($E170="J",$AL170*Boss参数!$B$16,0)+IF($E170="红弩箭",$X170*0.025,0)+IF(AND($L170="LILYA_ULT",$X170&gt;=6),1,0))-DI170*Boss参数!$B$23</f>
        <v>#VALUE!</v>
      </c>
      <c r="BE170" s="1" t="str">
        <f>IF($E170="","",IF($H170="洞知",IF($E170="红弩箭",$AO170*Boss参数!$B$15,0)+$AX170*Boss参数!$B$14,0))</f>
        <v/>
      </c>
      <c r="BF170" s="1">
        <f t="shared" si="141"/>
        <v>0</v>
      </c>
      <c r="BG170" s="1">
        <f>IF($D170="",0,IF(AND($L170&lt;&gt;"LILYA_DIVE",$L170&lt;&gt;"LILYA_ULT",$L170&lt;&gt;"LILYA_INSIGHT",$L170&lt;&gt;"LILYA_FINISH",$L170&lt;&gt;"37_FOLLOW",$L170&lt;&gt;"RHI_ATTACK",$L170&lt;&gt;"RHI_BERRY",$L170&lt;&gt;"J_COUNTER",$L170&lt;&gt;"J_ULT"),$J170,0)+IF($L170="LILYA_DIVE",$J170+IF($U170=1,IF($G170=1,6,IF($G170=2,12,18)),IF($U170=2,IF($G170=1,12,IF($G170=2,24,36)),0)),0)+IF($L170="LILYA_ULT",$J170+IF($X170&gt;=6,18,0),0)+IF($L170="LILYA_INSIGHT",IF($Y170=1,IF(MOD($AA170+1,3)=0,32,15),0),0)+IF($L170="LILYA_FINISH",IF($Y170=1,50+2.5*$Z170,0),0)+IF($L170="37_FOLLOW",$J170,0)+IF($L170="RHI_ATTACK",$J170*IF($B170&lt;=$AJ170,2,1),0)+IF($L170="RHI_BERRY",15+1.5*$AV170,0)+IF($L170="J_COUNTER",$J170+$AD170*Boss参数!$B$39,0)+IF($L170="J_ULT",$J170+Boss参数!$B$45*MAX(0,$AE170+$AD170-Boss参数!$I$4),0)+$S170)</f>
        <v>0</v>
      </c>
      <c r="BH170" s="1">
        <f t="shared" si="142"/>
        <v>0</v>
      </c>
      <c r="BI170" s="1" t="str">
        <f>IF(E170="","",IF(DT170=1,1+Boss参数!$B$8+AV170*Boss参数!$B$19,1))</f>
        <v/>
      </c>
      <c r="BJ170" s="1">
        <f>IF($I170="现实",Boss参数!$C$4,IF($I170="精神",Boss参数!$D$4,0))</f>
        <v>0</v>
      </c>
      <c r="BK170" s="1" t="str">
        <f>IF($E170="","",MAX($AY170*Boss参数!$B$9,$AY170-$BJ170*(1-$BF170)))</f>
        <v/>
      </c>
      <c r="BL170" s="1">
        <f>MAX(0,Boss参数!$F$4+IF(DT170=0,Boss参数!$B$27,0)-EJ170)</f>
        <v>1.25</v>
      </c>
      <c r="BM170" s="1">
        <f>Boss参数!$G$4+DU170-IF(Y170=1,Boss参数!$B$11,0)</f>
        <v>0.4</v>
      </c>
      <c r="BN170" s="1" t="str">
        <f>IF($E170="","",MAX(Boss参数!$B$10,1+IFERROR(INDEX(角色面板!$I$18:$I$21,MATCH($E170,角色面板!$A$18:$A$21,0)),0)+$BB170+Boss参数!$H$4-$BM170))</f>
        <v/>
      </c>
      <c r="BO170" s="1" t="str">
        <f>IF(E170="","",IF(OR(L170="J_COUNTER",L170="J_HARD"),MAX(0,1+INDEX(角色面板!$K$18:$K$21,MATCH(E170,角色面板!$A$18:$A$21,0))-DI170*Boss参数!$B$23+IF(OR(Boss参数!$B$43=1,L170="J_HARD"),IF(B170&lt;=AH170,Boss参数!$B$46,0),0)),MAX(0,IF(OR(H170="术法",L170="RHI_BERRY",AND(L170="37_FOLLOW",Boss参数!$B$31=1)),1+BC170,IF(H170="仪式",1+BD170,IF(H170="洞知",EK170,1))))))</f>
        <v/>
      </c>
      <c r="BP170" s="1" t="str">
        <f t="shared" si="143"/>
        <v/>
      </c>
      <c r="BQ170" s="1">
        <f t="shared" si="144"/>
        <v>0</v>
      </c>
      <c r="BR170" s="1">
        <f t="shared" si="145"/>
        <v>0</v>
      </c>
      <c r="BS170" s="1">
        <f>IF(BH170=0,0,ROUNDDOWN(AY170*BH170,0)*DV170*IF(Boss参数!$B$29=1,BN170,1)*IF(Boss参数!$B$33=1,BO170,1)*IF(Boss参数!$B$76=1,1-ES170,1))</f>
        <v>0</v>
      </c>
      <c r="BT170" s="1">
        <f t="shared" si="146"/>
        <v>0</v>
      </c>
      <c r="BU170" s="1">
        <f>IF(D170="",0,MIN(IF(Boss参数!$B$77=1,Boss参数!$B$63*Boss参数!$B$62,Boss参数!$B$61*Boss参数!$B$62),DW170+ROUNDDOWN(BS170,0)+ROUNDDOWN(DW170*Q170,0)))</f>
        <v>0</v>
      </c>
      <c r="BV170" s="1">
        <f>IF(D170="",0,MIN(IF(Boss参数!$B$77=1,Boss参数!$B$63*Boss参数!$B$62,Boss参数!$B$61*Boss参数!$B$62),DX170+ROUNDDOWN(BT170,0)+ROUNDDOWN(DX170*Q170,0)))</f>
        <v>0</v>
      </c>
      <c r="BW170" s="1">
        <f t="shared" si="147"/>
        <v>0</v>
      </c>
      <c r="BX170" s="1" t="str">
        <f t="shared" si="148"/>
        <v/>
      </c>
      <c r="BY170" s="1">
        <f t="shared" si="149"/>
        <v>2</v>
      </c>
      <c r="BZ170" s="1">
        <f t="shared" si="150"/>
        <v>1</v>
      </c>
      <c r="CA170" s="1">
        <f>MIN(10,W170+IF(AND(L170="LILYA_COBRA",COUNTIF($L$3:L170,"LILYA_COBRA")=1),5,0)+IF(AND(L170="LILYA_DIVE",U170=1,COUNTIFS($DG$3:DG170,DG170,$L$3:L170,"LILYA_DIVE")=1),2,0)+IF(AND(FE170=1,U170=1),3,0))</f>
        <v>10</v>
      </c>
      <c r="CB170" s="1">
        <f>MIN(20,MAX(0,X170+IF(L170="LILYA_COBRA",IF(COUNTIF($L$3:L170,"LILYA_COBRA")=1,6,IF(U170=1,MAX(1,G170),IF(U170=2,2*MAX(1,G170),0))),0)+IF(AND(Y170=1,E170="红弩箭",L170&lt;&gt;"ENTER_INSIGHT"),1,0)-IF(AND(L170="LILYA_ULT",X170&gt;=6),6,0)))</f>
        <v>13</v>
      </c>
      <c r="CC170" s="1">
        <f t="shared" si="151"/>
        <v>0</v>
      </c>
      <c r="CD170" s="1">
        <f t="shared" si="152"/>
        <v>0</v>
      </c>
      <c r="CE170" s="1">
        <f t="shared" si="153"/>
        <v>0</v>
      </c>
      <c r="CF170" s="1">
        <f t="shared" si="154"/>
        <v>10</v>
      </c>
      <c r="CG170" s="1">
        <f t="shared" si="155"/>
        <v>1</v>
      </c>
      <c r="CH170" s="1">
        <f>MIN(35,AD170+IF(L170="J_HARD",6,0)+IF(L170="J_COUNTER",Boss参数!$B$30,0))</f>
        <v>35</v>
      </c>
      <c r="CI170" s="1">
        <f>MIN(Boss参数!$I$4,AE170+IF(L170="J_HARD",6,0)+IF(L170="J_ULT",AD170,0)+IF(L170="J_COUNTER",Boss参数!$B$30,0))</f>
        <v>0</v>
      </c>
      <c r="CJ170" s="1">
        <f>IF(L170="J_ULT",AD170*Boss参数!$B$41,IF(B170&lt;=AG170,AF170,0))</f>
        <v>0.875</v>
      </c>
      <c r="CK170" s="1">
        <f t="shared" si="156"/>
        <v>9</v>
      </c>
      <c r="CL170" s="1">
        <f t="shared" si="157"/>
        <v>9</v>
      </c>
      <c r="CM170" s="1">
        <f t="shared" si="158"/>
        <v>8</v>
      </c>
      <c r="CN170" s="1">
        <f t="shared" si="159"/>
        <v>9</v>
      </c>
      <c r="CO170" s="1">
        <f t="shared" si="160"/>
        <v>8</v>
      </c>
      <c r="CP170" s="1">
        <f t="shared" si="161"/>
        <v>3</v>
      </c>
      <c r="CQ170" s="1">
        <f t="shared" si="162"/>
        <v>30</v>
      </c>
      <c r="CR170" s="1">
        <f t="shared" si="163"/>
        <v>9</v>
      </c>
      <c r="CS170" s="1">
        <f t="shared" si="164"/>
        <v>0</v>
      </c>
      <c r="CT170" s="1" t="e">
        <f t="shared" si="165"/>
        <v>#VALUE!</v>
      </c>
      <c r="CU170" s="1" t="e">
        <f t="shared" si="166"/>
        <v>#VALUE!</v>
      </c>
      <c r="CV170" s="1">
        <f t="shared" si="167"/>
        <v>0.3</v>
      </c>
      <c r="CW170" s="1">
        <f t="shared" si="168"/>
        <v>9</v>
      </c>
      <c r="CX170" s="1">
        <f t="shared" si="169"/>
        <v>0.3</v>
      </c>
      <c r="CY170" s="1">
        <f t="shared" si="170"/>
        <v>9</v>
      </c>
      <c r="CZ170" s="1"/>
      <c r="DA170" s="1"/>
      <c r="DB170" s="1"/>
      <c r="DC170" s="1"/>
      <c r="DD170" s="1"/>
      <c r="DE170" s="1"/>
      <c r="DF170" s="1"/>
      <c r="DG170" s="1" t="str">
        <f>IF(D170="","",行动模拟!B176)</f>
        <v/>
      </c>
      <c r="DH170" s="1" t="str">
        <f>IF(L170="END_TURN","回合结束",IF(D170="","",IF(INDEX(回合状态!$C$7:$C$17,MATCH(DG170,回合状态!$A$7:$A$17,0))="洞穿","洞穿",IF(OR(L170="J_COUNTER",L170="BOSS_ACTION",L170="BOSS_CONSERVATIVE"),"敌方",IF(AND(L170="37_FOLLOW",DG170=DG169,DH169="敌方"),"敌方",IF(INDEX(回合状态!$C$7:$C$17,MATCH(DG170,回合状态!$A$7:$A$17,0))="普通","出牌",INDEX(回合状态!$C$7:$C$17,MATCH(DG170,回合状态!$A$7:$A$17,0))))))))</f>
        <v/>
      </c>
      <c r="DI170" s="1">
        <f t="shared" si="171"/>
        <v>0</v>
      </c>
      <c r="DJ170" s="1">
        <f>IF(D170="",0,MIN(Boss参数!$B$25,IF(OR(AND(DH170="敌方",OR(DH169&lt;&gt;"敌方",DG170&lt;&gt;DG169)),AND(L170="END_TURN",DH170&lt;&gt;"洞穿"),AND(DG170&lt;&gt;DG169,DH169&lt;&gt;"洞穿",L169&lt;&gt;"END_TURN",COUNTIFS($DG$3:DG169,DG169,$DH$3:DH169,"敌方")=0)),EW170,DN169)))</f>
        <v>0</v>
      </c>
      <c r="DK170" s="1">
        <f>IF(D170="",0,MIN(Boss参数!$B$25,IF(OR(AND(DH170="敌方",OR(DH169&lt;&gt;"敌方",DG170&lt;&gt;DG169)),AND(L170="END_TURN",DH170&lt;&gt;"洞穿"),AND(DG170&lt;&gt;DG169,DH169&lt;&gt;"洞穿",L169&lt;&gt;"END_TURN",COUNTIFS($DG$3:DG169,DG169,$DH$3:DH169,"敌方")=0)),EW170,DO169)))</f>
        <v>0</v>
      </c>
      <c r="DL170" s="1">
        <f>IF(D170="",0,MIN(Boss参数!$B$25,IF(OR(AND(DH170="敌方",OR(DH169&lt;&gt;"敌方",DG170&lt;&gt;DG169)),AND(L170="END_TURN",DH170&lt;&gt;"洞穿"),AND(DG170&lt;&gt;DG169,DH169&lt;&gt;"洞穿",L169&lt;&gt;"END_TURN",COUNTIFS($DG$3:DG169,DG169,$DH$3:DH169,"敌方")=0)),EW170,DP169)))</f>
        <v>0</v>
      </c>
      <c r="DM170" s="1">
        <f>IF(D170="",0,MIN(Boss参数!$B$25,IF(OR(AND(DH170="敌方",OR(DH169&lt;&gt;"敌方",DG170&lt;&gt;DG169)),AND(L170="END_TURN",DH170&lt;&gt;"洞穿"),AND(DG170&lt;&gt;DG169,DH169&lt;&gt;"洞穿",L169&lt;&gt;"END_TURN",COUNTIFS($DG$3:DG169,DG169,$DH$3:DH169,"敌方")=0)),EW170,DQ169)))</f>
        <v>0</v>
      </c>
      <c r="DN170" s="1">
        <f>MAX(0,MIN(Boss参数!$B$25,DJ170+DR170)-IF(E170="红弩箭",2*DR170,0))</f>
        <v>0</v>
      </c>
      <c r="DO170" s="1">
        <f>MAX(0,MIN(Boss参数!$B$25,DK170+DR170)-IF(E170="37",2*DR170,0))</f>
        <v>0</v>
      </c>
      <c r="DP170" s="1">
        <f>MAX(0,MIN(Boss参数!$B$25,DL170+DR170)-IF(E170="小瑞安侬",2*DR170,0))</f>
        <v>0</v>
      </c>
      <c r="DQ170" s="1">
        <f>MAX(0,MIN(Boss参数!$B$25,DM170+DR170)-IF(E170="J",2*DR170,0))</f>
        <v>0</v>
      </c>
      <c r="DR170" s="1">
        <f t="shared" si="172"/>
        <v>0</v>
      </c>
      <c r="DS170" s="1">
        <f t="shared" si="173"/>
        <v>0</v>
      </c>
      <c r="DT170" s="1">
        <f>IF(OR(E170="",E170="系统"),0,IF(OR(AND(DS170=1,Boss参数!$B$32=1),L170="RHI_BERRY",OR(AND(INDEX(角色面板!$B$18:$B$21,MATCH(E170,角色面板!$A$18:$A$21,0))="星",Boss参数!$B$4="岩"),AND(INDEX(角色面板!$B$18:$B$21,MATCH(E170,角色面板!$A$18:$A$21,0))="岩",Boss参数!$B$4="兽"),AND(INDEX(角色面板!$B$18:$B$21,MATCH(E170,角色面板!$A$18:$A$21,0))="兽",Boss参数!$B$4="木"),AND(INDEX(角色面板!$B$18:$B$21,MATCH(E170,角色面板!$A$18:$A$21,0))="木",Boss参数!$B$4="星"),AND(INDEX(角色面板!$B$18:$B$21,MATCH(E170,角色面板!$A$18:$A$21,0))="智",Boss参数!$B$4="灵"),AND(INDEX(角色面板!$B$18:$B$21,MATCH(E170,角色面板!$A$18:$A$21,0))="灵",Boss参数!$B$4="智"))),1,0))</f>
        <v>0</v>
      </c>
      <c r="DU170" s="1">
        <f>IF(D170="",0,INDEX(回合状态!$E$7:$E$17,MATCH(DG170,回合状态!$A$7:$A$17,0))+IF(AND(DH170="敌方",OR(INDEX(回合状态!$C$7:$C$17,MATCH(DG170,回合状态!$A$7:$A$17,0))="普通",INDEX(回合状态!$C$7:$C$17,MATCH(DG170,回合状态!$A$7:$A$17,0))="额外")),0.05,0))</f>
        <v>0</v>
      </c>
      <c r="DV170" s="1">
        <f>MAX(Boss参数!$B$28,1+IF(AND(E170="37",AC170&gt;0,BH170&gt;0),Boss参数!$B$42,0)-DI170*Boss参数!$B$24+EA170-ER170)</f>
        <v>9.9999999999999978E-2</v>
      </c>
      <c r="DW170" s="1">
        <f>MIN(IF(Boss参数!$B$77=1,Boss参数!$B$63*Boss参数!$B$62,Boss参数!$B$61*Boss参数!$B$62),ROUNDDOWN(BQ170*(1-ES170),0))</f>
        <v>0</v>
      </c>
      <c r="DX170" s="1">
        <f>MIN(IF(Boss参数!$B$77=1,Boss参数!$B$63*Boss参数!$B$62,Boss参数!$B$61*Boss参数!$B$62),ROUNDDOWN(BR170*(1-ES170),0))</f>
        <v>0</v>
      </c>
      <c r="DY170" s="1">
        <f t="shared" si="205"/>
        <v>250</v>
      </c>
      <c r="DZ170" s="1">
        <f>IF(L170="RHI_ULT",MIN(Boss参数!$B$48,ROUNDDOWN(AY170*Boss参数!$B$47,0)),DY170)</f>
        <v>250</v>
      </c>
      <c r="EA170" s="1">
        <v>0</v>
      </c>
      <c r="EB170" s="1">
        <f t="shared" si="174"/>
        <v>0</v>
      </c>
      <c r="EC170" s="1">
        <f>SUMIFS($EB$3:EB170,$B$3:B170,"&gt;="&amp;MAX(1,B170-2),$B$3:B170,"&lt;="&amp;B170)*Boss参数!$B$51</f>
        <v>0</v>
      </c>
      <c r="ED170" s="1">
        <f>IF(D170="",EG169,IF(AND(DG170&lt;&gt;DG169,DH170&lt;&gt;"洞穿"),MIN(Boss参数!$B$55,EG169+2),EG169))</f>
        <v>0</v>
      </c>
      <c r="EE170" s="1">
        <f t="shared" si="175"/>
        <v>0</v>
      </c>
      <c r="EF170" s="1">
        <f>IF(AND(OR(L170="END_TURN",AND(DH170="敌方",OR(DH169&lt;&gt;"敌方",DG170&lt;&gt;DG169))),SUMIFS($EF$3:EF169,$DG$3:DG169,DG170)=0),MIN(1,MAX(0,ED170-EE170)),0)</f>
        <v>0</v>
      </c>
      <c r="EG170" s="1">
        <f t="shared" si="176"/>
        <v>0</v>
      </c>
      <c r="EH170" s="1">
        <f>Boss参数!$B$53-IF(Y170=1,Boss参数!$B$54,0)</f>
        <v>0</v>
      </c>
      <c r="EI170" s="1">
        <f t="shared" si="177"/>
        <v>0.15</v>
      </c>
      <c r="EJ170" s="1">
        <f t="shared" si="178"/>
        <v>0.15</v>
      </c>
      <c r="EK170" s="1" t="e">
        <f t="shared" si="179"/>
        <v>#VALUE!</v>
      </c>
      <c r="EL170" s="1">
        <f t="shared" si="206"/>
        <v>0</v>
      </c>
      <c r="EM170" s="1">
        <f>IF(AND(DG170&lt;&gt;DG169,DH170="洞穿"),0,IF(L170="ENTER_INSIGHT",Boss参数!$B$57,EO169))</f>
        <v>0</v>
      </c>
      <c r="EN170" s="1">
        <f>IF(AND(Y170=1,H170="洞知",EM170&gt;0),Boss参数!$B$56,0)</f>
        <v>0</v>
      </c>
      <c r="EO170" s="1">
        <f t="shared" si="180"/>
        <v>0</v>
      </c>
      <c r="EP170" s="1">
        <f t="shared" si="207"/>
        <v>23210479</v>
      </c>
      <c r="EQ170" s="1">
        <f>ROUNDDOWN(EP170/Boss参数!$B$62,0)</f>
        <v>232</v>
      </c>
      <c r="ER170" s="1">
        <f>IF(EQ170&gt;=Boss参数!$B$66,Boss参数!$B$69,IF(EQ170&gt;=Boss参数!$B$65,Boss参数!$B$68,IF(EQ170&gt;=Boss参数!$B$64,Boss参数!$B$67,0)))</f>
        <v>0.9</v>
      </c>
      <c r="ES170" s="1">
        <f>MIN(1,IF(EQ170&gt;=Boss参数!$B$66,Boss参数!$B$72+ROUNDDOWN((EQ170-Boss参数!$B$66)/Boss参数!$B$73,0)*Boss参数!$B$74,IF(EQ170&gt;=Boss参数!$B$65,Boss参数!$B$71,IF(EQ170&gt;=Boss参数!$B$64,Boss参数!$B$70,0))))</f>
        <v>0.65</v>
      </c>
      <c r="ET170" s="1">
        <f>MIN(Boss参数!$B$61*Boss参数!$B$62,EP170+IF(AND(Boss参数!$B$60=1,ISNUMBER(验证表!H176)),验证表!H176,EU170))</f>
        <v>23210479</v>
      </c>
      <c r="EU170" s="1">
        <f>IF(D170="",0,IF(验证表!G176="是",BV170,IF(验证表!G176="否",BU170,BW170)))</f>
        <v>0</v>
      </c>
      <c r="EV170" s="1">
        <f>IF(EQ170&gt;=Boss参数!$B$66,2,IF(EQ170&gt;=Boss参数!$B$65,1,0))</f>
        <v>2</v>
      </c>
      <c r="EW170" s="1">
        <f t="shared" si="181"/>
        <v>3</v>
      </c>
      <c r="EX170" s="1">
        <f>IF(D170="",0,INDEX(回合状态!$D$7:$D$17,MATCH(DG170,回合状态!$A$7:$A$17,0)))</f>
        <v>0</v>
      </c>
      <c r="EY170" s="1">
        <f>IF(OR(L170="RHI_ATTACK",L170="RHI_BUFF"),1,IF(L170="RHI_ULT",Boss参数!$B$52,0))</f>
        <v>0</v>
      </c>
      <c r="EZ170" s="1">
        <f>MIN(6,SUMIFS($EY$3:EY170,$EX$3:EX170,"&gt;="&amp;MAX(1,EX170-Boss参数!$B$87+1),$EX$3:EX170,"&lt;="&amp;EX170))</f>
        <v>0</v>
      </c>
      <c r="FA170" s="1">
        <f t="shared" si="208"/>
        <v>0</v>
      </c>
      <c r="FB170" s="17">
        <f>IF(L170="BOSS_CONSERVATIVE",B170+Boss参数!$B$91,FB169)</f>
        <v>7</v>
      </c>
      <c r="FC170" s="17">
        <f t="shared" si="209"/>
        <v>0</v>
      </c>
      <c r="FD170" s="17">
        <f>IF(D170="",FD169,FD169+IF(AND(DG170&lt;&gt;DG169,INDEX(回合状态!$C$7:$C$17,MATCH(DG170,回合状态!$A$7:$A$17,0))&lt;&gt;"洞穿"),1,0))</f>
        <v>8</v>
      </c>
      <c r="FE170" s="17">
        <f>IF(D170="",0,IF(AND(OR(L170="END_TURN",DH170="敌方"),INDEX(回合状态!$C$7:$C$17,MATCH(DG170,回合状态!$A$7:$A$17,0))&lt;&gt;"洞穿",SUMIFS($FE$3:FE169,$DG$3:DG169,DG170)=0),1,0))</f>
        <v>0</v>
      </c>
    </row>
    <row r="171" spans="1:161" ht="84.95" customHeight="1">
      <c r="A171" s="1" t="str">
        <f>行动模拟!A177</f>
        <v/>
      </c>
      <c r="B171" s="1">
        <f>IF(D171="",0,INDEX(回合状态!$B$7:$B$17,MATCH(DG171,回合状态!$A$7:$A$17,0)))</f>
        <v>0</v>
      </c>
      <c r="C171" s="1">
        <f>行动模拟!C177</f>
        <v>0</v>
      </c>
      <c r="D171" s="1" t="str">
        <f>IF(行动模拟!D177="","",行动模拟!D177)</f>
        <v/>
      </c>
      <c r="E171" s="1" t="str">
        <f>IF($D171="","",IFERROR(INDEX(技能数据库!$B$4:$B$38,MATCH($D171,技能数据库!$A$4:$A$38,0)),""))</f>
        <v/>
      </c>
      <c r="F171" s="1" t="str">
        <f>IF($D171="","",IFERROR(INDEX(技能数据库!$C$4:$C$38,MATCH($D171,技能数据库!$A$4:$A$38,0)),""))</f>
        <v/>
      </c>
      <c r="G171" s="1" t="str">
        <f>IF($D171="","",IFERROR(INDEX(技能数据库!$D$4:$D$38,MATCH($D171,技能数据库!$A$4:$A$38,0)),""))</f>
        <v/>
      </c>
      <c r="H171" s="1" t="str">
        <f>IF($D171="","",IFERROR(INDEX(技能数据库!$E$4:$E$38,MATCH($D171,技能数据库!$A$4:$A$38,0)),""))</f>
        <v/>
      </c>
      <c r="I171" s="1" t="str">
        <f>IF($D171="","",IFERROR(INDEX(技能数据库!$F$4:$F$38,MATCH($D171,技能数据库!$A$4:$A$38,0)),""))</f>
        <v/>
      </c>
      <c r="J171" s="1" t="str">
        <f>IF($D171="","",IFERROR(INDEX(技能数据库!$G$4:$G$38,MATCH($D171,技能数据库!$A$4:$A$38,0)),""))</f>
        <v/>
      </c>
      <c r="K171" s="1" t="str">
        <f>IF($D171="","",IFERROR(INDEX(技能数据库!$H$4:$H$38,MATCH($D171,技能数据库!$A$4:$A$38,0)),""))</f>
        <v/>
      </c>
      <c r="L171" s="1" t="str">
        <f>IF($D171="","",IFERROR(INDEX(技能数据库!$I$4:$I$38,MATCH($D171,技能数据库!$A$4:$A$38,0)),""))</f>
        <v/>
      </c>
      <c r="M171" s="1">
        <v>1</v>
      </c>
      <c r="N171" s="1"/>
      <c r="O171" s="1"/>
      <c r="P171" s="1"/>
      <c r="Q171" s="1">
        <f t="shared" si="140"/>
        <v>0</v>
      </c>
      <c r="R171" s="1">
        <v>0</v>
      </c>
      <c r="S171" s="1">
        <v>0</v>
      </c>
      <c r="T171" s="1">
        <f>行动模拟!I177</f>
        <v>0</v>
      </c>
      <c r="U171" s="1">
        <f>IF(FD171&lt;&gt;FD170,IF(BY170=1,IF(MIN(10,CA170+IF(AND(DG171&lt;&gt;DG170,DH170&lt;&gt;"洞穿",SUMIFS($FE$3:FE170,$DG$3:DG170,DG170)=0,BY170=1),3,0))&gt;=10,2,1),IF(BY170=2,IF(BZ170&lt;=1,0,2),0)),BY170)</f>
        <v>2</v>
      </c>
      <c r="V171" s="1">
        <f>IF(FD171&lt;&gt;FD170,IF(BY170=1,IF(MIN(10,CA170+IF(AND(DG171&lt;&gt;DG170,DH170&lt;&gt;"洞穿",SUMIFS($FE$3:FE170,$DG$3:DG170,DG170)=0,BY170=1),3,0))&gt;=10,2,0),IF(BY170=2,MAX(0,BZ170-1),0)),BZ170)</f>
        <v>1</v>
      </c>
      <c r="W171" s="1">
        <f>IF(AND(FD171&lt;&gt;FD170,BY170=2,BZ170&lt;=1),0,MIN(10,CA170+IF(AND(DG171&lt;&gt;DG170,DH170&lt;&gt;"洞穿",SUMIFS($FE$3:FE170,$DG$3:DG170,DG170)=0,BY170=1),3,0)))</f>
        <v>10</v>
      </c>
      <c r="X171" s="1">
        <f t="shared" si="182"/>
        <v>13</v>
      </c>
      <c r="Y171" s="1">
        <f t="shared" si="183"/>
        <v>0</v>
      </c>
      <c r="Z171" s="1">
        <f t="shared" si="184"/>
        <v>0</v>
      </c>
      <c r="AA171" s="1">
        <f t="shared" si="185"/>
        <v>0</v>
      </c>
      <c r="AB171" s="1">
        <f t="shared" si="186"/>
        <v>10</v>
      </c>
      <c r="AC171" s="1">
        <f t="shared" si="187"/>
        <v>1</v>
      </c>
      <c r="AD171" s="1">
        <f t="shared" si="188"/>
        <v>35</v>
      </c>
      <c r="AE171" s="1">
        <f>IF(D171="",0,IF(DG171&lt;&gt;DG170,IFERROR(INDEX(回合状态!$F$7:$F$17,MATCH(DG171,回合状态!$A$7:$A$17,0)),0),CI170))</f>
        <v>0</v>
      </c>
      <c r="AF171" s="1">
        <f t="shared" si="189"/>
        <v>0.875</v>
      </c>
      <c r="AG171" s="1">
        <f t="shared" si="190"/>
        <v>9</v>
      </c>
      <c r="AH171" s="1">
        <f t="shared" si="191"/>
        <v>9</v>
      </c>
      <c r="AI171" s="1">
        <f t="shared" si="192"/>
        <v>8</v>
      </c>
      <c r="AJ171" s="1">
        <f t="shared" si="193"/>
        <v>9</v>
      </c>
      <c r="AK171" s="1">
        <f t="shared" si="194"/>
        <v>8</v>
      </c>
      <c r="AL171" s="1">
        <f t="shared" si="195"/>
        <v>3</v>
      </c>
      <c r="AM171" s="1">
        <f t="shared" si="196"/>
        <v>30</v>
      </c>
      <c r="AN171" s="1">
        <f t="shared" si="197"/>
        <v>9</v>
      </c>
      <c r="AO171" s="1">
        <f t="shared" si="198"/>
        <v>0</v>
      </c>
      <c r="AP171" s="1" t="e">
        <f t="shared" si="199"/>
        <v>#VALUE!</v>
      </c>
      <c r="AQ171" s="1" t="e">
        <f t="shared" si="200"/>
        <v>#VALUE!</v>
      </c>
      <c r="AR171" s="1">
        <f t="shared" si="201"/>
        <v>0.3</v>
      </c>
      <c r="AS171" s="1">
        <f t="shared" si="202"/>
        <v>9</v>
      </c>
      <c r="AT171" s="1">
        <f t="shared" si="203"/>
        <v>0.3</v>
      </c>
      <c r="AU171" s="1">
        <f t="shared" si="204"/>
        <v>9</v>
      </c>
      <c r="AV171" s="1">
        <f>MIN(5,SUMIFS($EL$3:EL171,$B$3:B171,"&gt;="&amp;MAX(1,B171-2),$B$3:B171,"&lt;="&amp;B171)+EC171)</f>
        <v>0</v>
      </c>
      <c r="AW171" s="1">
        <f>MIN(6,SUMIFS($EY$3:EY170,$EX$3:EX170,"&gt;="&amp;MAX(1,EX171-Boss参数!$B$87+1),$EX$3:EX170,"&lt;="&amp;EX171))</f>
        <v>0</v>
      </c>
      <c r="AX171" s="1">
        <f>MIN(4,COUNTIFS($B$3:$B$170,"&gt;="&amp;MAX(1,$B171-2),$B$3:$B$170,"&lt;="&amp;$B171,$L$3:$L$170,"37_FOLLOW"))</f>
        <v>0</v>
      </c>
      <c r="AY171" s="1" t="str">
        <f>IF($E171="","",IF($E171="系统",0,ROUNDDOWN(INDEX(角色面板!$C$4:$C$7,MATCH($E171,角色面板!$A$4:$A$7,0))*(1+INDEX(角色面板!$C$11:$C$14,MATCH($E171,角色面板!$A$11:$A$14,0))+IF($E171="小瑞安侬",MAX(IF($B171&lt;=$AQ171,$AP171,0),IF(AND($L171="RHI_ATTACK",$EE171&gt;0),0.11+0.01*$G171,0)),0)+IF($E171="J",$AD171*Boss参数!$B$18,0))+IF(FD171&lt;=$AN171,MIN(Boss参数!$B$21,ROUNDDOWN(角色面板!$C$19*Boss参数!$B$20,0)),0)+IF(AND($B171&lt;=$AK171,$E171&lt;&gt;"小瑞安侬"),$DY171,0),0)))</f>
        <v/>
      </c>
      <c r="AZ171" s="1" t="str">
        <f>IF($E171="","",MAX(0,MIN(1,IFERROR(INDEX(角色面板!$G$18:$G$21,MATCH($E171,角色面板!$A$18:$A$21,0)),0)-FC171*Boss参数!$B$89-Boss参数!$E$4)))</f>
        <v/>
      </c>
      <c r="BA171" s="1" t="str">
        <f>IF(E171="","",(IF($E171="","",IF($E171="红弩箭",Boss参数!$B$80,IF($E171="J",Boss参数!$B$81,IFERROR(INDEX(角色面板!$H$18:$H$21,MATCH($E171,角色面板!$A$18:$A$21,0)),0)))+IF($B171&lt;=$AI171,Boss参数!$B$13,0)+MIN(30,$AM171)*Boss参数!$B$17+IF(AND($L171="LILYA_ULT",$X171&gt;=6),1,0)+IF(AND($Y171=1,$L171="LILYA_INSIGHT"),IF(MOD($AA171+1,3)=0,Boss参数!$B$83,Boss参数!$B$82),IF(AND($Y171=1,$L171="LILYA_FINISH"),Boss参数!$B$84,0))))-FC171*Boss参数!$B$90)</f>
        <v/>
      </c>
      <c r="BB171" s="1" t="str">
        <f>IF($E171="","",IFERROR(INDEX(角色面板!$M$18:$M$21,MATCH($E171,角色面板!$A$18:$A$21,0)),0)+$AW171*Boss参数!$B$12+IF($B171&lt;=$AG171,$AF171,0)+$EI171+IF($L171="LILYA_DIVE",IF($U171=1,IF($G171=1,0.3,IF($G171=2,0.4,0.5)),IF($U171=2,IF($G171=1,0.6,IF($G171=2,0.8,1)),0)),0)+$R171+IF(AND($E171="J",OR($L171="J_COUNTER",$L171="J_HARD")),Boss参数!$B$79,0)+IF(AND(OR(L171="J_COUNTER",L171="J_HARD"),FA171&gt;=Boss参数!$B$59),FA171*Boss参数!$B$40,0))</f>
        <v/>
      </c>
      <c r="BC171" s="1" t="e">
        <f>IF($E171="","",IFERROR(INDEX(角色面板!$K$18:$K$21,MATCH($E171,角色面板!$A$18:$A$21,0)),0)+IF($B171&lt;=$AH171,Boss参数!$B$46,0)+IF($E171="红弩箭",IF($U171=1,0.6,IF($U171=2,1.2,0))+$W171*0.06,0))-DI171*Boss参数!$B$23</f>
        <v>#VALUE!</v>
      </c>
      <c r="BD171" s="1" t="e">
        <f>IF($E171="","",IFERROR(INDEX(角色面板!$L$18:$L$21,MATCH($E171,角色面板!$A$18:$A$21,0)),0)+IF($B171&lt;=$AH171,Boss参数!$B$46,0)+IF($E171="J",$AL171*Boss参数!$B$16,0)+IF($E171="红弩箭",$X171*0.025,0)+IF(AND($L171="LILYA_ULT",$X171&gt;=6),1,0))-DI171*Boss参数!$B$23</f>
        <v>#VALUE!</v>
      </c>
      <c r="BE171" s="1" t="str">
        <f>IF($E171="","",IF($H171="洞知",IF($E171="红弩箭",$AO171*Boss参数!$B$15,0)+$AX171*Boss参数!$B$14,0))</f>
        <v/>
      </c>
      <c r="BF171" s="1">
        <f t="shared" si="141"/>
        <v>0</v>
      </c>
      <c r="BG171" s="1">
        <f>IF($D171="",0,IF(AND($L171&lt;&gt;"LILYA_DIVE",$L171&lt;&gt;"LILYA_ULT",$L171&lt;&gt;"LILYA_INSIGHT",$L171&lt;&gt;"LILYA_FINISH",$L171&lt;&gt;"37_FOLLOW",$L171&lt;&gt;"RHI_ATTACK",$L171&lt;&gt;"RHI_BERRY",$L171&lt;&gt;"J_COUNTER",$L171&lt;&gt;"J_ULT"),$J171,0)+IF($L171="LILYA_DIVE",$J171+IF($U171=1,IF($G171=1,6,IF($G171=2,12,18)),IF($U171=2,IF($G171=1,12,IF($G171=2,24,36)),0)),0)+IF($L171="LILYA_ULT",$J171+IF($X171&gt;=6,18,0),0)+IF($L171="LILYA_INSIGHT",IF($Y171=1,IF(MOD($AA171+1,3)=0,32,15),0),0)+IF($L171="LILYA_FINISH",IF($Y171=1,50+2.5*$Z171,0),0)+IF($L171="37_FOLLOW",$J171,0)+IF($L171="RHI_ATTACK",$J171*IF($B171&lt;=$AJ171,2,1),0)+IF($L171="RHI_BERRY",15+1.5*$AV171,0)+IF($L171="J_COUNTER",$J171+$AD171*Boss参数!$B$39,0)+IF($L171="J_ULT",$J171+Boss参数!$B$45*MAX(0,$AE171+$AD171-Boss参数!$I$4),0)+$S171)</f>
        <v>0</v>
      </c>
      <c r="BH171" s="1">
        <f t="shared" si="142"/>
        <v>0</v>
      </c>
      <c r="BI171" s="1" t="str">
        <f>IF(E171="","",IF(DT171=1,1+Boss参数!$B$8+AV171*Boss参数!$B$19,1))</f>
        <v/>
      </c>
      <c r="BJ171" s="1">
        <f>IF($I171="现实",Boss参数!$C$4,IF($I171="精神",Boss参数!$D$4,0))</f>
        <v>0</v>
      </c>
      <c r="BK171" s="1" t="str">
        <f>IF($E171="","",MAX($AY171*Boss参数!$B$9,$AY171-$BJ171*(1-$BF171)))</f>
        <v/>
      </c>
      <c r="BL171" s="1">
        <f>MAX(0,Boss参数!$F$4+IF(DT171=0,Boss参数!$B$27,0)-EJ171)</f>
        <v>1.25</v>
      </c>
      <c r="BM171" s="1">
        <f>Boss参数!$G$4+DU171-IF(Y171=1,Boss参数!$B$11,0)</f>
        <v>0.4</v>
      </c>
      <c r="BN171" s="1" t="str">
        <f>IF($E171="","",MAX(Boss参数!$B$10,1+IFERROR(INDEX(角色面板!$I$18:$I$21,MATCH($E171,角色面板!$A$18:$A$21,0)),0)+$BB171+Boss参数!$H$4-$BM171))</f>
        <v/>
      </c>
      <c r="BO171" s="1" t="str">
        <f>IF(E171="","",IF(OR(L171="J_COUNTER",L171="J_HARD"),MAX(0,1+INDEX(角色面板!$K$18:$K$21,MATCH(E171,角色面板!$A$18:$A$21,0))-DI171*Boss参数!$B$23+IF(OR(Boss参数!$B$43=1,L171="J_HARD"),IF(B171&lt;=AH171,Boss参数!$B$46,0),0)),MAX(0,IF(OR(H171="术法",L171="RHI_BERRY",AND(L171="37_FOLLOW",Boss参数!$B$31=1)),1+BC171,IF(H171="仪式",1+BD171,IF(H171="洞知",EK171,1))))))</f>
        <v/>
      </c>
      <c r="BP171" s="1" t="str">
        <f t="shared" si="143"/>
        <v/>
      </c>
      <c r="BQ171" s="1">
        <f t="shared" si="144"/>
        <v>0</v>
      </c>
      <c r="BR171" s="1">
        <f t="shared" si="145"/>
        <v>0</v>
      </c>
      <c r="BS171" s="1">
        <f>IF(BH171=0,0,ROUNDDOWN(AY171*BH171,0)*DV171*IF(Boss参数!$B$29=1,BN171,1)*IF(Boss参数!$B$33=1,BO171,1)*IF(Boss参数!$B$76=1,1-ES171,1))</f>
        <v>0</v>
      </c>
      <c r="BT171" s="1">
        <f t="shared" si="146"/>
        <v>0</v>
      </c>
      <c r="BU171" s="1">
        <f>IF(D171="",0,MIN(IF(Boss参数!$B$77=1,Boss参数!$B$63*Boss参数!$B$62,Boss参数!$B$61*Boss参数!$B$62),DW171+ROUNDDOWN(BS171,0)+ROUNDDOWN(DW171*Q171,0)))</f>
        <v>0</v>
      </c>
      <c r="BV171" s="1">
        <f>IF(D171="",0,MIN(IF(Boss参数!$B$77=1,Boss参数!$B$63*Boss参数!$B$62,Boss参数!$B$61*Boss参数!$B$62),DX171+ROUNDDOWN(BT171,0)+ROUNDDOWN(DX171*Q171,0)))</f>
        <v>0</v>
      </c>
      <c r="BW171" s="1">
        <f t="shared" si="147"/>
        <v>0</v>
      </c>
      <c r="BX171" s="1" t="str">
        <f t="shared" si="148"/>
        <v/>
      </c>
      <c r="BY171" s="1">
        <f t="shared" si="149"/>
        <v>2</v>
      </c>
      <c r="BZ171" s="1">
        <f t="shared" si="150"/>
        <v>1</v>
      </c>
      <c r="CA171" s="1">
        <f>MIN(10,W171+IF(AND(L171="LILYA_COBRA",COUNTIF($L$3:L171,"LILYA_COBRA")=1),5,0)+IF(AND(L171="LILYA_DIVE",U171=1,COUNTIFS($DG$3:DG171,DG171,$L$3:L171,"LILYA_DIVE")=1),2,0)+IF(AND(FE171=1,U171=1),3,0))</f>
        <v>10</v>
      </c>
      <c r="CB171" s="1">
        <f>MIN(20,MAX(0,X171+IF(L171="LILYA_COBRA",IF(COUNTIF($L$3:L171,"LILYA_COBRA")=1,6,IF(U171=1,MAX(1,G171),IF(U171=2,2*MAX(1,G171),0))),0)+IF(AND(Y171=1,E171="红弩箭",L171&lt;&gt;"ENTER_INSIGHT"),1,0)-IF(AND(L171="LILYA_ULT",X171&gt;=6),6,0)))</f>
        <v>13</v>
      </c>
      <c r="CC171" s="1">
        <f t="shared" si="151"/>
        <v>0</v>
      </c>
      <c r="CD171" s="1">
        <f t="shared" si="152"/>
        <v>0</v>
      </c>
      <c r="CE171" s="1">
        <f t="shared" si="153"/>
        <v>0</v>
      </c>
      <c r="CF171" s="1">
        <f t="shared" si="154"/>
        <v>10</v>
      </c>
      <c r="CG171" s="1">
        <f t="shared" si="155"/>
        <v>1</v>
      </c>
      <c r="CH171" s="1">
        <f>MIN(35,AD171+IF(L171="J_HARD",6,0)+IF(L171="J_COUNTER",Boss参数!$B$30,0))</f>
        <v>35</v>
      </c>
      <c r="CI171" s="1">
        <f>MIN(Boss参数!$I$4,AE171+IF(L171="J_HARD",6,0)+IF(L171="J_ULT",AD171,0)+IF(L171="J_COUNTER",Boss参数!$B$30,0))</f>
        <v>0</v>
      </c>
      <c r="CJ171" s="1">
        <f>IF(L171="J_ULT",AD171*Boss参数!$B$41,IF(B171&lt;=AG171,AF171,0))</f>
        <v>0.875</v>
      </c>
      <c r="CK171" s="1">
        <f t="shared" si="156"/>
        <v>9</v>
      </c>
      <c r="CL171" s="1">
        <f t="shared" si="157"/>
        <v>9</v>
      </c>
      <c r="CM171" s="1">
        <f t="shared" si="158"/>
        <v>8</v>
      </c>
      <c r="CN171" s="1">
        <f t="shared" si="159"/>
        <v>9</v>
      </c>
      <c r="CO171" s="1">
        <f t="shared" si="160"/>
        <v>8</v>
      </c>
      <c r="CP171" s="1">
        <f t="shared" si="161"/>
        <v>3</v>
      </c>
      <c r="CQ171" s="1">
        <f t="shared" si="162"/>
        <v>30</v>
      </c>
      <c r="CR171" s="1">
        <f t="shared" si="163"/>
        <v>9</v>
      </c>
      <c r="CS171" s="1">
        <f t="shared" si="164"/>
        <v>0</v>
      </c>
      <c r="CT171" s="1" t="e">
        <f t="shared" si="165"/>
        <v>#VALUE!</v>
      </c>
      <c r="CU171" s="1" t="e">
        <f t="shared" si="166"/>
        <v>#VALUE!</v>
      </c>
      <c r="CV171" s="1">
        <f t="shared" si="167"/>
        <v>0.3</v>
      </c>
      <c r="CW171" s="1">
        <f t="shared" si="168"/>
        <v>9</v>
      </c>
      <c r="CX171" s="1">
        <f t="shared" si="169"/>
        <v>0.3</v>
      </c>
      <c r="CY171" s="1">
        <f t="shared" si="170"/>
        <v>9</v>
      </c>
      <c r="CZ171" s="1"/>
      <c r="DA171" s="1"/>
      <c r="DB171" s="1"/>
      <c r="DC171" s="1"/>
      <c r="DD171" s="1"/>
      <c r="DE171" s="1"/>
      <c r="DF171" s="1"/>
      <c r="DG171" s="1" t="str">
        <f>IF(D171="","",行动模拟!B177)</f>
        <v/>
      </c>
      <c r="DH171" s="1" t="str">
        <f>IF(L171="END_TURN","回合结束",IF(D171="","",IF(INDEX(回合状态!$C$7:$C$17,MATCH(DG171,回合状态!$A$7:$A$17,0))="洞穿","洞穿",IF(OR(L171="J_COUNTER",L171="BOSS_ACTION",L171="BOSS_CONSERVATIVE"),"敌方",IF(AND(L171="37_FOLLOW",DG171=DG170,DH170="敌方"),"敌方",IF(INDEX(回合状态!$C$7:$C$17,MATCH(DG171,回合状态!$A$7:$A$17,0))="普通","出牌",INDEX(回合状态!$C$7:$C$17,MATCH(DG171,回合状态!$A$7:$A$17,0))))))))</f>
        <v/>
      </c>
      <c r="DI171" s="1">
        <f t="shared" si="171"/>
        <v>0</v>
      </c>
      <c r="DJ171" s="1">
        <f>IF(D171="",0,MIN(Boss参数!$B$25,IF(OR(AND(DH171="敌方",OR(DH170&lt;&gt;"敌方",DG171&lt;&gt;DG170)),AND(L171="END_TURN",DH171&lt;&gt;"洞穿"),AND(DG171&lt;&gt;DG170,DH170&lt;&gt;"洞穿",L170&lt;&gt;"END_TURN",COUNTIFS($DG$3:DG170,DG170,$DH$3:DH170,"敌方")=0)),EW171,DN170)))</f>
        <v>0</v>
      </c>
      <c r="DK171" s="1">
        <f>IF(D171="",0,MIN(Boss参数!$B$25,IF(OR(AND(DH171="敌方",OR(DH170&lt;&gt;"敌方",DG171&lt;&gt;DG170)),AND(L171="END_TURN",DH171&lt;&gt;"洞穿"),AND(DG171&lt;&gt;DG170,DH170&lt;&gt;"洞穿",L170&lt;&gt;"END_TURN",COUNTIFS($DG$3:DG170,DG170,$DH$3:DH170,"敌方")=0)),EW171,DO170)))</f>
        <v>0</v>
      </c>
      <c r="DL171" s="1">
        <f>IF(D171="",0,MIN(Boss参数!$B$25,IF(OR(AND(DH171="敌方",OR(DH170&lt;&gt;"敌方",DG171&lt;&gt;DG170)),AND(L171="END_TURN",DH171&lt;&gt;"洞穿"),AND(DG171&lt;&gt;DG170,DH170&lt;&gt;"洞穿",L170&lt;&gt;"END_TURN",COUNTIFS($DG$3:DG170,DG170,$DH$3:DH170,"敌方")=0)),EW171,DP170)))</f>
        <v>0</v>
      </c>
      <c r="DM171" s="1">
        <f>IF(D171="",0,MIN(Boss参数!$B$25,IF(OR(AND(DH171="敌方",OR(DH170&lt;&gt;"敌方",DG171&lt;&gt;DG170)),AND(L171="END_TURN",DH171&lt;&gt;"洞穿"),AND(DG171&lt;&gt;DG170,DH170&lt;&gt;"洞穿",L170&lt;&gt;"END_TURN",COUNTIFS($DG$3:DG170,DG170,$DH$3:DH170,"敌方")=0)),EW171,DQ170)))</f>
        <v>0</v>
      </c>
      <c r="DN171" s="1">
        <f>MAX(0,MIN(Boss参数!$B$25,DJ171+DR171)-IF(E171="红弩箭",2*DR171,0))</f>
        <v>0</v>
      </c>
      <c r="DO171" s="1">
        <f>MAX(0,MIN(Boss参数!$B$25,DK171+DR171)-IF(E171="37",2*DR171,0))</f>
        <v>0</v>
      </c>
      <c r="DP171" s="1">
        <f>MAX(0,MIN(Boss参数!$B$25,DL171+DR171)-IF(E171="小瑞安侬",2*DR171,0))</f>
        <v>0</v>
      </c>
      <c r="DQ171" s="1">
        <f>MAX(0,MIN(Boss参数!$B$25,DM171+DR171)-IF(E171="J",2*DR171,0))</f>
        <v>0</v>
      </c>
      <c r="DR171" s="1">
        <f t="shared" si="172"/>
        <v>0</v>
      </c>
      <c r="DS171" s="1">
        <f t="shared" si="173"/>
        <v>0</v>
      </c>
      <c r="DT171" s="1">
        <f>IF(OR(E171="",E171="系统"),0,IF(OR(AND(DS171=1,Boss参数!$B$32=1),L171="RHI_BERRY",OR(AND(INDEX(角色面板!$B$18:$B$21,MATCH(E171,角色面板!$A$18:$A$21,0))="星",Boss参数!$B$4="岩"),AND(INDEX(角色面板!$B$18:$B$21,MATCH(E171,角色面板!$A$18:$A$21,0))="岩",Boss参数!$B$4="兽"),AND(INDEX(角色面板!$B$18:$B$21,MATCH(E171,角色面板!$A$18:$A$21,0))="兽",Boss参数!$B$4="木"),AND(INDEX(角色面板!$B$18:$B$21,MATCH(E171,角色面板!$A$18:$A$21,0))="木",Boss参数!$B$4="星"),AND(INDEX(角色面板!$B$18:$B$21,MATCH(E171,角色面板!$A$18:$A$21,0))="智",Boss参数!$B$4="灵"),AND(INDEX(角色面板!$B$18:$B$21,MATCH(E171,角色面板!$A$18:$A$21,0))="灵",Boss参数!$B$4="智"))),1,0))</f>
        <v>0</v>
      </c>
      <c r="DU171" s="1">
        <f>IF(D171="",0,INDEX(回合状态!$E$7:$E$17,MATCH(DG171,回合状态!$A$7:$A$17,0))+IF(AND(DH171="敌方",OR(INDEX(回合状态!$C$7:$C$17,MATCH(DG171,回合状态!$A$7:$A$17,0))="普通",INDEX(回合状态!$C$7:$C$17,MATCH(DG171,回合状态!$A$7:$A$17,0))="额外")),0.05,0))</f>
        <v>0</v>
      </c>
      <c r="DV171" s="1">
        <f>MAX(Boss参数!$B$28,1+IF(AND(E171="37",AC171&gt;0,BH171&gt;0),Boss参数!$B$42,0)-DI171*Boss参数!$B$24+EA171-ER171)</f>
        <v>9.9999999999999978E-2</v>
      </c>
      <c r="DW171" s="1">
        <f>MIN(IF(Boss参数!$B$77=1,Boss参数!$B$63*Boss参数!$B$62,Boss参数!$B$61*Boss参数!$B$62),ROUNDDOWN(BQ171*(1-ES171),0))</f>
        <v>0</v>
      </c>
      <c r="DX171" s="1">
        <f>MIN(IF(Boss参数!$B$77=1,Boss参数!$B$63*Boss参数!$B$62,Boss参数!$B$61*Boss参数!$B$62),ROUNDDOWN(BR171*(1-ES171),0))</f>
        <v>0</v>
      </c>
      <c r="DY171" s="1">
        <f t="shared" si="205"/>
        <v>250</v>
      </c>
      <c r="DZ171" s="1">
        <f>IF(L171="RHI_ULT",MIN(Boss参数!$B$48,ROUNDDOWN(AY171*Boss参数!$B$47,0)),DY171)</f>
        <v>250</v>
      </c>
      <c r="EA171" s="1">
        <v>0</v>
      </c>
      <c r="EB171" s="1">
        <f t="shared" si="174"/>
        <v>0</v>
      </c>
      <c r="EC171" s="1">
        <f>SUMIFS($EB$3:EB171,$B$3:B171,"&gt;="&amp;MAX(1,B171-2),$B$3:B171,"&lt;="&amp;B171)*Boss参数!$B$51</f>
        <v>0</v>
      </c>
      <c r="ED171" s="1">
        <f>IF(D171="",EG170,IF(AND(DG171&lt;&gt;DG170,DH171&lt;&gt;"洞穿"),MIN(Boss参数!$B$55,EG170+2),EG170))</f>
        <v>0</v>
      </c>
      <c r="EE171" s="1">
        <f t="shared" si="175"/>
        <v>0</v>
      </c>
      <c r="EF171" s="1">
        <f>IF(AND(OR(L171="END_TURN",AND(DH171="敌方",OR(DH170&lt;&gt;"敌方",DG171&lt;&gt;DG170))),SUMIFS($EF$3:EF170,$DG$3:DG170,DG171)=0),MIN(1,MAX(0,ED171-EE171)),0)</f>
        <v>0</v>
      </c>
      <c r="EG171" s="1">
        <f t="shared" si="176"/>
        <v>0</v>
      </c>
      <c r="EH171" s="1">
        <f>Boss参数!$B$53-IF(Y171=1,Boss参数!$B$54,0)</f>
        <v>0</v>
      </c>
      <c r="EI171" s="1">
        <f t="shared" si="177"/>
        <v>0.15</v>
      </c>
      <c r="EJ171" s="1">
        <f t="shared" si="178"/>
        <v>0.15</v>
      </c>
      <c r="EK171" s="1" t="e">
        <f t="shared" si="179"/>
        <v>#VALUE!</v>
      </c>
      <c r="EL171" s="1">
        <f t="shared" si="206"/>
        <v>0</v>
      </c>
      <c r="EM171" s="1">
        <f>IF(AND(DG171&lt;&gt;DG170,DH171="洞穿"),0,IF(L171="ENTER_INSIGHT",Boss参数!$B$57,EO170))</f>
        <v>0</v>
      </c>
      <c r="EN171" s="1">
        <f>IF(AND(Y171=1,H171="洞知",EM171&gt;0),Boss参数!$B$56,0)</f>
        <v>0</v>
      </c>
      <c r="EO171" s="1">
        <f t="shared" si="180"/>
        <v>0</v>
      </c>
      <c r="EP171" s="1">
        <f t="shared" si="207"/>
        <v>23210479</v>
      </c>
      <c r="EQ171" s="1">
        <f>ROUNDDOWN(EP171/Boss参数!$B$62,0)</f>
        <v>232</v>
      </c>
      <c r="ER171" s="1">
        <f>IF(EQ171&gt;=Boss参数!$B$66,Boss参数!$B$69,IF(EQ171&gt;=Boss参数!$B$65,Boss参数!$B$68,IF(EQ171&gt;=Boss参数!$B$64,Boss参数!$B$67,0)))</f>
        <v>0.9</v>
      </c>
      <c r="ES171" s="1">
        <f>MIN(1,IF(EQ171&gt;=Boss参数!$B$66,Boss参数!$B$72+ROUNDDOWN((EQ171-Boss参数!$B$66)/Boss参数!$B$73,0)*Boss参数!$B$74,IF(EQ171&gt;=Boss参数!$B$65,Boss参数!$B$71,IF(EQ171&gt;=Boss参数!$B$64,Boss参数!$B$70,0))))</f>
        <v>0.65</v>
      </c>
      <c r="ET171" s="1">
        <f>MIN(Boss参数!$B$61*Boss参数!$B$62,EP171+IF(AND(Boss参数!$B$60=1,ISNUMBER(验证表!H177)),验证表!H177,EU171))</f>
        <v>23210479</v>
      </c>
      <c r="EU171" s="1">
        <f>IF(D171="",0,IF(验证表!G177="是",BV171,IF(验证表!G177="否",BU171,BW171)))</f>
        <v>0</v>
      </c>
      <c r="EV171" s="1">
        <f>IF(EQ171&gt;=Boss参数!$B$66,2,IF(EQ171&gt;=Boss参数!$B$65,1,0))</f>
        <v>2</v>
      </c>
      <c r="EW171" s="1">
        <f t="shared" si="181"/>
        <v>3</v>
      </c>
      <c r="EX171" s="1">
        <f>IF(D171="",0,INDEX(回合状态!$D$7:$D$17,MATCH(DG171,回合状态!$A$7:$A$17,0)))</f>
        <v>0</v>
      </c>
      <c r="EY171" s="1">
        <f>IF(OR(L171="RHI_ATTACK",L171="RHI_BUFF"),1,IF(L171="RHI_ULT",Boss参数!$B$52,0))</f>
        <v>0</v>
      </c>
      <c r="EZ171" s="1">
        <f>MIN(6,SUMIFS($EY$3:EY171,$EX$3:EX171,"&gt;="&amp;MAX(1,EX171-Boss参数!$B$87+1),$EX$3:EX171,"&lt;="&amp;EX171))</f>
        <v>0</v>
      </c>
      <c r="FA171" s="1">
        <f t="shared" si="208"/>
        <v>0</v>
      </c>
      <c r="FB171" s="17">
        <f>IF(L171="BOSS_CONSERVATIVE",B171+Boss参数!$B$91,FB170)</f>
        <v>7</v>
      </c>
      <c r="FC171" s="17">
        <f t="shared" si="209"/>
        <v>0</v>
      </c>
      <c r="FD171" s="17">
        <f>IF(D171="",FD170,FD170+IF(AND(DG171&lt;&gt;DG170,INDEX(回合状态!$C$7:$C$17,MATCH(DG171,回合状态!$A$7:$A$17,0))&lt;&gt;"洞穿"),1,0))</f>
        <v>8</v>
      </c>
      <c r="FE171" s="17">
        <f>IF(D171="",0,IF(AND(OR(L171="END_TURN",DH171="敌方"),INDEX(回合状态!$C$7:$C$17,MATCH(DG171,回合状态!$A$7:$A$17,0))&lt;&gt;"洞穿",SUMIFS($FE$3:FE170,$DG$3:DG170,DG171)=0),1,0))</f>
        <v>0</v>
      </c>
    </row>
    <row r="172" spans="1:161" ht="84.95" customHeight="1">
      <c r="A172" s="1" t="str">
        <f>行动模拟!A178</f>
        <v/>
      </c>
      <c r="B172" s="1">
        <f>IF(D172="",0,INDEX(回合状态!$B$7:$B$17,MATCH(DG172,回合状态!$A$7:$A$17,0)))</f>
        <v>0</v>
      </c>
      <c r="C172" s="1">
        <f>行动模拟!C178</f>
        <v>0</v>
      </c>
      <c r="D172" s="1" t="str">
        <f>IF(行动模拟!D178="","",行动模拟!D178)</f>
        <v/>
      </c>
      <c r="E172" s="1" t="str">
        <f>IF($D172="","",IFERROR(INDEX(技能数据库!$B$4:$B$38,MATCH($D172,技能数据库!$A$4:$A$38,0)),""))</f>
        <v/>
      </c>
      <c r="F172" s="1" t="str">
        <f>IF($D172="","",IFERROR(INDEX(技能数据库!$C$4:$C$38,MATCH($D172,技能数据库!$A$4:$A$38,0)),""))</f>
        <v/>
      </c>
      <c r="G172" s="1" t="str">
        <f>IF($D172="","",IFERROR(INDEX(技能数据库!$D$4:$D$38,MATCH($D172,技能数据库!$A$4:$A$38,0)),""))</f>
        <v/>
      </c>
      <c r="H172" s="1" t="str">
        <f>IF($D172="","",IFERROR(INDEX(技能数据库!$E$4:$E$38,MATCH($D172,技能数据库!$A$4:$A$38,0)),""))</f>
        <v/>
      </c>
      <c r="I172" s="1" t="str">
        <f>IF($D172="","",IFERROR(INDEX(技能数据库!$F$4:$F$38,MATCH($D172,技能数据库!$A$4:$A$38,0)),""))</f>
        <v/>
      </c>
      <c r="J172" s="1" t="str">
        <f>IF($D172="","",IFERROR(INDEX(技能数据库!$G$4:$G$38,MATCH($D172,技能数据库!$A$4:$A$38,0)),""))</f>
        <v/>
      </c>
      <c r="K172" s="1" t="str">
        <f>IF($D172="","",IFERROR(INDEX(技能数据库!$H$4:$H$38,MATCH($D172,技能数据库!$A$4:$A$38,0)),""))</f>
        <v/>
      </c>
      <c r="L172" s="1" t="str">
        <f>IF($D172="","",IFERROR(INDEX(技能数据库!$I$4:$I$38,MATCH($D172,技能数据库!$A$4:$A$38,0)),""))</f>
        <v/>
      </c>
      <c r="M172" s="1">
        <v>1</v>
      </c>
      <c r="N172" s="1"/>
      <c r="O172" s="1"/>
      <c r="P172" s="1"/>
      <c r="Q172" s="1">
        <f t="shared" si="140"/>
        <v>0</v>
      </c>
      <c r="R172" s="1">
        <v>0</v>
      </c>
      <c r="S172" s="1">
        <v>0</v>
      </c>
      <c r="T172" s="1">
        <f>行动模拟!I178</f>
        <v>0</v>
      </c>
      <c r="U172" s="1">
        <f>IF(FD172&lt;&gt;FD171,IF(BY171=1,IF(MIN(10,CA171+IF(AND(DG172&lt;&gt;DG171,DH171&lt;&gt;"洞穿",SUMIFS($FE$3:FE171,$DG$3:DG171,DG171)=0,BY171=1),3,0))&gt;=10,2,1),IF(BY171=2,IF(BZ171&lt;=1,0,2),0)),BY171)</f>
        <v>2</v>
      </c>
      <c r="V172" s="1">
        <f>IF(FD172&lt;&gt;FD171,IF(BY171=1,IF(MIN(10,CA171+IF(AND(DG172&lt;&gt;DG171,DH171&lt;&gt;"洞穿",SUMIFS($FE$3:FE171,$DG$3:DG171,DG171)=0,BY171=1),3,0))&gt;=10,2,0),IF(BY171=2,MAX(0,BZ171-1),0)),BZ171)</f>
        <v>1</v>
      </c>
      <c r="W172" s="1">
        <f>IF(AND(FD172&lt;&gt;FD171,BY171=2,BZ171&lt;=1),0,MIN(10,CA171+IF(AND(DG172&lt;&gt;DG171,DH171&lt;&gt;"洞穿",SUMIFS($FE$3:FE171,$DG$3:DG171,DG171)=0,BY171=1),3,0)))</f>
        <v>10</v>
      </c>
      <c r="X172" s="1">
        <f t="shared" si="182"/>
        <v>13</v>
      </c>
      <c r="Y172" s="1">
        <f t="shared" si="183"/>
        <v>0</v>
      </c>
      <c r="Z172" s="1">
        <f t="shared" si="184"/>
        <v>0</v>
      </c>
      <c r="AA172" s="1">
        <f t="shared" si="185"/>
        <v>0</v>
      </c>
      <c r="AB172" s="1">
        <f t="shared" si="186"/>
        <v>10</v>
      </c>
      <c r="AC172" s="1">
        <f t="shared" si="187"/>
        <v>1</v>
      </c>
      <c r="AD172" s="1">
        <f t="shared" si="188"/>
        <v>35</v>
      </c>
      <c r="AE172" s="1">
        <f>IF(D172="",0,IF(DG172&lt;&gt;DG171,IFERROR(INDEX(回合状态!$F$7:$F$17,MATCH(DG172,回合状态!$A$7:$A$17,0)),0),CI171))</f>
        <v>0</v>
      </c>
      <c r="AF172" s="1">
        <f t="shared" si="189"/>
        <v>0.875</v>
      </c>
      <c r="AG172" s="1">
        <f t="shared" si="190"/>
        <v>9</v>
      </c>
      <c r="AH172" s="1">
        <f t="shared" si="191"/>
        <v>9</v>
      </c>
      <c r="AI172" s="1">
        <f t="shared" si="192"/>
        <v>8</v>
      </c>
      <c r="AJ172" s="1">
        <f t="shared" si="193"/>
        <v>9</v>
      </c>
      <c r="AK172" s="1">
        <f t="shared" si="194"/>
        <v>8</v>
      </c>
      <c r="AL172" s="1">
        <f t="shared" si="195"/>
        <v>3</v>
      </c>
      <c r="AM172" s="1">
        <f t="shared" si="196"/>
        <v>30</v>
      </c>
      <c r="AN172" s="1">
        <f t="shared" si="197"/>
        <v>9</v>
      </c>
      <c r="AO172" s="1">
        <f t="shared" si="198"/>
        <v>0</v>
      </c>
      <c r="AP172" s="1" t="e">
        <f t="shared" si="199"/>
        <v>#VALUE!</v>
      </c>
      <c r="AQ172" s="1" t="e">
        <f t="shared" si="200"/>
        <v>#VALUE!</v>
      </c>
      <c r="AR172" s="1">
        <f t="shared" si="201"/>
        <v>0.3</v>
      </c>
      <c r="AS172" s="1">
        <f t="shared" si="202"/>
        <v>9</v>
      </c>
      <c r="AT172" s="1">
        <f t="shared" si="203"/>
        <v>0.3</v>
      </c>
      <c r="AU172" s="1">
        <f t="shared" si="204"/>
        <v>9</v>
      </c>
      <c r="AV172" s="1">
        <f>MIN(5,SUMIFS($EL$3:EL172,$B$3:B172,"&gt;="&amp;MAX(1,B172-2),$B$3:B172,"&lt;="&amp;B172)+EC172)</f>
        <v>0</v>
      </c>
      <c r="AW172" s="1">
        <f>MIN(6,SUMIFS($EY$3:EY171,$EX$3:EX171,"&gt;="&amp;MAX(1,EX172-Boss参数!$B$87+1),$EX$3:EX171,"&lt;="&amp;EX172))</f>
        <v>0</v>
      </c>
      <c r="AX172" s="1">
        <f>MIN(4,COUNTIFS($B$3:$B$171,"&gt;="&amp;MAX(1,$B172-2),$B$3:$B$171,"&lt;="&amp;$B172,$L$3:$L$171,"37_FOLLOW"))</f>
        <v>0</v>
      </c>
      <c r="AY172" s="1" t="str">
        <f>IF($E172="","",IF($E172="系统",0,ROUNDDOWN(INDEX(角色面板!$C$4:$C$7,MATCH($E172,角色面板!$A$4:$A$7,0))*(1+INDEX(角色面板!$C$11:$C$14,MATCH($E172,角色面板!$A$11:$A$14,0))+IF($E172="小瑞安侬",MAX(IF($B172&lt;=$AQ172,$AP172,0),IF(AND($L172="RHI_ATTACK",$EE172&gt;0),0.11+0.01*$G172,0)),0)+IF($E172="J",$AD172*Boss参数!$B$18,0))+IF(FD172&lt;=$AN172,MIN(Boss参数!$B$21,ROUNDDOWN(角色面板!$C$19*Boss参数!$B$20,0)),0)+IF(AND($B172&lt;=$AK172,$E172&lt;&gt;"小瑞安侬"),$DY172,0),0)))</f>
        <v/>
      </c>
      <c r="AZ172" s="1" t="str">
        <f>IF($E172="","",MAX(0,MIN(1,IFERROR(INDEX(角色面板!$G$18:$G$21,MATCH($E172,角色面板!$A$18:$A$21,0)),0)-FC172*Boss参数!$B$89-Boss参数!$E$4)))</f>
        <v/>
      </c>
      <c r="BA172" s="1" t="str">
        <f>IF(E172="","",(IF($E172="","",IF($E172="红弩箭",Boss参数!$B$80,IF($E172="J",Boss参数!$B$81,IFERROR(INDEX(角色面板!$H$18:$H$21,MATCH($E172,角色面板!$A$18:$A$21,0)),0)))+IF($B172&lt;=$AI172,Boss参数!$B$13,0)+MIN(30,$AM172)*Boss参数!$B$17+IF(AND($L172="LILYA_ULT",$X172&gt;=6),1,0)+IF(AND($Y172=1,$L172="LILYA_INSIGHT"),IF(MOD($AA172+1,3)=0,Boss参数!$B$83,Boss参数!$B$82),IF(AND($Y172=1,$L172="LILYA_FINISH"),Boss参数!$B$84,0))))-FC172*Boss参数!$B$90)</f>
        <v/>
      </c>
      <c r="BB172" s="1" t="str">
        <f>IF($E172="","",IFERROR(INDEX(角色面板!$M$18:$M$21,MATCH($E172,角色面板!$A$18:$A$21,0)),0)+$AW172*Boss参数!$B$12+IF($B172&lt;=$AG172,$AF172,0)+$EI172+IF($L172="LILYA_DIVE",IF($U172=1,IF($G172=1,0.3,IF($G172=2,0.4,0.5)),IF($U172=2,IF($G172=1,0.6,IF($G172=2,0.8,1)),0)),0)+$R172+IF(AND($E172="J",OR($L172="J_COUNTER",$L172="J_HARD")),Boss参数!$B$79,0)+IF(AND(OR(L172="J_COUNTER",L172="J_HARD"),FA172&gt;=Boss参数!$B$59),FA172*Boss参数!$B$40,0))</f>
        <v/>
      </c>
      <c r="BC172" s="1" t="e">
        <f>IF($E172="","",IFERROR(INDEX(角色面板!$K$18:$K$21,MATCH($E172,角色面板!$A$18:$A$21,0)),0)+IF($B172&lt;=$AH172,Boss参数!$B$46,0)+IF($E172="红弩箭",IF($U172=1,0.6,IF($U172=2,1.2,0))+$W172*0.06,0))-DI172*Boss参数!$B$23</f>
        <v>#VALUE!</v>
      </c>
      <c r="BD172" s="1" t="e">
        <f>IF($E172="","",IFERROR(INDEX(角色面板!$L$18:$L$21,MATCH($E172,角色面板!$A$18:$A$21,0)),0)+IF($B172&lt;=$AH172,Boss参数!$B$46,0)+IF($E172="J",$AL172*Boss参数!$B$16,0)+IF($E172="红弩箭",$X172*0.025,0)+IF(AND($L172="LILYA_ULT",$X172&gt;=6),1,0))-DI172*Boss参数!$B$23</f>
        <v>#VALUE!</v>
      </c>
      <c r="BE172" s="1" t="str">
        <f>IF($E172="","",IF($H172="洞知",IF($E172="红弩箭",$AO172*Boss参数!$B$15,0)+$AX172*Boss参数!$B$14,0))</f>
        <v/>
      </c>
      <c r="BF172" s="1">
        <f t="shared" si="141"/>
        <v>0</v>
      </c>
      <c r="BG172" s="1">
        <f>IF($D172="",0,IF(AND($L172&lt;&gt;"LILYA_DIVE",$L172&lt;&gt;"LILYA_ULT",$L172&lt;&gt;"LILYA_INSIGHT",$L172&lt;&gt;"LILYA_FINISH",$L172&lt;&gt;"37_FOLLOW",$L172&lt;&gt;"RHI_ATTACK",$L172&lt;&gt;"RHI_BERRY",$L172&lt;&gt;"J_COUNTER",$L172&lt;&gt;"J_ULT"),$J172,0)+IF($L172="LILYA_DIVE",$J172+IF($U172=1,IF($G172=1,6,IF($G172=2,12,18)),IF($U172=2,IF($G172=1,12,IF($G172=2,24,36)),0)),0)+IF($L172="LILYA_ULT",$J172+IF($X172&gt;=6,18,0),0)+IF($L172="LILYA_INSIGHT",IF($Y172=1,IF(MOD($AA172+1,3)=0,32,15),0),0)+IF($L172="LILYA_FINISH",IF($Y172=1,50+2.5*$Z172,0),0)+IF($L172="37_FOLLOW",$J172,0)+IF($L172="RHI_ATTACK",$J172*IF($B172&lt;=$AJ172,2,1),0)+IF($L172="RHI_BERRY",15+1.5*$AV172,0)+IF($L172="J_COUNTER",$J172+$AD172*Boss参数!$B$39,0)+IF($L172="J_ULT",$J172+Boss参数!$B$45*MAX(0,$AE172+$AD172-Boss参数!$I$4),0)+$S172)</f>
        <v>0</v>
      </c>
      <c r="BH172" s="1">
        <f t="shared" si="142"/>
        <v>0</v>
      </c>
      <c r="BI172" s="1" t="str">
        <f>IF(E172="","",IF(DT172=1,1+Boss参数!$B$8+AV172*Boss参数!$B$19,1))</f>
        <v/>
      </c>
      <c r="BJ172" s="1">
        <f>IF($I172="现实",Boss参数!$C$4,IF($I172="精神",Boss参数!$D$4,0))</f>
        <v>0</v>
      </c>
      <c r="BK172" s="1" t="str">
        <f>IF($E172="","",MAX($AY172*Boss参数!$B$9,$AY172-$BJ172*(1-$BF172)))</f>
        <v/>
      </c>
      <c r="BL172" s="1">
        <f>MAX(0,Boss参数!$F$4+IF(DT172=0,Boss参数!$B$27,0)-EJ172)</f>
        <v>1.25</v>
      </c>
      <c r="BM172" s="1">
        <f>Boss参数!$G$4+DU172-IF(Y172=1,Boss参数!$B$11,0)</f>
        <v>0.4</v>
      </c>
      <c r="BN172" s="1" t="str">
        <f>IF($E172="","",MAX(Boss参数!$B$10,1+IFERROR(INDEX(角色面板!$I$18:$I$21,MATCH($E172,角色面板!$A$18:$A$21,0)),0)+$BB172+Boss参数!$H$4-$BM172))</f>
        <v/>
      </c>
      <c r="BO172" s="1" t="str">
        <f>IF(E172="","",IF(OR(L172="J_COUNTER",L172="J_HARD"),MAX(0,1+INDEX(角色面板!$K$18:$K$21,MATCH(E172,角色面板!$A$18:$A$21,0))-DI172*Boss参数!$B$23+IF(OR(Boss参数!$B$43=1,L172="J_HARD"),IF(B172&lt;=AH172,Boss参数!$B$46,0),0)),MAX(0,IF(OR(H172="术法",L172="RHI_BERRY",AND(L172="37_FOLLOW",Boss参数!$B$31=1)),1+BC172,IF(H172="仪式",1+BD172,IF(H172="洞知",EK172,1))))))</f>
        <v/>
      </c>
      <c r="BP172" s="1" t="str">
        <f t="shared" si="143"/>
        <v/>
      </c>
      <c r="BQ172" s="1">
        <f t="shared" si="144"/>
        <v>0</v>
      </c>
      <c r="BR172" s="1">
        <f t="shared" si="145"/>
        <v>0</v>
      </c>
      <c r="BS172" s="1">
        <f>IF(BH172=0,0,ROUNDDOWN(AY172*BH172,0)*DV172*IF(Boss参数!$B$29=1,BN172,1)*IF(Boss参数!$B$33=1,BO172,1)*IF(Boss参数!$B$76=1,1-ES172,1))</f>
        <v>0</v>
      </c>
      <c r="BT172" s="1">
        <f t="shared" si="146"/>
        <v>0</v>
      </c>
      <c r="BU172" s="1">
        <f>IF(D172="",0,MIN(IF(Boss参数!$B$77=1,Boss参数!$B$63*Boss参数!$B$62,Boss参数!$B$61*Boss参数!$B$62),DW172+ROUNDDOWN(BS172,0)+ROUNDDOWN(DW172*Q172,0)))</f>
        <v>0</v>
      </c>
      <c r="BV172" s="1">
        <f>IF(D172="",0,MIN(IF(Boss参数!$B$77=1,Boss参数!$B$63*Boss参数!$B$62,Boss参数!$B$61*Boss参数!$B$62),DX172+ROUNDDOWN(BT172,0)+ROUNDDOWN(DX172*Q172,0)))</f>
        <v>0</v>
      </c>
      <c r="BW172" s="1">
        <f t="shared" si="147"/>
        <v>0</v>
      </c>
      <c r="BX172" s="1" t="str">
        <f t="shared" si="148"/>
        <v/>
      </c>
      <c r="BY172" s="1">
        <f t="shared" si="149"/>
        <v>2</v>
      </c>
      <c r="BZ172" s="1">
        <f t="shared" si="150"/>
        <v>1</v>
      </c>
      <c r="CA172" s="1">
        <f>MIN(10,W172+IF(AND(L172="LILYA_COBRA",COUNTIF($L$3:L172,"LILYA_COBRA")=1),5,0)+IF(AND(L172="LILYA_DIVE",U172=1,COUNTIFS($DG$3:DG172,DG172,$L$3:L172,"LILYA_DIVE")=1),2,0)+IF(AND(FE172=1,U172=1),3,0))</f>
        <v>10</v>
      </c>
      <c r="CB172" s="1">
        <f>MIN(20,MAX(0,X172+IF(L172="LILYA_COBRA",IF(COUNTIF($L$3:L172,"LILYA_COBRA")=1,6,IF(U172=1,MAX(1,G172),IF(U172=2,2*MAX(1,G172),0))),0)+IF(AND(Y172=1,E172="红弩箭",L172&lt;&gt;"ENTER_INSIGHT"),1,0)-IF(AND(L172="LILYA_ULT",X172&gt;=6),6,0)))</f>
        <v>13</v>
      </c>
      <c r="CC172" s="1">
        <f t="shared" si="151"/>
        <v>0</v>
      </c>
      <c r="CD172" s="1">
        <f t="shared" si="152"/>
        <v>0</v>
      </c>
      <c r="CE172" s="1">
        <f t="shared" si="153"/>
        <v>0</v>
      </c>
      <c r="CF172" s="1">
        <f t="shared" si="154"/>
        <v>10</v>
      </c>
      <c r="CG172" s="1">
        <f t="shared" si="155"/>
        <v>1</v>
      </c>
      <c r="CH172" s="1">
        <f>MIN(35,AD172+IF(L172="J_HARD",6,0)+IF(L172="J_COUNTER",Boss参数!$B$30,0))</f>
        <v>35</v>
      </c>
      <c r="CI172" s="1">
        <f>MIN(Boss参数!$I$4,AE172+IF(L172="J_HARD",6,0)+IF(L172="J_ULT",AD172,0)+IF(L172="J_COUNTER",Boss参数!$B$30,0))</f>
        <v>0</v>
      </c>
      <c r="CJ172" s="1">
        <f>IF(L172="J_ULT",AD172*Boss参数!$B$41,IF(B172&lt;=AG172,AF172,0))</f>
        <v>0.875</v>
      </c>
      <c r="CK172" s="1">
        <f t="shared" si="156"/>
        <v>9</v>
      </c>
      <c r="CL172" s="1">
        <f t="shared" si="157"/>
        <v>9</v>
      </c>
      <c r="CM172" s="1">
        <f t="shared" si="158"/>
        <v>8</v>
      </c>
      <c r="CN172" s="1">
        <f t="shared" si="159"/>
        <v>9</v>
      </c>
      <c r="CO172" s="1">
        <f t="shared" si="160"/>
        <v>8</v>
      </c>
      <c r="CP172" s="1">
        <f t="shared" si="161"/>
        <v>3</v>
      </c>
      <c r="CQ172" s="1">
        <f t="shared" si="162"/>
        <v>30</v>
      </c>
      <c r="CR172" s="1">
        <f t="shared" si="163"/>
        <v>9</v>
      </c>
      <c r="CS172" s="1">
        <f t="shared" si="164"/>
        <v>0</v>
      </c>
      <c r="CT172" s="1" t="e">
        <f t="shared" si="165"/>
        <v>#VALUE!</v>
      </c>
      <c r="CU172" s="1" t="e">
        <f t="shared" si="166"/>
        <v>#VALUE!</v>
      </c>
      <c r="CV172" s="1">
        <f t="shared" si="167"/>
        <v>0.3</v>
      </c>
      <c r="CW172" s="1">
        <f t="shared" si="168"/>
        <v>9</v>
      </c>
      <c r="CX172" s="1">
        <f t="shared" si="169"/>
        <v>0.3</v>
      </c>
      <c r="CY172" s="1">
        <f t="shared" si="170"/>
        <v>9</v>
      </c>
      <c r="CZ172" s="1"/>
      <c r="DA172" s="1"/>
      <c r="DB172" s="1"/>
      <c r="DC172" s="1"/>
      <c r="DD172" s="1"/>
      <c r="DE172" s="1"/>
      <c r="DF172" s="1"/>
      <c r="DG172" s="1" t="str">
        <f>IF(D172="","",行动模拟!B178)</f>
        <v/>
      </c>
      <c r="DH172" s="1" t="str">
        <f>IF(L172="END_TURN","回合结束",IF(D172="","",IF(INDEX(回合状态!$C$7:$C$17,MATCH(DG172,回合状态!$A$7:$A$17,0))="洞穿","洞穿",IF(OR(L172="J_COUNTER",L172="BOSS_ACTION",L172="BOSS_CONSERVATIVE"),"敌方",IF(AND(L172="37_FOLLOW",DG172=DG171,DH171="敌方"),"敌方",IF(INDEX(回合状态!$C$7:$C$17,MATCH(DG172,回合状态!$A$7:$A$17,0))="普通","出牌",INDEX(回合状态!$C$7:$C$17,MATCH(DG172,回合状态!$A$7:$A$17,0))))))))</f>
        <v/>
      </c>
      <c r="DI172" s="1">
        <f t="shared" si="171"/>
        <v>0</v>
      </c>
      <c r="DJ172" s="1">
        <f>IF(D172="",0,MIN(Boss参数!$B$25,IF(OR(AND(DH172="敌方",OR(DH171&lt;&gt;"敌方",DG172&lt;&gt;DG171)),AND(L172="END_TURN",DH172&lt;&gt;"洞穿"),AND(DG172&lt;&gt;DG171,DH171&lt;&gt;"洞穿",L171&lt;&gt;"END_TURN",COUNTIFS($DG$3:DG171,DG171,$DH$3:DH171,"敌方")=0)),EW172,DN171)))</f>
        <v>0</v>
      </c>
      <c r="DK172" s="1">
        <f>IF(D172="",0,MIN(Boss参数!$B$25,IF(OR(AND(DH172="敌方",OR(DH171&lt;&gt;"敌方",DG172&lt;&gt;DG171)),AND(L172="END_TURN",DH172&lt;&gt;"洞穿"),AND(DG172&lt;&gt;DG171,DH171&lt;&gt;"洞穿",L171&lt;&gt;"END_TURN",COUNTIFS($DG$3:DG171,DG171,$DH$3:DH171,"敌方")=0)),EW172,DO171)))</f>
        <v>0</v>
      </c>
      <c r="DL172" s="1">
        <f>IF(D172="",0,MIN(Boss参数!$B$25,IF(OR(AND(DH172="敌方",OR(DH171&lt;&gt;"敌方",DG172&lt;&gt;DG171)),AND(L172="END_TURN",DH172&lt;&gt;"洞穿"),AND(DG172&lt;&gt;DG171,DH171&lt;&gt;"洞穿",L171&lt;&gt;"END_TURN",COUNTIFS($DG$3:DG171,DG171,$DH$3:DH171,"敌方")=0)),EW172,DP171)))</f>
        <v>0</v>
      </c>
      <c r="DM172" s="1">
        <f>IF(D172="",0,MIN(Boss参数!$B$25,IF(OR(AND(DH172="敌方",OR(DH171&lt;&gt;"敌方",DG172&lt;&gt;DG171)),AND(L172="END_TURN",DH172&lt;&gt;"洞穿"),AND(DG172&lt;&gt;DG171,DH171&lt;&gt;"洞穿",L171&lt;&gt;"END_TURN",COUNTIFS($DG$3:DG171,DG171,$DH$3:DH171,"敌方")=0)),EW172,DQ171)))</f>
        <v>0</v>
      </c>
      <c r="DN172" s="1">
        <f>MAX(0,MIN(Boss参数!$B$25,DJ172+DR172)-IF(E172="红弩箭",2*DR172,0))</f>
        <v>0</v>
      </c>
      <c r="DO172" s="1">
        <f>MAX(0,MIN(Boss参数!$B$25,DK172+DR172)-IF(E172="37",2*DR172,0))</f>
        <v>0</v>
      </c>
      <c r="DP172" s="1">
        <f>MAX(0,MIN(Boss参数!$B$25,DL172+DR172)-IF(E172="小瑞安侬",2*DR172,0))</f>
        <v>0</v>
      </c>
      <c r="DQ172" s="1">
        <f>MAX(0,MIN(Boss参数!$B$25,DM172+DR172)-IF(E172="J",2*DR172,0))</f>
        <v>0</v>
      </c>
      <c r="DR172" s="1">
        <f t="shared" si="172"/>
        <v>0</v>
      </c>
      <c r="DS172" s="1">
        <f t="shared" si="173"/>
        <v>0</v>
      </c>
      <c r="DT172" s="1">
        <f>IF(OR(E172="",E172="系统"),0,IF(OR(AND(DS172=1,Boss参数!$B$32=1),L172="RHI_BERRY",OR(AND(INDEX(角色面板!$B$18:$B$21,MATCH(E172,角色面板!$A$18:$A$21,0))="星",Boss参数!$B$4="岩"),AND(INDEX(角色面板!$B$18:$B$21,MATCH(E172,角色面板!$A$18:$A$21,0))="岩",Boss参数!$B$4="兽"),AND(INDEX(角色面板!$B$18:$B$21,MATCH(E172,角色面板!$A$18:$A$21,0))="兽",Boss参数!$B$4="木"),AND(INDEX(角色面板!$B$18:$B$21,MATCH(E172,角色面板!$A$18:$A$21,0))="木",Boss参数!$B$4="星"),AND(INDEX(角色面板!$B$18:$B$21,MATCH(E172,角色面板!$A$18:$A$21,0))="智",Boss参数!$B$4="灵"),AND(INDEX(角色面板!$B$18:$B$21,MATCH(E172,角色面板!$A$18:$A$21,0))="灵",Boss参数!$B$4="智"))),1,0))</f>
        <v>0</v>
      </c>
      <c r="DU172" s="1">
        <f>IF(D172="",0,INDEX(回合状态!$E$7:$E$17,MATCH(DG172,回合状态!$A$7:$A$17,0))+IF(AND(DH172="敌方",OR(INDEX(回合状态!$C$7:$C$17,MATCH(DG172,回合状态!$A$7:$A$17,0))="普通",INDEX(回合状态!$C$7:$C$17,MATCH(DG172,回合状态!$A$7:$A$17,0))="额外")),0.05,0))</f>
        <v>0</v>
      </c>
      <c r="DV172" s="1">
        <f>MAX(Boss参数!$B$28,1+IF(AND(E172="37",AC172&gt;0,BH172&gt;0),Boss参数!$B$42,0)-DI172*Boss参数!$B$24+EA172-ER172)</f>
        <v>9.9999999999999978E-2</v>
      </c>
      <c r="DW172" s="1">
        <f>MIN(IF(Boss参数!$B$77=1,Boss参数!$B$63*Boss参数!$B$62,Boss参数!$B$61*Boss参数!$B$62),ROUNDDOWN(BQ172*(1-ES172),0))</f>
        <v>0</v>
      </c>
      <c r="DX172" s="1">
        <f>MIN(IF(Boss参数!$B$77=1,Boss参数!$B$63*Boss参数!$B$62,Boss参数!$B$61*Boss参数!$B$62),ROUNDDOWN(BR172*(1-ES172),0))</f>
        <v>0</v>
      </c>
      <c r="DY172" s="1">
        <f t="shared" si="205"/>
        <v>250</v>
      </c>
      <c r="DZ172" s="1">
        <f>IF(L172="RHI_ULT",MIN(Boss参数!$B$48,ROUNDDOWN(AY172*Boss参数!$B$47,0)),DY172)</f>
        <v>250</v>
      </c>
      <c r="EA172" s="1">
        <v>0</v>
      </c>
      <c r="EB172" s="1">
        <f t="shared" si="174"/>
        <v>0</v>
      </c>
      <c r="EC172" s="1">
        <f>SUMIFS($EB$3:EB172,$B$3:B172,"&gt;="&amp;MAX(1,B172-2),$B$3:B172,"&lt;="&amp;B172)*Boss参数!$B$51</f>
        <v>0</v>
      </c>
      <c r="ED172" s="1">
        <f>IF(D172="",EG171,IF(AND(DG172&lt;&gt;DG171,DH172&lt;&gt;"洞穿"),MIN(Boss参数!$B$55,EG171+2),EG171))</f>
        <v>0</v>
      </c>
      <c r="EE172" s="1">
        <f t="shared" si="175"/>
        <v>0</v>
      </c>
      <c r="EF172" s="1">
        <f>IF(AND(OR(L172="END_TURN",AND(DH172="敌方",OR(DH171&lt;&gt;"敌方",DG172&lt;&gt;DG171))),SUMIFS($EF$3:EF171,$DG$3:DG171,DG172)=0),MIN(1,MAX(0,ED172-EE172)),0)</f>
        <v>0</v>
      </c>
      <c r="EG172" s="1">
        <f t="shared" si="176"/>
        <v>0</v>
      </c>
      <c r="EH172" s="1">
        <f>Boss参数!$B$53-IF(Y172=1,Boss参数!$B$54,0)</f>
        <v>0</v>
      </c>
      <c r="EI172" s="1">
        <f t="shared" si="177"/>
        <v>0.15</v>
      </c>
      <c r="EJ172" s="1">
        <f t="shared" si="178"/>
        <v>0.15</v>
      </c>
      <c r="EK172" s="1" t="e">
        <f t="shared" si="179"/>
        <v>#VALUE!</v>
      </c>
      <c r="EL172" s="1">
        <f t="shared" si="206"/>
        <v>0</v>
      </c>
      <c r="EM172" s="1">
        <f>IF(AND(DG172&lt;&gt;DG171,DH172="洞穿"),0,IF(L172="ENTER_INSIGHT",Boss参数!$B$57,EO171))</f>
        <v>0</v>
      </c>
      <c r="EN172" s="1">
        <f>IF(AND(Y172=1,H172="洞知",EM172&gt;0),Boss参数!$B$56,0)</f>
        <v>0</v>
      </c>
      <c r="EO172" s="1">
        <f t="shared" si="180"/>
        <v>0</v>
      </c>
      <c r="EP172" s="1">
        <f t="shared" si="207"/>
        <v>23210479</v>
      </c>
      <c r="EQ172" s="1">
        <f>ROUNDDOWN(EP172/Boss参数!$B$62,0)</f>
        <v>232</v>
      </c>
      <c r="ER172" s="1">
        <f>IF(EQ172&gt;=Boss参数!$B$66,Boss参数!$B$69,IF(EQ172&gt;=Boss参数!$B$65,Boss参数!$B$68,IF(EQ172&gt;=Boss参数!$B$64,Boss参数!$B$67,0)))</f>
        <v>0.9</v>
      </c>
      <c r="ES172" s="1">
        <f>MIN(1,IF(EQ172&gt;=Boss参数!$B$66,Boss参数!$B$72+ROUNDDOWN((EQ172-Boss参数!$B$66)/Boss参数!$B$73,0)*Boss参数!$B$74,IF(EQ172&gt;=Boss参数!$B$65,Boss参数!$B$71,IF(EQ172&gt;=Boss参数!$B$64,Boss参数!$B$70,0))))</f>
        <v>0.65</v>
      </c>
      <c r="ET172" s="1">
        <f>MIN(Boss参数!$B$61*Boss参数!$B$62,EP172+IF(AND(Boss参数!$B$60=1,ISNUMBER(验证表!H178)),验证表!H178,EU172))</f>
        <v>23210479</v>
      </c>
      <c r="EU172" s="1">
        <f>IF(D172="",0,IF(验证表!G178="是",BV172,IF(验证表!G178="否",BU172,BW172)))</f>
        <v>0</v>
      </c>
      <c r="EV172" s="1">
        <f>IF(EQ172&gt;=Boss参数!$B$66,2,IF(EQ172&gt;=Boss参数!$B$65,1,0))</f>
        <v>2</v>
      </c>
      <c r="EW172" s="1">
        <f t="shared" si="181"/>
        <v>3</v>
      </c>
      <c r="EX172" s="1">
        <f>IF(D172="",0,INDEX(回合状态!$D$7:$D$17,MATCH(DG172,回合状态!$A$7:$A$17,0)))</f>
        <v>0</v>
      </c>
      <c r="EY172" s="1">
        <f>IF(OR(L172="RHI_ATTACK",L172="RHI_BUFF"),1,IF(L172="RHI_ULT",Boss参数!$B$52,0))</f>
        <v>0</v>
      </c>
      <c r="EZ172" s="1">
        <f>MIN(6,SUMIFS($EY$3:EY172,$EX$3:EX172,"&gt;="&amp;MAX(1,EX172-Boss参数!$B$87+1),$EX$3:EX172,"&lt;="&amp;EX172))</f>
        <v>0</v>
      </c>
      <c r="FA172" s="1">
        <f t="shared" si="208"/>
        <v>0</v>
      </c>
      <c r="FB172" s="17">
        <f>IF(L172="BOSS_CONSERVATIVE",B172+Boss参数!$B$91,FB171)</f>
        <v>7</v>
      </c>
      <c r="FC172" s="17">
        <f t="shared" si="209"/>
        <v>0</v>
      </c>
      <c r="FD172" s="17">
        <f>IF(D172="",FD171,FD171+IF(AND(DG172&lt;&gt;DG171,INDEX(回合状态!$C$7:$C$17,MATCH(DG172,回合状态!$A$7:$A$17,0))&lt;&gt;"洞穿"),1,0))</f>
        <v>8</v>
      </c>
      <c r="FE172" s="17">
        <f>IF(D172="",0,IF(AND(OR(L172="END_TURN",DH172="敌方"),INDEX(回合状态!$C$7:$C$17,MATCH(DG172,回合状态!$A$7:$A$17,0))&lt;&gt;"洞穿",SUMIFS($FE$3:FE171,$DG$3:DG171,DG172)=0),1,0))</f>
        <v>0</v>
      </c>
    </row>
    <row r="173" spans="1:161" ht="84.95" customHeight="1">
      <c r="A173" s="1" t="str">
        <f>行动模拟!A179</f>
        <v/>
      </c>
      <c r="B173" s="1">
        <f>IF(D173="",0,INDEX(回合状态!$B$7:$B$17,MATCH(DG173,回合状态!$A$7:$A$17,0)))</f>
        <v>0</v>
      </c>
      <c r="C173" s="1">
        <f>行动模拟!C179</f>
        <v>0</v>
      </c>
      <c r="D173" s="1" t="str">
        <f>IF(行动模拟!D179="","",行动模拟!D179)</f>
        <v/>
      </c>
      <c r="E173" s="1" t="str">
        <f>IF($D173="","",IFERROR(INDEX(技能数据库!$B$4:$B$38,MATCH($D173,技能数据库!$A$4:$A$38,0)),""))</f>
        <v/>
      </c>
      <c r="F173" s="1" t="str">
        <f>IF($D173="","",IFERROR(INDEX(技能数据库!$C$4:$C$38,MATCH($D173,技能数据库!$A$4:$A$38,0)),""))</f>
        <v/>
      </c>
      <c r="G173" s="1" t="str">
        <f>IF($D173="","",IFERROR(INDEX(技能数据库!$D$4:$D$38,MATCH($D173,技能数据库!$A$4:$A$38,0)),""))</f>
        <v/>
      </c>
      <c r="H173" s="1" t="str">
        <f>IF($D173="","",IFERROR(INDEX(技能数据库!$E$4:$E$38,MATCH($D173,技能数据库!$A$4:$A$38,0)),""))</f>
        <v/>
      </c>
      <c r="I173" s="1" t="str">
        <f>IF($D173="","",IFERROR(INDEX(技能数据库!$F$4:$F$38,MATCH($D173,技能数据库!$A$4:$A$38,0)),""))</f>
        <v/>
      </c>
      <c r="J173" s="1" t="str">
        <f>IF($D173="","",IFERROR(INDEX(技能数据库!$G$4:$G$38,MATCH($D173,技能数据库!$A$4:$A$38,0)),""))</f>
        <v/>
      </c>
      <c r="K173" s="1" t="str">
        <f>IF($D173="","",IFERROR(INDEX(技能数据库!$H$4:$H$38,MATCH($D173,技能数据库!$A$4:$A$38,0)),""))</f>
        <v/>
      </c>
      <c r="L173" s="1" t="str">
        <f>IF($D173="","",IFERROR(INDEX(技能数据库!$I$4:$I$38,MATCH($D173,技能数据库!$A$4:$A$38,0)),""))</f>
        <v/>
      </c>
      <c r="M173" s="1">
        <v>1</v>
      </c>
      <c r="N173" s="1"/>
      <c r="O173" s="1"/>
      <c r="P173" s="1"/>
      <c r="Q173" s="1">
        <f t="shared" si="140"/>
        <v>0</v>
      </c>
      <c r="R173" s="1">
        <v>0</v>
      </c>
      <c r="S173" s="1">
        <v>0</v>
      </c>
      <c r="T173" s="1">
        <f>行动模拟!I179</f>
        <v>0</v>
      </c>
      <c r="U173" s="1">
        <f>IF(FD173&lt;&gt;FD172,IF(BY172=1,IF(MIN(10,CA172+IF(AND(DG173&lt;&gt;DG172,DH172&lt;&gt;"洞穿",SUMIFS($FE$3:FE172,$DG$3:DG172,DG172)=0,BY172=1),3,0))&gt;=10,2,1),IF(BY172=2,IF(BZ172&lt;=1,0,2),0)),BY172)</f>
        <v>2</v>
      </c>
      <c r="V173" s="1">
        <f>IF(FD173&lt;&gt;FD172,IF(BY172=1,IF(MIN(10,CA172+IF(AND(DG173&lt;&gt;DG172,DH172&lt;&gt;"洞穿",SUMIFS($FE$3:FE172,$DG$3:DG172,DG172)=0,BY172=1),3,0))&gt;=10,2,0),IF(BY172=2,MAX(0,BZ172-1),0)),BZ172)</f>
        <v>1</v>
      </c>
      <c r="W173" s="1">
        <f>IF(AND(FD173&lt;&gt;FD172,BY172=2,BZ172&lt;=1),0,MIN(10,CA172+IF(AND(DG173&lt;&gt;DG172,DH172&lt;&gt;"洞穿",SUMIFS($FE$3:FE172,$DG$3:DG172,DG172)=0,BY172=1),3,0)))</f>
        <v>10</v>
      </c>
      <c r="X173" s="1">
        <f t="shared" si="182"/>
        <v>13</v>
      </c>
      <c r="Y173" s="1">
        <f t="shared" si="183"/>
        <v>0</v>
      </c>
      <c r="Z173" s="1">
        <f t="shared" si="184"/>
        <v>0</v>
      </c>
      <c r="AA173" s="1">
        <f t="shared" si="185"/>
        <v>0</v>
      </c>
      <c r="AB173" s="1">
        <f t="shared" si="186"/>
        <v>10</v>
      </c>
      <c r="AC173" s="1">
        <f t="shared" si="187"/>
        <v>1</v>
      </c>
      <c r="AD173" s="1">
        <f t="shared" si="188"/>
        <v>35</v>
      </c>
      <c r="AE173" s="1">
        <f>IF(D173="",0,IF(DG173&lt;&gt;DG172,IFERROR(INDEX(回合状态!$F$7:$F$17,MATCH(DG173,回合状态!$A$7:$A$17,0)),0),CI172))</f>
        <v>0</v>
      </c>
      <c r="AF173" s="1">
        <f t="shared" si="189"/>
        <v>0.875</v>
      </c>
      <c r="AG173" s="1">
        <f t="shared" si="190"/>
        <v>9</v>
      </c>
      <c r="AH173" s="1">
        <f t="shared" si="191"/>
        <v>9</v>
      </c>
      <c r="AI173" s="1">
        <f t="shared" si="192"/>
        <v>8</v>
      </c>
      <c r="AJ173" s="1">
        <f t="shared" si="193"/>
        <v>9</v>
      </c>
      <c r="AK173" s="1">
        <f t="shared" si="194"/>
        <v>8</v>
      </c>
      <c r="AL173" s="1">
        <f t="shared" si="195"/>
        <v>3</v>
      </c>
      <c r="AM173" s="1">
        <f t="shared" si="196"/>
        <v>30</v>
      </c>
      <c r="AN173" s="1">
        <f t="shared" si="197"/>
        <v>9</v>
      </c>
      <c r="AO173" s="1">
        <f t="shared" si="198"/>
        <v>0</v>
      </c>
      <c r="AP173" s="1" t="e">
        <f t="shared" si="199"/>
        <v>#VALUE!</v>
      </c>
      <c r="AQ173" s="1" t="e">
        <f t="shared" si="200"/>
        <v>#VALUE!</v>
      </c>
      <c r="AR173" s="1">
        <f t="shared" si="201"/>
        <v>0.3</v>
      </c>
      <c r="AS173" s="1">
        <f t="shared" si="202"/>
        <v>9</v>
      </c>
      <c r="AT173" s="1">
        <f t="shared" si="203"/>
        <v>0.3</v>
      </c>
      <c r="AU173" s="1">
        <f t="shared" si="204"/>
        <v>9</v>
      </c>
      <c r="AV173" s="1">
        <f>MIN(5,SUMIFS($EL$3:EL173,$B$3:B173,"&gt;="&amp;MAX(1,B173-2),$B$3:B173,"&lt;="&amp;B173)+EC173)</f>
        <v>0</v>
      </c>
      <c r="AW173" s="1">
        <f>MIN(6,SUMIFS($EY$3:EY172,$EX$3:EX172,"&gt;="&amp;MAX(1,EX173-Boss参数!$B$87+1),$EX$3:EX172,"&lt;="&amp;EX173))</f>
        <v>0</v>
      </c>
      <c r="AX173" s="1">
        <f>MIN(4,COUNTIFS($B$3:$B$172,"&gt;="&amp;MAX(1,$B173-2),$B$3:$B$172,"&lt;="&amp;$B173,$L$3:$L$172,"37_FOLLOW"))</f>
        <v>0</v>
      </c>
      <c r="AY173" s="1" t="str">
        <f>IF($E173="","",IF($E173="系统",0,ROUNDDOWN(INDEX(角色面板!$C$4:$C$7,MATCH($E173,角色面板!$A$4:$A$7,0))*(1+INDEX(角色面板!$C$11:$C$14,MATCH($E173,角色面板!$A$11:$A$14,0))+IF($E173="小瑞安侬",MAX(IF($B173&lt;=$AQ173,$AP173,0),IF(AND($L173="RHI_ATTACK",$EE173&gt;0),0.11+0.01*$G173,0)),0)+IF($E173="J",$AD173*Boss参数!$B$18,0))+IF(FD173&lt;=$AN173,MIN(Boss参数!$B$21,ROUNDDOWN(角色面板!$C$19*Boss参数!$B$20,0)),0)+IF(AND($B173&lt;=$AK173,$E173&lt;&gt;"小瑞安侬"),$DY173,0),0)))</f>
        <v/>
      </c>
      <c r="AZ173" s="1" t="str">
        <f>IF($E173="","",MAX(0,MIN(1,IFERROR(INDEX(角色面板!$G$18:$G$21,MATCH($E173,角色面板!$A$18:$A$21,0)),0)-FC173*Boss参数!$B$89-Boss参数!$E$4)))</f>
        <v/>
      </c>
      <c r="BA173" s="1" t="str">
        <f>IF(E173="","",(IF($E173="","",IF($E173="红弩箭",Boss参数!$B$80,IF($E173="J",Boss参数!$B$81,IFERROR(INDEX(角色面板!$H$18:$H$21,MATCH($E173,角色面板!$A$18:$A$21,0)),0)))+IF($B173&lt;=$AI173,Boss参数!$B$13,0)+MIN(30,$AM173)*Boss参数!$B$17+IF(AND($L173="LILYA_ULT",$X173&gt;=6),1,0)+IF(AND($Y173=1,$L173="LILYA_INSIGHT"),IF(MOD($AA173+1,3)=0,Boss参数!$B$83,Boss参数!$B$82),IF(AND($Y173=1,$L173="LILYA_FINISH"),Boss参数!$B$84,0))))-FC173*Boss参数!$B$90)</f>
        <v/>
      </c>
      <c r="BB173" s="1" t="str">
        <f>IF($E173="","",IFERROR(INDEX(角色面板!$M$18:$M$21,MATCH($E173,角色面板!$A$18:$A$21,0)),0)+$AW173*Boss参数!$B$12+IF($B173&lt;=$AG173,$AF173,0)+$EI173+IF($L173="LILYA_DIVE",IF($U173=1,IF($G173=1,0.3,IF($G173=2,0.4,0.5)),IF($U173=2,IF($G173=1,0.6,IF($G173=2,0.8,1)),0)),0)+$R173+IF(AND($E173="J",OR($L173="J_COUNTER",$L173="J_HARD")),Boss参数!$B$79,0)+IF(AND(OR(L173="J_COUNTER",L173="J_HARD"),FA173&gt;=Boss参数!$B$59),FA173*Boss参数!$B$40,0))</f>
        <v/>
      </c>
      <c r="BC173" s="1" t="e">
        <f>IF($E173="","",IFERROR(INDEX(角色面板!$K$18:$K$21,MATCH($E173,角色面板!$A$18:$A$21,0)),0)+IF($B173&lt;=$AH173,Boss参数!$B$46,0)+IF($E173="红弩箭",IF($U173=1,0.6,IF($U173=2,1.2,0))+$W173*0.06,0))-DI173*Boss参数!$B$23</f>
        <v>#VALUE!</v>
      </c>
      <c r="BD173" s="1" t="e">
        <f>IF($E173="","",IFERROR(INDEX(角色面板!$L$18:$L$21,MATCH($E173,角色面板!$A$18:$A$21,0)),0)+IF($B173&lt;=$AH173,Boss参数!$B$46,0)+IF($E173="J",$AL173*Boss参数!$B$16,0)+IF($E173="红弩箭",$X173*0.025,0)+IF(AND($L173="LILYA_ULT",$X173&gt;=6),1,0))-DI173*Boss参数!$B$23</f>
        <v>#VALUE!</v>
      </c>
      <c r="BE173" s="1" t="str">
        <f>IF($E173="","",IF($H173="洞知",IF($E173="红弩箭",$AO173*Boss参数!$B$15,0)+$AX173*Boss参数!$B$14,0))</f>
        <v/>
      </c>
      <c r="BF173" s="1">
        <f t="shared" si="141"/>
        <v>0</v>
      </c>
      <c r="BG173" s="1">
        <f>IF($D173="",0,IF(AND($L173&lt;&gt;"LILYA_DIVE",$L173&lt;&gt;"LILYA_ULT",$L173&lt;&gt;"LILYA_INSIGHT",$L173&lt;&gt;"LILYA_FINISH",$L173&lt;&gt;"37_FOLLOW",$L173&lt;&gt;"RHI_ATTACK",$L173&lt;&gt;"RHI_BERRY",$L173&lt;&gt;"J_COUNTER",$L173&lt;&gt;"J_ULT"),$J173,0)+IF($L173="LILYA_DIVE",$J173+IF($U173=1,IF($G173=1,6,IF($G173=2,12,18)),IF($U173=2,IF($G173=1,12,IF($G173=2,24,36)),0)),0)+IF($L173="LILYA_ULT",$J173+IF($X173&gt;=6,18,0),0)+IF($L173="LILYA_INSIGHT",IF($Y173=1,IF(MOD($AA173+1,3)=0,32,15),0),0)+IF($L173="LILYA_FINISH",IF($Y173=1,50+2.5*$Z173,0),0)+IF($L173="37_FOLLOW",$J173,0)+IF($L173="RHI_ATTACK",$J173*IF($B173&lt;=$AJ173,2,1),0)+IF($L173="RHI_BERRY",15+1.5*$AV173,0)+IF($L173="J_COUNTER",$J173+$AD173*Boss参数!$B$39,0)+IF($L173="J_ULT",$J173+Boss参数!$B$45*MAX(0,$AE173+$AD173-Boss参数!$I$4),0)+$S173)</f>
        <v>0</v>
      </c>
      <c r="BH173" s="1">
        <f t="shared" si="142"/>
        <v>0</v>
      </c>
      <c r="BI173" s="1" t="str">
        <f>IF(E173="","",IF(DT173=1,1+Boss参数!$B$8+AV173*Boss参数!$B$19,1))</f>
        <v/>
      </c>
      <c r="BJ173" s="1">
        <f>IF($I173="现实",Boss参数!$C$4,IF($I173="精神",Boss参数!$D$4,0))</f>
        <v>0</v>
      </c>
      <c r="BK173" s="1" t="str">
        <f>IF($E173="","",MAX($AY173*Boss参数!$B$9,$AY173-$BJ173*(1-$BF173)))</f>
        <v/>
      </c>
      <c r="BL173" s="1">
        <f>MAX(0,Boss参数!$F$4+IF(DT173=0,Boss参数!$B$27,0)-EJ173)</f>
        <v>1.25</v>
      </c>
      <c r="BM173" s="1">
        <f>Boss参数!$G$4+DU173-IF(Y173=1,Boss参数!$B$11,0)</f>
        <v>0.4</v>
      </c>
      <c r="BN173" s="1" t="str">
        <f>IF($E173="","",MAX(Boss参数!$B$10,1+IFERROR(INDEX(角色面板!$I$18:$I$21,MATCH($E173,角色面板!$A$18:$A$21,0)),0)+$BB173+Boss参数!$H$4-$BM173))</f>
        <v/>
      </c>
      <c r="BO173" s="1" t="str">
        <f>IF(E173="","",IF(OR(L173="J_COUNTER",L173="J_HARD"),MAX(0,1+INDEX(角色面板!$K$18:$K$21,MATCH(E173,角色面板!$A$18:$A$21,0))-DI173*Boss参数!$B$23+IF(OR(Boss参数!$B$43=1,L173="J_HARD"),IF(B173&lt;=AH173,Boss参数!$B$46,0),0)),MAX(0,IF(OR(H173="术法",L173="RHI_BERRY",AND(L173="37_FOLLOW",Boss参数!$B$31=1)),1+BC173,IF(H173="仪式",1+BD173,IF(H173="洞知",EK173,1))))))</f>
        <v/>
      </c>
      <c r="BP173" s="1" t="str">
        <f t="shared" si="143"/>
        <v/>
      </c>
      <c r="BQ173" s="1">
        <f t="shared" si="144"/>
        <v>0</v>
      </c>
      <c r="BR173" s="1">
        <f t="shared" si="145"/>
        <v>0</v>
      </c>
      <c r="BS173" s="1">
        <f>IF(BH173=0,0,ROUNDDOWN(AY173*BH173,0)*DV173*IF(Boss参数!$B$29=1,BN173,1)*IF(Boss参数!$B$33=1,BO173,1)*IF(Boss参数!$B$76=1,1-ES173,1))</f>
        <v>0</v>
      </c>
      <c r="BT173" s="1">
        <f t="shared" si="146"/>
        <v>0</v>
      </c>
      <c r="BU173" s="1">
        <f>IF(D173="",0,MIN(IF(Boss参数!$B$77=1,Boss参数!$B$63*Boss参数!$B$62,Boss参数!$B$61*Boss参数!$B$62),DW173+ROUNDDOWN(BS173,0)+ROUNDDOWN(DW173*Q173,0)))</f>
        <v>0</v>
      </c>
      <c r="BV173" s="1">
        <f>IF(D173="",0,MIN(IF(Boss参数!$B$77=1,Boss参数!$B$63*Boss参数!$B$62,Boss参数!$B$61*Boss参数!$B$62),DX173+ROUNDDOWN(BT173,0)+ROUNDDOWN(DX173*Q173,0)))</f>
        <v>0</v>
      </c>
      <c r="BW173" s="1">
        <f t="shared" si="147"/>
        <v>0</v>
      </c>
      <c r="BX173" s="1" t="str">
        <f t="shared" si="148"/>
        <v/>
      </c>
      <c r="BY173" s="1">
        <f t="shared" si="149"/>
        <v>2</v>
      </c>
      <c r="BZ173" s="1">
        <f t="shared" si="150"/>
        <v>1</v>
      </c>
      <c r="CA173" s="1">
        <f>MIN(10,W173+IF(AND(L173="LILYA_COBRA",COUNTIF($L$3:L173,"LILYA_COBRA")=1),5,0)+IF(AND(L173="LILYA_DIVE",U173=1,COUNTIFS($DG$3:DG173,DG173,$L$3:L173,"LILYA_DIVE")=1),2,0)+IF(AND(FE173=1,U173=1),3,0))</f>
        <v>10</v>
      </c>
      <c r="CB173" s="1">
        <f>MIN(20,MAX(0,X173+IF(L173="LILYA_COBRA",IF(COUNTIF($L$3:L173,"LILYA_COBRA")=1,6,IF(U173=1,MAX(1,G173),IF(U173=2,2*MAX(1,G173),0))),0)+IF(AND(Y173=1,E173="红弩箭",L173&lt;&gt;"ENTER_INSIGHT"),1,0)-IF(AND(L173="LILYA_ULT",X173&gt;=6),6,0)))</f>
        <v>13</v>
      </c>
      <c r="CC173" s="1">
        <f t="shared" si="151"/>
        <v>0</v>
      </c>
      <c r="CD173" s="1">
        <f t="shared" si="152"/>
        <v>0</v>
      </c>
      <c r="CE173" s="1">
        <f t="shared" si="153"/>
        <v>0</v>
      </c>
      <c r="CF173" s="1">
        <f t="shared" si="154"/>
        <v>10</v>
      </c>
      <c r="CG173" s="1">
        <f t="shared" si="155"/>
        <v>1</v>
      </c>
      <c r="CH173" s="1">
        <f>MIN(35,AD173+IF(L173="J_HARD",6,0)+IF(L173="J_COUNTER",Boss参数!$B$30,0))</f>
        <v>35</v>
      </c>
      <c r="CI173" s="1">
        <f>MIN(Boss参数!$I$4,AE173+IF(L173="J_HARD",6,0)+IF(L173="J_ULT",AD173,0)+IF(L173="J_COUNTER",Boss参数!$B$30,0))</f>
        <v>0</v>
      </c>
      <c r="CJ173" s="1">
        <f>IF(L173="J_ULT",AD173*Boss参数!$B$41,IF(B173&lt;=AG173,AF173,0))</f>
        <v>0.875</v>
      </c>
      <c r="CK173" s="1">
        <f t="shared" si="156"/>
        <v>9</v>
      </c>
      <c r="CL173" s="1">
        <f t="shared" si="157"/>
        <v>9</v>
      </c>
      <c r="CM173" s="1">
        <f t="shared" si="158"/>
        <v>8</v>
      </c>
      <c r="CN173" s="1">
        <f t="shared" si="159"/>
        <v>9</v>
      </c>
      <c r="CO173" s="1">
        <f t="shared" si="160"/>
        <v>8</v>
      </c>
      <c r="CP173" s="1">
        <f t="shared" si="161"/>
        <v>3</v>
      </c>
      <c r="CQ173" s="1">
        <f t="shared" si="162"/>
        <v>30</v>
      </c>
      <c r="CR173" s="1">
        <f t="shared" si="163"/>
        <v>9</v>
      </c>
      <c r="CS173" s="1">
        <f t="shared" si="164"/>
        <v>0</v>
      </c>
      <c r="CT173" s="1" t="e">
        <f t="shared" si="165"/>
        <v>#VALUE!</v>
      </c>
      <c r="CU173" s="1" t="e">
        <f t="shared" si="166"/>
        <v>#VALUE!</v>
      </c>
      <c r="CV173" s="1">
        <f t="shared" si="167"/>
        <v>0.3</v>
      </c>
      <c r="CW173" s="1">
        <f t="shared" si="168"/>
        <v>9</v>
      </c>
      <c r="CX173" s="1">
        <f t="shared" si="169"/>
        <v>0.3</v>
      </c>
      <c r="CY173" s="1">
        <f t="shared" si="170"/>
        <v>9</v>
      </c>
      <c r="CZ173" s="1"/>
      <c r="DA173" s="1"/>
      <c r="DB173" s="1"/>
      <c r="DC173" s="1"/>
      <c r="DD173" s="1"/>
      <c r="DE173" s="1"/>
      <c r="DF173" s="1"/>
      <c r="DG173" s="1" t="str">
        <f>IF(D173="","",行动模拟!B179)</f>
        <v/>
      </c>
      <c r="DH173" s="1" t="str">
        <f>IF(L173="END_TURN","回合结束",IF(D173="","",IF(INDEX(回合状态!$C$7:$C$17,MATCH(DG173,回合状态!$A$7:$A$17,0))="洞穿","洞穿",IF(OR(L173="J_COUNTER",L173="BOSS_ACTION",L173="BOSS_CONSERVATIVE"),"敌方",IF(AND(L173="37_FOLLOW",DG173=DG172,DH172="敌方"),"敌方",IF(INDEX(回合状态!$C$7:$C$17,MATCH(DG173,回合状态!$A$7:$A$17,0))="普通","出牌",INDEX(回合状态!$C$7:$C$17,MATCH(DG173,回合状态!$A$7:$A$17,0))))))))</f>
        <v/>
      </c>
      <c r="DI173" s="1">
        <f t="shared" si="171"/>
        <v>0</v>
      </c>
      <c r="DJ173" s="1">
        <f>IF(D173="",0,MIN(Boss参数!$B$25,IF(OR(AND(DH173="敌方",OR(DH172&lt;&gt;"敌方",DG173&lt;&gt;DG172)),AND(L173="END_TURN",DH173&lt;&gt;"洞穿"),AND(DG173&lt;&gt;DG172,DH172&lt;&gt;"洞穿",L172&lt;&gt;"END_TURN",COUNTIFS($DG$3:DG172,DG172,$DH$3:DH172,"敌方")=0)),EW173,DN172)))</f>
        <v>0</v>
      </c>
      <c r="DK173" s="1">
        <f>IF(D173="",0,MIN(Boss参数!$B$25,IF(OR(AND(DH173="敌方",OR(DH172&lt;&gt;"敌方",DG173&lt;&gt;DG172)),AND(L173="END_TURN",DH173&lt;&gt;"洞穿"),AND(DG173&lt;&gt;DG172,DH172&lt;&gt;"洞穿",L172&lt;&gt;"END_TURN",COUNTIFS($DG$3:DG172,DG172,$DH$3:DH172,"敌方")=0)),EW173,DO172)))</f>
        <v>0</v>
      </c>
      <c r="DL173" s="1">
        <f>IF(D173="",0,MIN(Boss参数!$B$25,IF(OR(AND(DH173="敌方",OR(DH172&lt;&gt;"敌方",DG173&lt;&gt;DG172)),AND(L173="END_TURN",DH173&lt;&gt;"洞穿"),AND(DG173&lt;&gt;DG172,DH172&lt;&gt;"洞穿",L172&lt;&gt;"END_TURN",COUNTIFS($DG$3:DG172,DG172,$DH$3:DH172,"敌方")=0)),EW173,DP172)))</f>
        <v>0</v>
      </c>
      <c r="DM173" s="1">
        <f>IF(D173="",0,MIN(Boss参数!$B$25,IF(OR(AND(DH173="敌方",OR(DH172&lt;&gt;"敌方",DG173&lt;&gt;DG172)),AND(L173="END_TURN",DH173&lt;&gt;"洞穿"),AND(DG173&lt;&gt;DG172,DH172&lt;&gt;"洞穿",L172&lt;&gt;"END_TURN",COUNTIFS($DG$3:DG172,DG172,$DH$3:DH172,"敌方")=0)),EW173,DQ172)))</f>
        <v>0</v>
      </c>
      <c r="DN173" s="1">
        <f>MAX(0,MIN(Boss参数!$B$25,DJ173+DR173)-IF(E173="红弩箭",2*DR173,0))</f>
        <v>0</v>
      </c>
      <c r="DO173" s="1">
        <f>MAX(0,MIN(Boss参数!$B$25,DK173+DR173)-IF(E173="37",2*DR173,0))</f>
        <v>0</v>
      </c>
      <c r="DP173" s="1">
        <f>MAX(0,MIN(Boss参数!$B$25,DL173+DR173)-IF(E173="小瑞安侬",2*DR173,0))</f>
        <v>0</v>
      </c>
      <c r="DQ173" s="1">
        <f>MAX(0,MIN(Boss参数!$B$25,DM173+DR173)-IF(E173="J",2*DR173,0))</f>
        <v>0</v>
      </c>
      <c r="DR173" s="1">
        <f t="shared" si="172"/>
        <v>0</v>
      </c>
      <c r="DS173" s="1">
        <f t="shared" si="173"/>
        <v>0</v>
      </c>
      <c r="DT173" s="1">
        <f>IF(OR(E173="",E173="系统"),0,IF(OR(AND(DS173=1,Boss参数!$B$32=1),L173="RHI_BERRY",OR(AND(INDEX(角色面板!$B$18:$B$21,MATCH(E173,角色面板!$A$18:$A$21,0))="星",Boss参数!$B$4="岩"),AND(INDEX(角色面板!$B$18:$B$21,MATCH(E173,角色面板!$A$18:$A$21,0))="岩",Boss参数!$B$4="兽"),AND(INDEX(角色面板!$B$18:$B$21,MATCH(E173,角色面板!$A$18:$A$21,0))="兽",Boss参数!$B$4="木"),AND(INDEX(角色面板!$B$18:$B$21,MATCH(E173,角色面板!$A$18:$A$21,0))="木",Boss参数!$B$4="星"),AND(INDEX(角色面板!$B$18:$B$21,MATCH(E173,角色面板!$A$18:$A$21,0))="智",Boss参数!$B$4="灵"),AND(INDEX(角色面板!$B$18:$B$21,MATCH(E173,角色面板!$A$18:$A$21,0))="灵",Boss参数!$B$4="智"))),1,0))</f>
        <v>0</v>
      </c>
      <c r="DU173" s="1">
        <f>IF(D173="",0,INDEX(回合状态!$E$7:$E$17,MATCH(DG173,回合状态!$A$7:$A$17,0))+IF(AND(DH173="敌方",OR(INDEX(回合状态!$C$7:$C$17,MATCH(DG173,回合状态!$A$7:$A$17,0))="普通",INDEX(回合状态!$C$7:$C$17,MATCH(DG173,回合状态!$A$7:$A$17,0))="额外")),0.05,0))</f>
        <v>0</v>
      </c>
      <c r="DV173" s="1">
        <f>MAX(Boss参数!$B$28,1+IF(AND(E173="37",AC173&gt;0,BH173&gt;0),Boss参数!$B$42,0)-DI173*Boss参数!$B$24+EA173-ER173)</f>
        <v>9.9999999999999978E-2</v>
      </c>
      <c r="DW173" s="1">
        <f>MIN(IF(Boss参数!$B$77=1,Boss参数!$B$63*Boss参数!$B$62,Boss参数!$B$61*Boss参数!$B$62),ROUNDDOWN(BQ173*(1-ES173),0))</f>
        <v>0</v>
      </c>
      <c r="DX173" s="1">
        <f>MIN(IF(Boss参数!$B$77=1,Boss参数!$B$63*Boss参数!$B$62,Boss参数!$B$61*Boss参数!$B$62),ROUNDDOWN(BR173*(1-ES173),0))</f>
        <v>0</v>
      </c>
      <c r="DY173" s="1">
        <f t="shared" si="205"/>
        <v>250</v>
      </c>
      <c r="DZ173" s="1">
        <f>IF(L173="RHI_ULT",MIN(Boss参数!$B$48,ROUNDDOWN(AY173*Boss参数!$B$47,0)),DY173)</f>
        <v>250</v>
      </c>
      <c r="EA173" s="1">
        <v>0</v>
      </c>
      <c r="EB173" s="1">
        <f t="shared" si="174"/>
        <v>0</v>
      </c>
      <c r="EC173" s="1">
        <f>SUMIFS($EB$3:EB173,$B$3:B173,"&gt;="&amp;MAX(1,B173-2),$B$3:B173,"&lt;="&amp;B173)*Boss参数!$B$51</f>
        <v>0</v>
      </c>
      <c r="ED173" s="1">
        <f>IF(D173="",EG172,IF(AND(DG173&lt;&gt;DG172,DH173&lt;&gt;"洞穿"),MIN(Boss参数!$B$55,EG172+2),EG172))</f>
        <v>0</v>
      </c>
      <c r="EE173" s="1">
        <f t="shared" si="175"/>
        <v>0</v>
      </c>
      <c r="EF173" s="1">
        <f>IF(AND(OR(L173="END_TURN",AND(DH173="敌方",OR(DH172&lt;&gt;"敌方",DG173&lt;&gt;DG172))),SUMIFS($EF$3:EF172,$DG$3:DG172,DG173)=0),MIN(1,MAX(0,ED173-EE173)),0)</f>
        <v>0</v>
      </c>
      <c r="EG173" s="1">
        <f t="shared" si="176"/>
        <v>0</v>
      </c>
      <c r="EH173" s="1">
        <f>Boss参数!$B$53-IF(Y173=1,Boss参数!$B$54,0)</f>
        <v>0</v>
      </c>
      <c r="EI173" s="1">
        <f t="shared" si="177"/>
        <v>0.15</v>
      </c>
      <c r="EJ173" s="1">
        <f t="shared" si="178"/>
        <v>0.15</v>
      </c>
      <c r="EK173" s="1" t="e">
        <f t="shared" si="179"/>
        <v>#VALUE!</v>
      </c>
      <c r="EL173" s="1">
        <f t="shared" si="206"/>
        <v>0</v>
      </c>
      <c r="EM173" s="1">
        <f>IF(AND(DG173&lt;&gt;DG172,DH173="洞穿"),0,IF(L173="ENTER_INSIGHT",Boss参数!$B$57,EO172))</f>
        <v>0</v>
      </c>
      <c r="EN173" s="1">
        <f>IF(AND(Y173=1,H173="洞知",EM173&gt;0),Boss参数!$B$56,0)</f>
        <v>0</v>
      </c>
      <c r="EO173" s="1">
        <f t="shared" si="180"/>
        <v>0</v>
      </c>
      <c r="EP173" s="1">
        <f t="shared" si="207"/>
        <v>23210479</v>
      </c>
      <c r="EQ173" s="1">
        <f>ROUNDDOWN(EP173/Boss参数!$B$62,0)</f>
        <v>232</v>
      </c>
      <c r="ER173" s="1">
        <f>IF(EQ173&gt;=Boss参数!$B$66,Boss参数!$B$69,IF(EQ173&gt;=Boss参数!$B$65,Boss参数!$B$68,IF(EQ173&gt;=Boss参数!$B$64,Boss参数!$B$67,0)))</f>
        <v>0.9</v>
      </c>
      <c r="ES173" s="1">
        <f>MIN(1,IF(EQ173&gt;=Boss参数!$B$66,Boss参数!$B$72+ROUNDDOWN((EQ173-Boss参数!$B$66)/Boss参数!$B$73,0)*Boss参数!$B$74,IF(EQ173&gt;=Boss参数!$B$65,Boss参数!$B$71,IF(EQ173&gt;=Boss参数!$B$64,Boss参数!$B$70,0))))</f>
        <v>0.65</v>
      </c>
      <c r="ET173" s="1">
        <f>MIN(Boss参数!$B$61*Boss参数!$B$62,EP173+IF(AND(Boss参数!$B$60=1,ISNUMBER(验证表!H179)),验证表!H179,EU173))</f>
        <v>23210479</v>
      </c>
      <c r="EU173" s="1">
        <f>IF(D173="",0,IF(验证表!G179="是",BV173,IF(验证表!G179="否",BU173,BW173)))</f>
        <v>0</v>
      </c>
      <c r="EV173" s="1">
        <f>IF(EQ173&gt;=Boss参数!$B$66,2,IF(EQ173&gt;=Boss参数!$B$65,1,0))</f>
        <v>2</v>
      </c>
      <c r="EW173" s="1">
        <f t="shared" si="181"/>
        <v>3</v>
      </c>
      <c r="EX173" s="1">
        <f>IF(D173="",0,INDEX(回合状态!$D$7:$D$17,MATCH(DG173,回合状态!$A$7:$A$17,0)))</f>
        <v>0</v>
      </c>
      <c r="EY173" s="1">
        <f>IF(OR(L173="RHI_ATTACK",L173="RHI_BUFF"),1,IF(L173="RHI_ULT",Boss参数!$B$52,0))</f>
        <v>0</v>
      </c>
      <c r="EZ173" s="1">
        <f>MIN(6,SUMIFS($EY$3:EY173,$EX$3:EX173,"&gt;="&amp;MAX(1,EX173-Boss参数!$B$87+1),$EX$3:EX173,"&lt;="&amp;EX173))</f>
        <v>0</v>
      </c>
      <c r="FA173" s="1">
        <f t="shared" si="208"/>
        <v>0</v>
      </c>
      <c r="FB173" s="17">
        <f>IF(L173="BOSS_CONSERVATIVE",B173+Boss参数!$B$91,FB172)</f>
        <v>7</v>
      </c>
      <c r="FC173" s="17">
        <f t="shared" si="209"/>
        <v>0</v>
      </c>
      <c r="FD173" s="17">
        <f>IF(D173="",FD172,FD172+IF(AND(DG173&lt;&gt;DG172,INDEX(回合状态!$C$7:$C$17,MATCH(DG173,回合状态!$A$7:$A$17,0))&lt;&gt;"洞穿"),1,0))</f>
        <v>8</v>
      </c>
      <c r="FE173" s="17">
        <f>IF(D173="",0,IF(AND(OR(L173="END_TURN",DH173="敌方"),INDEX(回合状态!$C$7:$C$17,MATCH(DG173,回合状态!$A$7:$A$17,0))&lt;&gt;"洞穿",SUMIFS($FE$3:FE172,$DG$3:DG172,DG173)=0),1,0))</f>
        <v>0</v>
      </c>
    </row>
    <row r="174" spans="1:161" ht="84.95" customHeight="1">
      <c r="A174" s="1" t="str">
        <f>行动模拟!A180</f>
        <v/>
      </c>
      <c r="B174" s="1">
        <f>IF(D174="",0,INDEX(回合状态!$B$7:$B$17,MATCH(DG174,回合状态!$A$7:$A$17,0)))</f>
        <v>0</v>
      </c>
      <c r="C174" s="1">
        <f>行动模拟!C180</f>
        <v>0</v>
      </c>
      <c r="D174" s="1" t="str">
        <f>IF(行动模拟!D180="","",行动模拟!D180)</f>
        <v/>
      </c>
      <c r="E174" s="1" t="str">
        <f>IF($D174="","",IFERROR(INDEX(技能数据库!$B$4:$B$38,MATCH($D174,技能数据库!$A$4:$A$38,0)),""))</f>
        <v/>
      </c>
      <c r="F174" s="1" t="str">
        <f>IF($D174="","",IFERROR(INDEX(技能数据库!$C$4:$C$38,MATCH($D174,技能数据库!$A$4:$A$38,0)),""))</f>
        <v/>
      </c>
      <c r="G174" s="1" t="str">
        <f>IF($D174="","",IFERROR(INDEX(技能数据库!$D$4:$D$38,MATCH($D174,技能数据库!$A$4:$A$38,0)),""))</f>
        <v/>
      </c>
      <c r="H174" s="1" t="str">
        <f>IF($D174="","",IFERROR(INDEX(技能数据库!$E$4:$E$38,MATCH($D174,技能数据库!$A$4:$A$38,0)),""))</f>
        <v/>
      </c>
      <c r="I174" s="1" t="str">
        <f>IF($D174="","",IFERROR(INDEX(技能数据库!$F$4:$F$38,MATCH($D174,技能数据库!$A$4:$A$38,0)),""))</f>
        <v/>
      </c>
      <c r="J174" s="1" t="str">
        <f>IF($D174="","",IFERROR(INDEX(技能数据库!$G$4:$G$38,MATCH($D174,技能数据库!$A$4:$A$38,0)),""))</f>
        <v/>
      </c>
      <c r="K174" s="1" t="str">
        <f>IF($D174="","",IFERROR(INDEX(技能数据库!$H$4:$H$38,MATCH($D174,技能数据库!$A$4:$A$38,0)),""))</f>
        <v/>
      </c>
      <c r="L174" s="1" t="str">
        <f>IF($D174="","",IFERROR(INDEX(技能数据库!$I$4:$I$38,MATCH($D174,技能数据库!$A$4:$A$38,0)),""))</f>
        <v/>
      </c>
      <c r="M174" s="1">
        <v>1</v>
      </c>
      <c r="N174" s="1"/>
      <c r="O174" s="1"/>
      <c r="P174" s="1"/>
      <c r="Q174" s="1">
        <f t="shared" si="140"/>
        <v>0</v>
      </c>
      <c r="R174" s="1">
        <v>0</v>
      </c>
      <c r="S174" s="1">
        <v>0</v>
      </c>
      <c r="T174" s="1">
        <f>行动模拟!I180</f>
        <v>0</v>
      </c>
      <c r="U174" s="1">
        <f>IF(FD174&lt;&gt;FD173,IF(BY173=1,IF(MIN(10,CA173+IF(AND(DG174&lt;&gt;DG173,DH173&lt;&gt;"洞穿",SUMIFS($FE$3:FE173,$DG$3:DG173,DG173)=0,BY173=1),3,0))&gt;=10,2,1),IF(BY173=2,IF(BZ173&lt;=1,0,2),0)),BY173)</f>
        <v>2</v>
      </c>
      <c r="V174" s="1">
        <f>IF(FD174&lt;&gt;FD173,IF(BY173=1,IF(MIN(10,CA173+IF(AND(DG174&lt;&gt;DG173,DH173&lt;&gt;"洞穿",SUMIFS($FE$3:FE173,$DG$3:DG173,DG173)=0,BY173=1),3,0))&gt;=10,2,0),IF(BY173=2,MAX(0,BZ173-1),0)),BZ173)</f>
        <v>1</v>
      </c>
      <c r="W174" s="1">
        <f>IF(AND(FD174&lt;&gt;FD173,BY173=2,BZ173&lt;=1),0,MIN(10,CA173+IF(AND(DG174&lt;&gt;DG173,DH173&lt;&gt;"洞穿",SUMIFS($FE$3:FE173,$DG$3:DG173,DG173)=0,BY173=1),3,0)))</f>
        <v>10</v>
      </c>
      <c r="X174" s="1">
        <f t="shared" si="182"/>
        <v>13</v>
      </c>
      <c r="Y174" s="1">
        <f t="shared" si="183"/>
        <v>0</v>
      </c>
      <c r="Z174" s="1">
        <f t="shared" si="184"/>
        <v>0</v>
      </c>
      <c r="AA174" s="1">
        <f t="shared" si="185"/>
        <v>0</v>
      </c>
      <c r="AB174" s="1">
        <f t="shared" si="186"/>
        <v>10</v>
      </c>
      <c r="AC174" s="1">
        <f t="shared" si="187"/>
        <v>1</v>
      </c>
      <c r="AD174" s="1">
        <f t="shared" si="188"/>
        <v>35</v>
      </c>
      <c r="AE174" s="1">
        <f>IF(D174="",0,IF(DG174&lt;&gt;DG173,IFERROR(INDEX(回合状态!$F$7:$F$17,MATCH(DG174,回合状态!$A$7:$A$17,0)),0),CI173))</f>
        <v>0</v>
      </c>
      <c r="AF174" s="1">
        <f t="shared" si="189"/>
        <v>0.875</v>
      </c>
      <c r="AG174" s="1">
        <f t="shared" si="190"/>
        <v>9</v>
      </c>
      <c r="AH174" s="1">
        <f t="shared" si="191"/>
        <v>9</v>
      </c>
      <c r="AI174" s="1">
        <f t="shared" si="192"/>
        <v>8</v>
      </c>
      <c r="AJ174" s="1">
        <f t="shared" si="193"/>
        <v>9</v>
      </c>
      <c r="AK174" s="1">
        <f t="shared" si="194"/>
        <v>8</v>
      </c>
      <c r="AL174" s="1">
        <f t="shared" si="195"/>
        <v>3</v>
      </c>
      <c r="AM174" s="1">
        <f t="shared" si="196"/>
        <v>30</v>
      </c>
      <c r="AN174" s="1">
        <f t="shared" si="197"/>
        <v>9</v>
      </c>
      <c r="AO174" s="1">
        <f t="shared" si="198"/>
        <v>0</v>
      </c>
      <c r="AP174" s="1" t="e">
        <f t="shared" si="199"/>
        <v>#VALUE!</v>
      </c>
      <c r="AQ174" s="1" t="e">
        <f t="shared" si="200"/>
        <v>#VALUE!</v>
      </c>
      <c r="AR174" s="1">
        <f t="shared" si="201"/>
        <v>0.3</v>
      </c>
      <c r="AS174" s="1">
        <f t="shared" si="202"/>
        <v>9</v>
      </c>
      <c r="AT174" s="1">
        <f t="shared" si="203"/>
        <v>0.3</v>
      </c>
      <c r="AU174" s="1">
        <f t="shared" si="204"/>
        <v>9</v>
      </c>
      <c r="AV174" s="1">
        <f>MIN(5,SUMIFS($EL$3:EL174,$B$3:B174,"&gt;="&amp;MAX(1,B174-2),$B$3:B174,"&lt;="&amp;B174)+EC174)</f>
        <v>0</v>
      </c>
      <c r="AW174" s="1">
        <f>MIN(6,SUMIFS($EY$3:EY173,$EX$3:EX173,"&gt;="&amp;MAX(1,EX174-Boss参数!$B$87+1),$EX$3:EX173,"&lt;="&amp;EX174))</f>
        <v>0</v>
      </c>
      <c r="AX174" s="1">
        <f>MIN(4,COUNTIFS($B$3:$B$173,"&gt;="&amp;MAX(1,$B174-2),$B$3:$B$173,"&lt;="&amp;$B174,$L$3:$L$173,"37_FOLLOW"))</f>
        <v>0</v>
      </c>
      <c r="AY174" s="1" t="str">
        <f>IF($E174="","",IF($E174="系统",0,ROUNDDOWN(INDEX(角色面板!$C$4:$C$7,MATCH($E174,角色面板!$A$4:$A$7,0))*(1+INDEX(角色面板!$C$11:$C$14,MATCH($E174,角色面板!$A$11:$A$14,0))+IF($E174="小瑞安侬",MAX(IF($B174&lt;=$AQ174,$AP174,0),IF(AND($L174="RHI_ATTACK",$EE174&gt;0),0.11+0.01*$G174,0)),0)+IF($E174="J",$AD174*Boss参数!$B$18,0))+IF(FD174&lt;=$AN174,MIN(Boss参数!$B$21,ROUNDDOWN(角色面板!$C$19*Boss参数!$B$20,0)),0)+IF(AND($B174&lt;=$AK174,$E174&lt;&gt;"小瑞安侬"),$DY174,0),0)))</f>
        <v/>
      </c>
      <c r="AZ174" s="1" t="str">
        <f>IF($E174="","",MAX(0,MIN(1,IFERROR(INDEX(角色面板!$G$18:$G$21,MATCH($E174,角色面板!$A$18:$A$21,0)),0)-FC174*Boss参数!$B$89-Boss参数!$E$4)))</f>
        <v/>
      </c>
      <c r="BA174" s="1" t="str">
        <f>IF(E174="","",(IF($E174="","",IF($E174="红弩箭",Boss参数!$B$80,IF($E174="J",Boss参数!$B$81,IFERROR(INDEX(角色面板!$H$18:$H$21,MATCH($E174,角色面板!$A$18:$A$21,0)),0)))+IF($B174&lt;=$AI174,Boss参数!$B$13,0)+MIN(30,$AM174)*Boss参数!$B$17+IF(AND($L174="LILYA_ULT",$X174&gt;=6),1,0)+IF(AND($Y174=1,$L174="LILYA_INSIGHT"),IF(MOD($AA174+1,3)=0,Boss参数!$B$83,Boss参数!$B$82),IF(AND($Y174=1,$L174="LILYA_FINISH"),Boss参数!$B$84,0))))-FC174*Boss参数!$B$90)</f>
        <v/>
      </c>
      <c r="BB174" s="1" t="str">
        <f>IF($E174="","",IFERROR(INDEX(角色面板!$M$18:$M$21,MATCH($E174,角色面板!$A$18:$A$21,0)),0)+$AW174*Boss参数!$B$12+IF($B174&lt;=$AG174,$AF174,0)+$EI174+IF($L174="LILYA_DIVE",IF($U174=1,IF($G174=1,0.3,IF($G174=2,0.4,0.5)),IF($U174=2,IF($G174=1,0.6,IF($G174=2,0.8,1)),0)),0)+$R174+IF(AND($E174="J",OR($L174="J_COUNTER",$L174="J_HARD")),Boss参数!$B$79,0)+IF(AND(OR(L174="J_COUNTER",L174="J_HARD"),FA174&gt;=Boss参数!$B$59),FA174*Boss参数!$B$40,0))</f>
        <v/>
      </c>
      <c r="BC174" s="1" t="e">
        <f>IF($E174="","",IFERROR(INDEX(角色面板!$K$18:$K$21,MATCH($E174,角色面板!$A$18:$A$21,0)),0)+IF($B174&lt;=$AH174,Boss参数!$B$46,0)+IF($E174="红弩箭",IF($U174=1,0.6,IF($U174=2,1.2,0))+$W174*0.06,0))-DI174*Boss参数!$B$23</f>
        <v>#VALUE!</v>
      </c>
      <c r="BD174" s="1" t="e">
        <f>IF($E174="","",IFERROR(INDEX(角色面板!$L$18:$L$21,MATCH($E174,角色面板!$A$18:$A$21,0)),0)+IF($B174&lt;=$AH174,Boss参数!$B$46,0)+IF($E174="J",$AL174*Boss参数!$B$16,0)+IF($E174="红弩箭",$X174*0.025,0)+IF(AND($L174="LILYA_ULT",$X174&gt;=6),1,0))-DI174*Boss参数!$B$23</f>
        <v>#VALUE!</v>
      </c>
      <c r="BE174" s="1" t="str">
        <f>IF($E174="","",IF($H174="洞知",IF($E174="红弩箭",$AO174*Boss参数!$B$15,0)+$AX174*Boss参数!$B$14,0))</f>
        <v/>
      </c>
      <c r="BF174" s="1">
        <f t="shared" si="141"/>
        <v>0</v>
      </c>
      <c r="BG174" s="1">
        <f>IF($D174="",0,IF(AND($L174&lt;&gt;"LILYA_DIVE",$L174&lt;&gt;"LILYA_ULT",$L174&lt;&gt;"LILYA_INSIGHT",$L174&lt;&gt;"LILYA_FINISH",$L174&lt;&gt;"37_FOLLOW",$L174&lt;&gt;"RHI_ATTACK",$L174&lt;&gt;"RHI_BERRY",$L174&lt;&gt;"J_COUNTER",$L174&lt;&gt;"J_ULT"),$J174,0)+IF($L174="LILYA_DIVE",$J174+IF($U174=1,IF($G174=1,6,IF($G174=2,12,18)),IF($U174=2,IF($G174=1,12,IF($G174=2,24,36)),0)),0)+IF($L174="LILYA_ULT",$J174+IF($X174&gt;=6,18,0),0)+IF($L174="LILYA_INSIGHT",IF($Y174=1,IF(MOD($AA174+1,3)=0,32,15),0),0)+IF($L174="LILYA_FINISH",IF($Y174=1,50+2.5*$Z174,0),0)+IF($L174="37_FOLLOW",$J174,0)+IF($L174="RHI_ATTACK",$J174*IF($B174&lt;=$AJ174,2,1),0)+IF($L174="RHI_BERRY",15+1.5*$AV174,0)+IF($L174="J_COUNTER",$J174+$AD174*Boss参数!$B$39,0)+IF($L174="J_ULT",$J174+Boss参数!$B$45*MAX(0,$AE174+$AD174-Boss参数!$I$4),0)+$S174)</f>
        <v>0</v>
      </c>
      <c r="BH174" s="1">
        <f t="shared" si="142"/>
        <v>0</v>
      </c>
      <c r="BI174" s="1" t="str">
        <f>IF(E174="","",IF(DT174=1,1+Boss参数!$B$8+AV174*Boss参数!$B$19,1))</f>
        <v/>
      </c>
      <c r="BJ174" s="1">
        <f>IF($I174="现实",Boss参数!$C$4,IF($I174="精神",Boss参数!$D$4,0))</f>
        <v>0</v>
      </c>
      <c r="BK174" s="1" t="str">
        <f>IF($E174="","",MAX($AY174*Boss参数!$B$9,$AY174-$BJ174*(1-$BF174)))</f>
        <v/>
      </c>
      <c r="BL174" s="1">
        <f>MAX(0,Boss参数!$F$4+IF(DT174=0,Boss参数!$B$27,0)-EJ174)</f>
        <v>1.25</v>
      </c>
      <c r="BM174" s="1">
        <f>Boss参数!$G$4+DU174-IF(Y174=1,Boss参数!$B$11,0)</f>
        <v>0.4</v>
      </c>
      <c r="BN174" s="1" t="str">
        <f>IF($E174="","",MAX(Boss参数!$B$10,1+IFERROR(INDEX(角色面板!$I$18:$I$21,MATCH($E174,角色面板!$A$18:$A$21,0)),0)+$BB174+Boss参数!$H$4-$BM174))</f>
        <v/>
      </c>
      <c r="BO174" s="1" t="str">
        <f>IF(E174="","",IF(OR(L174="J_COUNTER",L174="J_HARD"),MAX(0,1+INDEX(角色面板!$K$18:$K$21,MATCH(E174,角色面板!$A$18:$A$21,0))-DI174*Boss参数!$B$23+IF(OR(Boss参数!$B$43=1,L174="J_HARD"),IF(B174&lt;=AH174,Boss参数!$B$46,0),0)),MAX(0,IF(OR(H174="术法",L174="RHI_BERRY",AND(L174="37_FOLLOW",Boss参数!$B$31=1)),1+BC174,IF(H174="仪式",1+BD174,IF(H174="洞知",EK174,1))))))</f>
        <v/>
      </c>
      <c r="BP174" s="1" t="str">
        <f t="shared" si="143"/>
        <v/>
      </c>
      <c r="BQ174" s="1">
        <f t="shared" si="144"/>
        <v>0</v>
      </c>
      <c r="BR174" s="1">
        <f t="shared" si="145"/>
        <v>0</v>
      </c>
      <c r="BS174" s="1">
        <f>IF(BH174=0,0,ROUNDDOWN(AY174*BH174,0)*DV174*IF(Boss参数!$B$29=1,BN174,1)*IF(Boss参数!$B$33=1,BO174,1)*IF(Boss参数!$B$76=1,1-ES174,1))</f>
        <v>0</v>
      </c>
      <c r="BT174" s="1">
        <f t="shared" si="146"/>
        <v>0</v>
      </c>
      <c r="BU174" s="1">
        <f>IF(D174="",0,MIN(IF(Boss参数!$B$77=1,Boss参数!$B$63*Boss参数!$B$62,Boss参数!$B$61*Boss参数!$B$62),DW174+ROUNDDOWN(BS174,0)+ROUNDDOWN(DW174*Q174,0)))</f>
        <v>0</v>
      </c>
      <c r="BV174" s="1">
        <f>IF(D174="",0,MIN(IF(Boss参数!$B$77=1,Boss参数!$B$63*Boss参数!$B$62,Boss参数!$B$61*Boss参数!$B$62),DX174+ROUNDDOWN(BT174,0)+ROUNDDOWN(DX174*Q174,0)))</f>
        <v>0</v>
      </c>
      <c r="BW174" s="1">
        <f t="shared" si="147"/>
        <v>0</v>
      </c>
      <c r="BX174" s="1" t="str">
        <f t="shared" si="148"/>
        <v/>
      </c>
      <c r="BY174" s="1">
        <f t="shared" si="149"/>
        <v>2</v>
      </c>
      <c r="BZ174" s="1">
        <f t="shared" si="150"/>
        <v>1</v>
      </c>
      <c r="CA174" s="1">
        <f>MIN(10,W174+IF(AND(L174="LILYA_COBRA",COUNTIF($L$3:L174,"LILYA_COBRA")=1),5,0)+IF(AND(L174="LILYA_DIVE",U174=1,COUNTIFS($DG$3:DG174,DG174,$L$3:L174,"LILYA_DIVE")=1),2,0)+IF(AND(FE174=1,U174=1),3,0))</f>
        <v>10</v>
      </c>
      <c r="CB174" s="1">
        <f>MIN(20,MAX(0,X174+IF(L174="LILYA_COBRA",IF(COUNTIF($L$3:L174,"LILYA_COBRA")=1,6,IF(U174=1,MAX(1,G174),IF(U174=2,2*MAX(1,G174),0))),0)+IF(AND(Y174=1,E174="红弩箭",L174&lt;&gt;"ENTER_INSIGHT"),1,0)-IF(AND(L174="LILYA_ULT",X174&gt;=6),6,0)))</f>
        <v>13</v>
      </c>
      <c r="CC174" s="1">
        <f t="shared" si="151"/>
        <v>0</v>
      </c>
      <c r="CD174" s="1">
        <f t="shared" si="152"/>
        <v>0</v>
      </c>
      <c r="CE174" s="1">
        <f t="shared" si="153"/>
        <v>0</v>
      </c>
      <c r="CF174" s="1">
        <f t="shared" si="154"/>
        <v>10</v>
      </c>
      <c r="CG174" s="1">
        <f t="shared" si="155"/>
        <v>1</v>
      </c>
      <c r="CH174" s="1">
        <f>MIN(35,AD174+IF(L174="J_HARD",6,0)+IF(L174="J_COUNTER",Boss参数!$B$30,0))</f>
        <v>35</v>
      </c>
      <c r="CI174" s="1">
        <f>MIN(Boss参数!$I$4,AE174+IF(L174="J_HARD",6,0)+IF(L174="J_ULT",AD174,0)+IF(L174="J_COUNTER",Boss参数!$B$30,0))</f>
        <v>0</v>
      </c>
      <c r="CJ174" s="1">
        <f>IF(L174="J_ULT",AD174*Boss参数!$B$41,IF(B174&lt;=AG174,AF174,0))</f>
        <v>0.875</v>
      </c>
      <c r="CK174" s="1">
        <f t="shared" si="156"/>
        <v>9</v>
      </c>
      <c r="CL174" s="1">
        <f t="shared" si="157"/>
        <v>9</v>
      </c>
      <c r="CM174" s="1">
        <f t="shared" si="158"/>
        <v>8</v>
      </c>
      <c r="CN174" s="1">
        <f t="shared" si="159"/>
        <v>9</v>
      </c>
      <c r="CO174" s="1">
        <f t="shared" si="160"/>
        <v>8</v>
      </c>
      <c r="CP174" s="1">
        <f t="shared" si="161"/>
        <v>3</v>
      </c>
      <c r="CQ174" s="1">
        <f t="shared" si="162"/>
        <v>30</v>
      </c>
      <c r="CR174" s="1">
        <f t="shared" si="163"/>
        <v>9</v>
      </c>
      <c r="CS174" s="1">
        <f t="shared" si="164"/>
        <v>0</v>
      </c>
      <c r="CT174" s="1" t="e">
        <f t="shared" si="165"/>
        <v>#VALUE!</v>
      </c>
      <c r="CU174" s="1" t="e">
        <f t="shared" si="166"/>
        <v>#VALUE!</v>
      </c>
      <c r="CV174" s="1">
        <f t="shared" si="167"/>
        <v>0.3</v>
      </c>
      <c r="CW174" s="1">
        <f t="shared" si="168"/>
        <v>9</v>
      </c>
      <c r="CX174" s="1">
        <f t="shared" si="169"/>
        <v>0.3</v>
      </c>
      <c r="CY174" s="1">
        <f t="shared" si="170"/>
        <v>9</v>
      </c>
      <c r="CZ174" s="1"/>
      <c r="DA174" s="1"/>
      <c r="DB174" s="1"/>
      <c r="DC174" s="1"/>
      <c r="DD174" s="1"/>
      <c r="DE174" s="1"/>
      <c r="DF174" s="1"/>
      <c r="DG174" s="1" t="str">
        <f>IF(D174="","",行动模拟!B180)</f>
        <v/>
      </c>
      <c r="DH174" s="1" t="str">
        <f>IF(L174="END_TURN","回合结束",IF(D174="","",IF(INDEX(回合状态!$C$7:$C$17,MATCH(DG174,回合状态!$A$7:$A$17,0))="洞穿","洞穿",IF(OR(L174="J_COUNTER",L174="BOSS_ACTION",L174="BOSS_CONSERVATIVE"),"敌方",IF(AND(L174="37_FOLLOW",DG174=DG173,DH173="敌方"),"敌方",IF(INDEX(回合状态!$C$7:$C$17,MATCH(DG174,回合状态!$A$7:$A$17,0))="普通","出牌",INDEX(回合状态!$C$7:$C$17,MATCH(DG174,回合状态!$A$7:$A$17,0))))))))</f>
        <v/>
      </c>
      <c r="DI174" s="1">
        <f t="shared" si="171"/>
        <v>0</v>
      </c>
      <c r="DJ174" s="1">
        <f>IF(D174="",0,MIN(Boss参数!$B$25,IF(OR(AND(DH174="敌方",OR(DH173&lt;&gt;"敌方",DG174&lt;&gt;DG173)),AND(L174="END_TURN",DH174&lt;&gt;"洞穿"),AND(DG174&lt;&gt;DG173,DH173&lt;&gt;"洞穿",L173&lt;&gt;"END_TURN",COUNTIFS($DG$3:DG173,DG173,$DH$3:DH173,"敌方")=0)),EW174,DN173)))</f>
        <v>0</v>
      </c>
      <c r="DK174" s="1">
        <f>IF(D174="",0,MIN(Boss参数!$B$25,IF(OR(AND(DH174="敌方",OR(DH173&lt;&gt;"敌方",DG174&lt;&gt;DG173)),AND(L174="END_TURN",DH174&lt;&gt;"洞穿"),AND(DG174&lt;&gt;DG173,DH173&lt;&gt;"洞穿",L173&lt;&gt;"END_TURN",COUNTIFS($DG$3:DG173,DG173,$DH$3:DH173,"敌方")=0)),EW174,DO173)))</f>
        <v>0</v>
      </c>
      <c r="DL174" s="1">
        <f>IF(D174="",0,MIN(Boss参数!$B$25,IF(OR(AND(DH174="敌方",OR(DH173&lt;&gt;"敌方",DG174&lt;&gt;DG173)),AND(L174="END_TURN",DH174&lt;&gt;"洞穿"),AND(DG174&lt;&gt;DG173,DH173&lt;&gt;"洞穿",L173&lt;&gt;"END_TURN",COUNTIFS($DG$3:DG173,DG173,$DH$3:DH173,"敌方")=0)),EW174,DP173)))</f>
        <v>0</v>
      </c>
      <c r="DM174" s="1">
        <f>IF(D174="",0,MIN(Boss参数!$B$25,IF(OR(AND(DH174="敌方",OR(DH173&lt;&gt;"敌方",DG174&lt;&gt;DG173)),AND(L174="END_TURN",DH174&lt;&gt;"洞穿"),AND(DG174&lt;&gt;DG173,DH173&lt;&gt;"洞穿",L173&lt;&gt;"END_TURN",COUNTIFS($DG$3:DG173,DG173,$DH$3:DH173,"敌方")=0)),EW174,DQ173)))</f>
        <v>0</v>
      </c>
      <c r="DN174" s="1">
        <f>MAX(0,MIN(Boss参数!$B$25,DJ174+DR174)-IF(E174="红弩箭",2*DR174,0))</f>
        <v>0</v>
      </c>
      <c r="DO174" s="1">
        <f>MAX(0,MIN(Boss参数!$B$25,DK174+DR174)-IF(E174="37",2*DR174,0))</f>
        <v>0</v>
      </c>
      <c r="DP174" s="1">
        <f>MAX(0,MIN(Boss参数!$B$25,DL174+DR174)-IF(E174="小瑞安侬",2*DR174,0))</f>
        <v>0</v>
      </c>
      <c r="DQ174" s="1">
        <f>MAX(0,MIN(Boss参数!$B$25,DM174+DR174)-IF(E174="J",2*DR174,0))</f>
        <v>0</v>
      </c>
      <c r="DR174" s="1">
        <f t="shared" si="172"/>
        <v>0</v>
      </c>
      <c r="DS174" s="1">
        <f t="shared" si="173"/>
        <v>0</v>
      </c>
      <c r="DT174" s="1">
        <f>IF(OR(E174="",E174="系统"),0,IF(OR(AND(DS174=1,Boss参数!$B$32=1),L174="RHI_BERRY",OR(AND(INDEX(角色面板!$B$18:$B$21,MATCH(E174,角色面板!$A$18:$A$21,0))="星",Boss参数!$B$4="岩"),AND(INDEX(角色面板!$B$18:$B$21,MATCH(E174,角色面板!$A$18:$A$21,0))="岩",Boss参数!$B$4="兽"),AND(INDEX(角色面板!$B$18:$B$21,MATCH(E174,角色面板!$A$18:$A$21,0))="兽",Boss参数!$B$4="木"),AND(INDEX(角色面板!$B$18:$B$21,MATCH(E174,角色面板!$A$18:$A$21,0))="木",Boss参数!$B$4="星"),AND(INDEX(角色面板!$B$18:$B$21,MATCH(E174,角色面板!$A$18:$A$21,0))="智",Boss参数!$B$4="灵"),AND(INDEX(角色面板!$B$18:$B$21,MATCH(E174,角色面板!$A$18:$A$21,0))="灵",Boss参数!$B$4="智"))),1,0))</f>
        <v>0</v>
      </c>
      <c r="DU174" s="1">
        <f>IF(D174="",0,INDEX(回合状态!$E$7:$E$17,MATCH(DG174,回合状态!$A$7:$A$17,0))+IF(AND(DH174="敌方",OR(INDEX(回合状态!$C$7:$C$17,MATCH(DG174,回合状态!$A$7:$A$17,0))="普通",INDEX(回合状态!$C$7:$C$17,MATCH(DG174,回合状态!$A$7:$A$17,0))="额外")),0.05,0))</f>
        <v>0</v>
      </c>
      <c r="DV174" s="1">
        <f>MAX(Boss参数!$B$28,1+IF(AND(E174="37",AC174&gt;0,BH174&gt;0),Boss参数!$B$42,0)-DI174*Boss参数!$B$24+EA174-ER174)</f>
        <v>9.9999999999999978E-2</v>
      </c>
      <c r="DW174" s="1">
        <f>MIN(IF(Boss参数!$B$77=1,Boss参数!$B$63*Boss参数!$B$62,Boss参数!$B$61*Boss参数!$B$62),ROUNDDOWN(BQ174*(1-ES174),0))</f>
        <v>0</v>
      </c>
      <c r="DX174" s="1">
        <f>MIN(IF(Boss参数!$B$77=1,Boss参数!$B$63*Boss参数!$B$62,Boss参数!$B$61*Boss参数!$B$62),ROUNDDOWN(BR174*(1-ES174),0))</f>
        <v>0</v>
      </c>
      <c r="DY174" s="1">
        <f t="shared" si="205"/>
        <v>250</v>
      </c>
      <c r="DZ174" s="1">
        <f>IF(L174="RHI_ULT",MIN(Boss参数!$B$48,ROUNDDOWN(AY174*Boss参数!$B$47,0)),DY174)</f>
        <v>250</v>
      </c>
      <c r="EA174" s="1">
        <v>0</v>
      </c>
      <c r="EB174" s="1">
        <f t="shared" si="174"/>
        <v>0</v>
      </c>
      <c r="EC174" s="1">
        <f>SUMIFS($EB$3:EB174,$B$3:B174,"&gt;="&amp;MAX(1,B174-2),$B$3:B174,"&lt;="&amp;B174)*Boss参数!$B$51</f>
        <v>0</v>
      </c>
      <c r="ED174" s="1">
        <f>IF(D174="",EG173,IF(AND(DG174&lt;&gt;DG173,DH174&lt;&gt;"洞穿"),MIN(Boss参数!$B$55,EG173+2),EG173))</f>
        <v>0</v>
      </c>
      <c r="EE174" s="1">
        <f t="shared" si="175"/>
        <v>0</v>
      </c>
      <c r="EF174" s="1">
        <f>IF(AND(OR(L174="END_TURN",AND(DH174="敌方",OR(DH173&lt;&gt;"敌方",DG174&lt;&gt;DG173))),SUMIFS($EF$3:EF173,$DG$3:DG173,DG174)=0),MIN(1,MAX(0,ED174-EE174)),0)</f>
        <v>0</v>
      </c>
      <c r="EG174" s="1">
        <f t="shared" si="176"/>
        <v>0</v>
      </c>
      <c r="EH174" s="1">
        <f>Boss参数!$B$53-IF(Y174=1,Boss参数!$B$54,0)</f>
        <v>0</v>
      </c>
      <c r="EI174" s="1">
        <f t="shared" si="177"/>
        <v>0.15</v>
      </c>
      <c r="EJ174" s="1">
        <f t="shared" si="178"/>
        <v>0.15</v>
      </c>
      <c r="EK174" s="1" t="e">
        <f t="shared" si="179"/>
        <v>#VALUE!</v>
      </c>
      <c r="EL174" s="1">
        <f t="shared" si="206"/>
        <v>0</v>
      </c>
      <c r="EM174" s="1">
        <f>IF(AND(DG174&lt;&gt;DG173,DH174="洞穿"),0,IF(L174="ENTER_INSIGHT",Boss参数!$B$57,EO173))</f>
        <v>0</v>
      </c>
      <c r="EN174" s="1">
        <f>IF(AND(Y174=1,H174="洞知",EM174&gt;0),Boss参数!$B$56,0)</f>
        <v>0</v>
      </c>
      <c r="EO174" s="1">
        <f t="shared" si="180"/>
        <v>0</v>
      </c>
      <c r="EP174" s="1">
        <f t="shared" si="207"/>
        <v>23210479</v>
      </c>
      <c r="EQ174" s="1">
        <f>ROUNDDOWN(EP174/Boss参数!$B$62,0)</f>
        <v>232</v>
      </c>
      <c r="ER174" s="1">
        <f>IF(EQ174&gt;=Boss参数!$B$66,Boss参数!$B$69,IF(EQ174&gt;=Boss参数!$B$65,Boss参数!$B$68,IF(EQ174&gt;=Boss参数!$B$64,Boss参数!$B$67,0)))</f>
        <v>0.9</v>
      </c>
      <c r="ES174" s="1">
        <f>MIN(1,IF(EQ174&gt;=Boss参数!$B$66,Boss参数!$B$72+ROUNDDOWN((EQ174-Boss参数!$B$66)/Boss参数!$B$73,0)*Boss参数!$B$74,IF(EQ174&gt;=Boss参数!$B$65,Boss参数!$B$71,IF(EQ174&gt;=Boss参数!$B$64,Boss参数!$B$70,0))))</f>
        <v>0.65</v>
      </c>
      <c r="ET174" s="1">
        <f>MIN(Boss参数!$B$61*Boss参数!$B$62,EP174+IF(AND(Boss参数!$B$60=1,ISNUMBER(验证表!H180)),验证表!H180,EU174))</f>
        <v>23210479</v>
      </c>
      <c r="EU174" s="1">
        <f>IF(D174="",0,IF(验证表!G180="是",BV174,IF(验证表!G180="否",BU174,BW174)))</f>
        <v>0</v>
      </c>
      <c r="EV174" s="1">
        <f>IF(EQ174&gt;=Boss参数!$B$66,2,IF(EQ174&gt;=Boss参数!$B$65,1,0))</f>
        <v>2</v>
      </c>
      <c r="EW174" s="1">
        <f t="shared" si="181"/>
        <v>3</v>
      </c>
      <c r="EX174" s="1">
        <f>IF(D174="",0,INDEX(回合状态!$D$7:$D$17,MATCH(DG174,回合状态!$A$7:$A$17,0)))</f>
        <v>0</v>
      </c>
      <c r="EY174" s="1">
        <f>IF(OR(L174="RHI_ATTACK",L174="RHI_BUFF"),1,IF(L174="RHI_ULT",Boss参数!$B$52,0))</f>
        <v>0</v>
      </c>
      <c r="EZ174" s="1">
        <f>MIN(6,SUMIFS($EY$3:EY174,$EX$3:EX174,"&gt;="&amp;MAX(1,EX174-Boss参数!$B$87+1),$EX$3:EX174,"&lt;="&amp;EX174))</f>
        <v>0</v>
      </c>
      <c r="FA174" s="1">
        <f t="shared" si="208"/>
        <v>0</v>
      </c>
      <c r="FB174" s="17">
        <f>IF(L174="BOSS_CONSERVATIVE",B174+Boss参数!$B$91,FB173)</f>
        <v>7</v>
      </c>
      <c r="FC174" s="17">
        <f t="shared" si="209"/>
        <v>0</v>
      </c>
      <c r="FD174" s="17">
        <f>IF(D174="",FD173,FD173+IF(AND(DG174&lt;&gt;DG173,INDEX(回合状态!$C$7:$C$17,MATCH(DG174,回合状态!$A$7:$A$17,0))&lt;&gt;"洞穿"),1,0))</f>
        <v>8</v>
      </c>
      <c r="FE174" s="17">
        <f>IF(D174="",0,IF(AND(OR(L174="END_TURN",DH174="敌方"),INDEX(回合状态!$C$7:$C$17,MATCH(DG174,回合状态!$A$7:$A$17,0))&lt;&gt;"洞穿",SUMIFS($FE$3:FE173,$DG$3:DG173,DG174)=0),1,0))</f>
        <v>0</v>
      </c>
    </row>
    <row r="175" spans="1:161" ht="84.95" customHeight="1">
      <c r="A175" s="1" t="str">
        <f>行动模拟!A181</f>
        <v/>
      </c>
      <c r="B175" s="1">
        <f>IF(D175="",0,INDEX(回合状态!$B$7:$B$17,MATCH(DG175,回合状态!$A$7:$A$17,0)))</f>
        <v>0</v>
      </c>
      <c r="C175" s="1">
        <f>行动模拟!C181</f>
        <v>0</v>
      </c>
      <c r="D175" s="1" t="str">
        <f>IF(行动模拟!D181="","",行动模拟!D181)</f>
        <v/>
      </c>
      <c r="E175" s="1" t="str">
        <f>IF($D175="","",IFERROR(INDEX(技能数据库!$B$4:$B$38,MATCH($D175,技能数据库!$A$4:$A$38,0)),""))</f>
        <v/>
      </c>
      <c r="F175" s="1" t="str">
        <f>IF($D175="","",IFERROR(INDEX(技能数据库!$C$4:$C$38,MATCH($D175,技能数据库!$A$4:$A$38,0)),""))</f>
        <v/>
      </c>
      <c r="G175" s="1" t="str">
        <f>IF($D175="","",IFERROR(INDEX(技能数据库!$D$4:$D$38,MATCH($D175,技能数据库!$A$4:$A$38,0)),""))</f>
        <v/>
      </c>
      <c r="H175" s="1" t="str">
        <f>IF($D175="","",IFERROR(INDEX(技能数据库!$E$4:$E$38,MATCH($D175,技能数据库!$A$4:$A$38,0)),""))</f>
        <v/>
      </c>
      <c r="I175" s="1" t="str">
        <f>IF($D175="","",IFERROR(INDEX(技能数据库!$F$4:$F$38,MATCH($D175,技能数据库!$A$4:$A$38,0)),""))</f>
        <v/>
      </c>
      <c r="J175" s="1" t="str">
        <f>IF($D175="","",IFERROR(INDEX(技能数据库!$G$4:$G$38,MATCH($D175,技能数据库!$A$4:$A$38,0)),""))</f>
        <v/>
      </c>
      <c r="K175" s="1" t="str">
        <f>IF($D175="","",IFERROR(INDEX(技能数据库!$H$4:$H$38,MATCH($D175,技能数据库!$A$4:$A$38,0)),""))</f>
        <v/>
      </c>
      <c r="L175" s="1" t="str">
        <f>IF($D175="","",IFERROR(INDEX(技能数据库!$I$4:$I$38,MATCH($D175,技能数据库!$A$4:$A$38,0)),""))</f>
        <v/>
      </c>
      <c r="M175" s="1">
        <v>1</v>
      </c>
      <c r="N175" s="1"/>
      <c r="O175" s="1"/>
      <c r="P175" s="1"/>
      <c r="Q175" s="1">
        <f t="shared" si="140"/>
        <v>0</v>
      </c>
      <c r="R175" s="1">
        <v>0</v>
      </c>
      <c r="S175" s="1">
        <v>0</v>
      </c>
      <c r="T175" s="1">
        <f>行动模拟!I181</f>
        <v>0</v>
      </c>
      <c r="U175" s="1">
        <f>IF(FD175&lt;&gt;FD174,IF(BY174=1,IF(MIN(10,CA174+IF(AND(DG175&lt;&gt;DG174,DH174&lt;&gt;"洞穿",SUMIFS($FE$3:FE174,$DG$3:DG174,DG174)=0,BY174=1),3,0))&gt;=10,2,1),IF(BY174=2,IF(BZ174&lt;=1,0,2),0)),BY174)</f>
        <v>2</v>
      </c>
      <c r="V175" s="1">
        <f>IF(FD175&lt;&gt;FD174,IF(BY174=1,IF(MIN(10,CA174+IF(AND(DG175&lt;&gt;DG174,DH174&lt;&gt;"洞穿",SUMIFS($FE$3:FE174,$DG$3:DG174,DG174)=0,BY174=1),3,0))&gt;=10,2,0),IF(BY174=2,MAX(0,BZ174-1),0)),BZ174)</f>
        <v>1</v>
      </c>
      <c r="W175" s="1">
        <f>IF(AND(FD175&lt;&gt;FD174,BY174=2,BZ174&lt;=1),0,MIN(10,CA174+IF(AND(DG175&lt;&gt;DG174,DH174&lt;&gt;"洞穿",SUMIFS($FE$3:FE174,$DG$3:DG174,DG174)=0,BY174=1),3,0)))</f>
        <v>10</v>
      </c>
      <c r="X175" s="1">
        <f t="shared" si="182"/>
        <v>13</v>
      </c>
      <c r="Y175" s="1">
        <f t="shared" si="183"/>
        <v>0</v>
      </c>
      <c r="Z175" s="1">
        <f t="shared" si="184"/>
        <v>0</v>
      </c>
      <c r="AA175" s="1">
        <f t="shared" si="185"/>
        <v>0</v>
      </c>
      <c r="AB175" s="1">
        <f t="shared" si="186"/>
        <v>10</v>
      </c>
      <c r="AC175" s="1">
        <f t="shared" si="187"/>
        <v>1</v>
      </c>
      <c r="AD175" s="1">
        <f t="shared" si="188"/>
        <v>35</v>
      </c>
      <c r="AE175" s="1">
        <f>IF(D175="",0,IF(DG175&lt;&gt;DG174,IFERROR(INDEX(回合状态!$F$7:$F$17,MATCH(DG175,回合状态!$A$7:$A$17,0)),0),CI174))</f>
        <v>0</v>
      </c>
      <c r="AF175" s="1">
        <f t="shared" si="189"/>
        <v>0.875</v>
      </c>
      <c r="AG175" s="1">
        <f t="shared" si="190"/>
        <v>9</v>
      </c>
      <c r="AH175" s="1">
        <f t="shared" si="191"/>
        <v>9</v>
      </c>
      <c r="AI175" s="1">
        <f t="shared" si="192"/>
        <v>8</v>
      </c>
      <c r="AJ175" s="1">
        <f t="shared" si="193"/>
        <v>9</v>
      </c>
      <c r="AK175" s="1">
        <f t="shared" si="194"/>
        <v>8</v>
      </c>
      <c r="AL175" s="1">
        <f t="shared" si="195"/>
        <v>3</v>
      </c>
      <c r="AM175" s="1">
        <f t="shared" si="196"/>
        <v>30</v>
      </c>
      <c r="AN175" s="1">
        <f t="shared" si="197"/>
        <v>9</v>
      </c>
      <c r="AO175" s="1">
        <f t="shared" si="198"/>
        <v>0</v>
      </c>
      <c r="AP175" s="1" t="e">
        <f t="shared" si="199"/>
        <v>#VALUE!</v>
      </c>
      <c r="AQ175" s="1" t="e">
        <f t="shared" si="200"/>
        <v>#VALUE!</v>
      </c>
      <c r="AR175" s="1">
        <f t="shared" si="201"/>
        <v>0.3</v>
      </c>
      <c r="AS175" s="1">
        <f t="shared" si="202"/>
        <v>9</v>
      </c>
      <c r="AT175" s="1">
        <f t="shared" si="203"/>
        <v>0.3</v>
      </c>
      <c r="AU175" s="1">
        <f t="shared" si="204"/>
        <v>9</v>
      </c>
      <c r="AV175" s="1">
        <f>MIN(5,SUMIFS($EL$3:EL175,$B$3:B175,"&gt;="&amp;MAX(1,B175-2),$B$3:B175,"&lt;="&amp;B175)+EC175)</f>
        <v>0</v>
      </c>
      <c r="AW175" s="1">
        <f>MIN(6,SUMIFS($EY$3:EY174,$EX$3:EX174,"&gt;="&amp;MAX(1,EX175-Boss参数!$B$87+1),$EX$3:EX174,"&lt;="&amp;EX175))</f>
        <v>0</v>
      </c>
      <c r="AX175" s="1">
        <f>MIN(4,COUNTIFS($B$3:$B$174,"&gt;="&amp;MAX(1,$B175-2),$B$3:$B$174,"&lt;="&amp;$B175,$L$3:$L$174,"37_FOLLOW"))</f>
        <v>0</v>
      </c>
      <c r="AY175" s="1" t="str">
        <f>IF($E175="","",IF($E175="系统",0,ROUNDDOWN(INDEX(角色面板!$C$4:$C$7,MATCH($E175,角色面板!$A$4:$A$7,0))*(1+INDEX(角色面板!$C$11:$C$14,MATCH($E175,角色面板!$A$11:$A$14,0))+IF($E175="小瑞安侬",MAX(IF($B175&lt;=$AQ175,$AP175,0),IF(AND($L175="RHI_ATTACK",$EE175&gt;0),0.11+0.01*$G175,0)),0)+IF($E175="J",$AD175*Boss参数!$B$18,0))+IF(FD175&lt;=$AN175,MIN(Boss参数!$B$21,ROUNDDOWN(角色面板!$C$19*Boss参数!$B$20,0)),0)+IF(AND($B175&lt;=$AK175,$E175&lt;&gt;"小瑞安侬"),$DY175,0),0)))</f>
        <v/>
      </c>
      <c r="AZ175" s="1" t="str">
        <f>IF($E175="","",MAX(0,MIN(1,IFERROR(INDEX(角色面板!$G$18:$G$21,MATCH($E175,角色面板!$A$18:$A$21,0)),0)-FC175*Boss参数!$B$89-Boss参数!$E$4)))</f>
        <v/>
      </c>
      <c r="BA175" s="1" t="str">
        <f>IF(E175="","",(IF($E175="","",IF($E175="红弩箭",Boss参数!$B$80,IF($E175="J",Boss参数!$B$81,IFERROR(INDEX(角色面板!$H$18:$H$21,MATCH($E175,角色面板!$A$18:$A$21,0)),0)))+IF($B175&lt;=$AI175,Boss参数!$B$13,0)+MIN(30,$AM175)*Boss参数!$B$17+IF(AND($L175="LILYA_ULT",$X175&gt;=6),1,0)+IF(AND($Y175=1,$L175="LILYA_INSIGHT"),IF(MOD($AA175+1,3)=0,Boss参数!$B$83,Boss参数!$B$82),IF(AND($Y175=1,$L175="LILYA_FINISH"),Boss参数!$B$84,0))))-FC175*Boss参数!$B$90)</f>
        <v/>
      </c>
      <c r="BB175" s="1" t="str">
        <f>IF($E175="","",IFERROR(INDEX(角色面板!$M$18:$M$21,MATCH($E175,角色面板!$A$18:$A$21,0)),0)+$AW175*Boss参数!$B$12+IF($B175&lt;=$AG175,$AF175,0)+$EI175+IF($L175="LILYA_DIVE",IF($U175=1,IF($G175=1,0.3,IF($G175=2,0.4,0.5)),IF($U175=2,IF($G175=1,0.6,IF($G175=2,0.8,1)),0)),0)+$R175+IF(AND($E175="J",OR($L175="J_COUNTER",$L175="J_HARD")),Boss参数!$B$79,0)+IF(AND(OR(L175="J_COUNTER",L175="J_HARD"),FA175&gt;=Boss参数!$B$59),FA175*Boss参数!$B$40,0))</f>
        <v/>
      </c>
      <c r="BC175" s="1" t="e">
        <f>IF($E175="","",IFERROR(INDEX(角色面板!$K$18:$K$21,MATCH($E175,角色面板!$A$18:$A$21,0)),0)+IF($B175&lt;=$AH175,Boss参数!$B$46,0)+IF($E175="红弩箭",IF($U175=1,0.6,IF($U175=2,1.2,0))+$W175*0.06,0))-DI175*Boss参数!$B$23</f>
        <v>#VALUE!</v>
      </c>
      <c r="BD175" s="1" t="e">
        <f>IF($E175="","",IFERROR(INDEX(角色面板!$L$18:$L$21,MATCH($E175,角色面板!$A$18:$A$21,0)),0)+IF($B175&lt;=$AH175,Boss参数!$B$46,0)+IF($E175="J",$AL175*Boss参数!$B$16,0)+IF($E175="红弩箭",$X175*0.025,0)+IF(AND($L175="LILYA_ULT",$X175&gt;=6),1,0))-DI175*Boss参数!$B$23</f>
        <v>#VALUE!</v>
      </c>
      <c r="BE175" s="1" t="str">
        <f>IF($E175="","",IF($H175="洞知",IF($E175="红弩箭",$AO175*Boss参数!$B$15,0)+$AX175*Boss参数!$B$14,0))</f>
        <v/>
      </c>
      <c r="BF175" s="1">
        <f t="shared" si="141"/>
        <v>0</v>
      </c>
      <c r="BG175" s="1">
        <f>IF($D175="",0,IF(AND($L175&lt;&gt;"LILYA_DIVE",$L175&lt;&gt;"LILYA_ULT",$L175&lt;&gt;"LILYA_INSIGHT",$L175&lt;&gt;"LILYA_FINISH",$L175&lt;&gt;"37_FOLLOW",$L175&lt;&gt;"RHI_ATTACK",$L175&lt;&gt;"RHI_BERRY",$L175&lt;&gt;"J_COUNTER",$L175&lt;&gt;"J_ULT"),$J175,0)+IF($L175="LILYA_DIVE",$J175+IF($U175=1,IF($G175=1,6,IF($G175=2,12,18)),IF($U175=2,IF($G175=1,12,IF($G175=2,24,36)),0)),0)+IF($L175="LILYA_ULT",$J175+IF($X175&gt;=6,18,0),0)+IF($L175="LILYA_INSIGHT",IF($Y175=1,IF(MOD($AA175+1,3)=0,32,15),0),0)+IF($L175="LILYA_FINISH",IF($Y175=1,50+2.5*$Z175,0),0)+IF($L175="37_FOLLOW",$J175,0)+IF($L175="RHI_ATTACK",$J175*IF($B175&lt;=$AJ175,2,1),0)+IF($L175="RHI_BERRY",15+1.5*$AV175,0)+IF($L175="J_COUNTER",$J175+$AD175*Boss参数!$B$39,0)+IF($L175="J_ULT",$J175+Boss参数!$B$45*MAX(0,$AE175+$AD175-Boss参数!$I$4),0)+$S175)</f>
        <v>0</v>
      </c>
      <c r="BH175" s="1">
        <f t="shared" si="142"/>
        <v>0</v>
      </c>
      <c r="BI175" s="1" t="str">
        <f>IF(E175="","",IF(DT175=1,1+Boss参数!$B$8+AV175*Boss参数!$B$19,1))</f>
        <v/>
      </c>
      <c r="BJ175" s="1">
        <f>IF($I175="现实",Boss参数!$C$4,IF($I175="精神",Boss参数!$D$4,0))</f>
        <v>0</v>
      </c>
      <c r="BK175" s="1" t="str">
        <f>IF($E175="","",MAX($AY175*Boss参数!$B$9,$AY175-$BJ175*(1-$BF175)))</f>
        <v/>
      </c>
      <c r="BL175" s="1">
        <f>MAX(0,Boss参数!$F$4+IF(DT175=0,Boss参数!$B$27,0)-EJ175)</f>
        <v>1.25</v>
      </c>
      <c r="BM175" s="1">
        <f>Boss参数!$G$4+DU175-IF(Y175=1,Boss参数!$B$11,0)</f>
        <v>0.4</v>
      </c>
      <c r="BN175" s="1" t="str">
        <f>IF($E175="","",MAX(Boss参数!$B$10,1+IFERROR(INDEX(角色面板!$I$18:$I$21,MATCH($E175,角色面板!$A$18:$A$21,0)),0)+$BB175+Boss参数!$H$4-$BM175))</f>
        <v/>
      </c>
      <c r="BO175" s="1" t="str">
        <f>IF(E175="","",IF(OR(L175="J_COUNTER",L175="J_HARD"),MAX(0,1+INDEX(角色面板!$K$18:$K$21,MATCH(E175,角色面板!$A$18:$A$21,0))-DI175*Boss参数!$B$23+IF(OR(Boss参数!$B$43=1,L175="J_HARD"),IF(B175&lt;=AH175,Boss参数!$B$46,0),0)),MAX(0,IF(OR(H175="术法",L175="RHI_BERRY",AND(L175="37_FOLLOW",Boss参数!$B$31=1)),1+BC175,IF(H175="仪式",1+BD175,IF(H175="洞知",EK175,1))))))</f>
        <v/>
      </c>
      <c r="BP175" s="1" t="str">
        <f t="shared" si="143"/>
        <v/>
      </c>
      <c r="BQ175" s="1">
        <f t="shared" si="144"/>
        <v>0</v>
      </c>
      <c r="BR175" s="1">
        <f t="shared" si="145"/>
        <v>0</v>
      </c>
      <c r="BS175" s="1">
        <f>IF(BH175=0,0,ROUNDDOWN(AY175*BH175,0)*DV175*IF(Boss参数!$B$29=1,BN175,1)*IF(Boss参数!$B$33=1,BO175,1)*IF(Boss参数!$B$76=1,1-ES175,1))</f>
        <v>0</v>
      </c>
      <c r="BT175" s="1">
        <f t="shared" si="146"/>
        <v>0</v>
      </c>
      <c r="BU175" s="1">
        <f>IF(D175="",0,MIN(IF(Boss参数!$B$77=1,Boss参数!$B$63*Boss参数!$B$62,Boss参数!$B$61*Boss参数!$B$62),DW175+ROUNDDOWN(BS175,0)+ROUNDDOWN(DW175*Q175,0)))</f>
        <v>0</v>
      </c>
      <c r="BV175" s="1">
        <f>IF(D175="",0,MIN(IF(Boss参数!$B$77=1,Boss参数!$B$63*Boss参数!$B$62,Boss参数!$B$61*Boss参数!$B$62),DX175+ROUNDDOWN(BT175,0)+ROUNDDOWN(DX175*Q175,0)))</f>
        <v>0</v>
      </c>
      <c r="BW175" s="1">
        <f t="shared" si="147"/>
        <v>0</v>
      </c>
      <c r="BX175" s="1" t="str">
        <f t="shared" si="148"/>
        <v/>
      </c>
      <c r="BY175" s="1">
        <f t="shared" si="149"/>
        <v>2</v>
      </c>
      <c r="BZ175" s="1">
        <f t="shared" si="150"/>
        <v>1</v>
      </c>
      <c r="CA175" s="1">
        <f>MIN(10,W175+IF(AND(L175="LILYA_COBRA",COUNTIF($L$3:L175,"LILYA_COBRA")=1),5,0)+IF(AND(L175="LILYA_DIVE",U175=1,COUNTIFS($DG$3:DG175,DG175,$L$3:L175,"LILYA_DIVE")=1),2,0)+IF(AND(FE175=1,U175=1),3,0))</f>
        <v>10</v>
      </c>
      <c r="CB175" s="1">
        <f>MIN(20,MAX(0,X175+IF(L175="LILYA_COBRA",IF(COUNTIF($L$3:L175,"LILYA_COBRA")=1,6,IF(U175=1,MAX(1,G175),IF(U175=2,2*MAX(1,G175),0))),0)+IF(AND(Y175=1,E175="红弩箭",L175&lt;&gt;"ENTER_INSIGHT"),1,0)-IF(AND(L175="LILYA_ULT",X175&gt;=6),6,0)))</f>
        <v>13</v>
      </c>
      <c r="CC175" s="1">
        <f t="shared" si="151"/>
        <v>0</v>
      </c>
      <c r="CD175" s="1">
        <f t="shared" si="152"/>
        <v>0</v>
      </c>
      <c r="CE175" s="1">
        <f t="shared" si="153"/>
        <v>0</v>
      </c>
      <c r="CF175" s="1">
        <f t="shared" si="154"/>
        <v>10</v>
      </c>
      <c r="CG175" s="1">
        <f t="shared" si="155"/>
        <v>1</v>
      </c>
      <c r="CH175" s="1">
        <f>MIN(35,AD175+IF(L175="J_HARD",6,0)+IF(L175="J_COUNTER",Boss参数!$B$30,0))</f>
        <v>35</v>
      </c>
      <c r="CI175" s="1">
        <f>MIN(Boss参数!$I$4,AE175+IF(L175="J_HARD",6,0)+IF(L175="J_ULT",AD175,0)+IF(L175="J_COUNTER",Boss参数!$B$30,0))</f>
        <v>0</v>
      </c>
      <c r="CJ175" s="1">
        <f>IF(L175="J_ULT",AD175*Boss参数!$B$41,IF(B175&lt;=AG175,AF175,0))</f>
        <v>0.875</v>
      </c>
      <c r="CK175" s="1">
        <f t="shared" si="156"/>
        <v>9</v>
      </c>
      <c r="CL175" s="1">
        <f t="shared" si="157"/>
        <v>9</v>
      </c>
      <c r="CM175" s="1">
        <f t="shared" si="158"/>
        <v>8</v>
      </c>
      <c r="CN175" s="1">
        <f t="shared" si="159"/>
        <v>9</v>
      </c>
      <c r="CO175" s="1">
        <f t="shared" si="160"/>
        <v>8</v>
      </c>
      <c r="CP175" s="1">
        <f t="shared" si="161"/>
        <v>3</v>
      </c>
      <c r="CQ175" s="1">
        <f t="shared" si="162"/>
        <v>30</v>
      </c>
      <c r="CR175" s="1">
        <f t="shared" si="163"/>
        <v>9</v>
      </c>
      <c r="CS175" s="1">
        <f t="shared" si="164"/>
        <v>0</v>
      </c>
      <c r="CT175" s="1" t="e">
        <f t="shared" si="165"/>
        <v>#VALUE!</v>
      </c>
      <c r="CU175" s="1" t="e">
        <f t="shared" si="166"/>
        <v>#VALUE!</v>
      </c>
      <c r="CV175" s="1">
        <f t="shared" si="167"/>
        <v>0.3</v>
      </c>
      <c r="CW175" s="1">
        <f t="shared" si="168"/>
        <v>9</v>
      </c>
      <c r="CX175" s="1">
        <f t="shared" si="169"/>
        <v>0.3</v>
      </c>
      <c r="CY175" s="1">
        <f t="shared" si="170"/>
        <v>9</v>
      </c>
      <c r="CZ175" s="1"/>
      <c r="DA175" s="1"/>
      <c r="DB175" s="1"/>
      <c r="DC175" s="1"/>
      <c r="DD175" s="1"/>
      <c r="DE175" s="1"/>
      <c r="DF175" s="1"/>
      <c r="DG175" s="1" t="str">
        <f>IF(D175="","",行动模拟!B181)</f>
        <v/>
      </c>
      <c r="DH175" s="1" t="str">
        <f>IF(L175="END_TURN","回合结束",IF(D175="","",IF(INDEX(回合状态!$C$7:$C$17,MATCH(DG175,回合状态!$A$7:$A$17,0))="洞穿","洞穿",IF(OR(L175="J_COUNTER",L175="BOSS_ACTION",L175="BOSS_CONSERVATIVE"),"敌方",IF(AND(L175="37_FOLLOW",DG175=DG174,DH174="敌方"),"敌方",IF(INDEX(回合状态!$C$7:$C$17,MATCH(DG175,回合状态!$A$7:$A$17,0))="普通","出牌",INDEX(回合状态!$C$7:$C$17,MATCH(DG175,回合状态!$A$7:$A$17,0))))))))</f>
        <v/>
      </c>
      <c r="DI175" s="1">
        <f t="shared" si="171"/>
        <v>0</v>
      </c>
      <c r="DJ175" s="1">
        <f>IF(D175="",0,MIN(Boss参数!$B$25,IF(OR(AND(DH175="敌方",OR(DH174&lt;&gt;"敌方",DG175&lt;&gt;DG174)),AND(L175="END_TURN",DH175&lt;&gt;"洞穿"),AND(DG175&lt;&gt;DG174,DH174&lt;&gt;"洞穿",L174&lt;&gt;"END_TURN",COUNTIFS($DG$3:DG174,DG174,$DH$3:DH174,"敌方")=0)),EW175,DN174)))</f>
        <v>0</v>
      </c>
      <c r="DK175" s="1">
        <f>IF(D175="",0,MIN(Boss参数!$B$25,IF(OR(AND(DH175="敌方",OR(DH174&lt;&gt;"敌方",DG175&lt;&gt;DG174)),AND(L175="END_TURN",DH175&lt;&gt;"洞穿"),AND(DG175&lt;&gt;DG174,DH174&lt;&gt;"洞穿",L174&lt;&gt;"END_TURN",COUNTIFS($DG$3:DG174,DG174,$DH$3:DH174,"敌方")=0)),EW175,DO174)))</f>
        <v>0</v>
      </c>
      <c r="DL175" s="1">
        <f>IF(D175="",0,MIN(Boss参数!$B$25,IF(OR(AND(DH175="敌方",OR(DH174&lt;&gt;"敌方",DG175&lt;&gt;DG174)),AND(L175="END_TURN",DH175&lt;&gt;"洞穿"),AND(DG175&lt;&gt;DG174,DH174&lt;&gt;"洞穿",L174&lt;&gt;"END_TURN",COUNTIFS($DG$3:DG174,DG174,$DH$3:DH174,"敌方")=0)),EW175,DP174)))</f>
        <v>0</v>
      </c>
      <c r="DM175" s="1">
        <f>IF(D175="",0,MIN(Boss参数!$B$25,IF(OR(AND(DH175="敌方",OR(DH174&lt;&gt;"敌方",DG175&lt;&gt;DG174)),AND(L175="END_TURN",DH175&lt;&gt;"洞穿"),AND(DG175&lt;&gt;DG174,DH174&lt;&gt;"洞穿",L174&lt;&gt;"END_TURN",COUNTIFS($DG$3:DG174,DG174,$DH$3:DH174,"敌方")=0)),EW175,DQ174)))</f>
        <v>0</v>
      </c>
      <c r="DN175" s="1">
        <f>MAX(0,MIN(Boss参数!$B$25,DJ175+DR175)-IF(E175="红弩箭",2*DR175,0))</f>
        <v>0</v>
      </c>
      <c r="DO175" s="1">
        <f>MAX(0,MIN(Boss参数!$B$25,DK175+DR175)-IF(E175="37",2*DR175,0))</f>
        <v>0</v>
      </c>
      <c r="DP175" s="1">
        <f>MAX(0,MIN(Boss参数!$B$25,DL175+DR175)-IF(E175="小瑞安侬",2*DR175,0))</f>
        <v>0</v>
      </c>
      <c r="DQ175" s="1">
        <f>MAX(0,MIN(Boss参数!$B$25,DM175+DR175)-IF(E175="J",2*DR175,0))</f>
        <v>0</v>
      </c>
      <c r="DR175" s="1">
        <f t="shared" si="172"/>
        <v>0</v>
      </c>
      <c r="DS175" s="1">
        <f t="shared" si="173"/>
        <v>0</v>
      </c>
      <c r="DT175" s="1">
        <f>IF(OR(E175="",E175="系统"),0,IF(OR(AND(DS175=1,Boss参数!$B$32=1),L175="RHI_BERRY",OR(AND(INDEX(角色面板!$B$18:$B$21,MATCH(E175,角色面板!$A$18:$A$21,0))="星",Boss参数!$B$4="岩"),AND(INDEX(角色面板!$B$18:$B$21,MATCH(E175,角色面板!$A$18:$A$21,0))="岩",Boss参数!$B$4="兽"),AND(INDEX(角色面板!$B$18:$B$21,MATCH(E175,角色面板!$A$18:$A$21,0))="兽",Boss参数!$B$4="木"),AND(INDEX(角色面板!$B$18:$B$21,MATCH(E175,角色面板!$A$18:$A$21,0))="木",Boss参数!$B$4="星"),AND(INDEX(角色面板!$B$18:$B$21,MATCH(E175,角色面板!$A$18:$A$21,0))="智",Boss参数!$B$4="灵"),AND(INDEX(角色面板!$B$18:$B$21,MATCH(E175,角色面板!$A$18:$A$21,0))="灵",Boss参数!$B$4="智"))),1,0))</f>
        <v>0</v>
      </c>
      <c r="DU175" s="1">
        <f>IF(D175="",0,INDEX(回合状态!$E$7:$E$17,MATCH(DG175,回合状态!$A$7:$A$17,0))+IF(AND(DH175="敌方",OR(INDEX(回合状态!$C$7:$C$17,MATCH(DG175,回合状态!$A$7:$A$17,0))="普通",INDEX(回合状态!$C$7:$C$17,MATCH(DG175,回合状态!$A$7:$A$17,0))="额外")),0.05,0))</f>
        <v>0</v>
      </c>
      <c r="DV175" s="1">
        <f>MAX(Boss参数!$B$28,1+IF(AND(E175="37",AC175&gt;0,BH175&gt;0),Boss参数!$B$42,0)-DI175*Boss参数!$B$24+EA175-ER175)</f>
        <v>9.9999999999999978E-2</v>
      </c>
      <c r="DW175" s="1">
        <f>MIN(IF(Boss参数!$B$77=1,Boss参数!$B$63*Boss参数!$B$62,Boss参数!$B$61*Boss参数!$B$62),ROUNDDOWN(BQ175*(1-ES175),0))</f>
        <v>0</v>
      </c>
      <c r="DX175" s="1">
        <f>MIN(IF(Boss参数!$B$77=1,Boss参数!$B$63*Boss参数!$B$62,Boss参数!$B$61*Boss参数!$B$62),ROUNDDOWN(BR175*(1-ES175),0))</f>
        <v>0</v>
      </c>
      <c r="DY175" s="1">
        <f t="shared" si="205"/>
        <v>250</v>
      </c>
      <c r="DZ175" s="1">
        <f>IF(L175="RHI_ULT",MIN(Boss参数!$B$48,ROUNDDOWN(AY175*Boss参数!$B$47,0)),DY175)</f>
        <v>250</v>
      </c>
      <c r="EA175" s="1">
        <v>0</v>
      </c>
      <c r="EB175" s="1">
        <f t="shared" si="174"/>
        <v>0</v>
      </c>
      <c r="EC175" s="1">
        <f>SUMIFS($EB$3:EB175,$B$3:B175,"&gt;="&amp;MAX(1,B175-2),$B$3:B175,"&lt;="&amp;B175)*Boss参数!$B$51</f>
        <v>0</v>
      </c>
      <c r="ED175" s="1">
        <f>IF(D175="",EG174,IF(AND(DG175&lt;&gt;DG174,DH175&lt;&gt;"洞穿"),MIN(Boss参数!$B$55,EG174+2),EG174))</f>
        <v>0</v>
      </c>
      <c r="EE175" s="1">
        <f t="shared" si="175"/>
        <v>0</v>
      </c>
      <c r="EF175" s="1">
        <f>IF(AND(OR(L175="END_TURN",AND(DH175="敌方",OR(DH174&lt;&gt;"敌方",DG175&lt;&gt;DG174))),SUMIFS($EF$3:EF174,$DG$3:DG174,DG175)=0),MIN(1,MAX(0,ED175-EE175)),0)</f>
        <v>0</v>
      </c>
      <c r="EG175" s="1">
        <f t="shared" si="176"/>
        <v>0</v>
      </c>
      <c r="EH175" s="1">
        <f>Boss参数!$B$53-IF(Y175=1,Boss参数!$B$54,0)</f>
        <v>0</v>
      </c>
      <c r="EI175" s="1">
        <f t="shared" si="177"/>
        <v>0.15</v>
      </c>
      <c r="EJ175" s="1">
        <f t="shared" si="178"/>
        <v>0.15</v>
      </c>
      <c r="EK175" s="1" t="e">
        <f t="shared" si="179"/>
        <v>#VALUE!</v>
      </c>
      <c r="EL175" s="1">
        <f t="shared" si="206"/>
        <v>0</v>
      </c>
      <c r="EM175" s="1">
        <f>IF(AND(DG175&lt;&gt;DG174,DH175="洞穿"),0,IF(L175="ENTER_INSIGHT",Boss参数!$B$57,EO174))</f>
        <v>0</v>
      </c>
      <c r="EN175" s="1">
        <f>IF(AND(Y175=1,H175="洞知",EM175&gt;0),Boss参数!$B$56,0)</f>
        <v>0</v>
      </c>
      <c r="EO175" s="1">
        <f t="shared" si="180"/>
        <v>0</v>
      </c>
      <c r="EP175" s="1">
        <f t="shared" si="207"/>
        <v>23210479</v>
      </c>
      <c r="EQ175" s="1">
        <f>ROUNDDOWN(EP175/Boss参数!$B$62,0)</f>
        <v>232</v>
      </c>
      <c r="ER175" s="1">
        <f>IF(EQ175&gt;=Boss参数!$B$66,Boss参数!$B$69,IF(EQ175&gt;=Boss参数!$B$65,Boss参数!$B$68,IF(EQ175&gt;=Boss参数!$B$64,Boss参数!$B$67,0)))</f>
        <v>0.9</v>
      </c>
      <c r="ES175" s="1">
        <f>MIN(1,IF(EQ175&gt;=Boss参数!$B$66,Boss参数!$B$72+ROUNDDOWN((EQ175-Boss参数!$B$66)/Boss参数!$B$73,0)*Boss参数!$B$74,IF(EQ175&gt;=Boss参数!$B$65,Boss参数!$B$71,IF(EQ175&gt;=Boss参数!$B$64,Boss参数!$B$70,0))))</f>
        <v>0.65</v>
      </c>
      <c r="ET175" s="1">
        <f>MIN(Boss参数!$B$61*Boss参数!$B$62,EP175+IF(AND(Boss参数!$B$60=1,ISNUMBER(验证表!H181)),验证表!H181,EU175))</f>
        <v>23210479</v>
      </c>
      <c r="EU175" s="1">
        <f>IF(D175="",0,IF(验证表!G181="是",BV175,IF(验证表!G181="否",BU175,BW175)))</f>
        <v>0</v>
      </c>
      <c r="EV175" s="1">
        <f>IF(EQ175&gt;=Boss参数!$B$66,2,IF(EQ175&gt;=Boss参数!$B$65,1,0))</f>
        <v>2</v>
      </c>
      <c r="EW175" s="1">
        <f t="shared" si="181"/>
        <v>3</v>
      </c>
      <c r="EX175" s="1">
        <f>IF(D175="",0,INDEX(回合状态!$D$7:$D$17,MATCH(DG175,回合状态!$A$7:$A$17,0)))</f>
        <v>0</v>
      </c>
      <c r="EY175" s="1">
        <f>IF(OR(L175="RHI_ATTACK",L175="RHI_BUFF"),1,IF(L175="RHI_ULT",Boss参数!$B$52,0))</f>
        <v>0</v>
      </c>
      <c r="EZ175" s="1">
        <f>MIN(6,SUMIFS($EY$3:EY175,$EX$3:EX175,"&gt;="&amp;MAX(1,EX175-Boss参数!$B$87+1),$EX$3:EX175,"&lt;="&amp;EX175))</f>
        <v>0</v>
      </c>
      <c r="FA175" s="1">
        <f t="shared" si="208"/>
        <v>0</v>
      </c>
      <c r="FB175" s="17">
        <f>IF(L175="BOSS_CONSERVATIVE",B175+Boss参数!$B$91,FB174)</f>
        <v>7</v>
      </c>
      <c r="FC175" s="17">
        <f t="shared" si="209"/>
        <v>0</v>
      </c>
      <c r="FD175" s="17">
        <f>IF(D175="",FD174,FD174+IF(AND(DG175&lt;&gt;DG174,INDEX(回合状态!$C$7:$C$17,MATCH(DG175,回合状态!$A$7:$A$17,0))&lt;&gt;"洞穿"),1,0))</f>
        <v>8</v>
      </c>
      <c r="FE175" s="17">
        <f>IF(D175="",0,IF(AND(OR(L175="END_TURN",DH175="敌方"),INDEX(回合状态!$C$7:$C$17,MATCH(DG175,回合状态!$A$7:$A$17,0))&lt;&gt;"洞穿",SUMIFS($FE$3:FE174,$DG$3:DG174,DG175)=0),1,0))</f>
        <v>0</v>
      </c>
    </row>
    <row r="176" spans="1:161" ht="84.95" customHeight="1">
      <c r="A176" s="1" t="str">
        <f>行动模拟!A182</f>
        <v/>
      </c>
      <c r="B176" s="1">
        <f>IF(D176="",0,INDEX(回合状态!$B$7:$B$17,MATCH(DG176,回合状态!$A$7:$A$17,0)))</f>
        <v>0</v>
      </c>
      <c r="C176" s="1">
        <f>行动模拟!C182</f>
        <v>0</v>
      </c>
      <c r="D176" s="1" t="str">
        <f>IF(行动模拟!D182="","",行动模拟!D182)</f>
        <v/>
      </c>
      <c r="E176" s="1" t="str">
        <f>IF($D176="","",IFERROR(INDEX(技能数据库!$B$4:$B$38,MATCH($D176,技能数据库!$A$4:$A$38,0)),""))</f>
        <v/>
      </c>
      <c r="F176" s="1" t="str">
        <f>IF($D176="","",IFERROR(INDEX(技能数据库!$C$4:$C$38,MATCH($D176,技能数据库!$A$4:$A$38,0)),""))</f>
        <v/>
      </c>
      <c r="G176" s="1" t="str">
        <f>IF($D176="","",IFERROR(INDEX(技能数据库!$D$4:$D$38,MATCH($D176,技能数据库!$A$4:$A$38,0)),""))</f>
        <v/>
      </c>
      <c r="H176" s="1" t="str">
        <f>IF($D176="","",IFERROR(INDEX(技能数据库!$E$4:$E$38,MATCH($D176,技能数据库!$A$4:$A$38,0)),""))</f>
        <v/>
      </c>
      <c r="I176" s="1" t="str">
        <f>IF($D176="","",IFERROR(INDEX(技能数据库!$F$4:$F$38,MATCH($D176,技能数据库!$A$4:$A$38,0)),""))</f>
        <v/>
      </c>
      <c r="J176" s="1" t="str">
        <f>IF($D176="","",IFERROR(INDEX(技能数据库!$G$4:$G$38,MATCH($D176,技能数据库!$A$4:$A$38,0)),""))</f>
        <v/>
      </c>
      <c r="K176" s="1" t="str">
        <f>IF($D176="","",IFERROR(INDEX(技能数据库!$H$4:$H$38,MATCH($D176,技能数据库!$A$4:$A$38,0)),""))</f>
        <v/>
      </c>
      <c r="L176" s="1" t="str">
        <f>IF($D176="","",IFERROR(INDEX(技能数据库!$I$4:$I$38,MATCH($D176,技能数据库!$A$4:$A$38,0)),""))</f>
        <v/>
      </c>
      <c r="M176" s="1">
        <v>1</v>
      </c>
      <c r="N176" s="1"/>
      <c r="O176" s="1"/>
      <c r="P176" s="1"/>
      <c r="Q176" s="1">
        <f t="shared" si="140"/>
        <v>0</v>
      </c>
      <c r="R176" s="1">
        <v>0</v>
      </c>
      <c r="S176" s="1">
        <v>0</v>
      </c>
      <c r="T176" s="1">
        <f>行动模拟!I182</f>
        <v>0</v>
      </c>
      <c r="U176" s="1">
        <f>IF(FD176&lt;&gt;FD175,IF(BY175=1,IF(MIN(10,CA175+IF(AND(DG176&lt;&gt;DG175,DH175&lt;&gt;"洞穿",SUMIFS($FE$3:FE175,$DG$3:DG175,DG175)=0,BY175=1),3,0))&gt;=10,2,1),IF(BY175=2,IF(BZ175&lt;=1,0,2),0)),BY175)</f>
        <v>2</v>
      </c>
      <c r="V176" s="1">
        <f>IF(FD176&lt;&gt;FD175,IF(BY175=1,IF(MIN(10,CA175+IF(AND(DG176&lt;&gt;DG175,DH175&lt;&gt;"洞穿",SUMIFS($FE$3:FE175,$DG$3:DG175,DG175)=0,BY175=1),3,0))&gt;=10,2,0),IF(BY175=2,MAX(0,BZ175-1),0)),BZ175)</f>
        <v>1</v>
      </c>
      <c r="W176" s="1">
        <f>IF(AND(FD176&lt;&gt;FD175,BY175=2,BZ175&lt;=1),0,MIN(10,CA175+IF(AND(DG176&lt;&gt;DG175,DH175&lt;&gt;"洞穿",SUMIFS($FE$3:FE175,$DG$3:DG175,DG175)=0,BY175=1),3,0)))</f>
        <v>10</v>
      </c>
      <c r="X176" s="1">
        <f t="shared" si="182"/>
        <v>13</v>
      </c>
      <c r="Y176" s="1">
        <f t="shared" si="183"/>
        <v>0</v>
      </c>
      <c r="Z176" s="1">
        <f t="shared" si="184"/>
        <v>0</v>
      </c>
      <c r="AA176" s="1">
        <f t="shared" si="185"/>
        <v>0</v>
      </c>
      <c r="AB176" s="1">
        <f t="shared" si="186"/>
        <v>10</v>
      </c>
      <c r="AC176" s="1">
        <f t="shared" si="187"/>
        <v>1</v>
      </c>
      <c r="AD176" s="1">
        <f t="shared" si="188"/>
        <v>35</v>
      </c>
      <c r="AE176" s="1">
        <f>IF(D176="",0,IF(DG176&lt;&gt;DG175,IFERROR(INDEX(回合状态!$F$7:$F$17,MATCH(DG176,回合状态!$A$7:$A$17,0)),0),CI175))</f>
        <v>0</v>
      </c>
      <c r="AF176" s="1">
        <f t="shared" si="189"/>
        <v>0.875</v>
      </c>
      <c r="AG176" s="1">
        <f t="shared" si="190"/>
        <v>9</v>
      </c>
      <c r="AH176" s="1">
        <f t="shared" si="191"/>
        <v>9</v>
      </c>
      <c r="AI176" s="1">
        <f t="shared" si="192"/>
        <v>8</v>
      </c>
      <c r="AJ176" s="1">
        <f t="shared" si="193"/>
        <v>9</v>
      </c>
      <c r="AK176" s="1">
        <f t="shared" si="194"/>
        <v>8</v>
      </c>
      <c r="AL176" s="1">
        <f t="shared" si="195"/>
        <v>3</v>
      </c>
      <c r="AM176" s="1">
        <f t="shared" si="196"/>
        <v>30</v>
      </c>
      <c r="AN176" s="1">
        <f t="shared" si="197"/>
        <v>9</v>
      </c>
      <c r="AO176" s="1">
        <f t="shared" si="198"/>
        <v>0</v>
      </c>
      <c r="AP176" s="1" t="e">
        <f t="shared" si="199"/>
        <v>#VALUE!</v>
      </c>
      <c r="AQ176" s="1" t="e">
        <f t="shared" si="200"/>
        <v>#VALUE!</v>
      </c>
      <c r="AR176" s="1">
        <f t="shared" si="201"/>
        <v>0.3</v>
      </c>
      <c r="AS176" s="1">
        <f t="shared" si="202"/>
        <v>9</v>
      </c>
      <c r="AT176" s="1">
        <f t="shared" si="203"/>
        <v>0.3</v>
      </c>
      <c r="AU176" s="1">
        <f t="shared" si="204"/>
        <v>9</v>
      </c>
      <c r="AV176" s="1">
        <f>MIN(5,SUMIFS($EL$3:EL176,$B$3:B176,"&gt;="&amp;MAX(1,B176-2),$B$3:B176,"&lt;="&amp;B176)+EC176)</f>
        <v>0</v>
      </c>
      <c r="AW176" s="1">
        <f>MIN(6,SUMIFS($EY$3:EY175,$EX$3:EX175,"&gt;="&amp;MAX(1,EX176-Boss参数!$B$87+1),$EX$3:EX175,"&lt;="&amp;EX176))</f>
        <v>0</v>
      </c>
      <c r="AX176" s="1">
        <f>MIN(4,COUNTIFS($B$3:$B$175,"&gt;="&amp;MAX(1,$B176-2),$B$3:$B$175,"&lt;="&amp;$B176,$L$3:$L$175,"37_FOLLOW"))</f>
        <v>0</v>
      </c>
      <c r="AY176" s="1" t="str">
        <f>IF($E176="","",IF($E176="系统",0,ROUNDDOWN(INDEX(角色面板!$C$4:$C$7,MATCH($E176,角色面板!$A$4:$A$7,0))*(1+INDEX(角色面板!$C$11:$C$14,MATCH($E176,角色面板!$A$11:$A$14,0))+IF($E176="小瑞安侬",MAX(IF($B176&lt;=$AQ176,$AP176,0),IF(AND($L176="RHI_ATTACK",$EE176&gt;0),0.11+0.01*$G176,0)),0)+IF($E176="J",$AD176*Boss参数!$B$18,0))+IF(FD176&lt;=$AN176,MIN(Boss参数!$B$21,ROUNDDOWN(角色面板!$C$19*Boss参数!$B$20,0)),0)+IF(AND($B176&lt;=$AK176,$E176&lt;&gt;"小瑞安侬"),$DY176,0),0)))</f>
        <v/>
      </c>
      <c r="AZ176" s="1" t="str">
        <f>IF($E176="","",MAX(0,MIN(1,IFERROR(INDEX(角色面板!$G$18:$G$21,MATCH($E176,角色面板!$A$18:$A$21,0)),0)-FC176*Boss参数!$B$89-Boss参数!$E$4)))</f>
        <v/>
      </c>
      <c r="BA176" s="1" t="str">
        <f>IF(E176="","",(IF($E176="","",IF($E176="红弩箭",Boss参数!$B$80,IF($E176="J",Boss参数!$B$81,IFERROR(INDEX(角色面板!$H$18:$H$21,MATCH($E176,角色面板!$A$18:$A$21,0)),0)))+IF($B176&lt;=$AI176,Boss参数!$B$13,0)+MIN(30,$AM176)*Boss参数!$B$17+IF(AND($L176="LILYA_ULT",$X176&gt;=6),1,0)+IF(AND($Y176=1,$L176="LILYA_INSIGHT"),IF(MOD($AA176+1,3)=0,Boss参数!$B$83,Boss参数!$B$82),IF(AND($Y176=1,$L176="LILYA_FINISH"),Boss参数!$B$84,0))))-FC176*Boss参数!$B$90)</f>
        <v/>
      </c>
      <c r="BB176" s="1" t="str">
        <f>IF($E176="","",IFERROR(INDEX(角色面板!$M$18:$M$21,MATCH($E176,角色面板!$A$18:$A$21,0)),0)+$AW176*Boss参数!$B$12+IF($B176&lt;=$AG176,$AF176,0)+$EI176+IF($L176="LILYA_DIVE",IF($U176=1,IF($G176=1,0.3,IF($G176=2,0.4,0.5)),IF($U176=2,IF($G176=1,0.6,IF($G176=2,0.8,1)),0)),0)+$R176+IF(AND($E176="J",OR($L176="J_COUNTER",$L176="J_HARD")),Boss参数!$B$79,0)+IF(AND(OR(L176="J_COUNTER",L176="J_HARD"),FA176&gt;=Boss参数!$B$59),FA176*Boss参数!$B$40,0))</f>
        <v/>
      </c>
      <c r="BC176" s="1" t="e">
        <f>IF($E176="","",IFERROR(INDEX(角色面板!$K$18:$K$21,MATCH($E176,角色面板!$A$18:$A$21,0)),0)+IF($B176&lt;=$AH176,Boss参数!$B$46,0)+IF($E176="红弩箭",IF($U176=1,0.6,IF($U176=2,1.2,0))+$W176*0.06,0))-DI176*Boss参数!$B$23</f>
        <v>#VALUE!</v>
      </c>
      <c r="BD176" s="1" t="e">
        <f>IF($E176="","",IFERROR(INDEX(角色面板!$L$18:$L$21,MATCH($E176,角色面板!$A$18:$A$21,0)),0)+IF($B176&lt;=$AH176,Boss参数!$B$46,0)+IF($E176="J",$AL176*Boss参数!$B$16,0)+IF($E176="红弩箭",$X176*0.025,0)+IF(AND($L176="LILYA_ULT",$X176&gt;=6),1,0))-DI176*Boss参数!$B$23</f>
        <v>#VALUE!</v>
      </c>
      <c r="BE176" s="1" t="str">
        <f>IF($E176="","",IF($H176="洞知",IF($E176="红弩箭",$AO176*Boss参数!$B$15,0)+$AX176*Boss参数!$B$14,0))</f>
        <v/>
      </c>
      <c r="BF176" s="1">
        <f t="shared" si="141"/>
        <v>0</v>
      </c>
      <c r="BG176" s="1">
        <f>IF($D176="",0,IF(AND($L176&lt;&gt;"LILYA_DIVE",$L176&lt;&gt;"LILYA_ULT",$L176&lt;&gt;"LILYA_INSIGHT",$L176&lt;&gt;"LILYA_FINISH",$L176&lt;&gt;"37_FOLLOW",$L176&lt;&gt;"RHI_ATTACK",$L176&lt;&gt;"RHI_BERRY",$L176&lt;&gt;"J_COUNTER",$L176&lt;&gt;"J_ULT"),$J176,0)+IF($L176="LILYA_DIVE",$J176+IF($U176=1,IF($G176=1,6,IF($G176=2,12,18)),IF($U176=2,IF($G176=1,12,IF($G176=2,24,36)),0)),0)+IF($L176="LILYA_ULT",$J176+IF($X176&gt;=6,18,0),0)+IF($L176="LILYA_INSIGHT",IF($Y176=1,IF(MOD($AA176+1,3)=0,32,15),0),0)+IF($L176="LILYA_FINISH",IF($Y176=1,50+2.5*$Z176,0),0)+IF($L176="37_FOLLOW",$J176,0)+IF($L176="RHI_ATTACK",$J176*IF($B176&lt;=$AJ176,2,1),0)+IF($L176="RHI_BERRY",15+1.5*$AV176,0)+IF($L176="J_COUNTER",$J176+$AD176*Boss参数!$B$39,0)+IF($L176="J_ULT",$J176+Boss参数!$B$45*MAX(0,$AE176+$AD176-Boss参数!$I$4),0)+$S176)</f>
        <v>0</v>
      </c>
      <c r="BH176" s="1">
        <f t="shared" si="142"/>
        <v>0</v>
      </c>
      <c r="BI176" s="1" t="str">
        <f>IF(E176="","",IF(DT176=1,1+Boss参数!$B$8+AV176*Boss参数!$B$19,1))</f>
        <v/>
      </c>
      <c r="BJ176" s="1">
        <f>IF($I176="现实",Boss参数!$C$4,IF($I176="精神",Boss参数!$D$4,0))</f>
        <v>0</v>
      </c>
      <c r="BK176" s="1" t="str">
        <f>IF($E176="","",MAX($AY176*Boss参数!$B$9,$AY176-$BJ176*(1-$BF176)))</f>
        <v/>
      </c>
      <c r="BL176" s="1">
        <f>MAX(0,Boss参数!$F$4+IF(DT176=0,Boss参数!$B$27,0)-EJ176)</f>
        <v>1.25</v>
      </c>
      <c r="BM176" s="1">
        <f>Boss参数!$G$4+DU176-IF(Y176=1,Boss参数!$B$11,0)</f>
        <v>0.4</v>
      </c>
      <c r="BN176" s="1" t="str">
        <f>IF($E176="","",MAX(Boss参数!$B$10,1+IFERROR(INDEX(角色面板!$I$18:$I$21,MATCH($E176,角色面板!$A$18:$A$21,0)),0)+$BB176+Boss参数!$H$4-$BM176))</f>
        <v/>
      </c>
      <c r="BO176" s="1" t="str">
        <f>IF(E176="","",IF(OR(L176="J_COUNTER",L176="J_HARD"),MAX(0,1+INDEX(角色面板!$K$18:$K$21,MATCH(E176,角色面板!$A$18:$A$21,0))-DI176*Boss参数!$B$23+IF(OR(Boss参数!$B$43=1,L176="J_HARD"),IF(B176&lt;=AH176,Boss参数!$B$46,0),0)),MAX(0,IF(OR(H176="术法",L176="RHI_BERRY",AND(L176="37_FOLLOW",Boss参数!$B$31=1)),1+BC176,IF(H176="仪式",1+BD176,IF(H176="洞知",EK176,1))))))</f>
        <v/>
      </c>
      <c r="BP176" s="1" t="str">
        <f t="shared" si="143"/>
        <v/>
      </c>
      <c r="BQ176" s="1">
        <f t="shared" si="144"/>
        <v>0</v>
      </c>
      <c r="BR176" s="1">
        <f t="shared" si="145"/>
        <v>0</v>
      </c>
      <c r="BS176" s="1">
        <f>IF(BH176=0,0,ROUNDDOWN(AY176*BH176,0)*DV176*IF(Boss参数!$B$29=1,BN176,1)*IF(Boss参数!$B$33=1,BO176,1)*IF(Boss参数!$B$76=1,1-ES176,1))</f>
        <v>0</v>
      </c>
      <c r="BT176" s="1">
        <f t="shared" si="146"/>
        <v>0</v>
      </c>
      <c r="BU176" s="1">
        <f>IF(D176="",0,MIN(IF(Boss参数!$B$77=1,Boss参数!$B$63*Boss参数!$B$62,Boss参数!$B$61*Boss参数!$B$62),DW176+ROUNDDOWN(BS176,0)+ROUNDDOWN(DW176*Q176,0)))</f>
        <v>0</v>
      </c>
      <c r="BV176" s="1">
        <f>IF(D176="",0,MIN(IF(Boss参数!$B$77=1,Boss参数!$B$63*Boss参数!$B$62,Boss参数!$B$61*Boss参数!$B$62),DX176+ROUNDDOWN(BT176,0)+ROUNDDOWN(DX176*Q176,0)))</f>
        <v>0</v>
      </c>
      <c r="BW176" s="1">
        <f t="shared" si="147"/>
        <v>0</v>
      </c>
      <c r="BX176" s="1" t="str">
        <f t="shared" si="148"/>
        <v/>
      </c>
      <c r="BY176" s="1">
        <f t="shared" si="149"/>
        <v>2</v>
      </c>
      <c r="BZ176" s="1">
        <f t="shared" si="150"/>
        <v>1</v>
      </c>
      <c r="CA176" s="1">
        <f>MIN(10,W176+IF(AND(L176="LILYA_COBRA",COUNTIF($L$3:L176,"LILYA_COBRA")=1),5,0)+IF(AND(L176="LILYA_DIVE",U176=1,COUNTIFS($DG$3:DG176,DG176,$L$3:L176,"LILYA_DIVE")=1),2,0)+IF(AND(FE176=1,U176=1),3,0))</f>
        <v>10</v>
      </c>
      <c r="CB176" s="1">
        <f>MIN(20,MAX(0,X176+IF(L176="LILYA_COBRA",IF(COUNTIF($L$3:L176,"LILYA_COBRA")=1,6,IF(U176=1,MAX(1,G176),IF(U176=2,2*MAX(1,G176),0))),0)+IF(AND(Y176=1,E176="红弩箭",L176&lt;&gt;"ENTER_INSIGHT"),1,0)-IF(AND(L176="LILYA_ULT",X176&gt;=6),6,0)))</f>
        <v>13</v>
      </c>
      <c r="CC176" s="1">
        <f t="shared" si="151"/>
        <v>0</v>
      </c>
      <c r="CD176" s="1">
        <f t="shared" si="152"/>
        <v>0</v>
      </c>
      <c r="CE176" s="1">
        <f t="shared" si="153"/>
        <v>0</v>
      </c>
      <c r="CF176" s="1">
        <f t="shared" si="154"/>
        <v>10</v>
      </c>
      <c r="CG176" s="1">
        <f t="shared" si="155"/>
        <v>1</v>
      </c>
      <c r="CH176" s="1">
        <f>MIN(35,AD176+IF(L176="J_HARD",6,0)+IF(L176="J_COUNTER",Boss参数!$B$30,0))</f>
        <v>35</v>
      </c>
      <c r="CI176" s="1">
        <f>MIN(Boss参数!$I$4,AE176+IF(L176="J_HARD",6,0)+IF(L176="J_ULT",AD176,0)+IF(L176="J_COUNTER",Boss参数!$B$30,0))</f>
        <v>0</v>
      </c>
      <c r="CJ176" s="1">
        <f>IF(L176="J_ULT",AD176*Boss参数!$B$41,IF(B176&lt;=AG176,AF176,0))</f>
        <v>0.875</v>
      </c>
      <c r="CK176" s="1">
        <f t="shared" si="156"/>
        <v>9</v>
      </c>
      <c r="CL176" s="1">
        <f t="shared" si="157"/>
        <v>9</v>
      </c>
      <c r="CM176" s="1">
        <f t="shared" si="158"/>
        <v>8</v>
      </c>
      <c r="CN176" s="1">
        <f t="shared" si="159"/>
        <v>9</v>
      </c>
      <c r="CO176" s="1">
        <f t="shared" si="160"/>
        <v>8</v>
      </c>
      <c r="CP176" s="1">
        <f t="shared" si="161"/>
        <v>3</v>
      </c>
      <c r="CQ176" s="1">
        <f t="shared" si="162"/>
        <v>30</v>
      </c>
      <c r="CR176" s="1">
        <f t="shared" si="163"/>
        <v>9</v>
      </c>
      <c r="CS176" s="1">
        <f t="shared" si="164"/>
        <v>0</v>
      </c>
      <c r="CT176" s="1" t="e">
        <f t="shared" si="165"/>
        <v>#VALUE!</v>
      </c>
      <c r="CU176" s="1" t="e">
        <f t="shared" si="166"/>
        <v>#VALUE!</v>
      </c>
      <c r="CV176" s="1">
        <f t="shared" si="167"/>
        <v>0.3</v>
      </c>
      <c r="CW176" s="1">
        <f t="shared" si="168"/>
        <v>9</v>
      </c>
      <c r="CX176" s="1">
        <f t="shared" si="169"/>
        <v>0.3</v>
      </c>
      <c r="CY176" s="1">
        <f t="shared" si="170"/>
        <v>9</v>
      </c>
      <c r="CZ176" s="1"/>
      <c r="DA176" s="1"/>
      <c r="DB176" s="1"/>
      <c r="DC176" s="1"/>
      <c r="DD176" s="1"/>
      <c r="DE176" s="1"/>
      <c r="DF176" s="1"/>
      <c r="DG176" s="1" t="str">
        <f>IF(D176="","",行动模拟!B182)</f>
        <v/>
      </c>
      <c r="DH176" s="1" t="str">
        <f>IF(L176="END_TURN","回合结束",IF(D176="","",IF(INDEX(回合状态!$C$7:$C$17,MATCH(DG176,回合状态!$A$7:$A$17,0))="洞穿","洞穿",IF(OR(L176="J_COUNTER",L176="BOSS_ACTION",L176="BOSS_CONSERVATIVE"),"敌方",IF(AND(L176="37_FOLLOW",DG176=DG175,DH175="敌方"),"敌方",IF(INDEX(回合状态!$C$7:$C$17,MATCH(DG176,回合状态!$A$7:$A$17,0))="普通","出牌",INDEX(回合状态!$C$7:$C$17,MATCH(DG176,回合状态!$A$7:$A$17,0))))))))</f>
        <v/>
      </c>
      <c r="DI176" s="1">
        <f t="shared" si="171"/>
        <v>0</v>
      </c>
      <c r="DJ176" s="1">
        <f>IF(D176="",0,MIN(Boss参数!$B$25,IF(OR(AND(DH176="敌方",OR(DH175&lt;&gt;"敌方",DG176&lt;&gt;DG175)),AND(L176="END_TURN",DH176&lt;&gt;"洞穿"),AND(DG176&lt;&gt;DG175,DH175&lt;&gt;"洞穿",L175&lt;&gt;"END_TURN",COUNTIFS($DG$3:DG175,DG175,$DH$3:DH175,"敌方")=0)),EW176,DN175)))</f>
        <v>0</v>
      </c>
      <c r="DK176" s="1">
        <f>IF(D176="",0,MIN(Boss参数!$B$25,IF(OR(AND(DH176="敌方",OR(DH175&lt;&gt;"敌方",DG176&lt;&gt;DG175)),AND(L176="END_TURN",DH176&lt;&gt;"洞穿"),AND(DG176&lt;&gt;DG175,DH175&lt;&gt;"洞穿",L175&lt;&gt;"END_TURN",COUNTIFS($DG$3:DG175,DG175,$DH$3:DH175,"敌方")=0)),EW176,DO175)))</f>
        <v>0</v>
      </c>
      <c r="DL176" s="1">
        <f>IF(D176="",0,MIN(Boss参数!$B$25,IF(OR(AND(DH176="敌方",OR(DH175&lt;&gt;"敌方",DG176&lt;&gt;DG175)),AND(L176="END_TURN",DH176&lt;&gt;"洞穿"),AND(DG176&lt;&gt;DG175,DH175&lt;&gt;"洞穿",L175&lt;&gt;"END_TURN",COUNTIFS($DG$3:DG175,DG175,$DH$3:DH175,"敌方")=0)),EW176,DP175)))</f>
        <v>0</v>
      </c>
      <c r="DM176" s="1">
        <f>IF(D176="",0,MIN(Boss参数!$B$25,IF(OR(AND(DH176="敌方",OR(DH175&lt;&gt;"敌方",DG176&lt;&gt;DG175)),AND(L176="END_TURN",DH176&lt;&gt;"洞穿"),AND(DG176&lt;&gt;DG175,DH175&lt;&gt;"洞穿",L175&lt;&gt;"END_TURN",COUNTIFS($DG$3:DG175,DG175,$DH$3:DH175,"敌方")=0)),EW176,DQ175)))</f>
        <v>0</v>
      </c>
      <c r="DN176" s="1">
        <f>MAX(0,MIN(Boss参数!$B$25,DJ176+DR176)-IF(E176="红弩箭",2*DR176,0))</f>
        <v>0</v>
      </c>
      <c r="DO176" s="1">
        <f>MAX(0,MIN(Boss参数!$B$25,DK176+DR176)-IF(E176="37",2*DR176,0))</f>
        <v>0</v>
      </c>
      <c r="DP176" s="1">
        <f>MAX(0,MIN(Boss参数!$B$25,DL176+DR176)-IF(E176="小瑞安侬",2*DR176,0))</f>
        <v>0</v>
      </c>
      <c r="DQ176" s="1">
        <f>MAX(0,MIN(Boss参数!$B$25,DM176+DR176)-IF(E176="J",2*DR176,0))</f>
        <v>0</v>
      </c>
      <c r="DR176" s="1">
        <f t="shared" si="172"/>
        <v>0</v>
      </c>
      <c r="DS176" s="1">
        <f t="shared" si="173"/>
        <v>0</v>
      </c>
      <c r="DT176" s="1">
        <f>IF(OR(E176="",E176="系统"),0,IF(OR(AND(DS176=1,Boss参数!$B$32=1),L176="RHI_BERRY",OR(AND(INDEX(角色面板!$B$18:$B$21,MATCH(E176,角色面板!$A$18:$A$21,0))="星",Boss参数!$B$4="岩"),AND(INDEX(角色面板!$B$18:$B$21,MATCH(E176,角色面板!$A$18:$A$21,0))="岩",Boss参数!$B$4="兽"),AND(INDEX(角色面板!$B$18:$B$21,MATCH(E176,角色面板!$A$18:$A$21,0))="兽",Boss参数!$B$4="木"),AND(INDEX(角色面板!$B$18:$B$21,MATCH(E176,角色面板!$A$18:$A$21,0))="木",Boss参数!$B$4="星"),AND(INDEX(角色面板!$B$18:$B$21,MATCH(E176,角色面板!$A$18:$A$21,0))="智",Boss参数!$B$4="灵"),AND(INDEX(角色面板!$B$18:$B$21,MATCH(E176,角色面板!$A$18:$A$21,0))="灵",Boss参数!$B$4="智"))),1,0))</f>
        <v>0</v>
      </c>
      <c r="DU176" s="1">
        <f>IF(D176="",0,INDEX(回合状态!$E$7:$E$17,MATCH(DG176,回合状态!$A$7:$A$17,0))+IF(AND(DH176="敌方",OR(INDEX(回合状态!$C$7:$C$17,MATCH(DG176,回合状态!$A$7:$A$17,0))="普通",INDEX(回合状态!$C$7:$C$17,MATCH(DG176,回合状态!$A$7:$A$17,0))="额外")),0.05,0))</f>
        <v>0</v>
      </c>
      <c r="DV176" s="1">
        <f>MAX(Boss参数!$B$28,1+IF(AND(E176="37",AC176&gt;0,BH176&gt;0),Boss参数!$B$42,0)-DI176*Boss参数!$B$24+EA176-ER176)</f>
        <v>9.9999999999999978E-2</v>
      </c>
      <c r="DW176" s="1">
        <f>MIN(IF(Boss参数!$B$77=1,Boss参数!$B$63*Boss参数!$B$62,Boss参数!$B$61*Boss参数!$B$62),ROUNDDOWN(BQ176*(1-ES176),0))</f>
        <v>0</v>
      </c>
      <c r="DX176" s="1">
        <f>MIN(IF(Boss参数!$B$77=1,Boss参数!$B$63*Boss参数!$B$62,Boss参数!$B$61*Boss参数!$B$62),ROUNDDOWN(BR176*(1-ES176),0))</f>
        <v>0</v>
      </c>
      <c r="DY176" s="1">
        <f t="shared" si="205"/>
        <v>250</v>
      </c>
      <c r="DZ176" s="1">
        <f>IF(L176="RHI_ULT",MIN(Boss参数!$B$48,ROUNDDOWN(AY176*Boss参数!$B$47,0)),DY176)</f>
        <v>250</v>
      </c>
      <c r="EA176" s="1">
        <v>0</v>
      </c>
      <c r="EB176" s="1">
        <f t="shared" si="174"/>
        <v>0</v>
      </c>
      <c r="EC176" s="1">
        <f>SUMIFS($EB$3:EB176,$B$3:B176,"&gt;="&amp;MAX(1,B176-2),$B$3:B176,"&lt;="&amp;B176)*Boss参数!$B$51</f>
        <v>0</v>
      </c>
      <c r="ED176" s="1">
        <f>IF(D176="",EG175,IF(AND(DG176&lt;&gt;DG175,DH176&lt;&gt;"洞穿"),MIN(Boss参数!$B$55,EG175+2),EG175))</f>
        <v>0</v>
      </c>
      <c r="EE176" s="1">
        <f t="shared" si="175"/>
        <v>0</v>
      </c>
      <c r="EF176" s="1">
        <f>IF(AND(OR(L176="END_TURN",AND(DH176="敌方",OR(DH175&lt;&gt;"敌方",DG176&lt;&gt;DG175))),SUMIFS($EF$3:EF175,$DG$3:DG175,DG176)=0),MIN(1,MAX(0,ED176-EE176)),0)</f>
        <v>0</v>
      </c>
      <c r="EG176" s="1">
        <f t="shared" si="176"/>
        <v>0</v>
      </c>
      <c r="EH176" s="1">
        <f>Boss参数!$B$53-IF(Y176=1,Boss参数!$B$54,0)</f>
        <v>0</v>
      </c>
      <c r="EI176" s="1">
        <f t="shared" si="177"/>
        <v>0.15</v>
      </c>
      <c r="EJ176" s="1">
        <f t="shared" si="178"/>
        <v>0.15</v>
      </c>
      <c r="EK176" s="1" t="e">
        <f t="shared" si="179"/>
        <v>#VALUE!</v>
      </c>
      <c r="EL176" s="1">
        <f t="shared" si="206"/>
        <v>0</v>
      </c>
      <c r="EM176" s="1">
        <f>IF(AND(DG176&lt;&gt;DG175,DH176="洞穿"),0,IF(L176="ENTER_INSIGHT",Boss参数!$B$57,EO175))</f>
        <v>0</v>
      </c>
      <c r="EN176" s="1">
        <f>IF(AND(Y176=1,H176="洞知",EM176&gt;0),Boss参数!$B$56,0)</f>
        <v>0</v>
      </c>
      <c r="EO176" s="1">
        <f t="shared" si="180"/>
        <v>0</v>
      </c>
      <c r="EP176" s="1">
        <f t="shared" si="207"/>
        <v>23210479</v>
      </c>
      <c r="EQ176" s="1">
        <f>ROUNDDOWN(EP176/Boss参数!$B$62,0)</f>
        <v>232</v>
      </c>
      <c r="ER176" s="1">
        <f>IF(EQ176&gt;=Boss参数!$B$66,Boss参数!$B$69,IF(EQ176&gt;=Boss参数!$B$65,Boss参数!$B$68,IF(EQ176&gt;=Boss参数!$B$64,Boss参数!$B$67,0)))</f>
        <v>0.9</v>
      </c>
      <c r="ES176" s="1">
        <f>MIN(1,IF(EQ176&gt;=Boss参数!$B$66,Boss参数!$B$72+ROUNDDOWN((EQ176-Boss参数!$B$66)/Boss参数!$B$73,0)*Boss参数!$B$74,IF(EQ176&gt;=Boss参数!$B$65,Boss参数!$B$71,IF(EQ176&gt;=Boss参数!$B$64,Boss参数!$B$70,0))))</f>
        <v>0.65</v>
      </c>
      <c r="ET176" s="1">
        <f>MIN(Boss参数!$B$61*Boss参数!$B$62,EP176+IF(AND(Boss参数!$B$60=1,ISNUMBER(验证表!H182)),验证表!H182,EU176))</f>
        <v>23210479</v>
      </c>
      <c r="EU176" s="1">
        <f>IF(D176="",0,IF(验证表!G182="是",BV176,IF(验证表!G182="否",BU176,BW176)))</f>
        <v>0</v>
      </c>
      <c r="EV176" s="1">
        <f>IF(EQ176&gt;=Boss参数!$B$66,2,IF(EQ176&gt;=Boss参数!$B$65,1,0))</f>
        <v>2</v>
      </c>
      <c r="EW176" s="1">
        <f t="shared" si="181"/>
        <v>3</v>
      </c>
      <c r="EX176" s="1">
        <f>IF(D176="",0,INDEX(回合状态!$D$7:$D$17,MATCH(DG176,回合状态!$A$7:$A$17,0)))</f>
        <v>0</v>
      </c>
      <c r="EY176" s="1">
        <f>IF(OR(L176="RHI_ATTACK",L176="RHI_BUFF"),1,IF(L176="RHI_ULT",Boss参数!$B$52,0))</f>
        <v>0</v>
      </c>
      <c r="EZ176" s="1">
        <f>MIN(6,SUMIFS($EY$3:EY176,$EX$3:EX176,"&gt;="&amp;MAX(1,EX176-Boss参数!$B$87+1),$EX$3:EX176,"&lt;="&amp;EX176))</f>
        <v>0</v>
      </c>
      <c r="FA176" s="1">
        <f t="shared" si="208"/>
        <v>0</v>
      </c>
      <c r="FB176" s="17">
        <f>IF(L176="BOSS_CONSERVATIVE",B176+Boss参数!$B$91,FB175)</f>
        <v>7</v>
      </c>
      <c r="FC176" s="17">
        <f t="shared" si="209"/>
        <v>0</v>
      </c>
      <c r="FD176" s="17">
        <f>IF(D176="",FD175,FD175+IF(AND(DG176&lt;&gt;DG175,INDEX(回合状态!$C$7:$C$17,MATCH(DG176,回合状态!$A$7:$A$17,0))&lt;&gt;"洞穿"),1,0))</f>
        <v>8</v>
      </c>
      <c r="FE176" s="17">
        <f>IF(D176="",0,IF(AND(OR(L176="END_TURN",DH176="敌方"),INDEX(回合状态!$C$7:$C$17,MATCH(DG176,回合状态!$A$7:$A$17,0))&lt;&gt;"洞穿",SUMIFS($FE$3:FE175,$DG$3:DG175,DG176)=0),1,0))</f>
        <v>0</v>
      </c>
    </row>
    <row r="177" spans="1:161" ht="84.95" customHeight="1">
      <c r="A177" s="1" t="str">
        <f>行动模拟!A183</f>
        <v/>
      </c>
      <c r="B177" s="1">
        <f>IF(D177="",0,INDEX(回合状态!$B$7:$B$17,MATCH(DG177,回合状态!$A$7:$A$17,0)))</f>
        <v>0</v>
      </c>
      <c r="C177" s="1">
        <f>行动模拟!C183</f>
        <v>0</v>
      </c>
      <c r="D177" s="1" t="str">
        <f>IF(行动模拟!D183="","",行动模拟!D183)</f>
        <v/>
      </c>
      <c r="E177" s="1" t="str">
        <f>IF($D177="","",IFERROR(INDEX(技能数据库!$B$4:$B$38,MATCH($D177,技能数据库!$A$4:$A$38,0)),""))</f>
        <v/>
      </c>
      <c r="F177" s="1" t="str">
        <f>IF($D177="","",IFERROR(INDEX(技能数据库!$C$4:$C$38,MATCH($D177,技能数据库!$A$4:$A$38,0)),""))</f>
        <v/>
      </c>
      <c r="G177" s="1" t="str">
        <f>IF($D177="","",IFERROR(INDEX(技能数据库!$D$4:$D$38,MATCH($D177,技能数据库!$A$4:$A$38,0)),""))</f>
        <v/>
      </c>
      <c r="H177" s="1" t="str">
        <f>IF($D177="","",IFERROR(INDEX(技能数据库!$E$4:$E$38,MATCH($D177,技能数据库!$A$4:$A$38,0)),""))</f>
        <v/>
      </c>
      <c r="I177" s="1" t="str">
        <f>IF($D177="","",IFERROR(INDEX(技能数据库!$F$4:$F$38,MATCH($D177,技能数据库!$A$4:$A$38,0)),""))</f>
        <v/>
      </c>
      <c r="J177" s="1" t="str">
        <f>IF($D177="","",IFERROR(INDEX(技能数据库!$G$4:$G$38,MATCH($D177,技能数据库!$A$4:$A$38,0)),""))</f>
        <v/>
      </c>
      <c r="K177" s="1" t="str">
        <f>IF($D177="","",IFERROR(INDEX(技能数据库!$H$4:$H$38,MATCH($D177,技能数据库!$A$4:$A$38,0)),""))</f>
        <v/>
      </c>
      <c r="L177" s="1" t="str">
        <f>IF($D177="","",IFERROR(INDEX(技能数据库!$I$4:$I$38,MATCH($D177,技能数据库!$A$4:$A$38,0)),""))</f>
        <v/>
      </c>
      <c r="M177" s="1">
        <v>1</v>
      </c>
      <c r="N177" s="1"/>
      <c r="O177" s="1"/>
      <c r="P177" s="1"/>
      <c r="Q177" s="1">
        <f t="shared" si="140"/>
        <v>0</v>
      </c>
      <c r="R177" s="1">
        <v>0</v>
      </c>
      <c r="S177" s="1">
        <v>0</v>
      </c>
      <c r="T177" s="1">
        <f>行动模拟!I183</f>
        <v>0</v>
      </c>
      <c r="U177" s="1">
        <f>IF(FD177&lt;&gt;FD176,IF(BY176=1,IF(MIN(10,CA176+IF(AND(DG177&lt;&gt;DG176,DH176&lt;&gt;"洞穿",SUMIFS($FE$3:FE176,$DG$3:DG176,DG176)=0,BY176=1),3,0))&gt;=10,2,1),IF(BY176=2,IF(BZ176&lt;=1,0,2),0)),BY176)</f>
        <v>2</v>
      </c>
      <c r="V177" s="1">
        <f>IF(FD177&lt;&gt;FD176,IF(BY176=1,IF(MIN(10,CA176+IF(AND(DG177&lt;&gt;DG176,DH176&lt;&gt;"洞穿",SUMIFS($FE$3:FE176,$DG$3:DG176,DG176)=0,BY176=1),3,0))&gt;=10,2,0),IF(BY176=2,MAX(0,BZ176-1),0)),BZ176)</f>
        <v>1</v>
      </c>
      <c r="W177" s="1">
        <f>IF(AND(FD177&lt;&gt;FD176,BY176=2,BZ176&lt;=1),0,MIN(10,CA176+IF(AND(DG177&lt;&gt;DG176,DH176&lt;&gt;"洞穿",SUMIFS($FE$3:FE176,$DG$3:DG176,DG176)=0,BY176=1),3,0)))</f>
        <v>10</v>
      </c>
      <c r="X177" s="1">
        <f t="shared" si="182"/>
        <v>13</v>
      </c>
      <c r="Y177" s="1">
        <f t="shared" si="183"/>
        <v>0</v>
      </c>
      <c r="Z177" s="1">
        <f t="shared" si="184"/>
        <v>0</v>
      </c>
      <c r="AA177" s="1">
        <f t="shared" si="185"/>
        <v>0</v>
      </c>
      <c r="AB177" s="1">
        <f t="shared" si="186"/>
        <v>10</v>
      </c>
      <c r="AC177" s="1">
        <f t="shared" si="187"/>
        <v>1</v>
      </c>
      <c r="AD177" s="1">
        <f t="shared" si="188"/>
        <v>35</v>
      </c>
      <c r="AE177" s="1">
        <f>IF(D177="",0,IF(DG177&lt;&gt;DG176,IFERROR(INDEX(回合状态!$F$7:$F$17,MATCH(DG177,回合状态!$A$7:$A$17,0)),0),CI176))</f>
        <v>0</v>
      </c>
      <c r="AF177" s="1">
        <f t="shared" si="189"/>
        <v>0.875</v>
      </c>
      <c r="AG177" s="1">
        <f t="shared" si="190"/>
        <v>9</v>
      </c>
      <c r="AH177" s="1">
        <f t="shared" si="191"/>
        <v>9</v>
      </c>
      <c r="AI177" s="1">
        <f t="shared" si="192"/>
        <v>8</v>
      </c>
      <c r="AJ177" s="1">
        <f t="shared" si="193"/>
        <v>9</v>
      </c>
      <c r="AK177" s="1">
        <f t="shared" si="194"/>
        <v>8</v>
      </c>
      <c r="AL177" s="1">
        <f t="shared" si="195"/>
        <v>3</v>
      </c>
      <c r="AM177" s="1">
        <f t="shared" si="196"/>
        <v>30</v>
      </c>
      <c r="AN177" s="1">
        <f t="shared" si="197"/>
        <v>9</v>
      </c>
      <c r="AO177" s="1">
        <f t="shared" si="198"/>
        <v>0</v>
      </c>
      <c r="AP177" s="1" t="e">
        <f t="shared" si="199"/>
        <v>#VALUE!</v>
      </c>
      <c r="AQ177" s="1" t="e">
        <f t="shared" si="200"/>
        <v>#VALUE!</v>
      </c>
      <c r="AR177" s="1">
        <f t="shared" si="201"/>
        <v>0.3</v>
      </c>
      <c r="AS177" s="1">
        <f t="shared" si="202"/>
        <v>9</v>
      </c>
      <c r="AT177" s="1">
        <f t="shared" si="203"/>
        <v>0.3</v>
      </c>
      <c r="AU177" s="1">
        <f t="shared" si="204"/>
        <v>9</v>
      </c>
      <c r="AV177" s="1">
        <f>MIN(5,SUMIFS($EL$3:EL177,$B$3:B177,"&gt;="&amp;MAX(1,B177-2),$B$3:B177,"&lt;="&amp;B177)+EC177)</f>
        <v>0</v>
      </c>
      <c r="AW177" s="1">
        <f>MIN(6,SUMIFS($EY$3:EY176,$EX$3:EX176,"&gt;="&amp;MAX(1,EX177-Boss参数!$B$87+1),$EX$3:EX176,"&lt;="&amp;EX177))</f>
        <v>0</v>
      </c>
      <c r="AX177" s="1">
        <f>MIN(4,COUNTIFS($B$3:$B$176,"&gt;="&amp;MAX(1,$B177-2),$B$3:$B$176,"&lt;="&amp;$B177,$L$3:$L$176,"37_FOLLOW"))</f>
        <v>0</v>
      </c>
      <c r="AY177" s="1" t="str">
        <f>IF($E177="","",IF($E177="系统",0,ROUNDDOWN(INDEX(角色面板!$C$4:$C$7,MATCH($E177,角色面板!$A$4:$A$7,0))*(1+INDEX(角色面板!$C$11:$C$14,MATCH($E177,角色面板!$A$11:$A$14,0))+IF($E177="小瑞安侬",MAX(IF($B177&lt;=$AQ177,$AP177,0),IF(AND($L177="RHI_ATTACK",$EE177&gt;0),0.11+0.01*$G177,0)),0)+IF($E177="J",$AD177*Boss参数!$B$18,0))+IF(FD177&lt;=$AN177,MIN(Boss参数!$B$21,ROUNDDOWN(角色面板!$C$19*Boss参数!$B$20,0)),0)+IF(AND($B177&lt;=$AK177,$E177&lt;&gt;"小瑞安侬"),$DY177,0),0)))</f>
        <v/>
      </c>
      <c r="AZ177" s="1" t="str">
        <f>IF($E177="","",MAX(0,MIN(1,IFERROR(INDEX(角色面板!$G$18:$G$21,MATCH($E177,角色面板!$A$18:$A$21,0)),0)-FC177*Boss参数!$B$89-Boss参数!$E$4)))</f>
        <v/>
      </c>
      <c r="BA177" s="1" t="str">
        <f>IF(E177="","",(IF($E177="","",IF($E177="红弩箭",Boss参数!$B$80,IF($E177="J",Boss参数!$B$81,IFERROR(INDEX(角色面板!$H$18:$H$21,MATCH($E177,角色面板!$A$18:$A$21,0)),0)))+IF($B177&lt;=$AI177,Boss参数!$B$13,0)+MIN(30,$AM177)*Boss参数!$B$17+IF(AND($L177="LILYA_ULT",$X177&gt;=6),1,0)+IF(AND($Y177=1,$L177="LILYA_INSIGHT"),IF(MOD($AA177+1,3)=0,Boss参数!$B$83,Boss参数!$B$82),IF(AND($Y177=1,$L177="LILYA_FINISH"),Boss参数!$B$84,0))))-FC177*Boss参数!$B$90)</f>
        <v/>
      </c>
      <c r="BB177" s="1" t="str">
        <f>IF($E177="","",IFERROR(INDEX(角色面板!$M$18:$M$21,MATCH($E177,角色面板!$A$18:$A$21,0)),0)+$AW177*Boss参数!$B$12+IF($B177&lt;=$AG177,$AF177,0)+$EI177+IF($L177="LILYA_DIVE",IF($U177=1,IF($G177=1,0.3,IF($G177=2,0.4,0.5)),IF($U177=2,IF($G177=1,0.6,IF($G177=2,0.8,1)),0)),0)+$R177+IF(AND($E177="J",OR($L177="J_COUNTER",$L177="J_HARD")),Boss参数!$B$79,0)+IF(AND(OR(L177="J_COUNTER",L177="J_HARD"),FA177&gt;=Boss参数!$B$59),FA177*Boss参数!$B$40,0))</f>
        <v/>
      </c>
      <c r="BC177" s="1" t="e">
        <f>IF($E177="","",IFERROR(INDEX(角色面板!$K$18:$K$21,MATCH($E177,角色面板!$A$18:$A$21,0)),0)+IF($B177&lt;=$AH177,Boss参数!$B$46,0)+IF($E177="红弩箭",IF($U177=1,0.6,IF($U177=2,1.2,0))+$W177*0.06,0))-DI177*Boss参数!$B$23</f>
        <v>#VALUE!</v>
      </c>
      <c r="BD177" s="1" t="e">
        <f>IF($E177="","",IFERROR(INDEX(角色面板!$L$18:$L$21,MATCH($E177,角色面板!$A$18:$A$21,0)),0)+IF($B177&lt;=$AH177,Boss参数!$B$46,0)+IF($E177="J",$AL177*Boss参数!$B$16,0)+IF($E177="红弩箭",$X177*0.025,0)+IF(AND($L177="LILYA_ULT",$X177&gt;=6),1,0))-DI177*Boss参数!$B$23</f>
        <v>#VALUE!</v>
      </c>
      <c r="BE177" s="1" t="str">
        <f>IF($E177="","",IF($H177="洞知",IF($E177="红弩箭",$AO177*Boss参数!$B$15,0)+$AX177*Boss参数!$B$14,0))</f>
        <v/>
      </c>
      <c r="BF177" s="1">
        <f t="shared" si="141"/>
        <v>0</v>
      </c>
      <c r="BG177" s="1">
        <f>IF($D177="",0,IF(AND($L177&lt;&gt;"LILYA_DIVE",$L177&lt;&gt;"LILYA_ULT",$L177&lt;&gt;"LILYA_INSIGHT",$L177&lt;&gt;"LILYA_FINISH",$L177&lt;&gt;"37_FOLLOW",$L177&lt;&gt;"RHI_ATTACK",$L177&lt;&gt;"RHI_BERRY",$L177&lt;&gt;"J_COUNTER",$L177&lt;&gt;"J_ULT"),$J177,0)+IF($L177="LILYA_DIVE",$J177+IF($U177=1,IF($G177=1,6,IF($G177=2,12,18)),IF($U177=2,IF($G177=1,12,IF($G177=2,24,36)),0)),0)+IF($L177="LILYA_ULT",$J177+IF($X177&gt;=6,18,0),0)+IF($L177="LILYA_INSIGHT",IF($Y177=1,IF(MOD($AA177+1,3)=0,32,15),0),0)+IF($L177="LILYA_FINISH",IF($Y177=1,50+2.5*$Z177,0),0)+IF($L177="37_FOLLOW",$J177,0)+IF($L177="RHI_ATTACK",$J177*IF($B177&lt;=$AJ177,2,1),0)+IF($L177="RHI_BERRY",15+1.5*$AV177,0)+IF($L177="J_COUNTER",$J177+$AD177*Boss参数!$B$39,0)+IF($L177="J_ULT",$J177+Boss参数!$B$45*MAX(0,$AE177+$AD177-Boss参数!$I$4),0)+$S177)</f>
        <v>0</v>
      </c>
      <c r="BH177" s="1">
        <f t="shared" si="142"/>
        <v>0</v>
      </c>
      <c r="BI177" s="1" t="str">
        <f>IF(E177="","",IF(DT177=1,1+Boss参数!$B$8+AV177*Boss参数!$B$19,1))</f>
        <v/>
      </c>
      <c r="BJ177" s="1">
        <f>IF($I177="现实",Boss参数!$C$4,IF($I177="精神",Boss参数!$D$4,0))</f>
        <v>0</v>
      </c>
      <c r="BK177" s="1" t="str">
        <f>IF($E177="","",MAX($AY177*Boss参数!$B$9,$AY177-$BJ177*(1-$BF177)))</f>
        <v/>
      </c>
      <c r="BL177" s="1">
        <f>MAX(0,Boss参数!$F$4+IF(DT177=0,Boss参数!$B$27,0)-EJ177)</f>
        <v>1.25</v>
      </c>
      <c r="BM177" s="1">
        <f>Boss参数!$G$4+DU177-IF(Y177=1,Boss参数!$B$11,0)</f>
        <v>0.4</v>
      </c>
      <c r="BN177" s="1" t="str">
        <f>IF($E177="","",MAX(Boss参数!$B$10,1+IFERROR(INDEX(角色面板!$I$18:$I$21,MATCH($E177,角色面板!$A$18:$A$21,0)),0)+$BB177+Boss参数!$H$4-$BM177))</f>
        <v/>
      </c>
      <c r="BO177" s="1" t="str">
        <f>IF(E177="","",IF(OR(L177="J_COUNTER",L177="J_HARD"),MAX(0,1+INDEX(角色面板!$K$18:$K$21,MATCH(E177,角色面板!$A$18:$A$21,0))-DI177*Boss参数!$B$23+IF(OR(Boss参数!$B$43=1,L177="J_HARD"),IF(B177&lt;=AH177,Boss参数!$B$46,0),0)),MAX(0,IF(OR(H177="术法",L177="RHI_BERRY",AND(L177="37_FOLLOW",Boss参数!$B$31=1)),1+BC177,IF(H177="仪式",1+BD177,IF(H177="洞知",EK177,1))))))</f>
        <v/>
      </c>
      <c r="BP177" s="1" t="str">
        <f t="shared" si="143"/>
        <v/>
      </c>
      <c r="BQ177" s="1">
        <f t="shared" si="144"/>
        <v>0</v>
      </c>
      <c r="BR177" s="1">
        <f t="shared" si="145"/>
        <v>0</v>
      </c>
      <c r="BS177" s="1">
        <f>IF(BH177=0,0,ROUNDDOWN(AY177*BH177,0)*DV177*IF(Boss参数!$B$29=1,BN177,1)*IF(Boss参数!$B$33=1,BO177,1)*IF(Boss参数!$B$76=1,1-ES177,1))</f>
        <v>0</v>
      </c>
      <c r="BT177" s="1">
        <f t="shared" si="146"/>
        <v>0</v>
      </c>
      <c r="BU177" s="1">
        <f>IF(D177="",0,MIN(IF(Boss参数!$B$77=1,Boss参数!$B$63*Boss参数!$B$62,Boss参数!$B$61*Boss参数!$B$62),DW177+ROUNDDOWN(BS177,0)+ROUNDDOWN(DW177*Q177,0)))</f>
        <v>0</v>
      </c>
      <c r="BV177" s="1">
        <f>IF(D177="",0,MIN(IF(Boss参数!$B$77=1,Boss参数!$B$63*Boss参数!$B$62,Boss参数!$B$61*Boss参数!$B$62),DX177+ROUNDDOWN(BT177,0)+ROUNDDOWN(DX177*Q177,0)))</f>
        <v>0</v>
      </c>
      <c r="BW177" s="1">
        <f t="shared" si="147"/>
        <v>0</v>
      </c>
      <c r="BX177" s="1" t="str">
        <f t="shared" si="148"/>
        <v/>
      </c>
      <c r="BY177" s="1">
        <f t="shared" si="149"/>
        <v>2</v>
      </c>
      <c r="BZ177" s="1">
        <f t="shared" si="150"/>
        <v>1</v>
      </c>
      <c r="CA177" s="1">
        <f>MIN(10,W177+IF(AND(L177="LILYA_COBRA",COUNTIF($L$3:L177,"LILYA_COBRA")=1),5,0)+IF(AND(L177="LILYA_DIVE",U177=1,COUNTIFS($DG$3:DG177,DG177,$L$3:L177,"LILYA_DIVE")=1),2,0)+IF(AND(FE177=1,U177=1),3,0))</f>
        <v>10</v>
      </c>
      <c r="CB177" s="1">
        <f>MIN(20,MAX(0,X177+IF(L177="LILYA_COBRA",IF(COUNTIF($L$3:L177,"LILYA_COBRA")=1,6,IF(U177=1,MAX(1,G177),IF(U177=2,2*MAX(1,G177),0))),0)+IF(AND(Y177=1,E177="红弩箭",L177&lt;&gt;"ENTER_INSIGHT"),1,0)-IF(AND(L177="LILYA_ULT",X177&gt;=6),6,0)))</f>
        <v>13</v>
      </c>
      <c r="CC177" s="1">
        <f t="shared" si="151"/>
        <v>0</v>
      </c>
      <c r="CD177" s="1">
        <f t="shared" si="152"/>
        <v>0</v>
      </c>
      <c r="CE177" s="1">
        <f t="shared" si="153"/>
        <v>0</v>
      </c>
      <c r="CF177" s="1">
        <f t="shared" si="154"/>
        <v>10</v>
      </c>
      <c r="CG177" s="1">
        <f t="shared" si="155"/>
        <v>1</v>
      </c>
      <c r="CH177" s="1">
        <f>MIN(35,AD177+IF(L177="J_HARD",6,0)+IF(L177="J_COUNTER",Boss参数!$B$30,0))</f>
        <v>35</v>
      </c>
      <c r="CI177" s="1">
        <f>MIN(Boss参数!$I$4,AE177+IF(L177="J_HARD",6,0)+IF(L177="J_ULT",AD177,0)+IF(L177="J_COUNTER",Boss参数!$B$30,0))</f>
        <v>0</v>
      </c>
      <c r="CJ177" s="1">
        <f>IF(L177="J_ULT",AD177*Boss参数!$B$41,IF(B177&lt;=AG177,AF177,0))</f>
        <v>0.875</v>
      </c>
      <c r="CK177" s="1">
        <f t="shared" si="156"/>
        <v>9</v>
      </c>
      <c r="CL177" s="1">
        <f t="shared" si="157"/>
        <v>9</v>
      </c>
      <c r="CM177" s="1">
        <f t="shared" si="158"/>
        <v>8</v>
      </c>
      <c r="CN177" s="1">
        <f t="shared" si="159"/>
        <v>9</v>
      </c>
      <c r="CO177" s="1">
        <f t="shared" si="160"/>
        <v>8</v>
      </c>
      <c r="CP177" s="1">
        <f t="shared" si="161"/>
        <v>3</v>
      </c>
      <c r="CQ177" s="1">
        <f t="shared" si="162"/>
        <v>30</v>
      </c>
      <c r="CR177" s="1">
        <f t="shared" si="163"/>
        <v>9</v>
      </c>
      <c r="CS177" s="1">
        <f t="shared" si="164"/>
        <v>0</v>
      </c>
      <c r="CT177" s="1" t="e">
        <f t="shared" si="165"/>
        <v>#VALUE!</v>
      </c>
      <c r="CU177" s="1" t="e">
        <f t="shared" si="166"/>
        <v>#VALUE!</v>
      </c>
      <c r="CV177" s="1">
        <f t="shared" si="167"/>
        <v>0.3</v>
      </c>
      <c r="CW177" s="1">
        <f t="shared" si="168"/>
        <v>9</v>
      </c>
      <c r="CX177" s="1">
        <f t="shared" si="169"/>
        <v>0.3</v>
      </c>
      <c r="CY177" s="1">
        <f t="shared" si="170"/>
        <v>9</v>
      </c>
      <c r="CZ177" s="1"/>
      <c r="DA177" s="1"/>
      <c r="DB177" s="1"/>
      <c r="DC177" s="1"/>
      <c r="DD177" s="1"/>
      <c r="DE177" s="1"/>
      <c r="DF177" s="1"/>
      <c r="DG177" s="1" t="str">
        <f>IF(D177="","",行动模拟!B183)</f>
        <v/>
      </c>
      <c r="DH177" s="1" t="str">
        <f>IF(L177="END_TURN","回合结束",IF(D177="","",IF(INDEX(回合状态!$C$7:$C$17,MATCH(DG177,回合状态!$A$7:$A$17,0))="洞穿","洞穿",IF(OR(L177="J_COUNTER",L177="BOSS_ACTION",L177="BOSS_CONSERVATIVE"),"敌方",IF(AND(L177="37_FOLLOW",DG177=DG176,DH176="敌方"),"敌方",IF(INDEX(回合状态!$C$7:$C$17,MATCH(DG177,回合状态!$A$7:$A$17,0))="普通","出牌",INDEX(回合状态!$C$7:$C$17,MATCH(DG177,回合状态!$A$7:$A$17,0))))))))</f>
        <v/>
      </c>
      <c r="DI177" s="1">
        <f t="shared" si="171"/>
        <v>0</v>
      </c>
      <c r="DJ177" s="1">
        <f>IF(D177="",0,MIN(Boss参数!$B$25,IF(OR(AND(DH177="敌方",OR(DH176&lt;&gt;"敌方",DG177&lt;&gt;DG176)),AND(L177="END_TURN",DH177&lt;&gt;"洞穿"),AND(DG177&lt;&gt;DG176,DH176&lt;&gt;"洞穿",L176&lt;&gt;"END_TURN",COUNTIFS($DG$3:DG176,DG176,$DH$3:DH176,"敌方")=0)),EW177,DN176)))</f>
        <v>0</v>
      </c>
      <c r="DK177" s="1">
        <f>IF(D177="",0,MIN(Boss参数!$B$25,IF(OR(AND(DH177="敌方",OR(DH176&lt;&gt;"敌方",DG177&lt;&gt;DG176)),AND(L177="END_TURN",DH177&lt;&gt;"洞穿"),AND(DG177&lt;&gt;DG176,DH176&lt;&gt;"洞穿",L176&lt;&gt;"END_TURN",COUNTIFS($DG$3:DG176,DG176,$DH$3:DH176,"敌方")=0)),EW177,DO176)))</f>
        <v>0</v>
      </c>
      <c r="DL177" s="1">
        <f>IF(D177="",0,MIN(Boss参数!$B$25,IF(OR(AND(DH177="敌方",OR(DH176&lt;&gt;"敌方",DG177&lt;&gt;DG176)),AND(L177="END_TURN",DH177&lt;&gt;"洞穿"),AND(DG177&lt;&gt;DG176,DH176&lt;&gt;"洞穿",L176&lt;&gt;"END_TURN",COUNTIFS($DG$3:DG176,DG176,$DH$3:DH176,"敌方")=0)),EW177,DP176)))</f>
        <v>0</v>
      </c>
      <c r="DM177" s="1">
        <f>IF(D177="",0,MIN(Boss参数!$B$25,IF(OR(AND(DH177="敌方",OR(DH176&lt;&gt;"敌方",DG177&lt;&gt;DG176)),AND(L177="END_TURN",DH177&lt;&gt;"洞穿"),AND(DG177&lt;&gt;DG176,DH176&lt;&gt;"洞穿",L176&lt;&gt;"END_TURN",COUNTIFS($DG$3:DG176,DG176,$DH$3:DH176,"敌方")=0)),EW177,DQ176)))</f>
        <v>0</v>
      </c>
      <c r="DN177" s="1">
        <f>MAX(0,MIN(Boss参数!$B$25,DJ177+DR177)-IF(E177="红弩箭",2*DR177,0))</f>
        <v>0</v>
      </c>
      <c r="DO177" s="1">
        <f>MAX(0,MIN(Boss参数!$B$25,DK177+DR177)-IF(E177="37",2*DR177,0))</f>
        <v>0</v>
      </c>
      <c r="DP177" s="1">
        <f>MAX(0,MIN(Boss参数!$B$25,DL177+DR177)-IF(E177="小瑞安侬",2*DR177,0))</f>
        <v>0</v>
      </c>
      <c r="DQ177" s="1">
        <f>MAX(0,MIN(Boss参数!$B$25,DM177+DR177)-IF(E177="J",2*DR177,0))</f>
        <v>0</v>
      </c>
      <c r="DR177" s="1">
        <f t="shared" si="172"/>
        <v>0</v>
      </c>
      <c r="DS177" s="1">
        <f t="shared" si="173"/>
        <v>0</v>
      </c>
      <c r="DT177" s="1">
        <f>IF(OR(E177="",E177="系统"),0,IF(OR(AND(DS177=1,Boss参数!$B$32=1),L177="RHI_BERRY",OR(AND(INDEX(角色面板!$B$18:$B$21,MATCH(E177,角色面板!$A$18:$A$21,0))="星",Boss参数!$B$4="岩"),AND(INDEX(角色面板!$B$18:$B$21,MATCH(E177,角色面板!$A$18:$A$21,0))="岩",Boss参数!$B$4="兽"),AND(INDEX(角色面板!$B$18:$B$21,MATCH(E177,角色面板!$A$18:$A$21,0))="兽",Boss参数!$B$4="木"),AND(INDEX(角色面板!$B$18:$B$21,MATCH(E177,角色面板!$A$18:$A$21,0))="木",Boss参数!$B$4="星"),AND(INDEX(角色面板!$B$18:$B$21,MATCH(E177,角色面板!$A$18:$A$21,0))="智",Boss参数!$B$4="灵"),AND(INDEX(角色面板!$B$18:$B$21,MATCH(E177,角色面板!$A$18:$A$21,0))="灵",Boss参数!$B$4="智"))),1,0))</f>
        <v>0</v>
      </c>
      <c r="DU177" s="1">
        <f>IF(D177="",0,INDEX(回合状态!$E$7:$E$17,MATCH(DG177,回合状态!$A$7:$A$17,0))+IF(AND(DH177="敌方",OR(INDEX(回合状态!$C$7:$C$17,MATCH(DG177,回合状态!$A$7:$A$17,0))="普通",INDEX(回合状态!$C$7:$C$17,MATCH(DG177,回合状态!$A$7:$A$17,0))="额外")),0.05,0))</f>
        <v>0</v>
      </c>
      <c r="DV177" s="1">
        <f>MAX(Boss参数!$B$28,1+IF(AND(E177="37",AC177&gt;0,BH177&gt;0),Boss参数!$B$42,0)-DI177*Boss参数!$B$24+EA177-ER177)</f>
        <v>9.9999999999999978E-2</v>
      </c>
      <c r="DW177" s="1">
        <f>MIN(IF(Boss参数!$B$77=1,Boss参数!$B$63*Boss参数!$B$62,Boss参数!$B$61*Boss参数!$B$62),ROUNDDOWN(BQ177*(1-ES177),0))</f>
        <v>0</v>
      </c>
      <c r="DX177" s="1">
        <f>MIN(IF(Boss参数!$B$77=1,Boss参数!$B$63*Boss参数!$B$62,Boss参数!$B$61*Boss参数!$B$62),ROUNDDOWN(BR177*(1-ES177),0))</f>
        <v>0</v>
      </c>
      <c r="DY177" s="1">
        <f t="shared" si="205"/>
        <v>250</v>
      </c>
      <c r="DZ177" s="1">
        <f>IF(L177="RHI_ULT",MIN(Boss参数!$B$48,ROUNDDOWN(AY177*Boss参数!$B$47,0)),DY177)</f>
        <v>250</v>
      </c>
      <c r="EA177" s="1">
        <v>0</v>
      </c>
      <c r="EB177" s="1">
        <f t="shared" si="174"/>
        <v>0</v>
      </c>
      <c r="EC177" s="1">
        <f>SUMIFS($EB$3:EB177,$B$3:B177,"&gt;="&amp;MAX(1,B177-2),$B$3:B177,"&lt;="&amp;B177)*Boss参数!$B$51</f>
        <v>0</v>
      </c>
      <c r="ED177" s="1">
        <f>IF(D177="",EG176,IF(AND(DG177&lt;&gt;DG176,DH177&lt;&gt;"洞穿"),MIN(Boss参数!$B$55,EG176+2),EG176))</f>
        <v>0</v>
      </c>
      <c r="EE177" s="1">
        <f t="shared" si="175"/>
        <v>0</v>
      </c>
      <c r="EF177" s="1">
        <f>IF(AND(OR(L177="END_TURN",AND(DH177="敌方",OR(DH176&lt;&gt;"敌方",DG177&lt;&gt;DG176))),SUMIFS($EF$3:EF176,$DG$3:DG176,DG177)=0),MIN(1,MAX(0,ED177-EE177)),0)</f>
        <v>0</v>
      </c>
      <c r="EG177" s="1">
        <f t="shared" si="176"/>
        <v>0</v>
      </c>
      <c r="EH177" s="1">
        <f>Boss参数!$B$53-IF(Y177=1,Boss参数!$B$54,0)</f>
        <v>0</v>
      </c>
      <c r="EI177" s="1">
        <f t="shared" si="177"/>
        <v>0.15</v>
      </c>
      <c r="EJ177" s="1">
        <f t="shared" si="178"/>
        <v>0.15</v>
      </c>
      <c r="EK177" s="1" t="e">
        <f t="shared" si="179"/>
        <v>#VALUE!</v>
      </c>
      <c r="EL177" s="1">
        <f t="shared" si="206"/>
        <v>0</v>
      </c>
      <c r="EM177" s="1">
        <f>IF(AND(DG177&lt;&gt;DG176,DH177="洞穿"),0,IF(L177="ENTER_INSIGHT",Boss参数!$B$57,EO176))</f>
        <v>0</v>
      </c>
      <c r="EN177" s="1">
        <f>IF(AND(Y177=1,H177="洞知",EM177&gt;0),Boss参数!$B$56,0)</f>
        <v>0</v>
      </c>
      <c r="EO177" s="1">
        <f t="shared" si="180"/>
        <v>0</v>
      </c>
      <c r="EP177" s="1">
        <f t="shared" si="207"/>
        <v>23210479</v>
      </c>
      <c r="EQ177" s="1">
        <f>ROUNDDOWN(EP177/Boss参数!$B$62,0)</f>
        <v>232</v>
      </c>
      <c r="ER177" s="1">
        <f>IF(EQ177&gt;=Boss参数!$B$66,Boss参数!$B$69,IF(EQ177&gt;=Boss参数!$B$65,Boss参数!$B$68,IF(EQ177&gt;=Boss参数!$B$64,Boss参数!$B$67,0)))</f>
        <v>0.9</v>
      </c>
      <c r="ES177" s="1">
        <f>MIN(1,IF(EQ177&gt;=Boss参数!$B$66,Boss参数!$B$72+ROUNDDOWN((EQ177-Boss参数!$B$66)/Boss参数!$B$73,0)*Boss参数!$B$74,IF(EQ177&gt;=Boss参数!$B$65,Boss参数!$B$71,IF(EQ177&gt;=Boss参数!$B$64,Boss参数!$B$70,0))))</f>
        <v>0.65</v>
      </c>
      <c r="ET177" s="1">
        <f>MIN(Boss参数!$B$61*Boss参数!$B$62,EP177+IF(AND(Boss参数!$B$60=1,ISNUMBER(验证表!H183)),验证表!H183,EU177))</f>
        <v>23210479</v>
      </c>
      <c r="EU177" s="1">
        <f>IF(D177="",0,IF(验证表!G183="是",BV177,IF(验证表!G183="否",BU177,BW177)))</f>
        <v>0</v>
      </c>
      <c r="EV177" s="1">
        <f>IF(EQ177&gt;=Boss参数!$B$66,2,IF(EQ177&gt;=Boss参数!$B$65,1,0))</f>
        <v>2</v>
      </c>
      <c r="EW177" s="1">
        <f t="shared" si="181"/>
        <v>3</v>
      </c>
      <c r="EX177" s="1">
        <f>IF(D177="",0,INDEX(回合状态!$D$7:$D$17,MATCH(DG177,回合状态!$A$7:$A$17,0)))</f>
        <v>0</v>
      </c>
      <c r="EY177" s="1">
        <f>IF(OR(L177="RHI_ATTACK",L177="RHI_BUFF"),1,IF(L177="RHI_ULT",Boss参数!$B$52,0))</f>
        <v>0</v>
      </c>
      <c r="EZ177" s="1">
        <f>MIN(6,SUMIFS($EY$3:EY177,$EX$3:EX177,"&gt;="&amp;MAX(1,EX177-Boss参数!$B$87+1),$EX$3:EX177,"&lt;="&amp;EX177))</f>
        <v>0</v>
      </c>
      <c r="FA177" s="1">
        <f t="shared" si="208"/>
        <v>0</v>
      </c>
      <c r="FB177" s="17">
        <f>IF(L177="BOSS_CONSERVATIVE",B177+Boss参数!$B$91,FB176)</f>
        <v>7</v>
      </c>
      <c r="FC177" s="17">
        <f t="shared" si="209"/>
        <v>0</v>
      </c>
      <c r="FD177" s="17">
        <f>IF(D177="",FD176,FD176+IF(AND(DG177&lt;&gt;DG176,INDEX(回合状态!$C$7:$C$17,MATCH(DG177,回合状态!$A$7:$A$17,0))&lt;&gt;"洞穿"),1,0))</f>
        <v>8</v>
      </c>
      <c r="FE177" s="17">
        <f>IF(D177="",0,IF(AND(OR(L177="END_TURN",DH177="敌方"),INDEX(回合状态!$C$7:$C$17,MATCH(DG177,回合状态!$A$7:$A$17,0))&lt;&gt;"洞穿",SUMIFS($FE$3:FE176,$DG$3:DG176,DG177)=0),1,0))</f>
        <v>0</v>
      </c>
    </row>
    <row r="178" spans="1:161" ht="84.95" customHeight="1">
      <c r="A178" s="1" t="str">
        <f>行动模拟!A184</f>
        <v/>
      </c>
      <c r="B178" s="1">
        <f>IF(D178="",0,INDEX(回合状态!$B$7:$B$17,MATCH(DG178,回合状态!$A$7:$A$17,0)))</f>
        <v>0</v>
      </c>
      <c r="C178" s="1">
        <f>行动模拟!C184</f>
        <v>0</v>
      </c>
      <c r="D178" s="1" t="str">
        <f>IF(行动模拟!D184="","",行动模拟!D184)</f>
        <v/>
      </c>
      <c r="E178" s="1" t="str">
        <f>IF($D178="","",IFERROR(INDEX(技能数据库!$B$4:$B$38,MATCH($D178,技能数据库!$A$4:$A$38,0)),""))</f>
        <v/>
      </c>
      <c r="F178" s="1" t="str">
        <f>IF($D178="","",IFERROR(INDEX(技能数据库!$C$4:$C$38,MATCH($D178,技能数据库!$A$4:$A$38,0)),""))</f>
        <v/>
      </c>
      <c r="G178" s="1" t="str">
        <f>IF($D178="","",IFERROR(INDEX(技能数据库!$D$4:$D$38,MATCH($D178,技能数据库!$A$4:$A$38,0)),""))</f>
        <v/>
      </c>
      <c r="H178" s="1" t="str">
        <f>IF($D178="","",IFERROR(INDEX(技能数据库!$E$4:$E$38,MATCH($D178,技能数据库!$A$4:$A$38,0)),""))</f>
        <v/>
      </c>
      <c r="I178" s="1" t="str">
        <f>IF($D178="","",IFERROR(INDEX(技能数据库!$F$4:$F$38,MATCH($D178,技能数据库!$A$4:$A$38,0)),""))</f>
        <v/>
      </c>
      <c r="J178" s="1" t="str">
        <f>IF($D178="","",IFERROR(INDEX(技能数据库!$G$4:$G$38,MATCH($D178,技能数据库!$A$4:$A$38,0)),""))</f>
        <v/>
      </c>
      <c r="K178" s="1" t="str">
        <f>IF($D178="","",IFERROR(INDEX(技能数据库!$H$4:$H$38,MATCH($D178,技能数据库!$A$4:$A$38,0)),""))</f>
        <v/>
      </c>
      <c r="L178" s="1" t="str">
        <f>IF($D178="","",IFERROR(INDEX(技能数据库!$I$4:$I$38,MATCH($D178,技能数据库!$A$4:$A$38,0)),""))</f>
        <v/>
      </c>
      <c r="M178" s="1">
        <v>1</v>
      </c>
      <c r="N178" s="1"/>
      <c r="O178" s="1"/>
      <c r="P178" s="1"/>
      <c r="Q178" s="1">
        <f t="shared" si="140"/>
        <v>0</v>
      </c>
      <c r="R178" s="1">
        <v>0</v>
      </c>
      <c r="S178" s="1">
        <v>0</v>
      </c>
      <c r="T178" s="1">
        <f>行动模拟!I184</f>
        <v>0</v>
      </c>
      <c r="U178" s="1">
        <f>IF(FD178&lt;&gt;FD177,IF(BY177=1,IF(MIN(10,CA177+IF(AND(DG178&lt;&gt;DG177,DH177&lt;&gt;"洞穿",SUMIFS($FE$3:FE177,$DG$3:DG177,DG177)=0,BY177=1),3,0))&gt;=10,2,1),IF(BY177=2,IF(BZ177&lt;=1,0,2),0)),BY177)</f>
        <v>2</v>
      </c>
      <c r="V178" s="1">
        <f>IF(FD178&lt;&gt;FD177,IF(BY177=1,IF(MIN(10,CA177+IF(AND(DG178&lt;&gt;DG177,DH177&lt;&gt;"洞穿",SUMIFS($FE$3:FE177,$DG$3:DG177,DG177)=0,BY177=1),3,0))&gt;=10,2,0),IF(BY177=2,MAX(0,BZ177-1),0)),BZ177)</f>
        <v>1</v>
      </c>
      <c r="W178" s="1">
        <f>IF(AND(FD178&lt;&gt;FD177,BY177=2,BZ177&lt;=1),0,MIN(10,CA177+IF(AND(DG178&lt;&gt;DG177,DH177&lt;&gt;"洞穿",SUMIFS($FE$3:FE177,$DG$3:DG177,DG177)=0,BY177=1),3,0)))</f>
        <v>10</v>
      </c>
      <c r="X178" s="1">
        <f t="shared" si="182"/>
        <v>13</v>
      </c>
      <c r="Y178" s="1">
        <f t="shared" si="183"/>
        <v>0</v>
      </c>
      <c r="Z178" s="1">
        <f t="shared" si="184"/>
        <v>0</v>
      </c>
      <c r="AA178" s="1">
        <f t="shared" si="185"/>
        <v>0</v>
      </c>
      <c r="AB178" s="1">
        <f t="shared" si="186"/>
        <v>10</v>
      </c>
      <c r="AC178" s="1">
        <f t="shared" si="187"/>
        <v>1</v>
      </c>
      <c r="AD178" s="1">
        <f t="shared" si="188"/>
        <v>35</v>
      </c>
      <c r="AE178" s="1">
        <f>IF(D178="",0,IF(DG178&lt;&gt;DG177,IFERROR(INDEX(回合状态!$F$7:$F$17,MATCH(DG178,回合状态!$A$7:$A$17,0)),0),CI177))</f>
        <v>0</v>
      </c>
      <c r="AF178" s="1">
        <f t="shared" si="189"/>
        <v>0.875</v>
      </c>
      <c r="AG178" s="1">
        <f t="shared" si="190"/>
        <v>9</v>
      </c>
      <c r="AH178" s="1">
        <f t="shared" si="191"/>
        <v>9</v>
      </c>
      <c r="AI178" s="1">
        <f t="shared" si="192"/>
        <v>8</v>
      </c>
      <c r="AJ178" s="1">
        <f t="shared" si="193"/>
        <v>9</v>
      </c>
      <c r="AK178" s="1">
        <f t="shared" si="194"/>
        <v>8</v>
      </c>
      <c r="AL178" s="1">
        <f t="shared" si="195"/>
        <v>3</v>
      </c>
      <c r="AM178" s="1">
        <f t="shared" si="196"/>
        <v>30</v>
      </c>
      <c r="AN178" s="1">
        <f t="shared" si="197"/>
        <v>9</v>
      </c>
      <c r="AO178" s="1">
        <f t="shared" si="198"/>
        <v>0</v>
      </c>
      <c r="AP178" s="1" t="e">
        <f t="shared" si="199"/>
        <v>#VALUE!</v>
      </c>
      <c r="AQ178" s="1" t="e">
        <f t="shared" si="200"/>
        <v>#VALUE!</v>
      </c>
      <c r="AR178" s="1">
        <f t="shared" si="201"/>
        <v>0.3</v>
      </c>
      <c r="AS178" s="1">
        <f t="shared" si="202"/>
        <v>9</v>
      </c>
      <c r="AT178" s="1">
        <f t="shared" si="203"/>
        <v>0.3</v>
      </c>
      <c r="AU178" s="1">
        <f t="shared" si="204"/>
        <v>9</v>
      </c>
      <c r="AV178" s="1">
        <f>MIN(5,SUMIFS($EL$3:EL178,$B$3:B178,"&gt;="&amp;MAX(1,B178-2),$B$3:B178,"&lt;="&amp;B178)+EC178)</f>
        <v>0</v>
      </c>
      <c r="AW178" s="1">
        <f>MIN(6,SUMIFS($EY$3:EY177,$EX$3:EX177,"&gt;="&amp;MAX(1,EX178-Boss参数!$B$87+1),$EX$3:EX177,"&lt;="&amp;EX178))</f>
        <v>0</v>
      </c>
      <c r="AX178" s="1">
        <f>MIN(4,COUNTIFS($B$3:$B$177,"&gt;="&amp;MAX(1,$B178-2),$B$3:$B$177,"&lt;="&amp;$B178,$L$3:$L$177,"37_FOLLOW"))</f>
        <v>0</v>
      </c>
      <c r="AY178" s="1" t="str">
        <f>IF($E178="","",IF($E178="系统",0,ROUNDDOWN(INDEX(角色面板!$C$4:$C$7,MATCH($E178,角色面板!$A$4:$A$7,0))*(1+INDEX(角色面板!$C$11:$C$14,MATCH($E178,角色面板!$A$11:$A$14,0))+IF($E178="小瑞安侬",MAX(IF($B178&lt;=$AQ178,$AP178,0),IF(AND($L178="RHI_ATTACK",$EE178&gt;0),0.11+0.01*$G178,0)),0)+IF($E178="J",$AD178*Boss参数!$B$18,0))+IF(FD178&lt;=$AN178,MIN(Boss参数!$B$21,ROUNDDOWN(角色面板!$C$19*Boss参数!$B$20,0)),0)+IF(AND($B178&lt;=$AK178,$E178&lt;&gt;"小瑞安侬"),$DY178,0),0)))</f>
        <v/>
      </c>
      <c r="AZ178" s="1" t="str">
        <f>IF($E178="","",MAX(0,MIN(1,IFERROR(INDEX(角色面板!$G$18:$G$21,MATCH($E178,角色面板!$A$18:$A$21,0)),0)-FC178*Boss参数!$B$89-Boss参数!$E$4)))</f>
        <v/>
      </c>
      <c r="BA178" s="1" t="str">
        <f>IF(E178="","",(IF($E178="","",IF($E178="红弩箭",Boss参数!$B$80,IF($E178="J",Boss参数!$B$81,IFERROR(INDEX(角色面板!$H$18:$H$21,MATCH($E178,角色面板!$A$18:$A$21,0)),0)))+IF($B178&lt;=$AI178,Boss参数!$B$13,0)+MIN(30,$AM178)*Boss参数!$B$17+IF(AND($L178="LILYA_ULT",$X178&gt;=6),1,0)+IF(AND($Y178=1,$L178="LILYA_INSIGHT"),IF(MOD($AA178+1,3)=0,Boss参数!$B$83,Boss参数!$B$82),IF(AND($Y178=1,$L178="LILYA_FINISH"),Boss参数!$B$84,0))))-FC178*Boss参数!$B$90)</f>
        <v/>
      </c>
      <c r="BB178" s="1" t="str">
        <f>IF($E178="","",IFERROR(INDEX(角色面板!$M$18:$M$21,MATCH($E178,角色面板!$A$18:$A$21,0)),0)+$AW178*Boss参数!$B$12+IF($B178&lt;=$AG178,$AF178,0)+$EI178+IF($L178="LILYA_DIVE",IF($U178=1,IF($G178=1,0.3,IF($G178=2,0.4,0.5)),IF($U178=2,IF($G178=1,0.6,IF($G178=2,0.8,1)),0)),0)+$R178+IF(AND($E178="J",OR($L178="J_COUNTER",$L178="J_HARD")),Boss参数!$B$79,0)+IF(AND(OR(L178="J_COUNTER",L178="J_HARD"),FA178&gt;=Boss参数!$B$59),FA178*Boss参数!$B$40,0))</f>
        <v/>
      </c>
      <c r="BC178" s="1" t="e">
        <f>IF($E178="","",IFERROR(INDEX(角色面板!$K$18:$K$21,MATCH($E178,角色面板!$A$18:$A$21,0)),0)+IF($B178&lt;=$AH178,Boss参数!$B$46,0)+IF($E178="红弩箭",IF($U178=1,0.6,IF($U178=2,1.2,0))+$W178*0.06,0))-DI178*Boss参数!$B$23</f>
        <v>#VALUE!</v>
      </c>
      <c r="BD178" s="1" t="e">
        <f>IF($E178="","",IFERROR(INDEX(角色面板!$L$18:$L$21,MATCH($E178,角色面板!$A$18:$A$21,0)),0)+IF($B178&lt;=$AH178,Boss参数!$B$46,0)+IF($E178="J",$AL178*Boss参数!$B$16,0)+IF($E178="红弩箭",$X178*0.025,0)+IF(AND($L178="LILYA_ULT",$X178&gt;=6),1,0))-DI178*Boss参数!$B$23</f>
        <v>#VALUE!</v>
      </c>
      <c r="BE178" s="1" t="str">
        <f>IF($E178="","",IF($H178="洞知",IF($E178="红弩箭",$AO178*Boss参数!$B$15,0)+$AX178*Boss参数!$B$14,0))</f>
        <v/>
      </c>
      <c r="BF178" s="1">
        <f t="shared" si="141"/>
        <v>0</v>
      </c>
      <c r="BG178" s="1">
        <f>IF($D178="",0,IF(AND($L178&lt;&gt;"LILYA_DIVE",$L178&lt;&gt;"LILYA_ULT",$L178&lt;&gt;"LILYA_INSIGHT",$L178&lt;&gt;"LILYA_FINISH",$L178&lt;&gt;"37_FOLLOW",$L178&lt;&gt;"RHI_ATTACK",$L178&lt;&gt;"RHI_BERRY",$L178&lt;&gt;"J_COUNTER",$L178&lt;&gt;"J_ULT"),$J178,0)+IF($L178="LILYA_DIVE",$J178+IF($U178=1,IF($G178=1,6,IF($G178=2,12,18)),IF($U178=2,IF($G178=1,12,IF($G178=2,24,36)),0)),0)+IF($L178="LILYA_ULT",$J178+IF($X178&gt;=6,18,0),0)+IF($L178="LILYA_INSIGHT",IF($Y178=1,IF(MOD($AA178+1,3)=0,32,15),0),0)+IF($L178="LILYA_FINISH",IF($Y178=1,50+2.5*$Z178,0),0)+IF($L178="37_FOLLOW",$J178,0)+IF($L178="RHI_ATTACK",$J178*IF($B178&lt;=$AJ178,2,1),0)+IF($L178="RHI_BERRY",15+1.5*$AV178,0)+IF($L178="J_COUNTER",$J178+$AD178*Boss参数!$B$39,0)+IF($L178="J_ULT",$J178+Boss参数!$B$45*MAX(0,$AE178+$AD178-Boss参数!$I$4),0)+$S178)</f>
        <v>0</v>
      </c>
      <c r="BH178" s="1">
        <f t="shared" si="142"/>
        <v>0</v>
      </c>
      <c r="BI178" s="1" t="str">
        <f>IF(E178="","",IF(DT178=1,1+Boss参数!$B$8+AV178*Boss参数!$B$19,1))</f>
        <v/>
      </c>
      <c r="BJ178" s="1">
        <f>IF($I178="现实",Boss参数!$C$4,IF($I178="精神",Boss参数!$D$4,0))</f>
        <v>0</v>
      </c>
      <c r="BK178" s="1" t="str">
        <f>IF($E178="","",MAX($AY178*Boss参数!$B$9,$AY178-$BJ178*(1-$BF178)))</f>
        <v/>
      </c>
      <c r="BL178" s="1">
        <f>MAX(0,Boss参数!$F$4+IF(DT178=0,Boss参数!$B$27,0)-EJ178)</f>
        <v>1.25</v>
      </c>
      <c r="BM178" s="1">
        <f>Boss参数!$G$4+DU178-IF(Y178=1,Boss参数!$B$11,0)</f>
        <v>0.4</v>
      </c>
      <c r="BN178" s="1" t="str">
        <f>IF($E178="","",MAX(Boss参数!$B$10,1+IFERROR(INDEX(角色面板!$I$18:$I$21,MATCH($E178,角色面板!$A$18:$A$21,0)),0)+$BB178+Boss参数!$H$4-$BM178))</f>
        <v/>
      </c>
      <c r="BO178" s="1" t="str">
        <f>IF(E178="","",IF(OR(L178="J_COUNTER",L178="J_HARD"),MAX(0,1+INDEX(角色面板!$K$18:$K$21,MATCH(E178,角色面板!$A$18:$A$21,0))-DI178*Boss参数!$B$23+IF(OR(Boss参数!$B$43=1,L178="J_HARD"),IF(B178&lt;=AH178,Boss参数!$B$46,0),0)),MAX(0,IF(OR(H178="术法",L178="RHI_BERRY",AND(L178="37_FOLLOW",Boss参数!$B$31=1)),1+BC178,IF(H178="仪式",1+BD178,IF(H178="洞知",EK178,1))))))</f>
        <v/>
      </c>
      <c r="BP178" s="1" t="str">
        <f t="shared" si="143"/>
        <v/>
      </c>
      <c r="BQ178" s="1">
        <f t="shared" si="144"/>
        <v>0</v>
      </c>
      <c r="BR178" s="1">
        <f t="shared" si="145"/>
        <v>0</v>
      </c>
      <c r="BS178" s="1">
        <f>IF(BH178=0,0,ROUNDDOWN(AY178*BH178,0)*DV178*IF(Boss参数!$B$29=1,BN178,1)*IF(Boss参数!$B$33=1,BO178,1)*IF(Boss参数!$B$76=1,1-ES178,1))</f>
        <v>0</v>
      </c>
      <c r="BT178" s="1">
        <f t="shared" si="146"/>
        <v>0</v>
      </c>
      <c r="BU178" s="1">
        <f>IF(D178="",0,MIN(IF(Boss参数!$B$77=1,Boss参数!$B$63*Boss参数!$B$62,Boss参数!$B$61*Boss参数!$B$62),DW178+ROUNDDOWN(BS178,0)+ROUNDDOWN(DW178*Q178,0)))</f>
        <v>0</v>
      </c>
      <c r="BV178" s="1">
        <f>IF(D178="",0,MIN(IF(Boss参数!$B$77=1,Boss参数!$B$63*Boss参数!$B$62,Boss参数!$B$61*Boss参数!$B$62),DX178+ROUNDDOWN(BT178,0)+ROUNDDOWN(DX178*Q178,0)))</f>
        <v>0</v>
      </c>
      <c r="BW178" s="1">
        <f t="shared" si="147"/>
        <v>0</v>
      </c>
      <c r="BX178" s="1" t="str">
        <f t="shared" si="148"/>
        <v/>
      </c>
      <c r="BY178" s="1">
        <f t="shared" si="149"/>
        <v>2</v>
      </c>
      <c r="BZ178" s="1">
        <f t="shared" si="150"/>
        <v>1</v>
      </c>
      <c r="CA178" s="1">
        <f>MIN(10,W178+IF(AND(L178="LILYA_COBRA",COUNTIF($L$3:L178,"LILYA_COBRA")=1),5,0)+IF(AND(L178="LILYA_DIVE",U178=1,COUNTIFS($DG$3:DG178,DG178,$L$3:L178,"LILYA_DIVE")=1),2,0)+IF(AND(FE178=1,U178=1),3,0))</f>
        <v>10</v>
      </c>
      <c r="CB178" s="1">
        <f>MIN(20,MAX(0,X178+IF(L178="LILYA_COBRA",IF(COUNTIF($L$3:L178,"LILYA_COBRA")=1,6,IF(U178=1,MAX(1,G178),IF(U178=2,2*MAX(1,G178),0))),0)+IF(AND(Y178=1,E178="红弩箭",L178&lt;&gt;"ENTER_INSIGHT"),1,0)-IF(AND(L178="LILYA_ULT",X178&gt;=6),6,0)))</f>
        <v>13</v>
      </c>
      <c r="CC178" s="1">
        <f t="shared" si="151"/>
        <v>0</v>
      </c>
      <c r="CD178" s="1">
        <f t="shared" si="152"/>
        <v>0</v>
      </c>
      <c r="CE178" s="1">
        <f t="shared" si="153"/>
        <v>0</v>
      </c>
      <c r="CF178" s="1">
        <f t="shared" si="154"/>
        <v>10</v>
      </c>
      <c r="CG178" s="1">
        <f t="shared" si="155"/>
        <v>1</v>
      </c>
      <c r="CH178" s="1">
        <f>MIN(35,AD178+IF(L178="J_HARD",6,0)+IF(L178="J_COUNTER",Boss参数!$B$30,0))</f>
        <v>35</v>
      </c>
      <c r="CI178" s="1">
        <f>MIN(Boss参数!$I$4,AE178+IF(L178="J_HARD",6,0)+IF(L178="J_ULT",AD178,0)+IF(L178="J_COUNTER",Boss参数!$B$30,0))</f>
        <v>0</v>
      </c>
      <c r="CJ178" s="1">
        <f>IF(L178="J_ULT",AD178*Boss参数!$B$41,IF(B178&lt;=AG178,AF178,0))</f>
        <v>0.875</v>
      </c>
      <c r="CK178" s="1">
        <f t="shared" si="156"/>
        <v>9</v>
      </c>
      <c r="CL178" s="1">
        <f t="shared" si="157"/>
        <v>9</v>
      </c>
      <c r="CM178" s="1">
        <f t="shared" si="158"/>
        <v>8</v>
      </c>
      <c r="CN178" s="1">
        <f t="shared" si="159"/>
        <v>9</v>
      </c>
      <c r="CO178" s="1">
        <f t="shared" si="160"/>
        <v>8</v>
      </c>
      <c r="CP178" s="1">
        <f t="shared" si="161"/>
        <v>3</v>
      </c>
      <c r="CQ178" s="1">
        <f t="shared" si="162"/>
        <v>30</v>
      </c>
      <c r="CR178" s="1">
        <f t="shared" si="163"/>
        <v>9</v>
      </c>
      <c r="CS178" s="1">
        <f t="shared" si="164"/>
        <v>0</v>
      </c>
      <c r="CT178" s="1" t="e">
        <f t="shared" si="165"/>
        <v>#VALUE!</v>
      </c>
      <c r="CU178" s="1" t="e">
        <f t="shared" si="166"/>
        <v>#VALUE!</v>
      </c>
      <c r="CV178" s="1">
        <f t="shared" si="167"/>
        <v>0.3</v>
      </c>
      <c r="CW178" s="1">
        <f t="shared" si="168"/>
        <v>9</v>
      </c>
      <c r="CX178" s="1">
        <f t="shared" si="169"/>
        <v>0.3</v>
      </c>
      <c r="CY178" s="1">
        <f t="shared" si="170"/>
        <v>9</v>
      </c>
      <c r="CZ178" s="1"/>
      <c r="DA178" s="1"/>
      <c r="DB178" s="1"/>
      <c r="DC178" s="1"/>
      <c r="DD178" s="1"/>
      <c r="DE178" s="1"/>
      <c r="DF178" s="1"/>
      <c r="DG178" s="1" t="str">
        <f>IF(D178="","",行动模拟!B184)</f>
        <v/>
      </c>
      <c r="DH178" s="1" t="str">
        <f>IF(L178="END_TURN","回合结束",IF(D178="","",IF(INDEX(回合状态!$C$7:$C$17,MATCH(DG178,回合状态!$A$7:$A$17,0))="洞穿","洞穿",IF(OR(L178="J_COUNTER",L178="BOSS_ACTION",L178="BOSS_CONSERVATIVE"),"敌方",IF(AND(L178="37_FOLLOW",DG178=DG177,DH177="敌方"),"敌方",IF(INDEX(回合状态!$C$7:$C$17,MATCH(DG178,回合状态!$A$7:$A$17,0))="普通","出牌",INDEX(回合状态!$C$7:$C$17,MATCH(DG178,回合状态!$A$7:$A$17,0))))))))</f>
        <v/>
      </c>
      <c r="DI178" s="1">
        <f t="shared" si="171"/>
        <v>0</v>
      </c>
      <c r="DJ178" s="1">
        <f>IF(D178="",0,MIN(Boss参数!$B$25,IF(OR(AND(DH178="敌方",OR(DH177&lt;&gt;"敌方",DG178&lt;&gt;DG177)),AND(L178="END_TURN",DH178&lt;&gt;"洞穿"),AND(DG178&lt;&gt;DG177,DH177&lt;&gt;"洞穿",L177&lt;&gt;"END_TURN",COUNTIFS($DG$3:DG177,DG177,$DH$3:DH177,"敌方")=0)),EW178,DN177)))</f>
        <v>0</v>
      </c>
      <c r="DK178" s="1">
        <f>IF(D178="",0,MIN(Boss参数!$B$25,IF(OR(AND(DH178="敌方",OR(DH177&lt;&gt;"敌方",DG178&lt;&gt;DG177)),AND(L178="END_TURN",DH178&lt;&gt;"洞穿"),AND(DG178&lt;&gt;DG177,DH177&lt;&gt;"洞穿",L177&lt;&gt;"END_TURN",COUNTIFS($DG$3:DG177,DG177,$DH$3:DH177,"敌方")=0)),EW178,DO177)))</f>
        <v>0</v>
      </c>
      <c r="DL178" s="1">
        <f>IF(D178="",0,MIN(Boss参数!$B$25,IF(OR(AND(DH178="敌方",OR(DH177&lt;&gt;"敌方",DG178&lt;&gt;DG177)),AND(L178="END_TURN",DH178&lt;&gt;"洞穿"),AND(DG178&lt;&gt;DG177,DH177&lt;&gt;"洞穿",L177&lt;&gt;"END_TURN",COUNTIFS($DG$3:DG177,DG177,$DH$3:DH177,"敌方")=0)),EW178,DP177)))</f>
        <v>0</v>
      </c>
      <c r="DM178" s="1">
        <f>IF(D178="",0,MIN(Boss参数!$B$25,IF(OR(AND(DH178="敌方",OR(DH177&lt;&gt;"敌方",DG178&lt;&gt;DG177)),AND(L178="END_TURN",DH178&lt;&gt;"洞穿"),AND(DG178&lt;&gt;DG177,DH177&lt;&gt;"洞穿",L177&lt;&gt;"END_TURN",COUNTIFS($DG$3:DG177,DG177,$DH$3:DH177,"敌方")=0)),EW178,DQ177)))</f>
        <v>0</v>
      </c>
      <c r="DN178" s="1">
        <f>MAX(0,MIN(Boss参数!$B$25,DJ178+DR178)-IF(E178="红弩箭",2*DR178,0))</f>
        <v>0</v>
      </c>
      <c r="DO178" s="1">
        <f>MAX(0,MIN(Boss参数!$B$25,DK178+DR178)-IF(E178="37",2*DR178,0))</f>
        <v>0</v>
      </c>
      <c r="DP178" s="1">
        <f>MAX(0,MIN(Boss参数!$B$25,DL178+DR178)-IF(E178="小瑞安侬",2*DR178,0))</f>
        <v>0</v>
      </c>
      <c r="DQ178" s="1">
        <f>MAX(0,MIN(Boss参数!$B$25,DM178+DR178)-IF(E178="J",2*DR178,0))</f>
        <v>0</v>
      </c>
      <c r="DR178" s="1">
        <f t="shared" si="172"/>
        <v>0</v>
      </c>
      <c r="DS178" s="1">
        <f t="shared" si="173"/>
        <v>0</v>
      </c>
      <c r="DT178" s="1">
        <f>IF(OR(E178="",E178="系统"),0,IF(OR(AND(DS178=1,Boss参数!$B$32=1),L178="RHI_BERRY",OR(AND(INDEX(角色面板!$B$18:$B$21,MATCH(E178,角色面板!$A$18:$A$21,0))="星",Boss参数!$B$4="岩"),AND(INDEX(角色面板!$B$18:$B$21,MATCH(E178,角色面板!$A$18:$A$21,0))="岩",Boss参数!$B$4="兽"),AND(INDEX(角色面板!$B$18:$B$21,MATCH(E178,角色面板!$A$18:$A$21,0))="兽",Boss参数!$B$4="木"),AND(INDEX(角色面板!$B$18:$B$21,MATCH(E178,角色面板!$A$18:$A$21,0))="木",Boss参数!$B$4="星"),AND(INDEX(角色面板!$B$18:$B$21,MATCH(E178,角色面板!$A$18:$A$21,0))="智",Boss参数!$B$4="灵"),AND(INDEX(角色面板!$B$18:$B$21,MATCH(E178,角色面板!$A$18:$A$21,0))="灵",Boss参数!$B$4="智"))),1,0))</f>
        <v>0</v>
      </c>
      <c r="DU178" s="1">
        <f>IF(D178="",0,INDEX(回合状态!$E$7:$E$17,MATCH(DG178,回合状态!$A$7:$A$17,0))+IF(AND(DH178="敌方",OR(INDEX(回合状态!$C$7:$C$17,MATCH(DG178,回合状态!$A$7:$A$17,0))="普通",INDEX(回合状态!$C$7:$C$17,MATCH(DG178,回合状态!$A$7:$A$17,0))="额外")),0.05,0))</f>
        <v>0</v>
      </c>
      <c r="DV178" s="1">
        <f>MAX(Boss参数!$B$28,1+IF(AND(E178="37",AC178&gt;0,BH178&gt;0),Boss参数!$B$42,0)-DI178*Boss参数!$B$24+EA178-ER178)</f>
        <v>9.9999999999999978E-2</v>
      </c>
      <c r="DW178" s="1">
        <f>MIN(IF(Boss参数!$B$77=1,Boss参数!$B$63*Boss参数!$B$62,Boss参数!$B$61*Boss参数!$B$62),ROUNDDOWN(BQ178*(1-ES178),0))</f>
        <v>0</v>
      </c>
      <c r="DX178" s="1">
        <f>MIN(IF(Boss参数!$B$77=1,Boss参数!$B$63*Boss参数!$B$62,Boss参数!$B$61*Boss参数!$B$62),ROUNDDOWN(BR178*(1-ES178),0))</f>
        <v>0</v>
      </c>
      <c r="DY178" s="1">
        <f t="shared" si="205"/>
        <v>250</v>
      </c>
      <c r="DZ178" s="1">
        <f>IF(L178="RHI_ULT",MIN(Boss参数!$B$48,ROUNDDOWN(AY178*Boss参数!$B$47,0)),DY178)</f>
        <v>250</v>
      </c>
      <c r="EA178" s="1">
        <v>0</v>
      </c>
      <c r="EB178" s="1">
        <f t="shared" si="174"/>
        <v>0</v>
      </c>
      <c r="EC178" s="1">
        <f>SUMIFS($EB$3:EB178,$B$3:B178,"&gt;="&amp;MAX(1,B178-2),$B$3:B178,"&lt;="&amp;B178)*Boss参数!$B$51</f>
        <v>0</v>
      </c>
      <c r="ED178" s="1">
        <f>IF(D178="",EG177,IF(AND(DG178&lt;&gt;DG177,DH178&lt;&gt;"洞穿"),MIN(Boss参数!$B$55,EG177+2),EG177))</f>
        <v>0</v>
      </c>
      <c r="EE178" s="1">
        <f t="shared" si="175"/>
        <v>0</v>
      </c>
      <c r="EF178" s="1">
        <f>IF(AND(OR(L178="END_TURN",AND(DH178="敌方",OR(DH177&lt;&gt;"敌方",DG178&lt;&gt;DG177))),SUMIFS($EF$3:EF177,$DG$3:DG177,DG178)=0),MIN(1,MAX(0,ED178-EE178)),0)</f>
        <v>0</v>
      </c>
      <c r="EG178" s="1">
        <f t="shared" si="176"/>
        <v>0</v>
      </c>
      <c r="EH178" s="1">
        <f>Boss参数!$B$53-IF(Y178=1,Boss参数!$B$54,0)</f>
        <v>0</v>
      </c>
      <c r="EI178" s="1">
        <f t="shared" si="177"/>
        <v>0.15</v>
      </c>
      <c r="EJ178" s="1">
        <f t="shared" si="178"/>
        <v>0.15</v>
      </c>
      <c r="EK178" s="1" t="e">
        <f t="shared" si="179"/>
        <v>#VALUE!</v>
      </c>
      <c r="EL178" s="1">
        <f t="shared" si="206"/>
        <v>0</v>
      </c>
      <c r="EM178" s="1">
        <f>IF(AND(DG178&lt;&gt;DG177,DH178="洞穿"),0,IF(L178="ENTER_INSIGHT",Boss参数!$B$57,EO177))</f>
        <v>0</v>
      </c>
      <c r="EN178" s="1">
        <f>IF(AND(Y178=1,H178="洞知",EM178&gt;0),Boss参数!$B$56,0)</f>
        <v>0</v>
      </c>
      <c r="EO178" s="1">
        <f t="shared" si="180"/>
        <v>0</v>
      </c>
      <c r="EP178" s="1">
        <f t="shared" si="207"/>
        <v>23210479</v>
      </c>
      <c r="EQ178" s="1">
        <f>ROUNDDOWN(EP178/Boss参数!$B$62,0)</f>
        <v>232</v>
      </c>
      <c r="ER178" s="1">
        <f>IF(EQ178&gt;=Boss参数!$B$66,Boss参数!$B$69,IF(EQ178&gt;=Boss参数!$B$65,Boss参数!$B$68,IF(EQ178&gt;=Boss参数!$B$64,Boss参数!$B$67,0)))</f>
        <v>0.9</v>
      </c>
      <c r="ES178" s="1">
        <f>MIN(1,IF(EQ178&gt;=Boss参数!$B$66,Boss参数!$B$72+ROUNDDOWN((EQ178-Boss参数!$B$66)/Boss参数!$B$73,0)*Boss参数!$B$74,IF(EQ178&gt;=Boss参数!$B$65,Boss参数!$B$71,IF(EQ178&gt;=Boss参数!$B$64,Boss参数!$B$70,0))))</f>
        <v>0.65</v>
      </c>
      <c r="ET178" s="1">
        <f>MIN(Boss参数!$B$61*Boss参数!$B$62,EP178+IF(AND(Boss参数!$B$60=1,ISNUMBER(验证表!H184)),验证表!H184,EU178))</f>
        <v>23210479</v>
      </c>
      <c r="EU178" s="1">
        <f>IF(D178="",0,IF(验证表!G184="是",BV178,IF(验证表!G184="否",BU178,BW178)))</f>
        <v>0</v>
      </c>
      <c r="EV178" s="1">
        <f>IF(EQ178&gt;=Boss参数!$B$66,2,IF(EQ178&gt;=Boss参数!$B$65,1,0))</f>
        <v>2</v>
      </c>
      <c r="EW178" s="1">
        <f t="shared" si="181"/>
        <v>3</v>
      </c>
      <c r="EX178" s="1">
        <f>IF(D178="",0,INDEX(回合状态!$D$7:$D$17,MATCH(DG178,回合状态!$A$7:$A$17,0)))</f>
        <v>0</v>
      </c>
      <c r="EY178" s="1">
        <f>IF(OR(L178="RHI_ATTACK",L178="RHI_BUFF"),1,IF(L178="RHI_ULT",Boss参数!$B$52,0))</f>
        <v>0</v>
      </c>
      <c r="EZ178" s="1">
        <f>MIN(6,SUMIFS($EY$3:EY178,$EX$3:EX178,"&gt;="&amp;MAX(1,EX178-Boss参数!$B$87+1),$EX$3:EX178,"&lt;="&amp;EX178))</f>
        <v>0</v>
      </c>
      <c r="FA178" s="1">
        <f t="shared" si="208"/>
        <v>0</v>
      </c>
      <c r="FB178" s="17">
        <f>IF(L178="BOSS_CONSERVATIVE",B178+Boss参数!$B$91,FB177)</f>
        <v>7</v>
      </c>
      <c r="FC178" s="17">
        <f t="shared" si="209"/>
        <v>0</v>
      </c>
      <c r="FD178" s="17">
        <f>IF(D178="",FD177,FD177+IF(AND(DG178&lt;&gt;DG177,INDEX(回合状态!$C$7:$C$17,MATCH(DG178,回合状态!$A$7:$A$17,0))&lt;&gt;"洞穿"),1,0))</f>
        <v>8</v>
      </c>
      <c r="FE178" s="17">
        <f>IF(D178="",0,IF(AND(OR(L178="END_TURN",DH178="敌方"),INDEX(回合状态!$C$7:$C$17,MATCH(DG178,回合状态!$A$7:$A$17,0))&lt;&gt;"洞穿",SUMIFS($FE$3:FE177,$DG$3:DG177,DG178)=0),1,0))</f>
        <v>0</v>
      </c>
    </row>
    <row r="179" spans="1:161" ht="84.95" customHeight="1">
      <c r="A179" s="1" t="str">
        <f>行动模拟!A185</f>
        <v/>
      </c>
      <c r="B179" s="1">
        <f>IF(D179="",0,INDEX(回合状态!$B$7:$B$17,MATCH(DG179,回合状态!$A$7:$A$17,0)))</f>
        <v>0</v>
      </c>
      <c r="C179" s="1">
        <f>行动模拟!C185</f>
        <v>0</v>
      </c>
      <c r="D179" s="1" t="str">
        <f>IF(行动模拟!D185="","",行动模拟!D185)</f>
        <v/>
      </c>
      <c r="E179" s="1" t="str">
        <f>IF($D179="","",IFERROR(INDEX(技能数据库!$B$4:$B$38,MATCH($D179,技能数据库!$A$4:$A$38,0)),""))</f>
        <v/>
      </c>
      <c r="F179" s="1" t="str">
        <f>IF($D179="","",IFERROR(INDEX(技能数据库!$C$4:$C$38,MATCH($D179,技能数据库!$A$4:$A$38,0)),""))</f>
        <v/>
      </c>
      <c r="G179" s="1" t="str">
        <f>IF($D179="","",IFERROR(INDEX(技能数据库!$D$4:$D$38,MATCH($D179,技能数据库!$A$4:$A$38,0)),""))</f>
        <v/>
      </c>
      <c r="H179" s="1" t="str">
        <f>IF($D179="","",IFERROR(INDEX(技能数据库!$E$4:$E$38,MATCH($D179,技能数据库!$A$4:$A$38,0)),""))</f>
        <v/>
      </c>
      <c r="I179" s="1" t="str">
        <f>IF($D179="","",IFERROR(INDEX(技能数据库!$F$4:$F$38,MATCH($D179,技能数据库!$A$4:$A$38,0)),""))</f>
        <v/>
      </c>
      <c r="J179" s="1" t="str">
        <f>IF($D179="","",IFERROR(INDEX(技能数据库!$G$4:$G$38,MATCH($D179,技能数据库!$A$4:$A$38,0)),""))</f>
        <v/>
      </c>
      <c r="K179" s="1" t="str">
        <f>IF($D179="","",IFERROR(INDEX(技能数据库!$H$4:$H$38,MATCH($D179,技能数据库!$A$4:$A$38,0)),""))</f>
        <v/>
      </c>
      <c r="L179" s="1" t="str">
        <f>IF($D179="","",IFERROR(INDEX(技能数据库!$I$4:$I$38,MATCH($D179,技能数据库!$A$4:$A$38,0)),""))</f>
        <v/>
      </c>
      <c r="M179" s="1">
        <v>1</v>
      </c>
      <c r="N179" s="1"/>
      <c r="O179" s="1"/>
      <c r="P179" s="1"/>
      <c r="Q179" s="1">
        <f t="shared" si="140"/>
        <v>0</v>
      </c>
      <c r="R179" s="1">
        <v>0</v>
      </c>
      <c r="S179" s="1">
        <v>0</v>
      </c>
      <c r="T179" s="1">
        <f>行动模拟!I185</f>
        <v>0</v>
      </c>
      <c r="U179" s="1">
        <f>IF(FD179&lt;&gt;FD178,IF(BY178=1,IF(MIN(10,CA178+IF(AND(DG179&lt;&gt;DG178,DH178&lt;&gt;"洞穿",SUMIFS($FE$3:FE178,$DG$3:DG178,DG178)=0,BY178=1),3,0))&gt;=10,2,1),IF(BY178=2,IF(BZ178&lt;=1,0,2),0)),BY178)</f>
        <v>2</v>
      </c>
      <c r="V179" s="1">
        <f>IF(FD179&lt;&gt;FD178,IF(BY178=1,IF(MIN(10,CA178+IF(AND(DG179&lt;&gt;DG178,DH178&lt;&gt;"洞穿",SUMIFS($FE$3:FE178,$DG$3:DG178,DG178)=0,BY178=1),3,0))&gt;=10,2,0),IF(BY178=2,MAX(0,BZ178-1),0)),BZ178)</f>
        <v>1</v>
      </c>
      <c r="W179" s="1">
        <f>IF(AND(FD179&lt;&gt;FD178,BY178=2,BZ178&lt;=1),0,MIN(10,CA178+IF(AND(DG179&lt;&gt;DG178,DH178&lt;&gt;"洞穿",SUMIFS($FE$3:FE178,$DG$3:DG178,DG178)=0,BY178=1),3,0)))</f>
        <v>10</v>
      </c>
      <c r="X179" s="1">
        <f t="shared" si="182"/>
        <v>13</v>
      </c>
      <c r="Y179" s="1">
        <f t="shared" si="183"/>
        <v>0</v>
      </c>
      <c r="Z179" s="1">
        <f t="shared" si="184"/>
        <v>0</v>
      </c>
      <c r="AA179" s="1">
        <f t="shared" si="185"/>
        <v>0</v>
      </c>
      <c r="AB179" s="1">
        <f t="shared" si="186"/>
        <v>10</v>
      </c>
      <c r="AC179" s="1">
        <f t="shared" si="187"/>
        <v>1</v>
      </c>
      <c r="AD179" s="1">
        <f t="shared" si="188"/>
        <v>35</v>
      </c>
      <c r="AE179" s="1">
        <f>IF(D179="",0,IF(DG179&lt;&gt;DG178,IFERROR(INDEX(回合状态!$F$7:$F$17,MATCH(DG179,回合状态!$A$7:$A$17,0)),0),CI178))</f>
        <v>0</v>
      </c>
      <c r="AF179" s="1">
        <f t="shared" si="189"/>
        <v>0.875</v>
      </c>
      <c r="AG179" s="1">
        <f t="shared" si="190"/>
        <v>9</v>
      </c>
      <c r="AH179" s="1">
        <f t="shared" si="191"/>
        <v>9</v>
      </c>
      <c r="AI179" s="1">
        <f t="shared" si="192"/>
        <v>8</v>
      </c>
      <c r="AJ179" s="1">
        <f t="shared" si="193"/>
        <v>9</v>
      </c>
      <c r="AK179" s="1">
        <f t="shared" si="194"/>
        <v>8</v>
      </c>
      <c r="AL179" s="1">
        <f t="shared" si="195"/>
        <v>3</v>
      </c>
      <c r="AM179" s="1">
        <f t="shared" si="196"/>
        <v>30</v>
      </c>
      <c r="AN179" s="1">
        <f t="shared" si="197"/>
        <v>9</v>
      </c>
      <c r="AO179" s="1">
        <f t="shared" si="198"/>
        <v>0</v>
      </c>
      <c r="AP179" s="1" t="e">
        <f t="shared" si="199"/>
        <v>#VALUE!</v>
      </c>
      <c r="AQ179" s="1" t="e">
        <f t="shared" si="200"/>
        <v>#VALUE!</v>
      </c>
      <c r="AR179" s="1">
        <f t="shared" si="201"/>
        <v>0.3</v>
      </c>
      <c r="AS179" s="1">
        <f t="shared" si="202"/>
        <v>9</v>
      </c>
      <c r="AT179" s="1">
        <f t="shared" si="203"/>
        <v>0.3</v>
      </c>
      <c r="AU179" s="1">
        <f t="shared" si="204"/>
        <v>9</v>
      </c>
      <c r="AV179" s="1">
        <f>MIN(5,SUMIFS($EL$3:EL179,$B$3:B179,"&gt;="&amp;MAX(1,B179-2),$B$3:B179,"&lt;="&amp;B179)+EC179)</f>
        <v>0</v>
      </c>
      <c r="AW179" s="1">
        <f>MIN(6,SUMIFS($EY$3:EY178,$EX$3:EX178,"&gt;="&amp;MAX(1,EX179-Boss参数!$B$87+1),$EX$3:EX178,"&lt;="&amp;EX179))</f>
        <v>0</v>
      </c>
      <c r="AX179" s="1">
        <f>MIN(4,COUNTIFS($B$3:$B$178,"&gt;="&amp;MAX(1,$B179-2),$B$3:$B$178,"&lt;="&amp;$B179,$L$3:$L$178,"37_FOLLOW"))</f>
        <v>0</v>
      </c>
      <c r="AY179" s="1" t="str">
        <f>IF($E179="","",IF($E179="系统",0,ROUNDDOWN(INDEX(角色面板!$C$4:$C$7,MATCH($E179,角色面板!$A$4:$A$7,0))*(1+INDEX(角色面板!$C$11:$C$14,MATCH($E179,角色面板!$A$11:$A$14,0))+IF($E179="小瑞安侬",MAX(IF($B179&lt;=$AQ179,$AP179,0),IF(AND($L179="RHI_ATTACK",$EE179&gt;0),0.11+0.01*$G179,0)),0)+IF($E179="J",$AD179*Boss参数!$B$18,0))+IF(FD179&lt;=$AN179,MIN(Boss参数!$B$21,ROUNDDOWN(角色面板!$C$19*Boss参数!$B$20,0)),0)+IF(AND($B179&lt;=$AK179,$E179&lt;&gt;"小瑞安侬"),$DY179,0),0)))</f>
        <v/>
      </c>
      <c r="AZ179" s="1" t="str">
        <f>IF($E179="","",MAX(0,MIN(1,IFERROR(INDEX(角色面板!$G$18:$G$21,MATCH($E179,角色面板!$A$18:$A$21,0)),0)-FC179*Boss参数!$B$89-Boss参数!$E$4)))</f>
        <v/>
      </c>
      <c r="BA179" s="1" t="str">
        <f>IF(E179="","",(IF($E179="","",IF($E179="红弩箭",Boss参数!$B$80,IF($E179="J",Boss参数!$B$81,IFERROR(INDEX(角色面板!$H$18:$H$21,MATCH($E179,角色面板!$A$18:$A$21,0)),0)))+IF($B179&lt;=$AI179,Boss参数!$B$13,0)+MIN(30,$AM179)*Boss参数!$B$17+IF(AND($L179="LILYA_ULT",$X179&gt;=6),1,0)+IF(AND($Y179=1,$L179="LILYA_INSIGHT"),IF(MOD($AA179+1,3)=0,Boss参数!$B$83,Boss参数!$B$82),IF(AND($Y179=1,$L179="LILYA_FINISH"),Boss参数!$B$84,0))))-FC179*Boss参数!$B$90)</f>
        <v/>
      </c>
      <c r="BB179" s="1" t="str">
        <f>IF($E179="","",IFERROR(INDEX(角色面板!$M$18:$M$21,MATCH($E179,角色面板!$A$18:$A$21,0)),0)+$AW179*Boss参数!$B$12+IF($B179&lt;=$AG179,$AF179,0)+$EI179+IF($L179="LILYA_DIVE",IF($U179=1,IF($G179=1,0.3,IF($G179=2,0.4,0.5)),IF($U179=2,IF($G179=1,0.6,IF($G179=2,0.8,1)),0)),0)+$R179+IF(AND($E179="J",OR($L179="J_COUNTER",$L179="J_HARD")),Boss参数!$B$79,0)+IF(AND(OR(L179="J_COUNTER",L179="J_HARD"),FA179&gt;=Boss参数!$B$59),FA179*Boss参数!$B$40,0))</f>
        <v/>
      </c>
      <c r="BC179" s="1" t="e">
        <f>IF($E179="","",IFERROR(INDEX(角色面板!$K$18:$K$21,MATCH($E179,角色面板!$A$18:$A$21,0)),0)+IF($B179&lt;=$AH179,Boss参数!$B$46,0)+IF($E179="红弩箭",IF($U179=1,0.6,IF($U179=2,1.2,0))+$W179*0.06,0))-DI179*Boss参数!$B$23</f>
        <v>#VALUE!</v>
      </c>
      <c r="BD179" s="1" t="e">
        <f>IF($E179="","",IFERROR(INDEX(角色面板!$L$18:$L$21,MATCH($E179,角色面板!$A$18:$A$21,0)),0)+IF($B179&lt;=$AH179,Boss参数!$B$46,0)+IF($E179="J",$AL179*Boss参数!$B$16,0)+IF($E179="红弩箭",$X179*0.025,0)+IF(AND($L179="LILYA_ULT",$X179&gt;=6),1,0))-DI179*Boss参数!$B$23</f>
        <v>#VALUE!</v>
      </c>
      <c r="BE179" s="1" t="str">
        <f>IF($E179="","",IF($H179="洞知",IF($E179="红弩箭",$AO179*Boss参数!$B$15,0)+$AX179*Boss参数!$B$14,0))</f>
        <v/>
      </c>
      <c r="BF179" s="1">
        <f t="shared" si="141"/>
        <v>0</v>
      </c>
      <c r="BG179" s="1">
        <f>IF($D179="",0,IF(AND($L179&lt;&gt;"LILYA_DIVE",$L179&lt;&gt;"LILYA_ULT",$L179&lt;&gt;"LILYA_INSIGHT",$L179&lt;&gt;"LILYA_FINISH",$L179&lt;&gt;"37_FOLLOW",$L179&lt;&gt;"RHI_ATTACK",$L179&lt;&gt;"RHI_BERRY",$L179&lt;&gt;"J_COUNTER",$L179&lt;&gt;"J_ULT"),$J179,0)+IF($L179="LILYA_DIVE",$J179+IF($U179=1,IF($G179=1,6,IF($G179=2,12,18)),IF($U179=2,IF($G179=1,12,IF($G179=2,24,36)),0)),0)+IF($L179="LILYA_ULT",$J179+IF($X179&gt;=6,18,0),0)+IF($L179="LILYA_INSIGHT",IF($Y179=1,IF(MOD($AA179+1,3)=0,32,15),0),0)+IF($L179="LILYA_FINISH",IF($Y179=1,50+2.5*$Z179,0),0)+IF($L179="37_FOLLOW",$J179,0)+IF($L179="RHI_ATTACK",$J179*IF($B179&lt;=$AJ179,2,1),0)+IF($L179="RHI_BERRY",15+1.5*$AV179,0)+IF($L179="J_COUNTER",$J179+$AD179*Boss参数!$B$39,0)+IF($L179="J_ULT",$J179+Boss参数!$B$45*MAX(0,$AE179+$AD179-Boss参数!$I$4),0)+$S179)</f>
        <v>0</v>
      </c>
      <c r="BH179" s="1">
        <f t="shared" si="142"/>
        <v>0</v>
      </c>
      <c r="BI179" s="1" t="str">
        <f>IF(E179="","",IF(DT179=1,1+Boss参数!$B$8+AV179*Boss参数!$B$19,1))</f>
        <v/>
      </c>
      <c r="BJ179" s="1">
        <f>IF($I179="现实",Boss参数!$C$4,IF($I179="精神",Boss参数!$D$4,0))</f>
        <v>0</v>
      </c>
      <c r="BK179" s="1" t="str">
        <f>IF($E179="","",MAX($AY179*Boss参数!$B$9,$AY179-$BJ179*(1-$BF179)))</f>
        <v/>
      </c>
      <c r="BL179" s="1">
        <f>MAX(0,Boss参数!$F$4+IF(DT179=0,Boss参数!$B$27,0)-EJ179)</f>
        <v>1.25</v>
      </c>
      <c r="BM179" s="1">
        <f>Boss参数!$G$4+DU179-IF(Y179=1,Boss参数!$B$11,0)</f>
        <v>0.4</v>
      </c>
      <c r="BN179" s="1" t="str">
        <f>IF($E179="","",MAX(Boss参数!$B$10,1+IFERROR(INDEX(角色面板!$I$18:$I$21,MATCH($E179,角色面板!$A$18:$A$21,0)),0)+$BB179+Boss参数!$H$4-$BM179))</f>
        <v/>
      </c>
      <c r="BO179" s="1" t="str">
        <f>IF(E179="","",IF(OR(L179="J_COUNTER",L179="J_HARD"),MAX(0,1+INDEX(角色面板!$K$18:$K$21,MATCH(E179,角色面板!$A$18:$A$21,0))-DI179*Boss参数!$B$23+IF(OR(Boss参数!$B$43=1,L179="J_HARD"),IF(B179&lt;=AH179,Boss参数!$B$46,0),0)),MAX(0,IF(OR(H179="术法",L179="RHI_BERRY",AND(L179="37_FOLLOW",Boss参数!$B$31=1)),1+BC179,IF(H179="仪式",1+BD179,IF(H179="洞知",EK179,1))))))</f>
        <v/>
      </c>
      <c r="BP179" s="1" t="str">
        <f t="shared" si="143"/>
        <v/>
      </c>
      <c r="BQ179" s="1">
        <f t="shared" si="144"/>
        <v>0</v>
      </c>
      <c r="BR179" s="1">
        <f t="shared" si="145"/>
        <v>0</v>
      </c>
      <c r="BS179" s="1">
        <f>IF(BH179=0,0,ROUNDDOWN(AY179*BH179,0)*DV179*IF(Boss参数!$B$29=1,BN179,1)*IF(Boss参数!$B$33=1,BO179,1)*IF(Boss参数!$B$76=1,1-ES179,1))</f>
        <v>0</v>
      </c>
      <c r="BT179" s="1">
        <f t="shared" si="146"/>
        <v>0</v>
      </c>
      <c r="BU179" s="1">
        <f>IF(D179="",0,MIN(IF(Boss参数!$B$77=1,Boss参数!$B$63*Boss参数!$B$62,Boss参数!$B$61*Boss参数!$B$62),DW179+ROUNDDOWN(BS179,0)+ROUNDDOWN(DW179*Q179,0)))</f>
        <v>0</v>
      </c>
      <c r="BV179" s="1">
        <f>IF(D179="",0,MIN(IF(Boss参数!$B$77=1,Boss参数!$B$63*Boss参数!$B$62,Boss参数!$B$61*Boss参数!$B$62),DX179+ROUNDDOWN(BT179,0)+ROUNDDOWN(DX179*Q179,0)))</f>
        <v>0</v>
      </c>
      <c r="BW179" s="1">
        <f t="shared" si="147"/>
        <v>0</v>
      </c>
      <c r="BX179" s="1" t="str">
        <f t="shared" si="148"/>
        <v/>
      </c>
      <c r="BY179" s="1">
        <f t="shared" si="149"/>
        <v>2</v>
      </c>
      <c r="BZ179" s="1">
        <f t="shared" si="150"/>
        <v>1</v>
      </c>
      <c r="CA179" s="1">
        <f>MIN(10,W179+IF(AND(L179="LILYA_COBRA",COUNTIF($L$3:L179,"LILYA_COBRA")=1),5,0)+IF(AND(L179="LILYA_DIVE",U179=1,COUNTIFS($DG$3:DG179,DG179,$L$3:L179,"LILYA_DIVE")=1),2,0)+IF(AND(FE179=1,U179=1),3,0))</f>
        <v>10</v>
      </c>
      <c r="CB179" s="1">
        <f>MIN(20,MAX(0,X179+IF(L179="LILYA_COBRA",IF(COUNTIF($L$3:L179,"LILYA_COBRA")=1,6,IF(U179=1,MAX(1,G179),IF(U179=2,2*MAX(1,G179),0))),0)+IF(AND(Y179=1,E179="红弩箭",L179&lt;&gt;"ENTER_INSIGHT"),1,0)-IF(AND(L179="LILYA_ULT",X179&gt;=6),6,0)))</f>
        <v>13</v>
      </c>
      <c r="CC179" s="1">
        <f t="shared" si="151"/>
        <v>0</v>
      </c>
      <c r="CD179" s="1">
        <f t="shared" si="152"/>
        <v>0</v>
      </c>
      <c r="CE179" s="1">
        <f t="shared" si="153"/>
        <v>0</v>
      </c>
      <c r="CF179" s="1">
        <f t="shared" si="154"/>
        <v>10</v>
      </c>
      <c r="CG179" s="1">
        <f t="shared" si="155"/>
        <v>1</v>
      </c>
      <c r="CH179" s="1">
        <f>MIN(35,AD179+IF(L179="J_HARD",6,0)+IF(L179="J_COUNTER",Boss参数!$B$30,0))</f>
        <v>35</v>
      </c>
      <c r="CI179" s="1">
        <f>MIN(Boss参数!$I$4,AE179+IF(L179="J_HARD",6,0)+IF(L179="J_ULT",AD179,0)+IF(L179="J_COUNTER",Boss参数!$B$30,0))</f>
        <v>0</v>
      </c>
      <c r="CJ179" s="1">
        <f>IF(L179="J_ULT",AD179*Boss参数!$B$41,IF(B179&lt;=AG179,AF179,0))</f>
        <v>0.875</v>
      </c>
      <c r="CK179" s="1">
        <f t="shared" si="156"/>
        <v>9</v>
      </c>
      <c r="CL179" s="1">
        <f t="shared" si="157"/>
        <v>9</v>
      </c>
      <c r="CM179" s="1">
        <f t="shared" si="158"/>
        <v>8</v>
      </c>
      <c r="CN179" s="1">
        <f t="shared" si="159"/>
        <v>9</v>
      </c>
      <c r="CO179" s="1">
        <f t="shared" si="160"/>
        <v>8</v>
      </c>
      <c r="CP179" s="1">
        <f t="shared" si="161"/>
        <v>3</v>
      </c>
      <c r="CQ179" s="1">
        <f t="shared" si="162"/>
        <v>30</v>
      </c>
      <c r="CR179" s="1">
        <f t="shared" si="163"/>
        <v>9</v>
      </c>
      <c r="CS179" s="1">
        <f t="shared" si="164"/>
        <v>0</v>
      </c>
      <c r="CT179" s="1" t="e">
        <f t="shared" si="165"/>
        <v>#VALUE!</v>
      </c>
      <c r="CU179" s="1" t="e">
        <f t="shared" si="166"/>
        <v>#VALUE!</v>
      </c>
      <c r="CV179" s="1">
        <f t="shared" si="167"/>
        <v>0.3</v>
      </c>
      <c r="CW179" s="1">
        <f t="shared" si="168"/>
        <v>9</v>
      </c>
      <c r="CX179" s="1">
        <f t="shared" si="169"/>
        <v>0.3</v>
      </c>
      <c r="CY179" s="1">
        <f t="shared" si="170"/>
        <v>9</v>
      </c>
      <c r="CZ179" s="1"/>
      <c r="DA179" s="1"/>
      <c r="DB179" s="1"/>
      <c r="DC179" s="1"/>
      <c r="DD179" s="1"/>
      <c r="DE179" s="1"/>
      <c r="DF179" s="1"/>
      <c r="DG179" s="1" t="str">
        <f>IF(D179="","",行动模拟!B185)</f>
        <v/>
      </c>
      <c r="DH179" s="1" t="str">
        <f>IF(L179="END_TURN","回合结束",IF(D179="","",IF(INDEX(回合状态!$C$7:$C$17,MATCH(DG179,回合状态!$A$7:$A$17,0))="洞穿","洞穿",IF(OR(L179="J_COUNTER",L179="BOSS_ACTION",L179="BOSS_CONSERVATIVE"),"敌方",IF(AND(L179="37_FOLLOW",DG179=DG178,DH178="敌方"),"敌方",IF(INDEX(回合状态!$C$7:$C$17,MATCH(DG179,回合状态!$A$7:$A$17,0))="普通","出牌",INDEX(回合状态!$C$7:$C$17,MATCH(DG179,回合状态!$A$7:$A$17,0))))))))</f>
        <v/>
      </c>
      <c r="DI179" s="1">
        <f t="shared" si="171"/>
        <v>0</v>
      </c>
      <c r="DJ179" s="1">
        <f>IF(D179="",0,MIN(Boss参数!$B$25,IF(OR(AND(DH179="敌方",OR(DH178&lt;&gt;"敌方",DG179&lt;&gt;DG178)),AND(L179="END_TURN",DH179&lt;&gt;"洞穿"),AND(DG179&lt;&gt;DG178,DH178&lt;&gt;"洞穿",L178&lt;&gt;"END_TURN",COUNTIFS($DG$3:DG178,DG178,$DH$3:DH178,"敌方")=0)),EW179,DN178)))</f>
        <v>0</v>
      </c>
      <c r="DK179" s="1">
        <f>IF(D179="",0,MIN(Boss参数!$B$25,IF(OR(AND(DH179="敌方",OR(DH178&lt;&gt;"敌方",DG179&lt;&gt;DG178)),AND(L179="END_TURN",DH179&lt;&gt;"洞穿"),AND(DG179&lt;&gt;DG178,DH178&lt;&gt;"洞穿",L178&lt;&gt;"END_TURN",COUNTIFS($DG$3:DG178,DG178,$DH$3:DH178,"敌方")=0)),EW179,DO178)))</f>
        <v>0</v>
      </c>
      <c r="DL179" s="1">
        <f>IF(D179="",0,MIN(Boss参数!$B$25,IF(OR(AND(DH179="敌方",OR(DH178&lt;&gt;"敌方",DG179&lt;&gt;DG178)),AND(L179="END_TURN",DH179&lt;&gt;"洞穿"),AND(DG179&lt;&gt;DG178,DH178&lt;&gt;"洞穿",L178&lt;&gt;"END_TURN",COUNTIFS($DG$3:DG178,DG178,$DH$3:DH178,"敌方")=0)),EW179,DP178)))</f>
        <v>0</v>
      </c>
      <c r="DM179" s="1">
        <f>IF(D179="",0,MIN(Boss参数!$B$25,IF(OR(AND(DH179="敌方",OR(DH178&lt;&gt;"敌方",DG179&lt;&gt;DG178)),AND(L179="END_TURN",DH179&lt;&gt;"洞穿"),AND(DG179&lt;&gt;DG178,DH178&lt;&gt;"洞穿",L178&lt;&gt;"END_TURN",COUNTIFS($DG$3:DG178,DG178,$DH$3:DH178,"敌方")=0)),EW179,DQ178)))</f>
        <v>0</v>
      </c>
      <c r="DN179" s="1">
        <f>MAX(0,MIN(Boss参数!$B$25,DJ179+DR179)-IF(E179="红弩箭",2*DR179,0))</f>
        <v>0</v>
      </c>
      <c r="DO179" s="1">
        <f>MAX(0,MIN(Boss参数!$B$25,DK179+DR179)-IF(E179="37",2*DR179,0))</f>
        <v>0</v>
      </c>
      <c r="DP179" s="1">
        <f>MAX(0,MIN(Boss参数!$B$25,DL179+DR179)-IF(E179="小瑞安侬",2*DR179,0))</f>
        <v>0</v>
      </c>
      <c r="DQ179" s="1">
        <f>MAX(0,MIN(Boss参数!$B$25,DM179+DR179)-IF(E179="J",2*DR179,0))</f>
        <v>0</v>
      </c>
      <c r="DR179" s="1">
        <f t="shared" si="172"/>
        <v>0</v>
      </c>
      <c r="DS179" s="1">
        <f t="shared" si="173"/>
        <v>0</v>
      </c>
      <c r="DT179" s="1">
        <f>IF(OR(E179="",E179="系统"),0,IF(OR(AND(DS179=1,Boss参数!$B$32=1),L179="RHI_BERRY",OR(AND(INDEX(角色面板!$B$18:$B$21,MATCH(E179,角色面板!$A$18:$A$21,0))="星",Boss参数!$B$4="岩"),AND(INDEX(角色面板!$B$18:$B$21,MATCH(E179,角色面板!$A$18:$A$21,0))="岩",Boss参数!$B$4="兽"),AND(INDEX(角色面板!$B$18:$B$21,MATCH(E179,角色面板!$A$18:$A$21,0))="兽",Boss参数!$B$4="木"),AND(INDEX(角色面板!$B$18:$B$21,MATCH(E179,角色面板!$A$18:$A$21,0))="木",Boss参数!$B$4="星"),AND(INDEX(角色面板!$B$18:$B$21,MATCH(E179,角色面板!$A$18:$A$21,0))="智",Boss参数!$B$4="灵"),AND(INDEX(角色面板!$B$18:$B$21,MATCH(E179,角色面板!$A$18:$A$21,0))="灵",Boss参数!$B$4="智"))),1,0))</f>
        <v>0</v>
      </c>
      <c r="DU179" s="1">
        <f>IF(D179="",0,INDEX(回合状态!$E$7:$E$17,MATCH(DG179,回合状态!$A$7:$A$17,0))+IF(AND(DH179="敌方",OR(INDEX(回合状态!$C$7:$C$17,MATCH(DG179,回合状态!$A$7:$A$17,0))="普通",INDEX(回合状态!$C$7:$C$17,MATCH(DG179,回合状态!$A$7:$A$17,0))="额外")),0.05,0))</f>
        <v>0</v>
      </c>
      <c r="DV179" s="1">
        <f>MAX(Boss参数!$B$28,1+IF(AND(E179="37",AC179&gt;0,BH179&gt;0),Boss参数!$B$42,0)-DI179*Boss参数!$B$24+EA179-ER179)</f>
        <v>9.9999999999999978E-2</v>
      </c>
      <c r="DW179" s="1">
        <f>MIN(IF(Boss参数!$B$77=1,Boss参数!$B$63*Boss参数!$B$62,Boss参数!$B$61*Boss参数!$B$62),ROUNDDOWN(BQ179*(1-ES179),0))</f>
        <v>0</v>
      </c>
      <c r="DX179" s="1">
        <f>MIN(IF(Boss参数!$B$77=1,Boss参数!$B$63*Boss参数!$B$62,Boss参数!$B$61*Boss参数!$B$62),ROUNDDOWN(BR179*(1-ES179),0))</f>
        <v>0</v>
      </c>
      <c r="DY179" s="1">
        <f t="shared" si="205"/>
        <v>250</v>
      </c>
      <c r="DZ179" s="1">
        <f>IF(L179="RHI_ULT",MIN(Boss参数!$B$48,ROUNDDOWN(AY179*Boss参数!$B$47,0)),DY179)</f>
        <v>250</v>
      </c>
      <c r="EA179" s="1">
        <v>0</v>
      </c>
      <c r="EB179" s="1">
        <f t="shared" si="174"/>
        <v>0</v>
      </c>
      <c r="EC179" s="1">
        <f>SUMIFS($EB$3:EB179,$B$3:B179,"&gt;="&amp;MAX(1,B179-2),$B$3:B179,"&lt;="&amp;B179)*Boss参数!$B$51</f>
        <v>0</v>
      </c>
      <c r="ED179" s="1">
        <f>IF(D179="",EG178,IF(AND(DG179&lt;&gt;DG178,DH179&lt;&gt;"洞穿"),MIN(Boss参数!$B$55,EG178+2),EG178))</f>
        <v>0</v>
      </c>
      <c r="EE179" s="1">
        <f t="shared" si="175"/>
        <v>0</v>
      </c>
      <c r="EF179" s="1">
        <f>IF(AND(OR(L179="END_TURN",AND(DH179="敌方",OR(DH178&lt;&gt;"敌方",DG179&lt;&gt;DG178))),SUMIFS($EF$3:EF178,$DG$3:DG178,DG179)=0),MIN(1,MAX(0,ED179-EE179)),0)</f>
        <v>0</v>
      </c>
      <c r="EG179" s="1">
        <f t="shared" si="176"/>
        <v>0</v>
      </c>
      <c r="EH179" s="1">
        <f>Boss参数!$B$53-IF(Y179=1,Boss参数!$B$54,0)</f>
        <v>0</v>
      </c>
      <c r="EI179" s="1">
        <f t="shared" si="177"/>
        <v>0.15</v>
      </c>
      <c r="EJ179" s="1">
        <f t="shared" si="178"/>
        <v>0.15</v>
      </c>
      <c r="EK179" s="1" t="e">
        <f t="shared" si="179"/>
        <v>#VALUE!</v>
      </c>
      <c r="EL179" s="1">
        <f t="shared" si="206"/>
        <v>0</v>
      </c>
      <c r="EM179" s="1">
        <f>IF(AND(DG179&lt;&gt;DG178,DH179="洞穿"),0,IF(L179="ENTER_INSIGHT",Boss参数!$B$57,EO178))</f>
        <v>0</v>
      </c>
      <c r="EN179" s="1">
        <f>IF(AND(Y179=1,H179="洞知",EM179&gt;0),Boss参数!$B$56,0)</f>
        <v>0</v>
      </c>
      <c r="EO179" s="1">
        <f t="shared" si="180"/>
        <v>0</v>
      </c>
      <c r="EP179" s="1">
        <f t="shared" si="207"/>
        <v>23210479</v>
      </c>
      <c r="EQ179" s="1">
        <f>ROUNDDOWN(EP179/Boss参数!$B$62,0)</f>
        <v>232</v>
      </c>
      <c r="ER179" s="1">
        <f>IF(EQ179&gt;=Boss参数!$B$66,Boss参数!$B$69,IF(EQ179&gt;=Boss参数!$B$65,Boss参数!$B$68,IF(EQ179&gt;=Boss参数!$B$64,Boss参数!$B$67,0)))</f>
        <v>0.9</v>
      </c>
      <c r="ES179" s="1">
        <f>MIN(1,IF(EQ179&gt;=Boss参数!$B$66,Boss参数!$B$72+ROUNDDOWN((EQ179-Boss参数!$B$66)/Boss参数!$B$73,0)*Boss参数!$B$74,IF(EQ179&gt;=Boss参数!$B$65,Boss参数!$B$71,IF(EQ179&gt;=Boss参数!$B$64,Boss参数!$B$70,0))))</f>
        <v>0.65</v>
      </c>
      <c r="ET179" s="1">
        <f>MIN(Boss参数!$B$61*Boss参数!$B$62,EP179+IF(AND(Boss参数!$B$60=1,ISNUMBER(验证表!H185)),验证表!H185,EU179))</f>
        <v>23210479</v>
      </c>
      <c r="EU179" s="1">
        <f>IF(D179="",0,IF(验证表!G185="是",BV179,IF(验证表!G185="否",BU179,BW179)))</f>
        <v>0</v>
      </c>
      <c r="EV179" s="1">
        <f>IF(EQ179&gt;=Boss参数!$B$66,2,IF(EQ179&gt;=Boss参数!$B$65,1,0))</f>
        <v>2</v>
      </c>
      <c r="EW179" s="1">
        <f t="shared" si="181"/>
        <v>3</v>
      </c>
      <c r="EX179" s="1">
        <f>IF(D179="",0,INDEX(回合状态!$D$7:$D$17,MATCH(DG179,回合状态!$A$7:$A$17,0)))</f>
        <v>0</v>
      </c>
      <c r="EY179" s="1">
        <f>IF(OR(L179="RHI_ATTACK",L179="RHI_BUFF"),1,IF(L179="RHI_ULT",Boss参数!$B$52,0))</f>
        <v>0</v>
      </c>
      <c r="EZ179" s="1">
        <f>MIN(6,SUMIFS($EY$3:EY179,$EX$3:EX179,"&gt;="&amp;MAX(1,EX179-Boss参数!$B$87+1),$EX$3:EX179,"&lt;="&amp;EX179))</f>
        <v>0</v>
      </c>
      <c r="FA179" s="1">
        <f t="shared" si="208"/>
        <v>0</v>
      </c>
      <c r="FB179" s="17">
        <f>IF(L179="BOSS_CONSERVATIVE",B179+Boss参数!$B$91,FB178)</f>
        <v>7</v>
      </c>
      <c r="FC179" s="17">
        <f t="shared" si="209"/>
        <v>0</v>
      </c>
      <c r="FD179" s="17">
        <f>IF(D179="",FD178,FD178+IF(AND(DG179&lt;&gt;DG178,INDEX(回合状态!$C$7:$C$17,MATCH(DG179,回合状态!$A$7:$A$17,0))&lt;&gt;"洞穿"),1,0))</f>
        <v>8</v>
      </c>
      <c r="FE179" s="17">
        <f>IF(D179="",0,IF(AND(OR(L179="END_TURN",DH179="敌方"),INDEX(回合状态!$C$7:$C$17,MATCH(DG179,回合状态!$A$7:$A$17,0))&lt;&gt;"洞穿",SUMIFS($FE$3:FE178,$DG$3:DG178,DG179)=0),1,0))</f>
        <v>0</v>
      </c>
    </row>
    <row r="180" spans="1:161" ht="84.95" customHeight="1">
      <c r="A180" s="1" t="str">
        <f>行动模拟!A186</f>
        <v/>
      </c>
      <c r="B180" s="1">
        <f>IF(D180="",0,INDEX(回合状态!$B$7:$B$17,MATCH(DG180,回合状态!$A$7:$A$17,0)))</f>
        <v>0</v>
      </c>
      <c r="C180" s="1">
        <f>行动模拟!C186</f>
        <v>0</v>
      </c>
      <c r="D180" s="1" t="str">
        <f>IF(行动模拟!D186="","",行动模拟!D186)</f>
        <v/>
      </c>
      <c r="E180" s="1" t="str">
        <f>IF($D180="","",IFERROR(INDEX(技能数据库!$B$4:$B$38,MATCH($D180,技能数据库!$A$4:$A$38,0)),""))</f>
        <v/>
      </c>
      <c r="F180" s="1" t="str">
        <f>IF($D180="","",IFERROR(INDEX(技能数据库!$C$4:$C$38,MATCH($D180,技能数据库!$A$4:$A$38,0)),""))</f>
        <v/>
      </c>
      <c r="G180" s="1" t="str">
        <f>IF($D180="","",IFERROR(INDEX(技能数据库!$D$4:$D$38,MATCH($D180,技能数据库!$A$4:$A$38,0)),""))</f>
        <v/>
      </c>
      <c r="H180" s="1" t="str">
        <f>IF($D180="","",IFERROR(INDEX(技能数据库!$E$4:$E$38,MATCH($D180,技能数据库!$A$4:$A$38,0)),""))</f>
        <v/>
      </c>
      <c r="I180" s="1" t="str">
        <f>IF($D180="","",IFERROR(INDEX(技能数据库!$F$4:$F$38,MATCH($D180,技能数据库!$A$4:$A$38,0)),""))</f>
        <v/>
      </c>
      <c r="J180" s="1" t="str">
        <f>IF($D180="","",IFERROR(INDEX(技能数据库!$G$4:$G$38,MATCH($D180,技能数据库!$A$4:$A$38,0)),""))</f>
        <v/>
      </c>
      <c r="K180" s="1" t="str">
        <f>IF($D180="","",IFERROR(INDEX(技能数据库!$H$4:$H$38,MATCH($D180,技能数据库!$A$4:$A$38,0)),""))</f>
        <v/>
      </c>
      <c r="L180" s="1" t="str">
        <f>IF($D180="","",IFERROR(INDEX(技能数据库!$I$4:$I$38,MATCH($D180,技能数据库!$A$4:$A$38,0)),""))</f>
        <v/>
      </c>
      <c r="M180" s="1">
        <v>1</v>
      </c>
      <c r="N180" s="1"/>
      <c r="O180" s="1"/>
      <c r="P180" s="1"/>
      <c r="Q180" s="1">
        <f t="shared" si="140"/>
        <v>0</v>
      </c>
      <c r="R180" s="1">
        <v>0</v>
      </c>
      <c r="S180" s="1">
        <v>0</v>
      </c>
      <c r="T180" s="1">
        <f>行动模拟!I186</f>
        <v>0</v>
      </c>
      <c r="U180" s="1">
        <f>IF(FD180&lt;&gt;FD179,IF(BY179=1,IF(MIN(10,CA179+IF(AND(DG180&lt;&gt;DG179,DH179&lt;&gt;"洞穿",SUMIFS($FE$3:FE179,$DG$3:DG179,DG179)=0,BY179=1),3,0))&gt;=10,2,1),IF(BY179=2,IF(BZ179&lt;=1,0,2),0)),BY179)</f>
        <v>2</v>
      </c>
      <c r="V180" s="1">
        <f>IF(FD180&lt;&gt;FD179,IF(BY179=1,IF(MIN(10,CA179+IF(AND(DG180&lt;&gt;DG179,DH179&lt;&gt;"洞穿",SUMIFS($FE$3:FE179,$DG$3:DG179,DG179)=0,BY179=1),3,0))&gt;=10,2,0),IF(BY179=2,MAX(0,BZ179-1),0)),BZ179)</f>
        <v>1</v>
      </c>
      <c r="W180" s="1">
        <f>IF(AND(FD180&lt;&gt;FD179,BY179=2,BZ179&lt;=1),0,MIN(10,CA179+IF(AND(DG180&lt;&gt;DG179,DH179&lt;&gt;"洞穿",SUMIFS($FE$3:FE179,$DG$3:DG179,DG179)=0,BY179=1),3,0)))</f>
        <v>10</v>
      </c>
      <c r="X180" s="1">
        <f t="shared" si="182"/>
        <v>13</v>
      </c>
      <c r="Y180" s="1">
        <f t="shared" si="183"/>
        <v>0</v>
      </c>
      <c r="Z180" s="1">
        <f t="shared" si="184"/>
        <v>0</v>
      </c>
      <c r="AA180" s="1">
        <f t="shared" si="185"/>
        <v>0</v>
      </c>
      <c r="AB180" s="1">
        <f t="shared" si="186"/>
        <v>10</v>
      </c>
      <c r="AC180" s="1">
        <f t="shared" si="187"/>
        <v>1</v>
      </c>
      <c r="AD180" s="1">
        <f t="shared" si="188"/>
        <v>35</v>
      </c>
      <c r="AE180" s="1">
        <f>IF(D180="",0,IF(DG180&lt;&gt;DG179,IFERROR(INDEX(回合状态!$F$7:$F$17,MATCH(DG180,回合状态!$A$7:$A$17,0)),0),CI179))</f>
        <v>0</v>
      </c>
      <c r="AF180" s="1">
        <f t="shared" si="189"/>
        <v>0.875</v>
      </c>
      <c r="AG180" s="1">
        <f t="shared" si="190"/>
        <v>9</v>
      </c>
      <c r="AH180" s="1">
        <f t="shared" si="191"/>
        <v>9</v>
      </c>
      <c r="AI180" s="1">
        <f t="shared" si="192"/>
        <v>8</v>
      </c>
      <c r="AJ180" s="1">
        <f t="shared" si="193"/>
        <v>9</v>
      </c>
      <c r="AK180" s="1">
        <f t="shared" si="194"/>
        <v>8</v>
      </c>
      <c r="AL180" s="1">
        <f t="shared" si="195"/>
        <v>3</v>
      </c>
      <c r="AM180" s="1">
        <f t="shared" si="196"/>
        <v>30</v>
      </c>
      <c r="AN180" s="1">
        <f t="shared" si="197"/>
        <v>9</v>
      </c>
      <c r="AO180" s="1">
        <f t="shared" si="198"/>
        <v>0</v>
      </c>
      <c r="AP180" s="1" t="e">
        <f t="shared" si="199"/>
        <v>#VALUE!</v>
      </c>
      <c r="AQ180" s="1" t="e">
        <f t="shared" si="200"/>
        <v>#VALUE!</v>
      </c>
      <c r="AR180" s="1">
        <f t="shared" si="201"/>
        <v>0.3</v>
      </c>
      <c r="AS180" s="1">
        <f t="shared" si="202"/>
        <v>9</v>
      </c>
      <c r="AT180" s="1">
        <f t="shared" si="203"/>
        <v>0.3</v>
      </c>
      <c r="AU180" s="1">
        <f t="shared" si="204"/>
        <v>9</v>
      </c>
      <c r="AV180" s="1">
        <f>MIN(5,SUMIFS($EL$3:EL180,$B$3:B180,"&gt;="&amp;MAX(1,B180-2),$B$3:B180,"&lt;="&amp;B180)+EC180)</f>
        <v>0</v>
      </c>
      <c r="AW180" s="1">
        <f>MIN(6,SUMIFS($EY$3:EY179,$EX$3:EX179,"&gt;="&amp;MAX(1,EX180-Boss参数!$B$87+1),$EX$3:EX179,"&lt;="&amp;EX180))</f>
        <v>0</v>
      </c>
      <c r="AX180" s="1">
        <f>MIN(4,COUNTIFS($B$3:$B$179,"&gt;="&amp;MAX(1,$B180-2),$B$3:$B$179,"&lt;="&amp;$B180,$L$3:$L$179,"37_FOLLOW"))</f>
        <v>0</v>
      </c>
      <c r="AY180" s="1" t="str">
        <f>IF($E180="","",IF($E180="系统",0,ROUNDDOWN(INDEX(角色面板!$C$4:$C$7,MATCH($E180,角色面板!$A$4:$A$7,0))*(1+INDEX(角色面板!$C$11:$C$14,MATCH($E180,角色面板!$A$11:$A$14,0))+IF($E180="小瑞安侬",MAX(IF($B180&lt;=$AQ180,$AP180,0),IF(AND($L180="RHI_ATTACK",$EE180&gt;0),0.11+0.01*$G180,0)),0)+IF($E180="J",$AD180*Boss参数!$B$18,0))+IF(FD180&lt;=$AN180,MIN(Boss参数!$B$21,ROUNDDOWN(角色面板!$C$19*Boss参数!$B$20,0)),0)+IF(AND($B180&lt;=$AK180,$E180&lt;&gt;"小瑞安侬"),$DY180,0),0)))</f>
        <v/>
      </c>
      <c r="AZ180" s="1" t="str">
        <f>IF($E180="","",MAX(0,MIN(1,IFERROR(INDEX(角色面板!$G$18:$G$21,MATCH($E180,角色面板!$A$18:$A$21,0)),0)-FC180*Boss参数!$B$89-Boss参数!$E$4)))</f>
        <v/>
      </c>
      <c r="BA180" s="1" t="str">
        <f>IF(E180="","",(IF($E180="","",IF($E180="红弩箭",Boss参数!$B$80,IF($E180="J",Boss参数!$B$81,IFERROR(INDEX(角色面板!$H$18:$H$21,MATCH($E180,角色面板!$A$18:$A$21,0)),0)))+IF($B180&lt;=$AI180,Boss参数!$B$13,0)+MIN(30,$AM180)*Boss参数!$B$17+IF(AND($L180="LILYA_ULT",$X180&gt;=6),1,0)+IF(AND($Y180=1,$L180="LILYA_INSIGHT"),IF(MOD($AA180+1,3)=0,Boss参数!$B$83,Boss参数!$B$82),IF(AND($Y180=1,$L180="LILYA_FINISH"),Boss参数!$B$84,0))))-FC180*Boss参数!$B$90)</f>
        <v/>
      </c>
      <c r="BB180" s="1" t="str">
        <f>IF($E180="","",IFERROR(INDEX(角色面板!$M$18:$M$21,MATCH($E180,角色面板!$A$18:$A$21,0)),0)+$AW180*Boss参数!$B$12+IF($B180&lt;=$AG180,$AF180,0)+$EI180+IF($L180="LILYA_DIVE",IF($U180=1,IF($G180=1,0.3,IF($G180=2,0.4,0.5)),IF($U180=2,IF($G180=1,0.6,IF($G180=2,0.8,1)),0)),0)+$R180+IF(AND($E180="J",OR($L180="J_COUNTER",$L180="J_HARD")),Boss参数!$B$79,0)+IF(AND(OR(L180="J_COUNTER",L180="J_HARD"),FA180&gt;=Boss参数!$B$59),FA180*Boss参数!$B$40,0))</f>
        <v/>
      </c>
      <c r="BC180" s="1" t="e">
        <f>IF($E180="","",IFERROR(INDEX(角色面板!$K$18:$K$21,MATCH($E180,角色面板!$A$18:$A$21,0)),0)+IF($B180&lt;=$AH180,Boss参数!$B$46,0)+IF($E180="红弩箭",IF($U180=1,0.6,IF($U180=2,1.2,0))+$W180*0.06,0))-DI180*Boss参数!$B$23</f>
        <v>#VALUE!</v>
      </c>
      <c r="BD180" s="1" t="e">
        <f>IF($E180="","",IFERROR(INDEX(角色面板!$L$18:$L$21,MATCH($E180,角色面板!$A$18:$A$21,0)),0)+IF($B180&lt;=$AH180,Boss参数!$B$46,0)+IF($E180="J",$AL180*Boss参数!$B$16,0)+IF($E180="红弩箭",$X180*0.025,0)+IF(AND($L180="LILYA_ULT",$X180&gt;=6),1,0))-DI180*Boss参数!$B$23</f>
        <v>#VALUE!</v>
      </c>
      <c r="BE180" s="1" t="str">
        <f>IF($E180="","",IF($H180="洞知",IF($E180="红弩箭",$AO180*Boss参数!$B$15,0)+$AX180*Boss参数!$B$14,0))</f>
        <v/>
      </c>
      <c r="BF180" s="1">
        <f t="shared" si="141"/>
        <v>0</v>
      </c>
      <c r="BG180" s="1">
        <f>IF($D180="",0,IF(AND($L180&lt;&gt;"LILYA_DIVE",$L180&lt;&gt;"LILYA_ULT",$L180&lt;&gt;"LILYA_INSIGHT",$L180&lt;&gt;"LILYA_FINISH",$L180&lt;&gt;"37_FOLLOW",$L180&lt;&gt;"RHI_ATTACK",$L180&lt;&gt;"RHI_BERRY",$L180&lt;&gt;"J_COUNTER",$L180&lt;&gt;"J_ULT"),$J180,0)+IF($L180="LILYA_DIVE",$J180+IF($U180=1,IF($G180=1,6,IF($G180=2,12,18)),IF($U180=2,IF($G180=1,12,IF($G180=2,24,36)),0)),0)+IF($L180="LILYA_ULT",$J180+IF($X180&gt;=6,18,0),0)+IF($L180="LILYA_INSIGHT",IF($Y180=1,IF(MOD($AA180+1,3)=0,32,15),0),0)+IF($L180="LILYA_FINISH",IF($Y180=1,50+2.5*$Z180,0),0)+IF($L180="37_FOLLOW",$J180,0)+IF($L180="RHI_ATTACK",$J180*IF($B180&lt;=$AJ180,2,1),0)+IF($L180="RHI_BERRY",15+1.5*$AV180,0)+IF($L180="J_COUNTER",$J180+$AD180*Boss参数!$B$39,0)+IF($L180="J_ULT",$J180+Boss参数!$B$45*MAX(0,$AE180+$AD180-Boss参数!$I$4),0)+$S180)</f>
        <v>0</v>
      </c>
      <c r="BH180" s="1">
        <f t="shared" si="142"/>
        <v>0</v>
      </c>
      <c r="BI180" s="1" t="str">
        <f>IF(E180="","",IF(DT180=1,1+Boss参数!$B$8+AV180*Boss参数!$B$19,1))</f>
        <v/>
      </c>
      <c r="BJ180" s="1">
        <f>IF($I180="现实",Boss参数!$C$4,IF($I180="精神",Boss参数!$D$4,0))</f>
        <v>0</v>
      </c>
      <c r="BK180" s="1" t="str">
        <f>IF($E180="","",MAX($AY180*Boss参数!$B$9,$AY180-$BJ180*(1-$BF180)))</f>
        <v/>
      </c>
      <c r="BL180" s="1">
        <f>MAX(0,Boss参数!$F$4+IF(DT180=0,Boss参数!$B$27,0)-EJ180)</f>
        <v>1.25</v>
      </c>
      <c r="BM180" s="1">
        <f>Boss参数!$G$4+DU180-IF(Y180=1,Boss参数!$B$11,0)</f>
        <v>0.4</v>
      </c>
      <c r="BN180" s="1" t="str">
        <f>IF($E180="","",MAX(Boss参数!$B$10,1+IFERROR(INDEX(角色面板!$I$18:$I$21,MATCH($E180,角色面板!$A$18:$A$21,0)),0)+$BB180+Boss参数!$H$4-$BM180))</f>
        <v/>
      </c>
      <c r="BO180" s="1" t="str">
        <f>IF(E180="","",IF(OR(L180="J_COUNTER",L180="J_HARD"),MAX(0,1+INDEX(角色面板!$K$18:$K$21,MATCH(E180,角色面板!$A$18:$A$21,0))-DI180*Boss参数!$B$23+IF(OR(Boss参数!$B$43=1,L180="J_HARD"),IF(B180&lt;=AH180,Boss参数!$B$46,0),0)),MAX(0,IF(OR(H180="术法",L180="RHI_BERRY",AND(L180="37_FOLLOW",Boss参数!$B$31=1)),1+BC180,IF(H180="仪式",1+BD180,IF(H180="洞知",EK180,1))))))</f>
        <v/>
      </c>
      <c r="BP180" s="1" t="str">
        <f t="shared" si="143"/>
        <v/>
      </c>
      <c r="BQ180" s="1">
        <f t="shared" si="144"/>
        <v>0</v>
      </c>
      <c r="BR180" s="1">
        <f t="shared" si="145"/>
        <v>0</v>
      </c>
      <c r="BS180" s="1">
        <f>IF(BH180=0,0,ROUNDDOWN(AY180*BH180,0)*DV180*IF(Boss参数!$B$29=1,BN180,1)*IF(Boss参数!$B$33=1,BO180,1)*IF(Boss参数!$B$76=1,1-ES180,1))</f>
        <v>0</v>
      </c>
      <c r="BT180" s="1">
        <f t="shared" si="146"/>
        <v>0</v>
      </c>
      <c r="BU180" s="1">
        <f>IF(D180="",0,MIN(IF(Boss参数!$B$77=1,Boss参数!$B$63*Boss参数!$B$62,Boss参数!$B$61*Boss参数!$B$62),DW180+ROUNDDOWN(BS180,0)+ROUNDDOWN(DW180*Q180,0)))</f>
        <v>0</v>
      </c>
      <c r="BV180" s="1">
        <f>IF(D180="",0,MIN(IF(Boss参数!$B$77=1,Boss参数!$B$63*Boss参数!$B$62,Boss参数!$B$61*Boss参数!$B$62),DX180+ROUNDDOWN(BT180,0)+ROUNDDOWN(DX180*Q180,0)))</f>
        <v>0</v>
      </c>
      <c r="BW180" s="1">
        <f t="shared" si="147"/>
        <v>0</v>
      </c>
      <c r="BX180" s="1" t="str">
        <f t="shared" si="148"/>
        <v/>
      </c>
      <c r="BY180" s="1">
        <f t="shared" si="149"/>
        <v>2</v>
      </c>
      <c r="BZ180" s="1">
        <f t="shared" si="150"/>
        <v>1</v>
      </c>
      <c r="CA180" s="1">
        <f>MIN(10,W180+IF(AND(L180="LILYA_COBRA",COUNTIF($L$3:L180,"LILYA_COBRA")=1),5,0)+IF(AND(L180="LILYA_DIVE",U180=1,COUNTIFS($DG$3:DG180,DG180,$L$3:L180,"LILYA_DIVE")=1),2,0)+IF(AND(FE180=1,U180=1),3,0))</f>
        <v>10</v>
      </c>
      <c r="CB180" s="1">
        <f>MIN(20,MAX(0,X180+IF(L180="LILYA_COBRA",IF(COUNTIF($L$3:L180,"LILYA_COBRA")=1,6,IF(U180=1,MAX(1,G180),IF(U180=2,2*MAX(1,G180),0))),0)+IF(AND(Y180=1,E180="红弩箭",L180&lt;&gt;"ENTER_INSIGHT"),1,0)-IF(AND(L180="LILYA_ULT",X180&gt;=6),6,0)))</f>
        <v>13</v>
      </c>
      <c r="CC180" s="1">
        <f t="shared" si="151"/>
        <v>0</v>
      </c>
      <c r="CD180" s="1">
        <f t="shared" si="152"/>
        <v>0</v>
      </c>
      <c r="CE180" s="1">
        <f t="shared" si="153"/>
        <v>0</v>
      </c>
      <c r="CF180" s="1">
        <f t="shared" si="154"/>
        <v>10</v>
      </c>
      <c r="CG180" s="1">
        <f t="shared" si="155"/>
        <v>1</v>
      </c>
      <c r="CH180" s="1">
        <f>MIN(35,AD180+IF(L180="J_HARD",6,0)+IF(L180="J_COUNTER",Boss参数!$B$30,0))</f>
        <v>35</v>
      </c>
      <c r="CI180" s="1">
        <f>MIN(Boss参数!$I$4,AE180+IF(L180="J_HARD",6,0)+IF(L180="J_ULT",AD180,0)+IF(L180="J_COUNTER",Boss参数!$B$30,0))</f>
        <v>0</v>
      </c>
      <c r="CJ180" s="1">
        <f>IF(L180="J_ULT",AD180*Boss参数!$B$41,IF(B180&lt;=AG180,AF180,0))</f>
        <v>0.875</v>
      </c>
      <c r="CK180" s="1">
        <f t="shared" si="156"/>
        <v>9</v>
      </c>
      <c r="CL180" s="1">
        <f t="shared" si="157"/>
        <v>9</v>
      </c>
      <c r="CM180" s="1">
        <f t="shared" si="158"/>
        <v>8</v>
      </c>
      <c r="CN180" s="1">
        <f t="shared" si="159"/>
        <v>9</v>
      </c>
      <c r="CO180" s="1">
        <f t="shared" si="160"/>
        <v>8</v>
      </c>
      <c r="CP180" s="1">
        <f t="shared" si="161"/>
        <v>3</v>
      </c>
      <c r="CQ180" s="1">
        <f t="shared" si="162"/>
        <v>30</v>
      </c>
      <c r="CR180" s="1">
        <f t="shared" si="163"/>
        <v>9</v>
      </c>
      <c r="CS180" s="1">
        <f t="shared" si="164"/>
        <v>0</v>
      </c>
      <c r="CT180" s="1" t="e">
        <f t="shared" si="165"/>
        <v>#VALUE!</v>
      </c>
      <c r="CU180" s="1" t="e">
        <f t="shared" si="166"/>
        <v>#VALUE!</v>
      </c>
      <c r="CV180" s="1">
        <f t="shared" si="167"/>
        <v>0.3</v>
      </c>
      <c r="CW180" s="1">
        <f t="shared" si="168"/>
        <v>9</v>
      </c>
      <c r="CX180" s="1">
        <f t="shared" si="169"/>
        <v>0.3</v>
      </c>
      <c r="CY180" s="1">
        <f t="shared" si="170"/>
        <v>9</v>
      </c>
      <c r="CZ180" s="1"/>
      <c r="DA180" s="1"/>
      <c r="DB180" s="1"/>
      <c r="DC180" s="1"/>
      <c r="DD180" s="1"/>
      <c r="DE180" s="1"/>
      <c r="DF180" s="1"/>
      <c r="DG180" s="1" t="str">
        <f>IF(D180="","",行动模拟!B186)</f>
        <v/>
      </c>
      <c r="DH180" s="1" t="str">
        <f>IF(L180="END_TURN","回合结束",IF(D180="","",IF(INDEX(回合状态!$C$7:$C$17,MATCH(DG180,回合状态!$A$7:$A$17,0))="洞穿","洞穿",IF(OR(L180="J_COUNTER",L180="BOSS_ACTION",L180="BOSS_CONSERVATIVE"),"敌方",IF(AND(L180="37_FOLLOW",DG180=DG179,DH179="敌方"),"敌方",IF(INDEX(回合状态!$C$7:$C$17,MATCH(DG180,回合状态!$A$7:$A$17,0))="普通","出牌",INDEX(回合状态!$C$7:$C$17,MATCH(DG180,回合状态!$A$7:$A$17,0))))))))</f>
        <v/>
      </c>
      <c r="DI180" s="1">
        <f t="shared" si="171"/>
        <v>0</v>
      </c>
      <c r="DJ180" s="1">
        <f>IF(D180="",0,MIN(Boss参数!$B$25,IF(OR(AND(DH180="敌方",OR(DH179&lt;&gt;"敌方",DG180&lt;&gt;DG179)),AND(L180="END_TURN",DH180&lt;&gt;"洞穿"),AND(DG180&lt;&gt;DG179,DH179&lt;&gt;"洞穿",L179&lt;&gt;"END_TURN",COUNTIFS($DG$3:DG179,DG179,$DH$3:DH179,"敌方")=0)),EW180,DN179)))</f>
        <v>0</v>
      </c>
      <c r="DK180" s="1">
        <f>IF(D180="",0,MIN(Boss参数!$B$25,IF(OR(AND(DH180="敌方",OR(DH179&lt;&gt;"敌方",DG180&lt;&gt;DG179)),AND(L180="END_TURN",DH180&lt;&gt;"洞穿"),AND(DG180&lt;&gt;DG179,DH179&lt;&gt;"洞穿",L179&lt;&gt;"END_TURN",COUNTIFS($DG$3:DG179,DG179,$DH$3:DH179,"敌方")=0)),EW180,DO179)))</f>
        <v>0</v>
      </c>
      <c r="DL180" s="1">
        <f>IF(D180="",0,MIN(Boss参数!$B$25,IF(OR(AND(DH180="敌方",OR(DH179&lt;&gt;"敌方",DG180&lt;&gt;DG179)),AND(L180="END_TURN",DH180&lt;&gt;"洞穿"),AND(DG180&lt;&gt;DG179,DH179&lt;&gt;"洞穿",L179&lt;&gt;"END_TURN",COUNTIFS($DG$3:DG179,DG179,$DH$3:DH179,"敌方")=0)),EW180,DP179)))</f>
        <v>0</v>
      </c>
      <c r="DM180" s="1">
        <f>IF(D180="",0,MIN(Boss参数!$B$25,IF(OR(AND(DH180="敌方",OR(DH179&lt;&gt;"敌方",DG180&lt;&gt;DG179)),AND(L180="END_TURN",DH180&lt;&gt;"洞穿"),AND(DG180&lt;&gt;DG179,DH179&lt;&gt;"洞穿",L179&lt;&gt;"END_TURN",COUNTIFS($DG$3:DG179,DG179,$DH$3:DH179,"敌方")=0)),EW180,DQ179)))</f>
        <v>0</v>
      </c>
      <c r="DN180" s="1">
        <f>MAX(0,MIN(Boss参数!$B$25,DJ180+DR180)-IF(E180="红弩箭",2*DR180,0))</f>
        <v>0</v>
      </c>
      <c r="DO180" s="1">
        <f>MAX(0,MIN(Boss参数!$B$25,DK180+DR180)-IF(E180="37",2*DR180,0))</f>
        <v>0</v>
      </c>
      <c r="DP180" s="1">
        <f>MAX(0,MIN(Boss参数!$B$25,DL180+DR180)-IF(E180="小瑞安侬",2*DR180,0))</f>
        <v>0</v>
      </c>
      <c r="DQ180" s="1">
        <f>MAX(0,MIN(Boss参数!$B$25,DM180+DR180)-IF(E180="J",2*DR180,0))</f>
        <v>0</v>
      </c>
      <c r="DR180" s="1">
        <f t="shared" si="172"/>
        <v>0</v>
      </c>
      <c r="DS180" s="1">
        <f t="shared" si="173"/>
        <v>0</v>
      </c>
      <c r="DT180" s="1">
        <f>IF(OR(E180="",E180="系统"),0,IF(OR(AND(DS180=1,Boss参数!$B$32=1),L180="RHI_BERRY",OR(AND(INDEX(角色面板!$B$18:$B$21,MATCH(E180,角色面板!$A$18:$A$21,0))="星",Boss参数!$B$4="岩"),AND(INDEX(角色面板!$B$18:$B$21,MATCH(E180,角色面板!$A$18:$A$21,0))="岩",Boss参数!$B$4="兽"),AND(INDEX(角色面板!$B$18:$B$21,MATCH(E180,角色面板!$A$18:$A$21,0))="兽",Boss参数!$B$4="木"),AND(INDEX(角色面板!$B$18:$B$21,MATCH(E180,角色面板!$A$18:$A$21,0))="木",Boss参数!$B$4="星"),AND(INDEX(角色面板!$B$18:$B$21,MATCH(E180,角色面板!$A$18:$A$21,0))="智",Boss参数!$B$4="灵"),AND(INDEX(角色面板!$B$18:$B$21,MATCH(E180,角色面板!$A$18:$A$21,0))="灵",Boss参数!$B$4="智"))),1,0))</f>
        <v>0</v>
      </c>
      <c r="DU180" s="1">
        <f>IF(D180="",0,INDEX(回合状态!$E$7:$E$17,MATCH(DG180,回合状态!$A$7:$A$17,0))+IF(AND(DH180="敌方",OR(INDEX(回合状态!$C$7:$C$17,MATCH(DG180,回合状态!$A$7:$A$17,0))="普通",INDEX(回合状态!$C$7:$C$17,MATCH(DG180,回合状态!$A$7:$A$17,0))="额外")),0.05,0))</f>
        <v>0</v>
      </c>
      <c r="DV180" s="1">
        <f>MAX(Boss参数!$B$28,1+IF(AND(E180="37",AC180&gt;0,BH180&gt;0),Boss参数!$B$42,0)-DI180*Boss参数!$B$24+EA180-ER180)</f>
        <v>9.9999999999999978E-2</v>
      </c>
      <c r="DW180" s="1">
        <f>MIN(IF(Boss参数!$B$77=1,Boss参数!$B$63*Boss参数!$B$62,Boss参数!$B$61*Boss参数!$B$62),ROUNDDOWN(BQ180*(1-ES180),0))</f>
        <v>0</v>
      </c>
      <c r="DX180" s="1">
        <f>MIN(IF(Boss参数!$B$77=1,Boss参数!$B$63*Boss参数!$B$62,Boss参数!$B$61*Boss参数!$B$62),ROUNDDOWN(BR180*(1-ES180),0))</f>
        <v>0</v>
      </c>
      <c r="DY180" s="1">
        <f t="shared" si="205"/>
        <v>250</v>
      </c>
      <c r="DZ180" s="1">
        <f>IF(L180="RHI_ULT",MIN(Boss参数!$B$48,ROUNDDOWN(AY180*Boss参数!$B$47,0)),DY180)</f>
        <v>250</v>
      </c>
      <c r="EA180" s="1">
        <v>0</v>
      </c>
      <c r="EB180" s="1">
        <f t="shared" si="174"/>
        <v>0</v>
      </c>
      <c r="EC180" s="1">
        <f>SUMIFS($EB$3:EB180,$B$3:B180,"&gt;="&amp;MAX(1,B180-2),$B$3:B180,"&lt;="&amp;B180)*Boss参数!$B$51</f>
        <v>0</v>
      </c>
      <c r="ED180" s="1">
        <f>IF(D180="",EG179,IF(AND(DG180&lt;&gt;DG179,DH180&lt;&gt;"洞穿"),MIN(Boss参数!$B$55,EG179+2),EG179))</f>
        <v>0</v>
      </c>
      <c r="EE180" s="1">
        <f t="shared" si="175"/>
        <v>0</v>
      </c>
      <c r="EF180" s="1">
        <f>IF(AND(OR(L180="END_TURN",AND(DH180="敌方",OR(DH179&lt;&gt;"敌方",DG180&lt;&gt;DG179))),SUMIFS($EF$3:EF179,$DG$3:DG179,DG180)=0),MIN(1,MAX(0,ED180-EE180)),0)</f>
        <v>0</v>
      </c>
      <c r="EG180" s="1">
        <f t="shared" si="176"/>
        <v>0</v>
      </c>
      <c r="EH180" s="1">
        <f>Boss参数!$B$53-IF(Y180=1,Boss参数!$B$54,0)</f>
        <v>0</v>
      </c>
      <c r="EI180" s="1">
        <f t="shared" si="177"/>
        <v>0.15</v>
      </c>
      <c r="EJ180" s="1">
        <f t="shared" si="178"/>
        <v>0.15</v>
      </c>
      <c r="EK180" s="1" t="e">
        <f t="shared" si="179"/>
        <v>#VALUE!</v>
      </c>
      <c r="EL180" s="1">
        <f t="shared" si="206"/>
        <v>0</v>
      </c>
      <c r="EM180" s="1">
        <f>IF(AND(DG180&lt;&gt;DG179,DH180="洞穿"),0,IF(L180="ENTER_INSIGHT",Boss参数!$B$57,EO179))</f>
        <v>0</v>
      </c>
      <c r="EN180" s="1">
        <f>IF(AND(Y180=1,H180="洞知",EM180&gt;0),Boss参数!$B$56,0)</f>
        <v>0</v>
      </c>
      <c r="EO180" s="1">
        <f t="shared" si="180"/>
        <v>0</v>
      </c>
      <c r="EP180" s="1">
        <f t="shared" si="207"/>
        <v>23210479</v>
      </c>
      <c r="EQ180" s="1">
        <f>ROUNDDOWN(EP180/Boss参数!$B$62,0)</f>
        <v>232</v>
      </c>
      <c r="ER180" s="1">
        <f>IF(EQ180&gt;=Boss参数!$B$66,Boss参数!$B$69,IF(EQ180&gt;=Boss参数!$B$65,Boss参数!$B$68,IF(EQ180&gt;=Boss参数!$B$64,Boss参数!$B$67,0)))</f>
        <v>0.9</v>
      </c>
      <c r="ES180" s="1">
        <f>MIN(1,IF(EQ180&gt;=Boss参数!$B$66,Boss参数!$B$72+ROUNDDOWN((EQ180-Boss参数!$B$66)/Boss参数!$B$73,0)*Boss参数!$B$74,IF(EQ180&gt;=Boss参数!$B$65,Boss参数!$B$71,IF(EQ180&gt;=Boss参数!$B$64,Boss参数!$B$70,0))))</f>
        <v>0.65</v>
      </c>
      <c r="ET180" s="1">
        <f>MIN(Boss参数!$B$61*Boss参数!$B$62,EP180+IF(AND(Boss参数!$B$60=1,ISNUMBER(验证表!H186)),验证表!H186,EU180))</f>
        <v>23210479</v>
      </c>
      <c r="EU180" s="1">
        <f>IF(D180="",0,IF(验证表!G186="是",BV180,IF(验证表!G186="否",BU180,BW180)))</f>
        <v>0</v>
      </c>
      <c r="EV180" s="1">
        <f>IF(EQ180&gt;=Boss参数!$B$66,2,IF(EQ180&gt;=Boss参数!$B$65,1,0))</f>
        <v>2</v>
      </c>
      <c r="EW180" s="1">
        <f t="shared" si="181"/>
        <v>3</v>
      </c>
      <c r="EX180" s="1">
        <f>IF(D180="",0,INDEX(回合状态!$D$7:$D$17,MATCH(DG180,回合状态!$A$7:$A$17,0)))</f>
        <v>0</v>
      </c>
      <c r="EY180" s="1">
        <f>IF(OR(L180="RHI_ATTACK",L180="RHI_BUFF"),1,IF(L180="RHI_ULT",Boss参数!$B$52,0))</f>
        <v>0</v>
      </c>
      <c r="EZ180" s="1">
        <f>MIN(6,SUMIFS($EY$3:EY180,$EX$3:EX180,"&gt;="&amp;MAX(1,EX180-Boss参数!$B$87+1),$EX$3:EX180,"&lt;="&amp;EX180))</f>
        <v>0</v>
      </c>
      <c r="FA180" s="1">
        <f t="shared" si="208"/>
        <v>0</v>
      </c>
      <c r="FB180" s="17">
        <f>IF(L180="BOSS_CONSERVATIVE",B180+Boss参数!$B$91,FB179)</f>
        <v>7</v>
      </c>
      <c r="FC180" s="17">
        <f t="shared" si="209"/>
        <v>0</v>
      </c>
      <c r="FD180" s="17">
        <f>IF(D180="",FD179,FD179+IF(AND(DG180&lt;&gt;DG179,INDEX(回合状态!$C$7:$C$17,MATCH(DG180,回合状态!$A$7:$A$17,0))&lt;&gt;"洞穿"),1,0))</f>
        <v>8</v>
      </c>
      <c r="FE180" s="17">
        <f>IF(D180="",0,IF(AND(OR(L180="END_TURN",DH180="敌方"),INDEX(回合状态!$C$7:$C$17,MATCH(DG180,回合状态!$A$7:$A$17,0))&lt;&gt;"洞穿",SUMIFS($FE$3:FE179,$DG$3:DG179,DG180)=0),1,0))</f>
        <v>0</v>
      </c>
    </row>
    <row r="181" spans="1:161" ht="84.95" customHeight="1">
      <c r="A181" s="1" t="str">
        <f>行动模拟!A187</f>
        <v/>
      </c>
      <c r="B181" s="1">
        <f>IF(D181="",0,INDEX(回合状态!$B$7:$B$17,MATCH(DG181,回合状态!$A$7:$A$17,0)))</f>
        <v>0</v>
      </c>
      <c r="C181" s="1">
        <f>行动模拟!C187</f>
        <v>0</v>
      </c>
      <c r="D181" s="1" t="str">
        <f>IF(行动模拟!D187="","",行动模拟!D187)</f>
        <v/>
      </c>
      <c r="E181" s="1" t="str">
        <f>IF($D181="","",IFERROR(INDEX(技能数据库!$B$4:$B$38,MATCH($D181,技能数据库!$A$4:$A$38,0)),""))</f>
        <v/>
      </c>
      <c r="F181" s="1" t="str">
        <f>IF($D181="","",IFERROR(INDEX(技能数据库!$C$4:$C$38,MATCH($D181,技能数据库!$A$4:$A$38,0)),""))</f>
        <v/>
      </c>
      <c r="G181" s="1" t="str">
        <f>IF($D181="","",IFERROR(INDEX(技能数据库!$D$4:$D$38,MATCH($D181,技能数据库!$A$4:$A$38,0)),""))</f>
        <v/>
      </c>
      <c r="H181" s="1" t="str">
        <f>IF($D181="","",IFERROR(INDEX(技能数据库!$E$4:$E$38,MATCH($D181,技能数据库!$A$4:$A$38,0)),""))</f>
        <v/>
      </c>
      <c r="I181" s="1" t="str">
        <f>IF($D181="","",IFERROR(INDEX(技能数据库!$F$4:$F$38,MATCH($D181,技能数据库!$A$4:$A$38,0)),""))</f>
        <v/>
      </c>
      <c r="J181" s="1" t="str">
        <f>IF($D181="","",IFERROR(INDEX(技能数据库!$G$4:$G$38,MATCH($D181,技能数据库!$A$4:$A$38,0)),""))</f>
        <v/>
      </c>
      <c r="K181" s="1" t="str">
        <f>IF($D181="","",IFERROR(INDEX(技能数据库!$H$4:$H$38,MATCH($D181,技能数据库!$A$4:$A$38,0)),""))</f>
        <v/>
      </c>
      <c r="L181" s="1" t="str">
        <f>IF($D181="","",IFERROR(INDEX(技能数据库!$I$4:$I$38,MATCH($D181,技能数据库!$A$4:$A$38,0)),""))</f>
        <v/>
      </c>
      <c r="M181" s="1">
        <v>1</v>
      </c>
      <c r="N181" s="1"/>
      <c r="O181" s="1"/>
      <c r="P181" s="1"/>
      <c r="Q181" s="1">
        <f t="shared" si="140"/>
        <v>0</v>
      </c>
      <c r="R181" s="1">
        <v>0</v>
      </c>
      <c r="S181" s="1">
        <v>0</v>
      </c>
      <c r="T181" s="1">
        <f>行动模拟!I187</f>
        <v>0</v>
      </c>
      <c r="U181" s="1">
        <f>IF(FD181&lt;&gt;FD180,IF(BY180=1,IF(MIN(10,CA180+IF(AND(DG181&lt;&gt;DG180,DH180&lt;&gt;"洞穿",SUMIFS($FE$3:FE180,$DG$3:DG180,DG180)=0,BY180=1),3,0))&gt;=10,2,1),IF(BY180=2,IF(BZ180&lt;=1,0,2),0)),BY180)</f>
        <v>2</v>
      </c>
      <c r="V181" s="1">
        <f>IF(FD181&lt;&gt;FD180,IF(BY180=1,IF(MIN(10,CA180+IF(AND(DG181&lt;&gt;DG180,DH180&lt;&gt;"洞穿",SUMIFS($FE$3:FE180,$DG$3:DG180,DG180)=0,BY180=1),3,0))&gt;=10,2,0),IF(BY180=2,MAX(0,BZ180-1),0)),BZ180)</f>
        <v>1</v>
      </c>
      <c r="W181" s="1">
        <f>IF(AND(FD181&lt;&gt;FD180,BY180=2,BZ180&lt;=1),0,MIN(10,CA180+IF(AND(DG181&lt;&gt;DG180,DH180&lt;&gt;"洞穿",SUMIFS($FE$3:FE180,$DG$3:DG180,DG180)=0,BY180=1),3,0)))</f>
        <v>10</v>
      </c>
      <c r="X181" s="1">
        <f t="shared" si="182"/>
        <v>13</v>
      </c>
      <c r="Y181" s="1">
        <f t="shared" si="183"/>
        <v>0</v>
      </c>
      <c r="Z181" s="1">
        <f t="shared" si="184"/>
        <v>0</v>
      </c>
      <c r="AA181" s="1">
        <f t="shared" si="185"/>
        <v>0</v>
      </c>
      <c r="AB181" s="1">
        <f t="shared" si="186"/>
        <v>10</v>
      </c>
      <c r="AC181" s="1">
        <f t="shared" si="187"/>
        <v>1</v>
      </c>
      <c r="AD181" s="1">
        <f t="shared" si="188"/>
        <v>35</v>
      </c>
      <c r="AE181" s="1">
        <f>IF(D181="",0,IF(DG181&lt;&gt;DG180,IFERROR(INDEX(回合状态!$F$7:$F$17,MATCH(DG181,回合状态!$A$7:$A$17,0)),0),CI180))</f>
        <v>0</v>
      </c>
      <c r="AF181" s="1">
        <f t="shared" si="189"/>
        <v>0.875</v>
      </c>
      <c r="AG181" s="1">
        <f t="shared" si="190"/>
        <v>9</v>
      </c>
      <c r="AH181" s="1">
        <f t="shared" si="191"/>
        <v>9</v>
      </c>
      <c r="AI181" s="1">
        <f t="shared" si="192"/>
        <v>8</v>
      </c>
      <c r="AJ181" s="1">
        <f t="shared" si="193"/>
        <v>9</v>
      </c>
      <c r="AK181" s="1">
        <f t="shared" si="194"/>
        <v>8</v>
      </c>
      <c r="AL181" s="1">
        <f t="shared" si="195"/>
        <v>3</v>
      </c>
      <c r="AM181" s="1">
        <f t="shared" si="196"/>
        <v>30</v>
      </c>
      <c r="AN181" s="1">
        <f t="shared" si="197"/>
        <v>9</v>
      </c>
      <c r="AO181" s="1">
        <f t="shared" si="198"/>
        <v>0</v>
      </c>
      <c r="AP181" s="1" t="e">
        <f t="shared" si="199"/>
        <v>#VALUE!</v>
      </c>
      <c r="AQ181" s="1" t="e">
        <f t="shared" si="200"/>
        <v>#VALUE!</v>
      </c>
      <c r="AR181" s="1">
        <f t="shared" si="201"/>
        <v>0.3</v>
      </c>
      <c r="AS181" s="1">
        <f t="shared" si="202"/>
        <v>9</v>
      </c>
      <c r="AT181" s="1">
        <f t="shared" si="203"/>
        <v>0.3</v>
      </c>
      <c r="AU181" s="1">
        <f t="shared" si="204"/>
        <v>9</v>
      </c>
      <c r="AV181" s="1">
        <f>MIN(5,SUMIFS($EL$3:EL181,$B$3:B181,"&gt;="&amp;MAX(1,B181-2),$B$3:B181,"&lt;="&amp;B181)+EC181)</f>
        <v>0</v>
      </c>
      <c r="AW181" s="1">
        <f>MIN(6,SUMIFS($EY$3:EY180,$EX$3:EX180,"&gt;="&amp;MAX(1,EX181-Boss参数!$B$87+1),$EX$3:EX180,"&lt;="&amp;EX181))</f>
        <v>0</v>
      </c>
      <c r="AX181" s="1">
        <f>MIN(4,COUNTIFS($B$3:$B$180,"&gt;="&amp;MAX(1,$B181-2),$B$3:$B$180,"&lt;="&amp;$B181,$L$3:$L$180,"37_FOLLOW"))</f>
        <v>0</v>
      </c>
      <c r="AY181" s="1" t="str">
        <f>IF($E181="","",IF($E181="系统",0,ROUNDDOWN(INDEX(角色面板!$C$4:$C$7,MATCH($E181,角色面板!$A$4:$A$7,0))*(1+INDEX(角色面板!$C$11:$C$14,MATCH($E181,角色面板!$A$11:$A$14,0))+IF($E181="小瑞安侬",MAX(IF($B181&lt;=$AQ181,$AP181,0),IF(AND($L181="RHI_ATTACK",$EE181&gt;0),0.11+0.01*$G181,0)),0)+IF($E181="J",$AD181*Boss参数!$B$18,0))+IF(FD181&lt;=$AN181,MIN(Boss参数!$B$21,ROUNDDOWN(角色面板!$C$19*Boss参数!$B$20,0)),0)+IF(AND($B181&lt;=$AK181,$E181&lt;&gt;"小瑞安侬"),$DY181,0),0)))</f>
        <v/>
      </c>
      <c r="AZ181" s="1" t="str">
        <f>IF($E181="","",MAX(0,MIN(1,IFERROR(INDEX(角色面板!$G$18:$G$21,MATCH($E181,角色面板!$A$18:$A$21,0)),0)-FC181*Boss参数!$B$89-Boss参数!$E$4)))</f>
        <v/>
      </c>
      <c r="BA181" s="1" t="str">
        <f>IF(E181="","",(IF($E181="","",IF($E181="红弩箭",Boss参数!$B$80,IF($E181="J",Boss参数!$B$81,IFERROR(INDEX(角色面板!$H$18:$H$21,MATCH($E181,角色面板!$A$18:$A$21,0)),0)))+IF($B181&lt;=$AI181,Boss参数!$B$13,0)+MIN(30,$AM181)*Boss参数!$B$17+IF(AND($L181="LILYA_ULT",$X181&gt;=6),1,0)+IF(AND($Y181=1,$L181="LILYA_INSIGHT"),IF(MOD($AA181+1,3)=0,Boss参数!$B$83,Boss参数!$B$82),IF(AND($Y181=1,$L181="LILYA_FINISH"),Boss参数!$B$84,0))))-FC181*Boss参数!$B$90)</f>
        <v/>
      </c>
      <c r="BB181" s="1" t="str">
        <f>IF($E181="","",IFERROR(INDEX(角色面板!$M$18:$M$21,MATCH($E181,角色面板!$A$18:$A$21,0)),0)+$AW181*Boss参数!$B$12+IF($B181&lt;=$AG181,$AF181,0)+$EI181+IF($L181="LILYA_DIVE",IF($U181=1,IF($G181=1,0.3,IF($G181=2,0.4,0.5)),IF($U181=2,IF($G181=1,0.6,IF($G181=2,0.8,1)),0)),0)+$R181+IF(AND($E181="J",OR($L181="J_COUNTER",$L181="J_HARD")),Boss参数!$B$79,0)+IF(AND(OR(L181="J_COUNTER",L181="J_HARD"),FA181&gt;=Boss参数!$B$59),FA181*Boss参数!$B$40,0))</f>
        <v/>
      </c>
      <c r="BC181" s="1" t="e">
        <f>IF($E181="","",IFERROR(INDEX(角色面板!$K$18:$K$21,MATCH($E181,角色面板!$A$18:$A$21,0)),0)+IF($B181&lt;=$AH181,Boss参数!$B$46,0)+IF($E181="红弩箭",IF($U181=1,0.6,IF($U181=2,1.2,0))+$W181*0.06,0))-DI181*Boss参数!$B$23</f>
        <v>#VALUE!</v>
      </c>
      <c r="BD181" s="1" t="e">
        <f>IF($E181="","",IFERROR(INDEX(角色面板!$L$18:$L$21,MATCH($E181,角色面板!$A$18:$A$21,0)),0)+IF($B181&lt;=$AH181,Boss参数!$B$46,0)+IF($E181="J",$AL181*Boss参数!$B$16,0)+IF($E181="红弩箭",$X181*0.025,0)+IF(AND($L181="LILYA_ULT",$X181&gt;=6),1,0))-DI181*Boss参数!$B$23</f>
        <v>#VALUE!</v>
      </c>
      <c r="BE181" s="1" t="str">
        <f>IF($E181="","",IF($H181="洞知",IF($E181="红弩箭",$AO181*Boss参数!$B$15,0)+$AX181*Boss参数!$B$14,0))</f>
        <v/>
      </c>
      <c r="BF181" s="1">
        <f t="shared" si="141"/>
        <v>0</v>
      </c>
      <c r="BG181" s="1">
        <f>IF($D181="",0,IF(AND($L181&lt;&gt;"LILYA_DIVE",$L181&lt;&gt;"LILYA_ULT",$L181&lt;&gt;"LILYA_INSIGHT",$L181&lt;&gt;"LILYA_FINISH",$L181&lt;&gt;"37_FOLLOW",$L181&lt;&gt;"RHI_ATTACK",$L181&lt;&gt;"RHI_BERRY",$L181&lt;&gt;"J_COUNTER",$L181&lt;&gt;"J_ULT"),$J181,0)+IF($L181="LILYA_DIVE",$J181+IF($U181=1,IF($G181=1,6,IF($G181=2,12,18)),IF($U181=2,IF($G181=1,12,IF($G181=2,24,36)),0)),0)+IF($L181="LILYA_ULT",$J181+IF($X181&gt;=6,18,0),0)+IF($L181="LILYA_INSIGHT",IF($Y181=1,IF(MOD($AA181+1,3)=0,32,15),0),0)+IF($L181="LILYA_FINISH",IF($Y181=1,50+2.5*$Z181,0),0)+IF($L181="37_FOLLOW",$J181,0)+IF($L181="RHI_ATTACK",$J181*IF($B181&lt;=$AJ181,2,1),0)+IF($L181="RHI_BERRY",15+1.5*$AV181,0)+IF($L181="J_COUNTER",$J181+$AD181*Boss参数!$B$39,0)+IF($L181="J_ULT",$J181+Boss参数!$B$45*MAX(0,$AE181+$AD181-Boss参数!$I$4),0)+$S181)</f>
        <v>0</v>
      </c>
      <c r="BH181" s="1">
        <f t="shared" si="142"/>
        <v>0</v>
      </c>
      <c r="BI181" s="1" t="str">
        <f>IF(E181="","",IF(DT181=1,1+Boss参数!$B$8+AV181*Boss参数!$B$19,1))</f>
        <v/>
      </c>
      <c r="BJ181" s="1">
        <f>IF($I181="现实",Boss参数!$C$4,IF($I181="精神",Boss参数!$D$4,0))</f>
        <v>0</v>
      </c>
      <c r="BK181" s="1" t="str">
        <f>IF($E181="","",MAX($AY181*Boss参数!$B$9,$AY181-$BJ181*(1-$BF181)))</f>
        <v/>
      </c>
      <c r="BL181" s="1">
        <f>MAX(0,Boss参数!$F$4+IF(DT181=0,Boss参数!$B$27,0)-EJ181)</f>
        <v>1.25</v>
      </c>
      <c r="BM181" s="1">
        <f>Boss参数!$G$4+DU181-IF(Y181=1,Boss参数!$B$11,0)</f>
        <v>0.4</v>
      </c>
      <c r="BN181" s="1" t="str">
        <f>IF($E181="","",MAX(Boss参数!$B$10,1+IFERROR(INDEX(角色面板!$I$18:$I$21,MATCH($E181,角色面板!$A$18:$A$21,0)),0)+$BB181+Boss参数!$H$4-$BM181))</f>
        <v/>
      </c>
      <c r="BO181" s="1" t="str">
        <f>IF(E181="","",IF(OR(L181="J_COUNTER",L181="J_HARD"),MAX(0,1+INDEX(角色面板!$K$18:$K$21,MATCH(E181,角色面板!$A$18:$A$21,0))-DI181*Boss参数!$B$23+IF(OR(Boss参数!$B$43=1,L181="J_HARD"),IF(B181&lt;=AH181,Boss参数!$B$46,0),0)),MAX(0,IF(OR(H181="术法",L181="RHI_BERRY",AND(L181="37_FOLLOW",Boss参数!$B$31=1)),1+BC181,IF(H181="仪式",1+BD181,IF(H181="洞知",EK181,1))))))</f>
        <v/>
      </c>
      <c r="BP181" s="1" t="str">
        <f t="shared" si="143"/>
        <v/>
      </c>
      <c r="BQ181" s="1">
        <f t="shared" si="144"/>
        <v>0</v>
      </c>
      <c r="BR181" s="1">
        <f t="shared" si="145"/>
        <v>0</v>
      </c>
      <c r="BS181" s="1">
        <f>IF(BH181=0,0,ROUNDDOWN(AY181*BH181,0)*DV181*IF(Boss参数!$B$29=1,BN181,1)*IF(Boss参数!$B$33=1,BO181,1)*IF(Boss参数!$B$76=1,1-ES181,1))</f>
        <v>0</v>
      </c>
      <c r="BT181" s="1">
        <f t="shared" si="146"/>
        <v>0</v>
      </c>
      <c r="BU181" s="1">
        <f>IF(D181="",0,MIN(IF(Boss参数!$B$77=1,Boss参数!$B$63*Boss参数!$B$62,Boss参数!$B$61*Boss参数!$B$62),DW181+ROUNDDOWN(BS181,0)+ROUNDDOWN(DW181*Q181,0)))</f>
        <v>0</v>
      </c>
      <c r="BV181" s="1">
        <f>IF(D181="",0,MIN(IF(Boss参数!$B$77=1,Boss参数!$B$63*Boss参数!$B$62,Boss参数!$B$61*Boss参数!$B$62),DX181+ROUNDDOWN(BT181,0)+ROUNDDOWN(DX181*Q181,0)))</f>
        <v>0</v>
      </c>
      <c r="BW181" s="1">
        <f t="shared" si="147"/>
        <v>0</v>
      </c>
      <c r="BX181" s="1" t="str">
        <f t="shared" si="148"/>
        <v/>
      </c>
      <c r="BY181" s="1">
        <f t="shared" si="149"/>
        <v>2</v>
      </c>
      <c r="BZ181" s="1">
        <f t="shared" si="150"/>
        <v>1</v>
      </c>
      <c r="CA181" s="1">
        <f>MIN(10,W181+IF(AND(L181="LILYA_COBRA",COUNTIF($L$3:L181,"LILYA_COBRA")=1),5,0)+IF(AND(L181="LILYA_DIVE",U181=1,COUNTIFS($DG$3:DG181,DG181,$L$3:L181,"LILYA_DIVE")=1),2,0)+IF(AND(FE181=1,U181=1),3,0))</f>
        <v>10</v>
      </c>
      <c r="CB181" s="1">
        <f>MIN(20,MAX(0,X181+IF(L181="LILYA_COBRA",IF(COUNTIF($L$3:L181,"LILYA_COBRA")=1,6,IF(U181=1,MAX(1,G181),IF(U181=2,2*MAX(1,G181),0))),0)+IF(AND(Y181=1,E181="红弩箭",L181&lt;&gt;"ENTER_INSIGHT"),1,0)-IF(AND(L181="LILYA_ULT",X181&gt;=6),6,0)))</f>
        <v>13</v>
      </c>
      <c r="CC181" s="1">
        <f t="shared" si="151"/>
        <v>0</v>
      </c>
      <c r="CD181" s="1">
        <f t="shared" si="152"/>
        <v>0</v>
      </c>
      <c r="CE181" s="1">
        <f t="shared" si="153"/>
        <v>0</v>
      </c>
      <c r="CF181" s="1">
        <f t="shared" si="154"/>
        <v>10</v>
      </c>
      <c r="CG181" s="1">
        <f t="shared" si="155"/>
        <v>1</v>
      </c>
      <c r="CH181" s="1">
        <f>MIN(35,AD181+IF(L181="J_HARD",6,0)+IF(L181="J_COUNTER",Boss参数!$B$30,0))</f>
        <v>35</v>
      </c>
      <c r="CI181" s="1">
        <f>MIN(Boss参数!$I$4,AE181+IF(L181="J_HARD",6,0)+IF(L181="J_ULT",AD181,0)+IF(L181="J_COUNTER",Boss参数!$B$30,0))</f>
        <v>0</v>
      </c>
      <c r="CJ181" s="1">
        <f>IF(L181="J_ULT",AD181*Boss参数!$B$41,IF(B181&lt;=AG181,AF181,0))</f>
        <v>0.875</v>
      </c>
      <c r="CK181" s="1">
        <f t="shared" si="156"/>
        <v>9</v>
      </c>
      <c r="CL181" s="1">
        <f t="shared" si="157"/>
        <v>9</v>
      </c>
      <c r="CM181" s="1">
        <f t="shared" si="158"/>
        <v>8</v>
      </c>
      <c r="CN181" s="1">
        <f t="shared" si="159"/>
        <v>9</v>
      </c>
      <c r="CO181" s="1">
        <f t="shared" si="160"/>
        <v>8</v>
      </c>
      <c r="CP181" s="1">
        <f t="shared" si="161"/>
        <v>3</v>
      </c>
      <c r="CQ181" s="1">
        <f t="shared" si="162"/>
        <v>30</v>
      </c>
      <c r="CR181" s="1">
        <f t="shared" si="163"/>
        <v>9</v>
      </c>
      <c r="CS181" s="1">
        <f t="shared" si="164"/>
        <v>0</v>
      </c>
      <c r="CT181" s="1" t="e">
        <f t="shared" si="165"/>
        <v>#VALUE!</v>
      </c>
      <c r="CU181" s="1" t="e">
        <f t="shared" si="166"/>
        <v>#VALUE!</v>
      </c>
      <c r="CV181" s="1">
        <f t="shared" si="167"/>
        <v>0.3</v>
      </c>
      <c r="CW181" s="1">
        <f t="shared" si="168"/>
        <v>9</v>
      </c>
      <c r="CX181" s="1">
        <f t="shared" si="169"/>
        <v>0.3</v>
      </c>
      <c r="CY181" s="1">
        <f t="shared" si="170"/>
        <v>9</v>
      </c>
      <c r="CZ181" s="1"/>
      <c r="DA181" s="1"/>
      <c r="DB181" s="1"/>
      <c r="DC181" s="1"/>
      <c r="DD181" s="1"/>
      <c r="DE181" s="1"/>
      <c r="DF181" s="1"/>
      <c r="DG181" s="1" t="str">
        <f>IF(D181="","",行动模拟!B187)</f>
        <v/>
      </c>
      <c r="DH181" s="1" t="str">
        <f>IF(L181="END_TURN","回合结束",IF(D181="","",IF(INDEX(回合状态!$C$7:$C$17,MATCH(DG181,回合状态!$A$7:$A$17,0))="洞穿","洞穿",IF(OR(L181="J_COUNTER",L181="BOSS_ACTION",L181="BOSS_CONSERVATIVE"),"敌方",IF(AND(L181="37_FOLLOW",DG181=DG180,DH180="敌方"),"敌方",IF(INDEX(回合状态!$C$7:$C$17,MATCH(DG181,回合状态!$A$7:$A$17,0))="普通","出牌",INDEX(回合状态!$C$7:$C$17,MATCH(DG181,回合状态!$A$7:$A$17,0))))))))</f>
        <v/>
      </c>
      <c r="DI181" s="1">
        <f t="shared" si="171"/>
        <v>0</v>
      </c>
      <c r="DJ181" s="1">
        <f>IF(D181="",0,MIN(Boss参数!$B$25,IF(OR(AND(DH181="敌方",OR(DH180&lt;&gt;"敌方",DG181&lt;&gt;DG180)),AND(L181="END_TURN",DH181&lt;&gt;"洞穿"),AND(DG181&lt;&gt;DG180,DH180&lt;&gt;"洞穿",L180&lt;&gt;"END_TURN",COUNTIFS($DG$3:DG180,DG180,$DH$3:DH180,"敌方")=0)),EW181,DN180)))</f>
        <v>0</v>
      </c>
      <c r="DK181" s="1">
        <f>IF(D181="",0,MIN(Boss参数!$B$25,IF(OR(AND(DH181="敌方",OR(DH180&lt;&gt;"敌方",DG181&lt;&gt;DG180)),AND(L181="END_TURN",DH181&lt;&gt;"洞穿"),AND(DG181&lt;&gt;DG180,DH180&lt;&gt;"洞穿",L180&lt;&gt;"END_TURN",COUNTIFS($DG$3:DG180,DG180,$DH$3:DH180,"敌方")=0)),EW181,DO180)))</f>
        <v>0</v>
      </c>
      <c r="DL181" s="1">
        <f>IF(D181="",0,MIN(Boss参数!$B$25,IF(OR(AND(DH181="敌方",OR(DH180&lt;&gt;"敌方",DG181&lt;&gt;DG180)),AND(L181="END_TURN",DH181&lt;&gt;"洞穿"),AND(DG181&lt;&gt;DG180,DH180&lt;&gt;"洞穿",L180&lt;&gt;"END_TURN",COUNTIFS($DG$3:DG180,DG180,$DH$3:DH180,"敌方")=0)),EW181,DP180)))</f>
        <v>0</v>
      </c>
      <c r="DM181" s="1">
        <f>IF(D181="",0,MIN(Boss参数!$B$25,IF(OR(AND(DH181="敌方",OR(DH180&lt;&gt;"敌方",DG181&lt;&gt;DG180)),AND(L181="END_TURN",DH181&lt;&gt;"洞穿"),AND(DG181&lt;&gt;DG180,DH180&lt;&gt;"洞穿",L180&lt;&gt;"END_TURN",COUNTIFS($DG$3:DG180,DG180,$DH$3:DH180,"敌方")=0)),EW181,DQ180)))</f>
        <v>0</v>
      </c>
      <c r="DN181" s="1">
        <f>MAX(0,MIN(Boss参数!$B$25,DJ181+DR181)-IF(E181="红弩箭",2*DR181,0))</f>
        <v>0</v>
      </c>
      <c r="DO181" s="1">
        <f>MAX(0,MIN(Boss参数!$B$25,DK181+DR181)-IF(E181="37",2*DR181,0))</f>
        <v>0</v>
      </c>
      <c r="DP181" s="1">
        <f>MAX(0,MIN(Boss参数!$B$25,DL181+DR181)-IF(E181="小瑞安侬",2*DR181,0))</f>
        <v>0</v>
      </c>
      <c r="DQ181" s="1">
        <f>MAX(0,MIN(Boss参数!$B$25,DM181+DR181)-IF(E181="J",2*DR181,0))</f>
        <v>0</v>
      </c>
      <c r="DR181" s="1">
        <f t="shared" si="172"/>
        <v>0</v>
      </c>
      <c r="DS181" s="1">
        <f t="shared" si="173"/>
        <v>0</v>
      </c>
      <c r="DT181" s="1">
        <f>IF(OR(E181="",E181="系统"),0,IF(OR(AND(DS181=1,Boss参数!$B$32=1),L181="RHI_BERRY",OR(AND(INDEX(角色面板!$B$18:$B$21,MATCH(E181,角色面板!$A$18:$A$21,0))="星",Boss参数!$B$4="岩"),AND(INDEX(角色面板!$B$18:$B$21,MATCH(E181,角色面板!$A$18:$A$21,0))="岩",Boss参数!$B$4="兽"),AND(INDEX(角色面板!$B$18:$B$21,MATCH(E181,角色面板!$A$18:$A$21,0))="兽",Boss参数!$B$4="木"),AND(INDEX(角色面板!$B$18:$B$21,MATCH(E181,角色面板!$A$18:$A$21,0))="木",Boss参数!$B$4="星"),AND(INDEX(角色面板!$B$18:$B$21,MATCH(E181,角色面板!$A$18:$A$21,0))="智",Boss参数!$B$4="灵"),AND(INDEX(角色面板!$B$18:$B$21,MATCH(E181,角色面板!$A$18:$A$21,0))="灵",Boss参数!$B$4="智"))),1,0))</f>
        <v>0</v>
      </c>
      <c r="DU181" s="1">
        <f>IF(D181="",0,INDEX(回合状态!$E$7:$E$17,MATCH(DG181,回合状态!$A$7:$A$17,0))+IF(AND(DH181="敌方",OR(INDEX(回合状态!$C$7:$C$17,MATCH(DG181,回合状态!$A$7:$A$17,0))="普通",INDEX(回合状态!$C$7:$C$17,MATCH(DG181,回合状态!$A$7:$A$17,0))="额外")),0.05,0))</f>
        <v>0</v>
      </c>
      <c r="DV181" s="1">
        <f>MAX(Boss参数!$B$28,1+IF(AND(E181="37",AC181&gt;0,BH181&gt;0),Boss参数!$B$42,0)-DI181*Boss参数!$B$24+EA181-ER181)</f>
        <v>9.9999999999999978E-2</v>
      </c>
      <c r="DW181" s="1">
        <f>MIN(IF(Boss参数!$B$77=1,Boss参数!$B$63*Boss参数!$B$62,Boss参数!$B$61*Boss参数!$B$62),ROUNDDOWN(BQ181*(1-ES181),0))</f>
        <v>0</v>
      </c>
      <c r="DX181" s="1">
        <f>MIN(IF(Boss参数!$B$77=1,Boss参数!$B$63*Boss参数!$B$62,Boss参数!$B$61*Boss参数!$B$62),ROUNDDOWN(BR181*(1-ES181),0))</f>
        <v>0</v>
      </c>
      <c r="DY181" s="1">
        <f t="shared" si="205"/>
        <v>250</v>
      </c>
      <c r="DZ181" s="1">
        <f>IF(L181="RHI_ULT",MIN(Boss参数!$B$48,ROUNDDOWN(AY181*Boss参数!$B$47,0)),DY181)</f>
        <v>250</v>
      </c>
      <c r="EA181" s="1">
        <v>0</v>
      </c>
      <c r="EB181" s="1">
        <f t="shared" si="174"/>
        <v>0</v>
      </c>
      <c r="EC181" s="1">
        <f>SUMIFS($EB$3:EB181,$B$3:B181,"&gt;="&amp;MAX(1,B181-2),$B$3:B181,"&lt;="&amp;B181)*Boss参数!$B$51</f>
        <v>0</v>
      </c>
      <c r="ED181" s="1">
        <f>IF(D181="",EG180,IF(AND(DG181&lt;&gt;DG180,DH181&lt;&gt;"洞穿"),MIN(Boss参数!$B$55,EG180+2),EG180))</f>
        <v>0</v>
      </c>
      <c r="EE181" s="1">
        <f t="shared" si="175"/>
        <v>0</v>
      </c>
      <c r="EF181" s="1">
        <f>IF(AND(OR(L181="END_TURN",AND(DH181="敌方",OR(DH180&lt;&gt;"敌方",DG181&lt;&gt;DG180))),SUMIFS($EF$3:EF180,$DG$3:DG180,DG181)=0),MIN(1,MAX(0,ED181-EE181)),0)</f>
        <v>0</v>
      </c>
      <c r="EG181" s="1">
        <f t="shared" si="176"/>
        <v>0</v>
      </c>
      <c r="EH181" s="1">
        <f>Boss参数!$B$53-IF(Y181=1,Boss参数!$B$54,0)</f>
        <v>0</v>
      </c>
      <c r="EI181" s="1">
        <f t="shared" si="177"/>
        <v>0.15</v>
      </c>
      <c r="EJ181" s="1">
        <f t="shared" si="178"/>
        <v>0.15</v>
      </c>
      <c r="EK181" s="1" t="e">
        <f t="shared" si="179"/>
        <v>#VALUE!</v>
      </c>
      <c r="EL181" s="1">
        <f t="shared" si="206"/>
        <v>0</v>
      </c>
      <c r="EM181" s="1">
        <f>IF(AND(DG181&lt;&gt;DG180,DH181="洞穿"),0,IF(L181="ENTER_INSIGHT",Boss参数!$B$57,EO180))</f>
        <v>0</v>
      </c>
      <c r="EN181" s="1">
        <f>IF(AND(Y181=1,H181="洞知",EM181&gt;0),Boss参数!$B$56,0)</f>
        <v>0</v>
      </c>
      <c r="EO181" s="1">
        <f t="shared" si="180"/>
        <v>0</v>
      </c>
      <c r="EP181" s="1">
        <f t="shared" si="207"/>
        <v>23210479</v>
      </c>
      <c r="EQ181" s="1">
        <f>ROUNDDOWN(EP181/Boss参数!$B$62,0)</f>
        <v>232</v>
      </c>
      <c r="ER181" s="1">
        <f>IF(EQ181&gt;=Boss参数!$B$66,Boss参数!$B$69,IF(EQ181&gt;=Boss参数!$B$65,Boss参数!$B$68,IF(EQ181&gt;=Boss参数!$B$64,Boss参数!$B$67,0)))</f>
        <v>0.9</v>
      </c>
      <c r="ES181" s="1">
        <f>MIN(1,IF(EQ181&gt;=Boss参数!$B$66,Boss参数!$B$72+ROUNDDOWN((EQ181-Boss参数!$B$66)/Boss参数!$B$73,0)*Boss参数!$B$74,IF(EQ181&gt;=Boss参数!$B$65,Boss参数!$B$71,IF(EQ181&gt;=Boss参数!$B$64,Boss参数!$B$70,0))))</f>
        <v>0.65</v>
      </c>
      <c r="ET181" s="1">
        <f>MIN(Boss参数!$B$61*Boss参数!$B$62,EP181+IF(AND(Boss参数!$B$60=1,ISNUMBER(验证表!H187)),验证表!H187,EU181))</f>
        <v>23210479</v>
      </c>
      <c r="EU181" s="1">
        <f>IF(D181="",0,IF(验证表!G187="是",BV181,IF(验证表!G187="否",BU181,BW181)))</f>
        <v>0</v>
      </c>
      <c r="EV181" s="1">
        <f>IF(EQ181&gt;=Boss参数!$B$66,2,IF(EQ181&gt;=Boss参数!$B$65,1,0))</f>
        <v>2</v>
      </c>
      <c r="EW181" s="1">
        <f t="shared" si="181"/>
        <v>3</v>
      </c>
      <c r="EX181" s="1">
        <f>IF(D181="",0,INDEX(回合状态!$D$7:$D$17,MATCH(DG181,回合状态!$A$7:$A$17,0)))</f>
        <v>0</v>
      </c>
      <c r="EY181" s="1">
        <f>IF(OR(L181="RHI_ATTACK",L181="RHI_BUFF"),1,IF(L181="RHI_ULT",Boss参数!$B$52,0))</f>
        <v>0</v>
      </c>
      <c r="EZ181" s="1">
        <f>MIN(6,SUMIFS($EY$3:EY181,$EX$3:EX181,"&gt;="&amp;MAX(1,EX181-Boss参数!$B$87+1),$EX$3:EX181,"&lt;="&amp;EX181))</f>
        <v>0</v>
      </c>
      <c r="FA181" s="1">
        <f t="shared" si="208"/>
        <v>0</v>
      </c>
      <c r="FB181" s="17">
        <f>IF(L181="BOSS_CONSERVATIVE",B181+Boss参数!$B$91,FB180)</f>
        <v>7</v>
      </c>
      <c r="FC181" s="17">
        <f t="shared" si="209"/>
        <v>0</v>
      </c>
      <c r="FD181" s="17">
        <f>IF(D181="",FD180,FD180+IF(AND(DG181&lt;&gt;DG180,INDEX(回合状态!$C$7:$C$17,MATCH(DG181,回合状态!$A$7:$A$17,0))&lt;&gt;"洞穿"),1,0))</f>
        <v>8</v>
      </c>
      <c r="FE181" s="17">
        <f>IF(D181="",0,IF(AND(OR(L181="END_TURN",DH181="敌方"),INDEX(回合状态!$C$7:$C$17,MATCH(DG181,回合状态!$A$7:$A$17,0))&lt;&gt;"洞穿",SUMIFS($FE$3:FE180,$DG$3:DG180,DG181)=0),1,0))</f>
        <v>0</v>
      </c>
    </row>
    <row r="182" spans="1:161" ht="84.95" customHeight="1">
      <c r="A182" s="1" t="str">
        <f>行动模拟!A188</f>
        <v/>
      </c>
      <c r="B182" s="1">
        <f>IF(D182="",0,INDEX(回合状态!$B$7:$B$17,MATCH(DG182,回合状态!$A$7:$A$17,0)))</f>
        <v>0</v>
      </c>
      <c r="C182" s="1">
        <f>行动模拟!C188</f>
        <v>0</v>
      </c>
      <c r="D182" s="1" t="str">
        <f>IF(行动模拟!D188="","",行动模拟!D188)</f>
        <v/>
      </c>
      <c r="E182" s="1" t="str">
        <f>IF($D182="","",IFERROR(INDEX(技能数据库!$B$4:$B$38,MATCH($D182,技能数据库!$A$4:$A$38,0)),""))</f>
        <v/>
      </c>
      <c r="F182" s="1" t="str">
        <f>IF($D182="","",IFERROR(INDEX(技能数据库!$C$4:$C$38,MATCH($D182,技能数据库!$A$4:$A$38,0)),""))</f>
        <v/>
      </c>
      <c r="G182" s="1" t="str">
        <f>IF($D182="","",IFERROR(INDEX(技能数据库!$D$4:$D$38,MATCH($D182,技能数据库!$A$4:$A$38,0)),""))</f>
        <v/>
      </c>
      <c r="H182" s="1" t="str">
        <f>IF($D182="","",IFERROR(INDEX(技能数据库!$E$4:$E$38,MATCH($D182,技能数据库!$A$4:$A$38,0)),""))</f>
        <v/>
      </c>
      <c r="I182" s="1" t="str">
        <f>IF($D182="","",IFERROR(INDEX(技能数据库!$F$4:$F$38,MATCH($D182,技能数据库!$A$4:$A$38,0)),""))</f>
        <v/>
      </c>
      <c r="J182" s="1" t="str">
        <f>IF($D182="","",IFERROR(INDEX(技能数据库!$G$4:$G$38,MATCH($D182,技能数据库!$A$4:$A$38,0)),""))</f>
        <v/>
      </c>
      <c r="K182" s="1" t="str">
        <f>IF($D182="","",IFERROR(INDEX(技能数据库!$H$4:$H$38,MATCH($D182,技能数据库!$A$4:$A$38,0)),""))</f>
        <v/>
      </c>
      <c r="L182" s="1" t="str">
        <f>IF($D182="","",IFERROR(INDEX(技能数据库!$I$4:$I$38,MATCH($D182,技能数据库!$A$4:$A$38,0)),""))</f>
        <v/>
      </c>
      <c r="M182" s="1">
        <v>1</v>
      </c>
      <c r="N182" s="1"/>
      <c r="O182" s="1"/>
      <c r="P182" s="1"/>
      <c r="Q182" s="1">
        <f t="shared" si="140"/>
        <v>0</v>
      </c>
      <c r="R182" s="1">
        <v>0</v>
      </c>
      <c r="S182" s="1">
        <v>0</v>
      </c>
      <c r="T182" s="1">
        <f>行动模拟!I188</f>
        <v>0</v>
      </c>
      <c r="U182" s="1">
        <f>IF(FD182&lt;&gt;FD181,IF(BY181=1,IF(MIN(10,CA181+IF(AND(DG182&lt;&gt;DG181,DH181&lt;&gt;"洞穿",SUMIFS($FE$3:FE181,$DG$3:DG181,DG181)=0,BY181=1),3,0))&gt;=10,2,1),IF(BY181=2,IF(BZ181&lt;=1,0,2),0)),BY181)</f>
        <v>2</v>
      </c>
      <c r="V182" s="1">
        <f>IF(FD182&lt;&gt;FD181,IF(BY181=1,IF(MIN(10,CA181+IF(AND(DG182&lt;&gt;DG181,DH181&lt;&gt;"洞穿",SUMIFS($FE$3:FE181,$DG$3:DG181,DG181)=0,BY181=1),3,0))&gt;=10,2,0),IF(BY181=2,MAX(0,BZ181-1),0)),BZ181)</f>
        <v>1</v>
      </c>
      <c r="W182" s="1">
        <f>IF(AND(FD182&lt;&gt;FD181,BY181=2,BZ181&lt;=1),0,MIN(10,CA181+IF(AND(DG182&lt;&gt;DG181,DH181&lt;&gt;"洞穿",SUMIFS($FE$3:FE181,$DG$3:DG181,DG181)=0,BY181=1),3,0)))</f>
        <v>10</v>
      </c>
      <c r="X182" s="1">
        <f t="shared" si="182"/>
        <v>13</v>
      </c>
      <c r="Y182" s="1">
        <f t="shared" si="183"/>
        <v>0</v>
      </c>
      <c r="Z182" s="1">
        <f t="shared" si="184"/>
        <v>0</v>
      </c>
      <c r="AA182" s="1">
        <f t="shared" si="185"/>
        <v>0</v>
      </c>
      <c r="AB182" s="1">
        <f t="shared" si="186"/>
        <v>10</v>
      </c>
      <c r="AC182" s="1">
        <f t="shared" si="187"/>
        <v>1</v>
      </c>
      <c r="AD182" s="1">
        <f t="shared" si="188"/>
        <v>35</v>
      </c>
      <c r="AE182" s="1">
        <f>IF(D182="",0,IF(DG182&lt;&gt;DG181,IFERROR(INDEX(回合状态!$F$7:$F$17,MATCH(DG182,回合状态!$A$7:$A$17,0)),0),CI181))</f>
        <v>0</v>
      </c>
      <c r="AF182" s="1">
        <f t="shared" si="189"/>
        <v>0.875</v>
      </c>
      <c r="AG182" s="1">
        <f t="shared" si="190"/>
        <v>9</v>
      </c>
      <c r="AH182" s="1">
        <f t="shared" si="191"/>
        <v>9</v>
      </c>
      <c r="AI182" s="1">
        <f t="shared" si="192"/>
        <v>8</v>
      </c>
      <c r="AJ182" s="1">
        <f t="shared" si="193"/>
        <v>9</v>
      </c>
      <c r="AK182" s="1">
        <f t="shared" si="194"/>
        <v>8</v>
      </c>
      <c r="AL182" s="1">
        <f t="shared" si="195"/>
        <v>3</v>
      </c>
      <c r="AM182" s="1">
        <f t="shared" si="196"/>
        <v>30</v>
      </c>
      <c r="AN182" s="1">
        <f t="shared" si="197"/>
        <v>9</v>
      </c>
      <c r="AO182" s="1">
        <f t="shared" si="198"/>
        <v>0</v>
      </c>
      <c r="AP182" s="1" t="e">
        <f t="shared" si="199"/>
        <v>#VALUE!</v>
      </c>
      <c r="AQ182" s="1" t="e">
        <f t="shared" si="200"/>
        <v>#VALUE!</v>
      </c>
      <c r="AR182" s="1">
        <f t="shared" si="201"/>
        <v>0.3</v>
      </c>
      <c r="AS182" s="1">
        <f t="shared" si="202"/>
        <v>9</v>
      </c>
      <c r="AT182" s="1">
        <f t="shared" si="203"/>
        <v>0.3</v>
      </c>
      <c r="AU182" s="1">
        <f t="shared" si="204"/>
        <v>9</v>
      </c>
      <c r="AV182" s="1">
        <f>MIN(5,SUMIFS($EL$3:EL182,$B$3:B182,"&gt;="&amp;MAX(1,B182-2),$B$3:B182,"&lt;="&amp;B182)+EC182)</f>
        <v>0</v>
      </c>
      <c r="AW182" s="1">
        <f>MIN(6,SUMIFS($EY$3:EY181,$EX$3:EX181,"&gt;="&amp;MAX(1,EX182-Boss参数!$B$87+1),$EX$3:EX181,"&lt;="&amp;EX182))</f>
        <v>0</v>
      </c>
      <c r="AX182" s="1">
        <f>MIN(4,COUNTIFS($B$3:$B$181,"&gt;="&amp;MAX(1,$B182-2),$B$3:$B$181,"&lt;="&amp;$B182,$L$3:$L$181,"37_FOLLOW"))</f>
        <v>0</v>
      </c>
      <c r="AY182" s="1" t="str">
        <f>IF($E182="","",IF($E182="系统",0,ROUNDDOWN(INDEX(角色面板!$C$4:$C$7,MATCH($E182,角色面板!$A$4:$A$7,0))*(1+INDEX(角色面板!$C$11:$C$14,MATCH($E182,角色面板!$A$11:$A$14,0))+IF($E182="小瑞安侬",MAX(IF($B182&lt;=$AQ182,$AP182,0),IF(AND($L182="RHI_ATTACK",$EE182&gt;0),0.11+0.01*$G182,0)),0)+IF($E182="J",$AD182*Boss参数!$B$18,0))+IF(FD182&lt;=$AN182,MIN(Boss参数!$B$21,ROUNDDOWN(角色面板!$C$19*Boss参数!$B$20,0)),0)+IF(AND($B182&lt;=$AK182,$E182&lt;&gt;"小瑞安侬"),$DY182,0),0)))</f>
        <v/>
      </c>
      <c r="AZ182" s="1" t="str">
        <f>IF($E182="","",MAX(0,MIN(1,IFERROR(INDEX(角色面板!$G$18:$G$21,MATCH($E182,角色面板!$A$18:$A$21,0)),0)-FC182*Boss参数!$B$89-Boss参数!$E$4)))</f>
        <v/>
      </c>
      <c r="BA182" s="1" t="str">
        <f>IF(E182="","",(IF($E182="","",IF($E182="红弩箭",Boss参数!$B$80,IF($E182="J",Boss参数!$B$81,IFERROR(INDEX(角色面板!$H$18:$H$21,MATCH($E182,角色面板!$A$18:$A$21,0)),0)))+IF($B182&lt;=$AI182,Boss参数!$B$13,0)+MIN(30,$AM182)*Boss参数!$B$17+IF(AND($L182="LILYA_ULT",$X182&gt;=6),1,0)+IF(AND($Y182=1,$L182="LILYA_INSIGHT"),IF(MOD($AA182+1,3)=0,Boss参数!$B$83,Boss参数!$B$82),IF(AND($Y182=1,$L182="LILYA_FINISH"),Boss参数!$B$84,0))))-FC182*Boss参数!$B$90)</f>
        <v/>
      </c>
      <c r="BB182" s="1" t="str">
        <f>IF($E182="","",IFERROR(INDEX(角色面板!$M$18:$M$21,MATCH($E182,角色面板!$A$18:$A$21,0)),0)+$AW182*Boss参数!$B$12+IF($B182&lt;=$AG182,$AF182,0)+$EI182+IF($L182="LILYA_DIVE",IF($U182=1,IF($G182=1,0.3,IF($G182=2,0.4,0.5)),IF($U182=2,IF($G182=1,0.6,IF($G182=2,0.8,1)),0)),0)+$R182+IF(AND($E182="J",OR($L182="J_COUNTER",$L182="J_HARD")),Boss参数!$B$79,0)+IF(AND(OR(L182="J_COUNTER",L182="J_HARD"),FA182&gt;=Boss参数!$B$59),FA182*Boss参数!$B$40,0))</f>
        <v/>
      </c>
      <c r="BC182" s="1" t="e">
        <f>IF($E182="","",IFERROR(INDEX(角色面板!$K$18:$K$21,MATCH($E182,角色面板!$A$18:$A$21,0)),0)+IF($B182&lt;=$AH182,Boss参数!$B$46,0)+IF($E182="红弩箭",IF($U182=1,0.6,IF($U182=2,1.2,0))+$W182*0.06,0))-DI182*Boss参数!$B$23</f>
        <v>#VALUE!</v>
      </c>
      <c r="BD182" s="1" t="e">
        <f>IF($E182="","",IFERROR(INDEX(角色面板!$L$18:$L$21,MATCH($E182,角色面板!$A$18:$A$21,0)),0)+IF($B182&lt;=$AH182,Boss参数!$B$46,0)+IF($E182="J",$AL182*Boss参数!$B$16,0)+IF($E182="红弩箭",$X182*0.025,0)+IF(AND($L182="LILYA_ULT",$X182&gt;=6),1,0))-DI182*Boss参数!$B$23</f>
        <v>#VALUE!</v>
      </c>
      <c r="BE182" s="1" t="str">
        <f>IF($E182="","",IF($H182="洞知",IF($E182="红弩箭",$AO182*Boss参数!$B$15,0)+$AX182*Boss参数!$B$14,0))</f>
        <v/>
      </c>
      <c r="BF182" s="1">
        <f t="shared" si="141"/>
        <v>0</v>
      </c>
      <c r="BG182" s="1">
        <f>IF($D182="",0,IF(AND($L182&lt;&gt;"LILYA_DIVE",$L182&lt;&gt;"LILYA_ULT",$L182&lt;&gt;"LILYA_INSIGHT",$L182&lt;&gt;"LILYA_FINISH",$L182&lt;&gt;"37_FOLLOW",$L182&lt;&gt;"RHI_ATTACK",$L182&lt;&gt;"RHI_BERRY",$L182&lt;&gt;"J_COUNTER",$L182&lt;&gt;"J_ULT"),$J182,0)+IF($L182="LILYA_DIVE",$J182+IF($U182=1,IF($G182=1,6,IF($G182=2,12,18)),IF($U182=2,IF($G182=1,12,IF($G182=2,24,36)),0)),0)+IF($L182="LILYA_ULT",$J182+IF($X182&gt;=6,18,0),0)+IF($L182="LILYA_INSIGHT",IF($Y182=1,IF(MOD($AA182+1,3)=0,32,15),0),0)+IF($L182="LILYA_FINISH",IF($Y182=1,50+2.5*$Z182,0),0)+IF($L182="37_FOLLOW",$J182,0)+IF($L182="RHI_ATTACK",$J182*IF($B182&lt;=$AJ182,2,1),0)+IF($L182="RHI_BERRY",15+1.5*$AV182,0)+IF($L182="J_COUNTER",$J182+$AD182*Boss参数!$B$39,0)+IF($L182="J_ULT",$J182+Boss参数!$B$45*MAX(0,$AE182+$AD182-Boss参数!$I$4),0)+$S182)</f>
        <v>0</v>
      </c>
      <c r="BH182" s="1">
        <f t="shared" si="142"/>
        <v>0</v>
      </c>
      <c r="BI182" s="1" t="str">
        <f>IF(E182="","",IF(DT182=1,1+Boss参数!$B$8+AV182*Boss参数!$B$19,1))</f>
        <v/>
      </c>
      <c r="BJ182" s="1">
        <f>IF($I182="现实",Boss参数!$C$4,IF($I182="精神",Boss参数!$D$4,0))</f>
        <v>0</v>
      </c>
      <c r="BK182" s="1" t="str">
        <f>IF($E182="","",MAX($AY182*Boss参数!$B$9,$AY182-$BJ182*(1-$BF182)))</f>
        <v/>
      </c>
      <c r="BL182" s="1">
        <f>MAX(0,Boss参数!$F$4+IF(DT182=0,Boss参数!$B$27,0)-EJ182)</f>
        <v>1.25</v>
      </c>
      <c r="BM182" s="1">
        <f>Boss参数!$G$4+DU182-IF(Y182=1,Boss参数!$B$11,0)</f>
        <v>0.4</v>
      </c>
      <c r="BN182" s="1" t="str">
        <f>IF($E182="","",MAX(Boss参数!$B$10,1+IFERROR(INDEX(角色面板!$I$18:$I$21,MATCH($E182,角色面板!$A$18:$A$21,0)),0)+$BB182+Boss参数!$H$4-$BM182))</f>
        <v/>
      </c>
      <c r="BO182" s="1" t="str">
        <f>IF(E182="","",IF(OR(L182="J_COUNTER",L182="J_HARD"),MAX(0,1+INDEX(角色面板!$K$18:$K$21,MATCH(E182,角色面板!$A$18:$A$21,0))-DI182*Boss参数!$B$23+IF(OR(Boss参数!$B$43=1,L182="J_HARD"),IF(B182&lt;=AH182,Boss参数!$B$46,0),0)),MAX(0,IF(OR(H182="术法",L182="RHI_BERRY",AND(L182="37_FOLLOW",Boss参数!$B$31=1)),1+BC182,IF(H182="仪式",1+BD182,IF(H182="洞知",EK182,1))))))</f>
        <v/>
      </c>
      <c r="BP182" s="1" t="str">
        <f t="shared" si="143"/>
        <v/>
      </c>
      <c r="BQ182" s="1">
        <f t="shared" si="144"/>
        <v>0</v>
      </c>
      <c r="BR182" s="1">
        <f t="shared" si="145"/>
        <v>0</v>
      </c>
      <c r="BS182" s="1">
        <f>IF(BH182=0,0,ROUNDDOWN(AY182*BH182,0)*DV182*IF(Boss参数!$B$29=1,BN182,1)*IF(Boss参数!$B$33=1,BO182,1)*IF(Boss参数!$B$76=1,1-ES182,1))</f>
        <v>0</v>
      </c>
      <c r="BT182" s="1">
        <f t="shared" si="146"/>
        <v>0</v>
      </c>
      <c r="BU182" s="1">
        <f>IF(D182="",0,MIN(IF(Boss参数!$B$77=1,Boss参数!$B$63*Boss参数!$B$62,Boss参数!$B$61*Boss参数!$B$62),DW182+ROUNDDOWN(BS182,0)+ROUNDDOWN(DW182*Q182,0)))</f>
        <v>0</v>
      </c>
      <c r="BV182" s="1">
        <f>IF(D182="",0,MIN(IF(Boss参数!$B$77=1,Boss参数!$B$63*Boss参数!$B$62,Boss参数!$B$61*Boss参数!$B$62),DX182+ROUNDDOWN(BT182,0)+ROUNDDOWN(DX182*Q182,0)))</f>
        <v>0</v>
      </c>
      <c r="BW182" s="1">
        <f t="shared" si="147"/>
        <v>0</v>
      </c>
      <c r="BX182" s="1" t="str">
        <f t="shared" si="148"/>
        <v/>
      </c>
      <c r="BY182" s="1">
        <f t="shared" si="149"/>
        <v>2</v>
      </c>
      <c r="BZ182" s="1">
        <f t="shared" si="150"/>
        <v>1</v>
      </c>
      <c r="CA182" s="1">
        <f>MIN(10,W182+IF(AND(L182="LILYA_COBRA",COUNTIF($L$3:L182,"LILYA_COBRA")=1),5,0)+IF(AND(L182="LILYA_DIVE",U182=1,COUNTIFS($DG$3:DG182,DG182,$L$3:L182,"LILYA_DIVE")=1),2,0)+IF(AND(FE182=1,U182=1),3,0))</f>
        <v>10</v>
      </c>
      <c r="CB182" s="1">
        <f>MIN(20,MAX(0,X182+IF(L182="LILYA_COBRA",IF(COUNTIF($L$3:L182,"LILYA_COBRA")=1,6,IF(U182=1,MAX(1,G182),IF(U182=2,2*MAX(1,G182),0))),0)+IF(AND(Y182=1,E182="红弩箭",L182&lt;&gt;"ENTER_INSIGHT"),1,0)-IF(AND(L182="LILYA_ULT",X182&gt;=6),6,0)))</f>
        <v>13</v>
      </c>
      <c r="CC182" s="1">
        <f t="shared" si="151"/>
        <v>0</v>
      </c>
      <c r="CD182" s="1">
        <f t="shared" si="152"/>
        <v>0</v>
      </c>
      <c r="CE182" s="1">
        <f t="shared" si="153"/>
        <v>0</v>
      </c>
      <c r="CF182" s="1">
        <f t="shared" si="154"/>
        <v>10</v>
      </c>
      <c r="CG182" s="1">
        <f t="shared" si="155"/>
        <v>1</v>
      </c>
      <c r="CH182" s="1">
        <f>MIN(35,AD182+IF(L182="J_HARD",6,0)+IF(L182="J_COUNTER",Boss参数!$B$30,0))</f>
        <v>35</v>
      </c>
      <c r="CI182" s="1">
        <f>MIN(Boss参数!$I$4,AE182+IF(L182="J_HARD",6,0)+IF(L182="J_ULT",AD182,0)+IF(L182="J_COUNTER",Boss参数!$B$30,0))</f>
        <v>0</v>
      </c>
      <c r="CJ182" s="1">
        <f>IF(L182="J_ULT",AD182*Boss参数!$B$41,IF(B182&lt;=AG182,AF182,0))</f>
        <v>0.875</v>
      </c>
      <c r="CK182" s="1">
        <f t="shared" si="156"/>
        <v>9</v>
      </c>
      <c r="CL182" s="1">
        <f t="shared" si="157"/>
        <v>9</v>
      </c>
      <c r="CM182" s="1">
        <f t="shared" si="158"/>
        <v>8</v>
      </c>
      <c r="CN182" s="1">
        <f t="shared" si="159"/>
        <v>9</v>
      </c>
      <c r="CO182" s="1">
        <f t="shared" si="160"/>
        <v>8</v>
      </c>
      <c r="CP182" s="1">
        <f t="shared" si="161"/>
        <v>3</v>
      </c>
      <c r="CQ182" s="1">
        <f t="shared" si="162"/>
        <v>30</v>
      </c>
      <c r="CR182" s="1">
        <f t="shared" si="163"/>
        <v>9</v>
      </c>
      <c r="CS182" s="1">
        <f t="shared" si="164"/>
        <v>0</v>
      </c>
      <c r="CT182" s="1" t="e">
        <f t="shared" si="165"/>
        <v>#VALUE!</v>
      </c>
      <c r="CU182" s="1" t="e">
        <f t="shared" si="166"/>
        <v>#VALUE!</v>
      </c>
      <c r="CV182" s="1">
        <f t="shared" si="167"/>
        <v>0.3</v>
      </c>
      <c r="CW182" s="1">
        <f t="shared" si="168"/>
        <v>9</v>
      </c>
      <c r="CX182" s="1">
        <f t="shared" si="169"/>
        <v>0.3</v>
      </c>
      <c r="CY182" s="1">
        <f t="shared" si="170"/>
        <v>9</v>
      </c>
      <c r="CZ182" s="1"/>
      <c r="DA182" s="1"/>
      <c r="DB182" s="1"/>
      <c r="DC182" s="1"/>
      <c r="DD182" s="1"/>
      <c r="DE182" s="1"/>
      <c r="DF182" s="1"/>
      <c r="DG182" s="1" t="str">
        <f>IF(D182="","",行动模拟!B188)</f>
        <v/>
      </c>
      <c r="DH182" s="1" t="str">
        <f>IF(L182="END_TURN","回合结束",IF(D182="","",IF(INDEX(回合状态!$C$7:$C$17,MATCH(DG182,回合状态!$A$7:$A$17,0))="洞穿","洞穿",IF(OR(L182="J_COUNTER",L182="BOSS_ACTION",L182="BOSS_CONSERVATIVE"),"敌方",IF(AND(L182="37_FOLLOW",DG182=DG181,DH181="敌方"),"敌方",IF(INDEX(回合状态!$C$7:$C$17,MATCH(DG182,回合状态!$A$7:$A$17,0))="普通","出牌",INDEX(回合状态!$C$7:$C$17,MATCH(DG182,回合状态!$A$7:$A$17,0))))))))</f>
        <v/>
      </c>
      <c r="DI182" s="1">
        <f t="shared" si="171"/>
        <v>0</v>
      </c>
      <c r="DJ182" s="1">
        <f>IF(D182="",0,MIN(Boss参数!$B$25,IF(OR(AND(DH182="敌方",OR(DH181&lt;&gt;"敌方",DG182&lt;&gt;DG181)),AND(L182="END_TURN",DH182&lt;&gt;"洞穿"),AND(DG182&lt;&gt;DG181,DH181&lt;&gt;"洞穿",L181&lt;&gt;"END_TURN",COUNTIFS($DG$3:DG181,DG181,$DH$3:DH181,"敌方")=0)),EW182,DN181)))</f>
        <v>0</v>
      </c>
      <c r="DK182" s="1">
        <f>IF(D182="",0,MIN(Boss参数!$B$25,IF(OR(AND(DH182="敌方",OR(DH181&lt;&gt;"敌方",DG182&lt;&gt;DG181)),AND(L182="END_TURN",DH182&lt;&gt;"洞穿"),AND(DG182&lt;&gt;DG181,DH181&lt;&gt;"洞穿",L181&lt;&gt;"END_TURN",COUNTIFS($DG$3:DG181,DG181,$DH$3:DH181,"敌方")=0)),EW182,DO181)))</f>
        <v>0</v>
      </c>
      <c r="DL182" s="1">
        <f>IF(D182="",0,MIN(Boss参数!$B$25,IF(OR(AND(DH182="敌方",OR(DH181&lt;&gt;"敌方",DG182&lt;&gt;DG181)),AND(L182="END_TURN",DH182&lt;&gt;"洞穿"),AND(DG182&lt;&gt;DG181,DH181&lt;&gt;"洞穿",L181&lt;&gt;"END_TURN",COUNTIFS($DG$3:DG181,DG181,$DH$3:DH181,"敌方")=0)),EW182,DP181)))</f>
        <v>0</v>
      </c>
      <c r="DM182" s="1">
        <f>IF(D182="",0,MIN(Boss参数!$B$25,IF(OR(AND(DH182="敌方",OR(DH181&lt;&gt;"敌方",DG182&lt;&gt;DG181)),AND(L182="END_TURN",DH182&lt;&gt;"洞穿"),AND(DG182&lt;&gt;DG181,DH181&lt;&gt;"洞穿",L181&lt;&gt;"END_TURN",COUNTIFS($DG$3:DG181,DG181,$DH$3:DH181,"敌方")=0)),EW182,DQ181)))</f>
        <v>0</v>
      </c>
      <c r="DN182" s="1">
        <f>MAX(0,MIN(Boss参数!$B$25,DJ182+DR182)-IF(E182="红弩箭",2*DR182,0))</f>
        <v>0</v>
      </c>
      <c r="DO182" s="1">
        <f>MAX(0,MIN(Boss参数!$B$25,DK182+DR182)-IF(E182="37",2*DR182,0))</f>
        <v>0</v>
      </c>
      <c r="DP182" s="1">
        <f>MAX(0,MIN(Boss参数!$B$25,DL182+DR182)-IF(E182="小瑞安侬",2*DR182,0))</f>
        <v>0</v>
      </c>
      <c r="DQ182" s="1">
        <f>MAX(0,MIN(Boss参数!$B$25,DM182+DR182)-IF(E182="J",2*DR182,0))</f>
        <v>0</v>
      </c>
      <c r="DR182" s="1">
        <f t="shared" si="172"/>
        <v>0</v>
      </c>
      <c r="DS182" s="1">
        <f t="shared" si="173"/>
        <v>0</v>
      </c>
      <c r="DT182" s="1">
        <f>IF(OR(E182="",E182="系统"),0,IF(OR(AND(DS182=1,Boss参数!$B$32=1),L182="RHI_BERRY",OR(AND(INDEX(角色面板!$B$18:$B$21,MATCH(E182,角色面板!$A$18:$A$21,0))="星",Boss参数!$B$4="岩"),AND(INDEX(角色面板!$B$18:$B$21,MATCH(E182,角色面板!$A$18:$A$21,0))="岩",Boss参数!$B$4="兽"),AND(INDEX(角色面板!$B$18:$B$21,MATCH(E182,角色面板!$A$18:$A$21,0))="兽",Boss参数!$B$4="木"),AND(INDEX(角色面板!$B$18:$B$21,MATCH(E182,角色面板!$A$18:$A$21,0))="木",Boss参数!$B$4="星"),AND(INDEX(角色面板!$B$18:$B$21,MATCH(E182,角色面板!$A$18:$A$21,0))="智",Boss参数!$B$4="灵"),AND(INDEX(角色面板!$B$18:$B$21,MATCH(E182,角色面板!$A$18:$A$21,0))="灵",Boss参数!$B$4="智"))),1,0))</f>
        <v>0</v>
      </c>
      <c r="DU182" s="1">
        <f>IF(D182="",0,INDEX(回合状态!$E$7:$E$17,MATCH(DG182,回合状态!$A$7:$A$17,0))+IF(AND(DH182="敌方",OR(INDEX(回合状态!$C$7:$C$17,MATCH(DG182,回合状态!$A$7:$A$17,0))="普通",INDEX(回合状态!$C$7:$C$17,MATCH(DG182,回合状态!$A$7:$A$17,0))="额外")),0.05,0))</f>
        <v>0</v>
      </c>
      <c r="DV182" s="1">
        <f>MAX(Boss参数!$B$28,1+IF(AND(E182="37",AC182&gt;0,BH182&gt;0),Boss参数!$B$42,0)-DI182*Boss参数!$B$24+EA182-ER182)</f>
        <v>9.9999999999999978E-2</v>
      </c>
      <c r="DW182" s="1">
        <f>MIN(IF(Boss参数!$B$77=1,Boss参数!$B$63*Boss参数!$B$62,Boss参数!$B$61*Boss参数!$B$62),ROUNDDOWN(BQ182*(1-ES182),0))</f>
        <v>0</v>
      </c>
      <c r="DX182" s="1">
        <f>MIN(IF(Boss参数!$B$77=1,Boss参数!$B$63*Boss参数!$B$62,Boss参数!$B$61*Boss参数!$B$62),ROUNDDOWN(BR182*(1-ES182),0))</f>
        <v>0</v>
      </c>
      <c r="DY182" s="1">
        <f t="shared" si="205"/>
        <v>250</v>
      </c>
      <c r="DZ182" s="1">
        <f>IF(L182="RHI_ULT",MIN(Boss参数!$B$48,ROUNDDOWN(AY182*Boss参数!$B$47,0)),DY182)</f>
        <v>250</v>
      </c>
      <c r="EA182" s="1">
        <v>0</v>
      </c>
      <c r="EB182" s="1">
        <f t="shared" si="174"/>
        <v>0</v>
      </c>
      <c r="EC182" s="1">
        <f>SUMIFS($EB$3:EB182,$B$3:B182,"&gt;="&amp;MAX(1,B182-2),$B$3:B182,"&lt;="&amp;B182)*Boss参数!$B$51</f>
        <v>0</v>
      </c>
      <c r="ED182" s="1">
        <f>IF(D182="",EG181,IF(AND(DG182&lt;&gt;DG181,DH182&lt;&gt;"洞穿"),MIN(Boss参数!$B$55,EG181+2),EG181))</f>
        <v>0</v>
      </c>
      <c r="EE182" s="1">
        <f t="shared" si="175"/>
        <v>0</v>
      </c>
      <c r="EF182" s="1">
        <f>IF(AND(OR(L182="END_TURN",AND(DH182="敌方",OR(DH181&lt;&gt;"敌方",DG182&lt;&gt;DG181))),SUMIFS($EF$3:EF181,$DG$3:DG181,DG182)=0),MIN(1,MAX(0,ED182-EE182)),0)</f>
        <v>0</v>
      </c>
      <c r="EG182" s="1">
        <f t="shared" si="176"/>
        <v>0</v>
      </c>
      <c r="EH182" s="1">
        <f>Boss参数!$B$53-IF(Y182=1,Boss参数!$B$54,0)</f>
        <v>0</v>
      </c>
      <c r="EI182" s="1">
        <f t="shared" si="177"/>
        <v>0.15</v>
      </c>
      <c r="EJ182" s="1">
        <f t="shared" si="178"/>
        <v>0.15</v>
      </c>
      <c r="EK182" s="1" t="e">
        <f t="shared" si="179"/>
        <v>#VALUE!</v>
      </c>
      <c r="EL182" s="1">
        <f t="shared" si="206"/>
        <v>0</v>
      </c>
      <c r="EM182" s="1">
        <f>IF(AND(DG182&lt;&gt;DG181,DH182="洞穿"),0,IF(L182="ENTER_INSIGHT",Boss参数!$B$57,EO181))</f>
        <v>0</v>
      </c>
      <c r="EN182" s="1">
        <f>IF(AND(Y182=1,H182="洞知",EM182&gt;0),Boss参数!$B$56,0)</f>
        <v>0</v>
      </c>
      <c r="EO182" s="1">
        <f t="shared" si="180"/>
        <v>0</v>
      </c>
      <c r="EP182" s="1">
        <f t="shared" si="207"/>
        <v>23210479</v>
      </c>
      <c r="EQ182" s="1">
        <f>ROUNDDOWN(EP182/Boss参数!$B$62,0)</f>
        <v>232</v>
      </c>
      <c r="ER182" s="1">
        <f>IF(EQ182&gt;=Boss参数!$B$66,Boss参数!$B$69,IF(EQ182&gt;=Boss参数!$B$65,Boss参数!$B$68,IF(EQ182&gt;=Boss参数!$B$64,Boss参数!$B$67,0)))</f>
        <v>0.9</v>
      </c>
      <c r="ES182" s="1">
        <f>MIN(1,IF(EQ182&gt;=Boss参数!$B$66,Boss参数!$B$72+ROUNDDOWN((EQ182-Boss参数!$B$66)/Boss参数!$B$73,0)*Boss参数!$B$74,IF(EQ182&gt;=Boss参数!$B$65,Boss参数!$B$71,IF(EQ182&gt;=Boss参数!$B$64,Boss参数!$B$70,0))))</f>
        <v>0.65</v>
      </c>
      <c r="ET182" s="1">
        <f>MIN(Boss参数!$B$61*Boss参数!$B$62,EP182+IF(AND(Boss参数!$B$60=1,ISNUMBER(验证表!H188)),验证表!H188,EU182))</f>
        <v>23210479</v>
      </c>
      <c r="EU182" s="1">
        <f>IF(D182="",0,IF(验证表!G188="是",BV182,IF(验证表!G188="否",BU182,BW182)))</f>
        <v>0</v>
      </c>
      <c r="EV182" s="1">
        <f>IF(EQ182&gt;=Boss参数!$B$66,2,IF(EQ182&gt;=Boss参数!$B$65,1,0))</f>
        <v>2</v>
      </c>
      <c r="EW182" s="1">
        <f t="shared" si="181"/>
        <v>3</v>
      </c>
      <c r="EX182" s="1">
        <f>IF(D182="",0,INDEX(回合状态!$D$7:$D$17,MATCH(DG182,回合状态!$A$7:$A$17,0)))</f>
        <v>0</v>
      </c>
      <c r="EY182" s="1">
        <f>IF(OR(L182="RHI_ATTACK",L182="RHI_BUFF"),1,IF(L182="RHI_ULT",Boss参数!$B$52,0))</f>
        <v>0</v>
      </c>
      <c r="EZ182" s="1">
        <f>MIN(6,SUMIFS($EY$3:EY182,$EX$3:EX182,"&gt;="&amp;MAX(1,EX182-Boss参数!$B$87+1),$EX$3:EX182,"&lt;="&amp;EX182))</f>
        <v>0</v>
      </c>
      <c r="FA182" s="1">
        <f t="shared" si="208"/>
        <v>0</v>
      </c>
      <c r="FB182" s="17">
        <f>IF(L182="BOSS_CONSERVATIVE",B182+Boss参数!$B$91,FB181)</f>
        <v>7</v>
      </c>
      <c r="FC182" s="17">
        <f t="shared" si="209"/>
        <v>0</v>
      </c>
      <c r="FD182" s="17">
        <f>IF(D182="",FD181,FD181+IF(AND(DG182&lt;&gt;DG181,INDEX(回合状态!$C$7:$C$17,MATCH(DG182,回合状态!$A$7:$A$17,0))&lt;&gt;"洞穿"),1,0))</f>
        <v>8</v>
      </c>
      <c r="FE182" s="17">
        <f>IF(D182="",0,IF(AND(OR(L182="END_TURN",DH182="敌方"),INDEX(回合状态!$C$7:$C$17,MATCH(DG182,回合状态!$A$7:$A$17,0))&lt;&gt;"洞穿",SUMIFS($FE$3:FE181,$DG$3:DG181,DG182)=0),1,0))</f>
        <v>0</v>
      </c>
    </row>
    <row r="183" spans="1:161" ht="84.95" customHeight="1">
      <c r="A183" s="1" t="str">
        <f>行动模拟!A189</f>
        <v/>
      </c>
      <c r="B183" s="1">
        <f>IF(D183="",0,INDEX(回合状态!$B$7:$B$17,MATCH(DG183,回合状态!$A$7:$A$17,0)))</f>
        <v>0</v>
      </c>
      <c r="C183" s="1">
        <f>行动模拟!C189</f>
        <v>0</v>
      </c>
      <c r="D183" s="1" t="str">
        <f>IF(行动模拟!D189="","",行动模拟!D189)</f>
        <v/>
      </c>
      <c r="E183" s="1" t="str">
        <f>IF($D183="","",IFERROR(INDEX(技能数据库!$B$4:$B$38,MATCH($D183,技能数据库!$A$4:$A$38,0)),""))</f>
        <v/>
      </c>
      <c r="F183" s="1" t="str">
        <f>IF($D183="","",IFERROR(INDEX(技能数据库!$C$4:$C$38,MATCH($D183,技能数据库!$A$4:$A$38,0)),""))</f>
        <v/>
      </c>
      <c r="G183" s="1" t="str">
        <f>IF($D183="","",IFERROR(INDEX(技能数据库!$D$4:$D$38,MATCH($D183,技能数据库!$A$4:$A$38,0)),""))</f>
        <v/>
      </c>
      <c r="H183" s="1" t="str">
        <f>IF($D183="","",IFERROR(INDEX(技能数据库!$E$4:$E$38,MATCH($D183,技能数据库!$A$4:$A$38,0)),""))</f>
        <v/>
      </c>
      <c r="I183" s="1" t="str">
        <f>IF($D183="","",IFERROR(INDEX(技能数据库!$F$4:$F$38,MATCH($D183,技能数据库!$A$4:$A$38,0)),""))</f>
        <v/>
      </c>
      <c r="J183" s="1" t="str">
        <f>IF($D183="","",IFERROR(INDEX(技能数据库!$G$4:$G$38,MATCH($D183,技能数据库!$A$4:$A$38,0)),""))</f>
        <v/>
      </c>
      <c r="K183" s="1" t="str">
        <f>IF($D183="","",IFERROR(INDEX(技能数据库!$H$4:$H$38,MATCH($D183,技能数据库!$A$4:$A$38,0)),""))</f>
        <v/>
      </c>
      <c r="L183" s="1" t="str">
        <f>IF($D183="","",IFERROR(INDEX(技能数据库!$I$4:$I$38,MATCH($D183,技能数据库!$A$4:$A$38,0)),""))</f>
        <v/>
      </c>
      <c r="M183" s="1">
        <v>1</v>
      </c>
      <c r="N183" s="1"/>
      <c r="O183" s="1"/>
      <c r="P183" s="1"/>
      <c r="Q183" s="1">
        <f t="shared" si="140"/>
        <v>0</v>
      </c>
      <c r="R183" s="1">
        <v>0</v>
      </c>
      <c r="S183" s="1">
        <v>0</v>
      </c>
      <c r="T183" s="1">
        <f>行动模拟!I189</f>
        <v>0</v>
      </c>
      <c r="U183" s="1">
        <f>IF(FD183&lt;&gt;FD182,IF(BY182=1,IF(MIN(10,CA182+IF(AND(DG183&lt;&gt;DG182,DH182&lt;&gt;"洞穿",SUMIFS($FE$3:FE182,$DG$3:DG182,DG182)=0,BY182=1),3,0))&gt;=10,2,1),IF(BY182=2,IF(BZ182&lt;=1,0,2),0)),BY182)</f>
        <v>2</v>
      </c>
      <c r="V183" s="1">
        <f>IF(FD183&lt;&gt;FD182,IF(BY182=1,IF(MIN(10,CA182+IF(AND(DG183&lt;&gt;DG182,DH182&lt;&gt;"洞穿",SUMIFS($FE$3:FE182,$DG$3:DG182,DG182)=0,BY182=1),3,0))&gt;=10,2,0),IF(BY182=2,MAX(0,BZ182-1),0)),BZ182)</f>
        <v>1</v>
      </c>
      <c r="W183" s="1">
        <f>IF(AND(FD183&lt;&gt;FD182,BY182=2,BZ182&lt;=1),0,MIN(10,CA182+IF(AND(DG183&lt;&gt;DG182,DH182&lt;&gt;"洞穿",SUMIFS($FE$3:FE182,$DG$3:DG182,DG182)=0,BY182=1),3,0)))</f>
        <v>10</v>
      </c>
      <c r="X183" s="1">
        <f t="shared" si="182"/>
        <v>13</v>
      </c>
      <c r="Y183" s="1">
        <f t="shared" si="183"/>
        <v>0</v>
      </c>
      <c r="Z183" s="1">
        <f t="shared" si="184"/>
        <v>0</v>
      </c>
      <c r="AA183" s="1">
        <f t="shared" si="185"/>
        <v>0</v>
      </c>
      <c r="AB183" s="1">
        <f t="shared" si="186"/>
        <v>10</v>
      </c>
      <c r="AC183" s="1">
        <f t="shared" si="187"/>
        <v>1</v>
      </c>
      <c r="AD183" s="1">
        <f t="shared" si="188"/>
        <v>35</v>
      </c>
      <c r="AE183" s="1">
        <f>IF(D183="",0,IF(DG183&lt;&gt;DG182,IFERROR(INDEX(回合状态!$F$7:$F$17,MATCH(DG183,回合状态!$A$7:$A$17,0)),0),CI182))</f>
        <v>0</v>
      </c>
      <c r="AF183" s="1">
        <f t="shared" si="189"/>
        <v>0.875</v>
      </c>
      <c r="AG183" s="1">
        <f t="shared" si="190"/>
        <v>9</v>
      </c>
      <c r="AH183" s="1">
        <f t="shared" si="191"/>
        <v>9</v>
      </c>
      <c r="AI183" s="1">
        <f t="shared" si="192"/>
        <v>8</v>
      </c>
      <c r="AJ183" s="1">
        <f t="shared" si="193"/>
        <v>9</v>
      </c>
      <c r="AK183" s="1">
        <f t="shared" si="194"/>
        <v>8</v>
      </c>
      <c r="AL183" s="1">
        <f t="shared" si="195"/>
        <v>3</v>
      </c>
      <c r="AM183" s="1">
        <f t="shared" si="196"/>
        <v>30</v>
      </c>
      <c r="AN183" s="1">
        <f t="shared" si="197"/>
        <v>9</v>
      </c>
      <c r="AO183" s="1">
        <f t="shared" si="198"/>
        <v>0</v>
      </c>
      <c r="AP183" s="1" t="e">
        <f t="shared" si="199"/>
        <v>#VALUE!</v>
      </c>
      <c r="AQ183" s="1" t="e">
        <f t="shared" si="200"/>
        <v>#VALUE!</v>
      </c>
      <c r="AR183" s="1">
        <f t="shared" si="201"/>
        <v>0.3</v>
      </c>
      <c r="AS183" s="1">
        <f t="shared" si="202"/>
        <v>9</v>
      </c>
      <c r="AT183" s="1">
        <f t="shared" si="203"/>
        <v>0.3</v>
      </c>
      <c r="AU183" s="1">
        <f t="shared" si="204"/>
        <v>9</v>
      </c>
      <c r="AV183" s="1">
        <f>MIN(5,SUMIFS($EL$3:EL183,$B$3:B183,"&gt;="&amp;MAX(1,B183-2),$B$3:B183,"&lt;="&amp;B183)+EC183)</f>
        <v>0</v>
      </c>
      <c r="AW183" s="1">
        <f>MIN(6,SUMIFS($EY$3:EY182,$EX$3:EX182,"&gt;="&amp;MAX(1,EX183-Boss参数!$B$87+1),$EX$3:EX182,"&lt;="&amp;EX183))</f>
        <v>0</v>
      </c>
      <c r="AX183" s="1">
        <f>MIN(4,COUNTIFS($B$3:$B$182,"&gt;="&amp;MAX(1,$B183-2),$B$3:$B$182,"&lt;="&amp;$B183,$L$3:$L$182,"37_FOLLOW"))</f>
        <v>0</v>
      </c>
      <c r="AY183" s="1" t="str">
        <f>IF($E183="","",IF($E183="系统",0,ROUNDDOWN(INDEX(角色面板!$C$4:$C$7,MATCH($E183,角色面板!$A$4:$A$7,0))*(1+INDEX(角色面板!$C$11:$C$14,MATCH($E183,角色面板!$A$11:$A$14,0))+IF($E183="小瑞安侬",MAX(IF($B183&lt;=$AQ183,$AP183,0),IF(AND($L183="RHI_ATTACK",$EE183&gt;0),0.11+0.01*$G183,0)),0)+IF($E183="J",$AD183*Boss参数!$B$18,0))+IF(FD183&lt;=$AN183,MIN(Boss参数!$B$21,ROUNDDOWN(角色面板!$C$19*Boss参数!$B$20,0)),0)+IF(AND($B183&lt;=$AK183,$E183&lt;&gt;"小瑞安侬"),$DY183,0),0)))</f>
        <v/>
      </c>
      <c r="AZ183" s="1" t="str">
        <f>IF($E183="","",MAX(0,MIN(1,IFERROR(INDEX(角色面板!$G$18:$G$21,MATCH($E183,角色面板!$A$18:$A$21,0)),0)-FC183*Boss参数!$B$89-Boss参数!$E$4)))</f>
        <v/>
      </c>
      <c r="BA183" s="1" t="str">
        <f>IF(E183="","",(IF($E183="","",IF($E183="红弩箭",Boss参数!$B$80,IF($E183="J",Boss参数!$B$81,IFERROR(INDEX(角色面板!$H$18:$H$21,MATCH($E183,角色面板!$A$18:$A$21,0)),0)))+IF($B183&lt;=$AI183,Boss参数!$B$13,0)+MIN(30,$AM183)*Boss参数!$B$17+IF(AND($L183="LILYA_ULT",$X183&gt;=6),1,0)+IF(AND($Y183=1,$L183="LILYA_INSIGHT"),IF(MOD($AA183+1,3)=0,Boss参数!$B$83,Boss参数!$B$82),IF(AND($Y183=1,$L183="LILYA_FINISH"),Boss参数!$B$84,0))))-FC183*Boss参数!$B$90)</f>
        <v/>
      </c>
      <c r="BB183" s="1" t="str">
        <f>IF($E183="","",IFERROR(INDEX(角色面板!$M$18:$M$21,MATCH($E183,角色面板!$A$18:$A$21,0)),0)+$AW183*Boss参数!$B$12+IF($B183&lt;=$AG183,$AF183,0)+$EI183+IF($L183="LILYA_DIVE",IF($U183=1,IF($G183=1,0.3,IF($G183=2,0.4,0.5)),IF($U183=2,IF($G183=1,0.6,IF($G183=2,0.8,1)),0)),0)+$R183+IF(AND($E183="J",OR($L183="J_COUNTER",$L183="J_HARD")),Boss参数!$B$79,0)+IF(AND(OR(L183="J_COUNTER",L183="J_HARD"),FA183&gt;=Boss参数!$B$59),FA183*Boss参数!$B$40,0))</f>
        <v/>
      </c>
      <c r="BC183" s="1" t="e">
        <f>IF($E183="","",IFERROR(INDEX(角色面板!$K$18:$K$21,MATCH($E183,角色面板!$A$18:$A$21,0)),0)+IF($B183&lt;=$AH183,Boss参数!$B$46,0)+IF($E183="红弩箭",IF($U183=1,0.6,IF($U183=2,1.2,0))+$W183*0.06,0))-DI183*Boss参数!$B$23</f>
        <v>#VALUE!</v>
      </c>
      <c r="BD183" s="1" t="e">
        <f>IF($E183="","",IFERROR(INDEX(角色面板!$L$18:$L$21,MATCH($E183,角色面板!$A$18:$A$21,0)),0)+IF($B183&lt;=$AH183,Boss参数!$B$46,0)+IF($E183="J",$AL183*Boss参数!$B$16,0)+IF($E183="红弩箭",$X183*0.025,0)+IF(AND($L183="LILYA_ULT",$X183&gt;=6),1,0))-DI183*Boss参数!$B$23</f>
        <v>#VALUE!</v>
      </c>
      <c r="BE183" s="1" t="str">
        <f>IF($E183="","",IF($H183="洞知",IF($E183="红弩箭",$AO183*Boss参数!$B$15,0)+$AX183*Boss参数!$B$14,0))</f>
        <v/>
      </c>
      <c r="BF183" s="1">
        <f t="shared" si="141"/>
        <v>0</v>
      </c>
      <c r="BG183" s="1">
        <f>IF($D183="",0,IF(AND($L183&lt;&gt;"LILYA_DIVE",$L183&lt;&gt;"LILYA_ULT",$L183&lt;&gt;"LILYA_INSIGHT",$L183&lt;&gt;"LILYA_FINISH",$L183&lt;&gt;"37_FOLLOW",$L183&lt;&gt;"RHI_ATTACK",$L183&lt;&gt;"RHI_BERRY",$L183&lt;&gt;"J_COUNTER",$L183&lt;&gt;"J_ULT"),$J183,0)+IF($L183="LILYA_DIVE",$J183+IF($U183=1,IF($G183=1,6,IF($G183=2,12,18)),IF($U183=2,IF($G183=1,12,IF($G183=2,24,36)),0)),0)+IF($L183="LILYA_ULT",$J183+IF($X183&gt;=6,18,0),0)+IF($L183="LILYA_INSIGHT",IF($Y183=1,IF(MOD($AA183+1,3)=0,32,15),0),0)+IF($L183="LILYA_FINISH",IF($Y183=1,50+2.5*$Z183,0),0)+IF($L183="37_FOLLOW",$J183,0)+IF($L183="RHI_ATTACK",$J183*IF($B183&lt;=$AJ183,2,1),0)+IF($L183="RHI_BERRY",15+1.5*$AV183,0)+IF($L183="J_COUNTER",$J183+$AD183*Boss参数!$B$39,0)+IF($L183="J_ULT",$J183+Boss参数!$B$45*MAX(0,$AE183+$AD183-Boss参数!$I$4),0)+$S183)</f>
        <v>0</v>
      </c>
      <c r="BH183" s="1">
        <f t="shared" si="142"/>
        <v>0</v>
      </c>
      <c r="BI183" s="1" t="str">
        <f>IF(E183="","",IF(DT183=1,1+Boss参数!$B$8+AV183*Boss参数!$B$19,1))</f>
        <v/>
      </c>
      <c r="BJ183" s="1">
        <f>IF($I183="现实",Boss参数!$C$4,IF($I183="精神",Boss参数!$D$4,0))</f>
        <v>0</v>
      </c>
      <c r="BK183" s="1" t="str">
        <f>IF($E183="","",MAX($AY183*Boss参数!$B$9,$AY183-$BJ183*(1-$BF183)))</f>
        <v/>
      </c>
      <c r="BL183" s="1">
        <f>MAX(0,Boss参数!$F$4+IF(DT183=0,Boss参数!$B$27,0)-EJ183)</f>
        <v>1.25</v>
      </c>
      <c r="BM183" s="1">
        <f>Boss参数!$G$4+DU183-IF(Y183=1,Boss参数!$B$11,0)</f>
        <v>0.4</v>
      </c>
      <c r="BN183" s="1" t="str">
        <f>IF($E183="","",MAX(Boss参数!$B$10,1+IFERROR(INDEX(角色面板!$I$18:$I$21,MATCH($E183,角色面板!$A$18:$A$21,0)),0)+$BB183+Boss参数!$H$4-$BM183))</f>
        <v/>
      </c>
      <c r="BO183" s="1" t="str">
        <f>IF(E183="","",IF(OR(L183="J_COUNTER",L183="J_HARD"),MAX(0,1+INDEX(角色面板!$K$18:$K$21,MATCH(E183,角色面板!$A$18:$A$21,0))-DI183*Boss参数!$B$23+IF(OR(Boss参数!$B$43=1,L183="J_HARD"),IF(B183&lt;=AH183,Boss参数!$B$46,0),0)),MAX(0,IF(OR(H183="术法",L183="RHI_BERRY",AND(L183="37_FOLLOW",Boss参数!$B$31=1)),1+BC183,IF(H183="仪式",1+BD183,IF(H183="洞知",EK183,1))))))</f>
        <v/>
      </c>
      <c r="BP183" s="1" t="str">
        <f t="shared" si="143"/>
        <v/>
      </c>
      <c r="BQ183" s="1">
        <f t="shared" si="144"/>
        <v>0</v>
      </c>
      <c r="BR183" s="1">
        <f t="shared" si="145"/>
        <v>0</v>
      </c>
      <c r="BS183" s="1">
        <f>IF(BH183=0,0,ROUNDDOWN(AY183*BH183,0)*DV183*IF(Boss参数!$B$29=1,BN183,1)*IF(Boss参数!$B$33=1,BO183,1)*IF(Boss参数!$B$76=1,1-ES183,1))</f>
        <v>0</v>
      </c>
      <c r="BT183" s="1">
        <f t="shared" si="146"/>
        <v>0</v>
      </c>
      <c r="BU183" s="1">
        <f>IF(D183="",0,MIN(IF(Boss参数!$B$77=1,Boss参数!$B$63*Boss参数!$B$62,Boss参数!$B$61*Boss参数!$B$62),DW183+ROUNDDOWN(BS183,0)+ROUNDDOWN(DW183*Q183,0)))</f>
        <v>0</v>
      </c>
      <c r="BV183" s="1">
        <f>IF(D183="",0,MIN(IF(Boss参数!$B$77=1,Boss参数!$B$63*Boss参数!$B$62,Boss参数!$B$61*Boss参数!$B$62),DX183+ROUNDDOWN(BT183,0)+ROUNDDOWN(DX183*Q183,0)))</f>
        <v>0</v>
      </c>
      <c r="BW183" s="1">
        <f t="shared" si="147"/>
        <v>0</v>
      </c>
      <c r="BX183" s="1" t="str">
        <f t="shared" si="148"/>
        <v/>
      </c>
      <c r="BY183" s="1">
        <f t="shared" si="149"/>
        <v>2</v>
      </c>
      <c r="BZ183" s="1">
        <f t="shared" si="150"/>
        <v>1</v>
      </c>
      <c r="CA183" s="1">
        <f>MIN(10,W183+IF(AND(L183="LILYA_COBRA",COUNTIF($L$3:L183,"LILYA_COBRA")=1),5,0)+IF(AND(L183="LILYA_DIVE",U183=1,COUNTIFS($DG$3:DG183,DG183,$L$3:L183,"LILYA_DIVE")=1),2,0)+IF(AND(FE183=1,U183=1),3,0))</f>
        <v>10</v>
      </c>
      <c r="CB183" s="1">
        <f>MIN(20,MAX(0,X183+IF(L183="LILYA_COBRA",IF(COUNTIF($L$3:L183,"LILYA_COBRA")=1,6,IF(U183=1,MAX(1,G183),IF(U183=2,2*MAX(1,G183),0))),0)+IF(AND(Y183=1,E183="红弩箭",L183&lt;&gt;"ENTER_INSIGHT"),1,0)-IF(AND(L183="LILYA_ULT",X183&gt;=6),6,0)))</f>
        <v>13</v>
      </c>
      <c r="CC183" s="1">
        <f t="shared" si="151"/>
        <v>0</v>
      </c>
      <c r="CD183" s="1">
        <f t="shared" si="152"/>
        <v>0</v>
      </c>
      <c r="CE183" s="1">
        <f t="shared" si="153"/>
        <v>0</v>
      </c>
      <c r="CF183" s="1">
        <f t="shared" si="154"/>
        <v>10</v>
      </c>
      <c r="CG183" s="1">
        <f t="shared" si="155"/>
        <v>1</v>
      </c>
      <c r="CH183" s="1">
        <f>MIN(35,AD183+IF(L183="J_HARD",6,0)+IF(L183="J_COUNTER",Boss参数!$B$30,0))</f>
        <v>35</v>
      </c>
      <c r="CI183" s="1">
        <f>MIN(Boss参数!$I$4,AE183+IF(L183="J_HARD",6,0)+IF(L183="J_ULT",AD183,0)+IF(L183="J_COUNTER",Boss参数!$B$30,0))</f>
        <v>0</v>
      </c>
      <c r="CJ183" s="1">
        <f>IF(L183="J_ULT",AD183*Boss参数!$B$41,IF(B183&lt;=AG183,AF183,0))</f>
        <v>0.875</v>
      </c>
      <c r="CK183" s="1">
        <f t="shared" si="156"/>
        <v>9</v>
      </c>
      <c r="CL183" s="1">
        <f t="shared" si="157"/>
        <v>9</v>
      </c>
      <c r="CM183" s="1">
        <f t="shared" si="158"/>
        <v>8</v>
      </c>
      <c r="CN183" s="1">
        <f t="shared" si="159"/>
        <v>9</v>
      </c>
      <c r="CO183" s="1">
        <f t="shared" si="160"/>
        <v>8</v>
      </c>
      <c r="CP183" s="1">
        <f t="shared" si="161"/>
        <v>3</v>
      </c>
      <c r="CQ183" s="1">
        <f t="shared" si="162"/>
        <v>30</v>
      </c>
      <c r="CR183" s="1">
        <f t="shared" si="163"/>
        <v>9</v>
      </c>
      <c r="CS183" s="1">
        <f t="shared" si="164"/>
        <v>0</v>
      </c>
      <c r="CT183" s="1" t="e">
        <f t="shared" si="165"/>
        <v>#VALUE!</v>
      </c>
      <c r="CU183" s="1" t="e">
        <f t="shared" si="166"/>
        <v>#VALUE!</v>
      </c>
      <c r="CV183" s="1">
        <f t="shared" si="167"/>
        <v>0.3</v>
      </c>
      <c r="CW183" s="1">
        <f t="shared" si="168"/>
        <v>9</v>
      </c>
      <c r="CX183" s="1">
        <f t="shared" si="169"/>
        <v>0.3</v>
      </c>
      <c r="CY183" s="1">
        <f t="shared" si="170"/>
        <v>9</v>
      </c>
      <c r="CZ183" s="1"/>
      <c r="DA183" s="1"/>
      <c r="DB183" s="1"/>
      <c r="DC183" s="1"/>
      <c r="DD183" s="1"/>
      <c r="DE183" s="1"/>
      <c r="DF183" s="1"/>
      <c r="DG183" s="1" t="str">
        <f>IF(D183="","",行动模拟!B189)</f>
        <v/>
      </c>
      <c r="DH183" s="1" t="str">
        <f>IF(L183="END_TURN","回合结束",IF(D183="","",IF(INDEX(回合状态!$C$7:$C$17,MATCH(DG183,回合状态!$A$7:$A$17,0))="洞穿","洞穿",IF(OR(L183="J_COUNTER",L183="BOSS_ACTION",L183="BOSS_CONSERVATIVE"),"敌方",IF(AND(L183="37_FOLLOW",DG183=DG182,DH182="敌方"),"敌方",IF(INDEX(回合状态!$C$7:$C$17,MATCH(DG183,回合状态!$A$7:$A$17,0))="普通","出牌",INDEX(回合状态!$C$7:$C$17,MATCH(DG183,回合状态!$A$7:$A$17,0))))))))</f>
        <v/>
      </c>
      <c r="DI183" s="1">
        <f t="shared" si="171"/>
        <v>0</v>
      </c>
      <c r="DJ183" s="1">
        <f>IF(D183="",0,MIN(Boss参数!$B$25,IF(OR(AND(DH183="敌方",OR(DH182&lt;&gt;"敌方",DG183&lt;&gt;DG182)),AND(L183="END_TURN",DH183&lt;&gt;"洞穿"),AND(DG183&lt;&gt;DG182,DH182&lt;&gt;"洞穿",L182&lt;&gt;"END_TURN",COUNTIFS($DG$3:DG182,DG182,$DH$3:DH182,"敌方")=0)),EW183,DN182)))</f>
        <v>0</v>
      </c>
      <c r="DK183" s="1">
        <f>IF(D183="",0,MIN(Boss参数!$B$25,IF(OR(AND(DH183="敌方",OR(DH182&lt;&gt;"敌方",DG183&lt;&gt;DG182)),AND(L183="END_TURN",DH183&lt;&gt;"洞穿"),AND(DG183&lt;&gt;DG182,DH182&lt;&gt;"洞穿",L182&lt;&gt;"END_TURN",COUNTIFS($DG$3:DG182,DG182,$DH$3:DH182,"敌方")=0)),EW183,DO182)))</f>
        <v>0</v>
      </c>
      <c r="DL183" s="1">
        <f>IF(D183="",0,MIN(Boss参数!$B$25,IF(OR(AND(DH183="敌方",OR(DH182&lt;&gt;"敌方",DG183&lt;&gt;DG182)),AND(L183="END_TURN",DH183&lt;&gt;"洞穿"),AND(DG183&lt;&gt;DG182,DH182&lt;&gt;"洞穿",L182&lt;&gt;"END_TURN",COUNTIFS($DG$3:DG182,DG182,$DH$3:DH182,"敌方")=0)),EW183,DP182)))</f>
        <v>0</v>
      </c>
      <c r="DM183" s="1">
        <f>IF(D183="",0,MIN(Boss参数!$B$25,IF(OR(AND(DH183="敌方",OR(DH182&lt;&gt;"敌方",DG183&lt;&gt;DG182)),AND(L183="END_TURN",DH183&lt;&gt;"洞穿"),AND(DG183&lt;&gt;DG182,DH182&lt;&gt;"洞穿",L182&lt;&gt;"END_TURN",COUNTIFS($DG$3:DG182,DG182,$DH$3:DH182,"敌方")=0)),EW183,DQ182)))</f>
        <v>0</v>
      </c>
      <c r="DN183" s="1">
        <f>MAX(0,MIN(Boss参数!$B$25,DJ183+DR183)-IF(E183="红弩箭",2*DR183,0))</f>
        <v>0</v>
      </c>
      <c r="DO183" s="1">
        <f>MAX(0,MIN(Boss参数!$B$25,DK183+DR183)-IF(E183="37",2*DR183,0))</f>
        <v>0</v>
      </c>
      <c r="DP183" s="1">
        <f>MAX(0,MIN(Boss参数!$B$25,DL183+DR183)-IF(E183="小瑞安侬",2*DR183,0))</f>
        <v>0</v>
      </c>
      <c r="DQ183" s="1">
        <f>MAX(0,MIN(Boss参数!$B$25,DM183+DR183)-IF(E183="J",2*DR183,0))</f>
        <v>0</v>
      </c>
      <c r="DR183" s="1">
        <f t="shared" si="172"/>
        <v>0</v>
      </c>
      <c r="DS183" s="1">
        <f t="shared" si="173"/>
        <v>0</v>
      </c>
      <c r="DT183" s="1">
        <f>IF(OR(E183="",E183="系统"),0,IF(OR(AND(DS183=1,Boss参数!$B$32=1),L183="RHI_BERRY",OR(AND(INDEX(角色面板!$B$18:$B$21,MATCH(E183,角色面板!$A$18:$A$21,0))="星",Boss参数!$B$4="岩"),AND(INDEX(角色面板!$B$18:$B$21,MATCH(E183,角色面板!$A$18:$A$21,0))="岩",Boss参数!$B$4="兽"),AND(INDEX(角色面板!$B$18:$B$21,MATCH(E183,角色面板!$A$18:$A$21,0))="兽",Boss参数!$B$4="木"),AND(INDEX(角色面板!$B$18:$B$21,MATCH(E183,角色面板!$A$18:$A$21,0))="木",Boss参数!$B$4="星"),AND(INDEX(角色面板!$B$18:$B$21,MATCH(E183,角色面板!$A$18:$A$21,0))="智",Boss参数!$B$4="灵"),AND(INDEX(角色面板!$B$18:$B$21,MATCH(E183,角色面板!$A$18:$A$21,0))="灵",Boss参数!$B$4="智"))),1,0))</f>
        <v>0</v>
      </c>
      <c r="DU183" s="1">
        <f>IF(D183="",0,INDEX(回合状态!$E$7:$E$17,MATCH(DG183,回合状态!$A$7:$A$17,0))+IF(AND(DH183="敌方",OR(INDEX(回合状态!$C$7:$C$17,MATCH(DG183,回合状态!$A$7:$A$17,0))="普通",INDEX(回合状态!$C$7:$C$17,MATCH(DG183,回合状态!$A$7:$A$17,0))="额外")),0.05,0))</f>
        <v>0</v>
      </c>
      <c r="DV183" s="1">
        <f>MAX(Boss参数!$B$28,1+IF(AND(E183="37",AC183&gt;0,BH183&gt;0),Boss参数!$B$42,0)-DI183*Boss参数!$B$24+EA183-ER183)</f>
        <v>9.9999999999999978E-2</v>
      </c>
      <c r="DW183" s="1">
        <f>MIN(IF(Boss参数!$B$77=1,Boss参数!$B$63*Boss参数!$B$62,Boss参数!$B$61*Boss参数!$B$62),ROUNDDOWN(BQ183*(1-ES183),0))</f>
        <v>0</v>
      </c>
      <c r="DX183" s="1">
        <f>MIN(IF(Boss参数!$B$77=1,Boss参数!$B$63*Boss参数!$B$62,Boss参数!$B$61*Boss参数!$B$62),ROUNDDOWN(BR183*(1-ES183),0))</f>
        <v>0</v>
      </c>
      <c r="DY183" s="1">
        <f t="shared" si="205"/>
        <v>250</v>
      </c>
      <c r="DZ183" s="1">
        <f>IF(L183="RHI_ULT",MIN(Boss参数!$B$48,ROUNDDOWN(AY183*Boss参数!$B$47,0)),DY183)</f>
        <v>250</v>
      </c>
      <c r="EA183" s="1">
        <v>0</v>
      </c>
      <c r="EB183" s="1">
        <f t="shared" si="174"/>
        <v>0</v>
      </c>
      <c r="EC183" s="1">
        <f>SUMIFS($EB$3:EB183,$B$3:B183,"&gt;="&amp;MAX(1,B183-2),$B$3:B183,"&lt;="&amp;B183)*Boss参数!$B$51</f>
        <v>0</v>
      </c>
      <c r="ED183" s="1">
        <f>IF(D183="",EG182,IF(AND(DG183&lt;&gt;DG182,DH183&lt;&gt;"洞穿"),MIN(Boss参数!$B$55,EG182+2),EG182))</f>
        <v>0</v>
      </c>
      <c r="EE183" s="1">
        <f t="shared" si="175"/>
        <v>0</v>
      </c>
      <c r="EF183" s="1">
        <f>IF(AND(OR(L183="END_TURN",AND(DH183="敌方",OR(DH182&lt;&gt;"敌方",DG183&lt;&gt;DG182))),SUMIFS($EF$3:EF182,$DG$3:DG182,DG183)=0),MIN(1,MAX(0,ED183-EE183)),0)</f>
        <v>0</v>
      </c>
      <c r="EG183" s="1">
        <f t="shared" si="176"/>
        <v>0</v>
      </c>
      <c r="EH183" s="1">
        <f>Boss参数!$B$53-IF(Y183=1,Boss参数!$B$54,0)</f>
        <v>0</v>
      </c>
      <c r="EI183" s="1">
        <f t="shared" si="177"/>
        <v>0.15</v>
      </c>
      <c r="EJ183" s="1">
        <f t="shared" si="178"/>
        <v>0.15</v>
      </c>
      <c r="EK183" s="1" t="e">
        <f t="shared" si="179"/>
        <v>#VALUE!</v>
      </c>
      <c r="EL183" s="1">
        <f t="shared" si="206"/>
        <v>0</v>
      </c>
      <c r="EM183" s="1">
        <f>IF(AND(DG183&lt;&gt;DG182,DH183="洞穿"),0,IF(L183="ENTER_INSIGHT",Boss参数!$B$57,EO182))</f>
        <v>0</v>
      </c>
      <c r="EN183" s="1">
        <f>IF(AND(Y183=1,H183="洞知",EM183&gt;0),Boss参数!$B$56,0)</f>
        <v>0</v>
      </c>
      <c r="EO183" s="1">
        <f t="shared" si="180"/>
        <v>0</v>
      </c>
      <c r="EP183" s="1">
        <f t="shared" si="207"/>
        <v>23210479</v>
      </c>
      <c r="EQ183" s="1">
        <f>ROUNDDOWN(EP183/Boss参数!$B$62,0)</f>
        <v>232</v>
      </c>
      <c r="ER183" s="1">
        <f>IF(EQ183&gt;=Boss参数!$B$66,Boss参数!$B$69,IF(EQ183&gt;=Boss参数!$B$65,Boss参数!$B$68,IF(EQ183&gt;=Boss参数!$B$64,Boss参数!$B$67,0)))</f>
        <v>0.9</v>
      </c>
      <c r="ES183" s="1">
        <f>MIN(1,IF(EQ183&gt;=Boss参数!$B$66,Boss参数!$B$72+ROUNDDOWN((EQ183-Boss参数!$B$66)/Boss参数!$B$73,0)*Boss参数!$B$74,IF(EQ183&gt;=Boss参数!$B$65,Boss参数!$B$71,IF(EQ183&gt;=Boss参数!$B$64,Boss参数!$B$70,0))))</f>
        <v>0.65</v>
      </c>
      <c r="ET183" s="1">
        <f>MIN(Boss参数!$B$61*Boss参数!$B$62,EP183+IF(AND(Boss参数!$B$60=1,ISNUMBER(验证表!H189)),验证表!H189,EU183))</f>
        <v>23210479</v>
      </c>
      <c r="EU183" s="1">
        <f>IF(D183="",0,IF(验证表!G189="是",BV183,IF(验证表!G189="否",BU183,BW183)))</f>
        <v>0</v>
      </c>
      <c r="EV183" s="1">
        <f>IF(EQ183&gt;=Boss参数!$B$66,2,IF(EQ183&gt;=Boss参数!$B$65,1,0))</f>
        <v>2</v>
      </c>
      <c r="EW183" s="1">
        <f t="shared" si="181"/>
        <v>3</v>
      </c>
      <c r="EX183" s="1">
        <f>IF(D183="",0,INDEX(回合状态!$D$7:$D$17,MATCH(DG183,回合状态!$A$7:$A$17,0)))</f>
        <v>0</v>
      </c>
      <c r="EY183" s="1">
        <f>IF(OR(L183="RHI_ATTACK",L183="RHI_BUFF"),1,IF(L183="RHI_ULT",Boss参数!$B$52,0))</f>
        <v>0</v>
      </c>
      <c r="EZ183" s="1">
        <f>MIN(6,SUMIFS($EY$3:EY183,$EX$3:EX183,"&gt;="&amp;MAX(1,EX183-Boss参数!$B$87+1),$EX$3:EX183,"&lt;="&amp;EX183))</f>
        <v>0</v>
      </c>
      <c r="FA183" s="1">
        <f t="shared" si="208"/>
        <v>0</v>
      </c>
      <c r="FB183" s="17">
        <f>IF(L183="BOSS_CONSERVATIVE",B183+Boss参数!$B$91,FB182)</f>
        <v>7</v>
      </c>
      <c r="FC183" s="17">
        <f t="shared" si="209"/>
        <v>0</v>
      </c>
      <c r="FD183" s="17">
        <f>IF(D183="",FD182,FD182+IF(AND(DG183&lt;&gt;DG182,INDEX(回合状态!$C$7:$C$17,MATCH(DG183,回合状态!$A$7:$A$17,0))&lt;&gt;"洞穿"),1,0))</f>
        <v>8</v>
      </c>
      <c r="FE183" s="17">
        <f>IF(D183="",0,IF(AND(OR(L183="END_TURN",DH183="敌方"),INDEX(回合状态!$C$7:$C$17,MATCH(DG183,回合状态!$A$7:$A$17,0))&lt;&gt;"洞穿",SUMIFS($FE$3:FE182,$DG$3:DG182,DG183)=0),1,0))</f>
        <v>0</v>
      </c>
    </row>
    <row r="184" spans="1:161" ht="84.95" customHeight="1">
      <c r="A184" s="1" t="str">
        <f>行动模拟!A190</f>
        <v/>
      </c>
      <c r="B184" s="1">
        <f>IF(D184="",0,INDEX(回合状态!$B$7:$B$17,MATCH(DG184,回合状态!$A$7:$A$17,0)))</f>
        <v>0</v>
      </c>
      <c r="C184" s="1">
        <f>行动模拟!C190</f>
        <v>0</v>
      </c>
      <c r="D184" s="1" t="str">
        <f>IF(行动模拟!D190="","",行动模拟!D190)</f>
        <v/>
      </c>
      <c r="E184" s="1" t="str">
        <f>IF($D184="","",IFERROR(INDEX(技能数据库!$B$4:$B$38,MATCH($D184,技能数据库!$A$4:$A$38,0)),""))</f>
        <v/>
      </c>
      <c r="F184" s="1" t="str">
        <f>IF($D184="","",IFERROR(INDEX(技能数据库!$C$4:$C$38,MATCH($D184,技能数据库!$A$4:$A$38,0)),""))</f>
        <v/>
      </c>
      <c r="G184" s="1" t="str">
        <f>IF($D184="","",IFERROR(INDEX(技能数据库!$D$4:$D$38,MATCH($D184,技能数据库!$A$4:$A$38,0)),""))</f>
        <v/>
      </c>
      <c r="H184" s="1" t="str">
        <f>IF($D184="","",IFERROR(INDEX(技能数据库!$E$4:$E$38,MATCH($D184,技能数据库!$A$4:$A$38,0)),""))</f>
        <v/>
      </c>
      <c r="I184" s="1" t="str">
        <f>IF($D184="","",IFERROR(INDEX(技能数据库!$F$4:$F$38,MATCH($D184,技能数据库!$A$4:$A$38,0)),""))</f>
        <v/>
      </c>
      <c r="J184" s="1" t="str">
        <f>IF($D184="","",IFERROR(INDEX(技能数据库!$G$4:$G$38,MATCH($D184,技能数据库!$A$4:$A$38,0)),""))</f>
        <v/>
      </c>
      <c r="K184" s="1" t="str">
        <f>IF($D184="","",IFERROR(INDEX(技能数据库!$H$4:$H$38,MATCH($D184,技能数据库!$A$4:$A$38,0)),""))</f>
        <v/>
      </c>
      <c r="L184" s="1" t="str">
        <f>IF($D184="","",IFERROR(INDEX(技能数据库!$I$4:$I$38,MATCH($D184,技能数据库!$A$4:$A$38,0)),""))</f>
        <v/>
      </c>
      <c r="M184" s="1">
        <v>1</v>
      </c>
      <c r="N184" s="1"/>
      <c r="O184" s="1"/>
      <c r="P184" s="1"/>
      <c r="Q184" s="1">
        <f t="shared" si="140"/>
        <v>0</v>
      </c>
      <c r="R184" s="1">
        <v>0</v>
      </c>
      <c r="S184" s="1">
        <v>0</v>
      </c>
      <c r="T184" s="1">
        <f>行动模拟!I190</f>
        <v>0</v>
      </c>
      <c r="U184" s="1">
        <f>IF(FD184&lt;&gt;FD183,IF(BY183=1,IF(MIN(10,CA183+IF(AND(DG184&lt;&gt;DG183,DH183&lt;&gt;"洞穿",SUMIFS($FE$3:FE183,$DG$3:DG183,DG183)=0,BY183=1),3,0))&gt;=10,2,1),IF(BY183=2,IF(BZ183&lt;=1,0,2),0)),BY183)</f>
        <v>2</v>
      </c>
      <c r="V184" s="1">
        <f>IF(FD184&lt;&gt;FD183,IF(BY183=1,IF(MIN(10,CA183+IF(AND(DG184&lt;&gt;DG183,DH183&lt;&gt;"洞穿",SUMIFS($FE$3:FE183,$DG$3:DG183,DG183)=0,BY183=1),3,0))&gt;=10,2,0),IF(BY183=2,MAX(0,BZ183-1),0)),BZ183)</f>
        <v>1</v>
      </c>
      <c r="W184" s="1">
        <f>IF(AND(FD184&lt;&gt;FD183,BY183=2,BZ183&lt;=1),0,MIN(10,CA183+IF(AND(DG184&lt;&gt;DG183,DH183&lt;&gt;"洞穿",SUMIFS($FE$3:FE183,$DG$3:DG183,DG183)=0,BY183=1),3,0)))</f>
        <v>10</v>
      </c>
      <c r="X184" s="1">
        <f t="shared" si="182"/>
        <v>13</v>
      </c>
      <c r="Y184" s="1">
        <f t="shared" si="183"/>
        <v>0</v>
      </c>
      <c r="Z184" s="1">
        <f t="shared" si="184"/>
        <v>0</v>
      </c>
      <c r="AA184" s="1">
        <f t="shared" si="185"/>
        <v>0</v>
      </c>
      <c r="AB184" s="1">
        <f t="shared" si="186"/>
        <v>10</v>
      </c>
      <c r="AC184" s="1">
        <f t="shared" si="187"/>
        <v>1</v>
      </c>
      <c r="AD184" s="1">
        <f t="shared" si="188"/>
        <v>35</v>
      </c>
      <c r="AE184" s="1">
        <f>IF(D184="",0,IF(DG184&lt;&gt;DG183,IFERROR(INDEX(回合状态!$F$7:$F$17,MATCH(DG184,回合状态!$A$7:$A$17,0)),0),CI183))</f>
        <v>0</v>
      </c>
      <c r="AF184" s="1">
        <f t="shared" si="189"/>
        <v>0.875</v>
      </c>
      <c r="AG184" s="1">
        <f t="shared" si="190"/>
        <v>9</v>
      </c>
      <c r="AH184" s="1">
        <f t="shared" si="191"/>
        <v>9</v>
      </c>
      <c r="AI184" s="1">
        <f t="shared" si="192"/>
        <v>8</v>
      </c>
      <c r="AJ184" s="1">
        <f t="shared" si="193"/>
        <v>9</v>
      </c>
      <c r="AK184" s="1">
        <f t="shared" si="194"/>
        <v>8</v>
      </c>
      <c r="AL184" s="1">
        <f t="shared" si="195"/>
        <v>3</v>
      </c>
      <c r="AM184" s="1">
        <f t="shared" si="196"/>
        <v>30</v>
      </c>
      <c r="AN184" s="1">
        <f t="shared" si="197"/>
        <v>9</v>
      </c>
      <c r="AO184" s="1">
        <f t="shared" si="198"/>
        <v>0</v>
      </c>
      <c r="AP184" s="1" t="e">
        <f t="shared" si="199"/>
        <v>#VALUE!</v>
      </c>
      <c r="AQ184" s="1" t="e">
        <f t="shared" si="200"/>
        <v>#VALUE!</v>
      </c>
      <c r="AR184" s="1">
        <f t="shared" si="201"/>
        <v>0.3</v>
      </c>
      <c r="AS184" s="1">
        <f t="shared" si="202"/>
        <v>9</v>
      </c>
      <c r="AT184" s="1">
        <f t="shared" si="203"/>
        <v>0.3</v>
      </c>
      <c r="AU184" s="1">
        <f t="shared" si="204"/>
        <v>9</v>
      </c>
      <c r="AV184" s="1">
        <f>MIN(5,SUMIFS($EL$3:EL184,$B$3:B184,"&gt;="&amp;MAX(1,B184-2),$B$3:B184,"&lt;="&amp;B184)+EC184)</f>
        <v>0</v>
      </c>
      <c r="AW184" s="1">
        <f>MIN(6,SUMIFS($EY$3:EY183,$EX$3:EX183,"&gt;="&amp;MAX(1,EX184-Boss参数!$B$87+1),$EX$3:EX183,"&lt;="&amp;EX184))</f>
        <v>0</v>
      </c>
      <c r="AX184" s="1">
        <f>MIN(4,COUNTIFS($B$3:$B$183,"&gt;="&amp;MAX(1,$B184-2),$B$3:$B$183,"&lt;="&amp;$B184,$L$3:$L$183,"37_FOLLOW"))</f>
        <v>0</v>
      </c>
      <c r="AY184" s="1" t="str">
        <f>IF($E184="","",IF($E184="系统",0,ROUNDDOWN(INDEX(角色面板!$C$4:$C$7,MATCH($E184,角色面板!$A$4:$A$7,0))*(1+INDEX(角色面板!$C$11:$C$14,MATCH($E184,角色面板!$A$11:$A$14,0))+IF($E184="小瑞安侬",MAX(IF($B184&lt;=$AQ184,$AP184,0),IF(AND($L184="RHI_ATTACK",$EE184&gt;0),0.11+0.01*$G184,0)),0)+IF($E184="J",$AD184*Boss参数!$B$18,0))+IF(FD184&lt;=$AN184,MIN(Boss参数!$B$21,ROUNDDOWN(角色面板!$C$19*Boss参数!$B$20,0)),0)+IF(AND($B184&lt;=$AK184,$E184&lt;&gt;"小瑞安侬"),$DY184,0),0)))</f>
        <v/>
      </c>
      <c r="AZ184" s="1" t="str">
        <f>IF($E184="","",MAX(0,MIN(1,IFERROR(INDEX(角色面板!$G$18:$G$21,MATCH($E184,角色面板!$A$18:$A$21,0)),0)-FC184*Boss参数!$B$89-Boss参数!$E$4)))</f>
        <v/>
      </c>
      <c r="BA184" s="1" t="str">
        <f>IF(E184="","",(IF($E184="","",IF($E184="红弩箭",Boss参数!$B$80,IF($E184="J",Boss参数!$B$81,IFERROR(INDEX(角色面板!$H$18:$H$21,MATCH($E184,角色面板!$A$18:$A$21,0)),0)))+IF($B184&lt;=$AI184,Boss参数!$B$13,0)+MIN(30,$AM184)*Boss参数!$B$17+IF(AND($L184="LILYA_ULT",$X184&gt;=6),1,0)+IF(AND($Y184=1,$L184="LILYA_INSIGHT"),IF(MOD($AA184+1,3)=0,Boss参数!$B$83,Boss参数!$B$82),IF(AND($Y184=1,$L184="LILYA_FINISH"),Boss参数!$B$84,0))))-FC184*Boss参数!$B$90)</f>
        <v/>
      </c>
      <c r="BB184" s="1" t="str">
        <f>IF($E184="","",IFERROR(INDEX(角色面板!$M$18:$M$21,MATCH($E184,角色面板!$A$18:$A$21,0)),0)+$AW184*Boss参数!$B$12+IF($B184&lt;=$AG184,$AF184,0)+$EI184+IF($L184="LILYA_DIVE",IF($U184=1,IF($G184=1,0.3,IF($G184=2,0.4,0.5)),IF($U184=2,IF($G184=1,0.6,IF($G184=2,0.8,1)),0)),0)+$R184+IF(AND($E184="J",OR($L184="J_COUNTER",$L184="J_HARD")),Boss参数!$B$79,0)+IF(AND(OR(L184="J_COUNTER",L184="J_HARD"),FA184&gt;=Boss参数!$B$59),FA184*Boss参数!$B$40,0))</f>
        <v/>
      </c>
      <c r="BC184" s="1" t="e">
        <f>IF($E184="","",IFERROR(INDEX(角色面板!$K$18:$K$21,MATCH($E184,角色面板!$A$18:$A$21,0)),0)+IF($B184&lt;=$AH184,Boss参数!$B$46,0)+IF($E184="红弩箭",IF($U184=1,0.6,IF($U184=2,1.2,0))+$W184*0.06,0))-DI184*Boss参数!$B$23</f>
        <v>#VALUE!</v>
      </c>
      <c r="BD184" s="1" t="e">
        <f>IF($E184="","",IFERROR(INDEX(角色面板!$L$18:$L$21,MATCH($E184,角色面板!$A$18:$A$21,0)),0)+IF($B184&lt;=$AH184,Boss参数!$B$46,0)+IF($E184="J",$AL184*Boss参数!$B$16,0)+IF($E184="红弩箭",$X184*0.025,0)+IF(AND($L184="LILYA_ULT",$X184&gt;=6),1,0))-DI184*Boss参数!$B$23</f>
        <v>#VALUE!</v>
      </c>
      <c r="BE184" s="1" t="str">
        <f>IF($E184="","",IF($H184="洞知",IF($E184="红弩箭",$AO184*Boss参数!$B$15,0)+$AX184*Boss参数!$B$14,0))</f>
        <v/>
      </c>
      <c r="BF184" s="1">
        <f t="shared" si="141"/>
        <v>0</v>
      </c>
      <c r="BG184" s="1">
        <f>IF($D184="",0,IF(AND($L184&lt;&gt;"LILYA_DIVE",$L184&lt;&gt;"LILYA_ULT",$L184&lt;&gt;"LILYA_INSIGHT",$L184&lt;&gt;"LILYA_FINISH",$L184&lt;&gt;"37_FOLLOW",$L184&lt;&gt;"RHI_ATTACK",$L184&lt;&gt;"RHI_BERRY",$L184&lt;&gt;"J_COUNTER",$L184&lt;&gt;"J_ULT"),$J184,0)+IF($L184="LILYA_DIVE",$J184+IF($U184=1,IF($G184=1,6,IF($G184=2,12,18)),IF($U184=2,IF($G184=1,12,IF($G184=2,24,36)),0)),0)+IF($L184="LILYA_ULT",$J184+IF($X184&gt;=6,18,0),0)+IF($L184="LILYA_INSIGHT",IF($Y184=1,IF(MOD($AA184+1,3)=0,32,15),0),0)+IF($L184="LILYA_FINISH",IF($Y184=1,50+2.5*$Z184,0),0)+IF($L184="37_FOLLOW",$J184,0)+IF($L184="RHI_ATTACK",$J184*IF($B184&lt;=$AJ184,2,1),0)+IF($L184="RHI_BERRY",15+1.5*$AV184,0)+IF($L184="J_COUNTER",$J184+$AD184*Boss参数!$B$39,0)+IF($L184="J_ULT",$J184+Boss参数!$B$45*MAX(0,$AE184+$AD184-Boss参数!$I$4),0)+$S184)</f>
        <v>0</v>
      </c>
      <c r="BH184" s="1">
        <f t="shared" si="142"/>
        <v>0</v>
      </c>
      <c r="BI184" s="1" t="str">
        <f>IF(E184="","",IF(DT184=1,1+Boss参数!$B$8+AV184*Boss参数!$B$19,1))</f>
        <v/>
      </c>
      <c r="BJ184" s="1">
        <f>IF($I184="现实",Boss参数!$C$4,IF($I184="精神",Boss参数!$D$4,0))</f>
        <v>0</v>
      </c>
      <c r="BK184" s="1" t="str">
        <f>IF($E184="","",MAX($AY184*Boss参数!$B$9,$AY184-$BJ184*(1-$BF184)))</f>
        <v/>
      </c>
      <c r="BL184" s="1">
        <f>MAX(0,Boss参数!$F$4+IF(DT184=0,Boss参数!$B$27,0)-EJ184)</f>
        <v>1.25</v>
      </c>
      <c r="BM184" s="1">
        <f>Boss参数!$G$4+DU184-IF(Y184=1,Boss参数!$B$11,0)</f>
        <v>0.4</v>
      </c>
      <c r="BN184" s="1" t="str">
        <f>IF($E184="","",MAX(Boss参数!$B$10,1+IFERROR(INDEX(角色面板!$I$18:$I$21,MATCH($E184,角色面板!$A$18:$A$21,0)),0)+$BB184+Boss参数!$H$4-$BM184))</f>
        <v/>
      </c>
      <c r="BO184" s="1" t="str">
        <f>IF(E184="","",IF(OR(L184="J_COUNTER",L184="J_HARD"),MAX(0,1+INDEX(角色面板!$K$18:$K$21,MATCH(E184,角色面板!$A$18:$A$21,0))-DI184*Boss参数!$B$23+IF(OR(Boss参数!$B$43=1,L184="J_HARD"),IF(B184&lt;=AH184,Boss参数!$B$46,0),0)),MAX(0,IF(OR(H184="术法",L184="RHI_BERRY",AND(L184="37_FOLLOW",Boss参数!$B$31=1)),1+BC184,IF(H184="仪式",1+BD184,IF(H184="洞知",EK184,1))))))</f>
        <v/>
      </c>
      <c r="BP184" s="1" t="str">
        <f t="shared" si="143"/>
        <v/>
      </c>
      <c r="BQ184" s="1">
        <f t="shared" si="144"/>
        <v>0</v>
      </c>
      <c r="BR184" s="1">
        <f t="shared" si="145"/>
        <v>0</v>
      </c>
      <c r="BS184" s="1">
        <f>IF(BH184=0,0,ROUNDDOWN(AY184*BH184,0)*DV184*IF(Boss参数!$B$29=1,BN184,1)*IF(Boss参数!$B$33=1,BO184,1)*IF(Boss参数!$B$76=1,1-ES184,1))</f>
        <v>0</v>
      </c>
      <c r="BT184" s="1">
        <f t="shared" si="146"/>
        <v>0</v>
      </c>
      <c r="BU184" s="1">
        <f>IF(D184="",0,MIN(IF(Boss参数!$B$77=1,Boss参数!$B$63*Boss参数!$B$62,Boss参数!$B$61*Boss参数!$B$62),DW184+ROUNDDOWN(BS184,0)+ROUNDDOWN(DW184*Q184,0)))</f>
        <v>0</v>
      </c>
      <c r="BV184" s="1">
        <f>IF(D184="",0,MIN(IF(Boss参数!$B$77=1,Boss参数!$B$63*Boss参数!$B$62,Boss参数!$B$61*Boss参数!$B$62),DX184+ROUNDDOWN(BT184,0)+ROUNDDOWN(DX184*Q184,0)))</f>
        <v>0</v>
      </c>
      <c r="BW184" s="1">
        <f t="shared" si="147"/>
        <v>0</v>
      </c>
      <c r="BX184" s="1" t="str">
        <f t="shared" si="148"/>
        <v/>
      </c>
      <c r="BY184" s="1">
        <f t="shared" si="149"/>
        <v>2</v>
      </c>
      <c r="BZ184" s="1">
        <f t="shared" si="150"/>
        <v>1</v>
      </c>
      <c r="CA184" s="1">
        <f>MIN(10,W184+IF(AND(L184="LILYA_COBRA",COUNTIF($L$3:L184,"LILYA_COBRA")=1),5,0)+IF(AND(L184="LILYA_DIVE",U184=1,COUNTIFS($DG$3:DG184,DG184,$L$3:L184,"LILYA_DIVE")=1),2,0)+IF(AND(FE184=1,U184=1),3,0))</f>
        <v>10</v>
      </c>
      <c r="CB184" s="1">
        <f>MIN(20,MAX(0,X184+IF(L184="LILYA_COBRA",IF(COUNTIF($L$3:L184,"LILYA_COBRA")=1,6,IF(U184=1,MAX(1,G184),IF(U184=2,2*MAX(1,G184),0))),0)+IF(AND(Y184=1,E184="红弩箭",L184&lt;&gt;"ENTER_INSIGHT"),1,0)-IF(AND(L184="LILYA_ULT",X184&gt;=6),6,0)))</f>
        <v>13</v>
      </c>
      <c r="CC184" s="1">
        <f t="shared" si="151"/>
        <v>0</v>
      </c>
      <c r="CD184" s="1">
        <f t="shared" si="152"/>
        <v>0</v>
      </c>
      <c r="CE184" s="1">
        <f t="shared" si="153"/>
        <v>0</v>
      </c>
      <c r="CF184" s="1">
        <f t="shared" si="154"/>
        <v>10</v>
      </c>
      <c r="CG184" s="1">
        <f t="shared" si="155"/>
        <v>1</v>
      </c>
      <c r="CH184" s="1">
        <f>MIN(35,AD184+IF(L184="J_HARD",6,0)+IF(L184="J_COUNTER",Boss参数!$B$30,0))</f>
        <v>35</v>
      </c>
      <c r="CI184" s="1">
        <f>MIN(Boss参数!$I$4,AE184+IF(L184="J_HARD",6,0)+IF(L184="J_ULT",AD184,0)+IF(L184="J_COUNTER",Boss参数!$B$30,0))</f>
        <v>0</v>
      </c>
      <c r="CJ184" s="1">
        <f>IF(L184="J_ULT",AD184*Boss参数!$B$41,IF(B184&lt;=AG184,AF184,0))</f>
        <v>0.875</v>
      </c>
      <c r="CK184" s="1">
        <f t="shared" si="156"/>
        <v>9</v>
      </c>
      <c r="CL184" s="1">
        <f t="shared" si="157"/>
        <v>9</v>
      </c>
      <c r="CM184" s="1">
        <f t="shared" si="158"/>
        <v>8</v>
      </c>
      <c r="CN184" s="1">
        <f t="shared" si="159"/>
        <v>9</v>
      </c>
      <c r="CO184" s="1">
        <f t="shared" si="160"/>
        <v>8</v>
      </c>
      <c r="CP184" s="1">
        <f t="shared" si="161"/>
        <v>3</v>
      </c>
      <c r="CQ184" s="1">
        <f t="shared" si="162"/>
        <v>30</v>
      </c>
      <c r="CR184" s="1">
        <f t="shared" si="163"/>
        <v>9</v>
      </c>
      <c r="CS184" s="1">
        <f t="shared" si="164"/>
        <v>0</v>
      </c>
      <c r="CT184" s="1" t="e">
        <f t="shared" si="165"/>
        <v>#VALUE!</v>
      </c>
      <c r="CU184" s="1" t="e">
        <f t="shared" si="166"/>
        <v>#VALUE!</v>
      </c>
      <c r="CV184" s="1">
        <f t="shared" si="167"/>
        <v>0.3</v>
      </c>
      <c r="CW184" s="1">
        <f t="shared" si="168"/>
        <v>9</v>
      </c>
      <c r="CX184" s="1">
        <f t="shared" si="169"/>
        <v>0.3</v>
      </c>
      <c r="CY184" s="1">
        <f t="shared" si="170"/>
        <v>9</v>
      </c>
      <c r="CZ184" s="1"/>
      <c r="DA184" s="1"/>
      <c r="DB184" s="1"/>
      <c r="DC184" s="1"/>
      <c r="DD184" s="1"/>
      <c r="DE184" s="1"/>
      <c r="DF184" s="1"/>
      <c r="DG184" s="1" t="str">
        <f>IF(D184="","",行动模拟!B190)</f>
        <v/>
      </c>
      <c r="DH184" s="1" t="str">
        <f>IF(L184="END_TURN","回合结束",IF(D184="","",IF(INDEX(回合状态!$C$7:$C$17,MATCH(DG184,回合状态!$A$7:$A$17,0))="洞穿","洞穿",IF(OR(L184="J_COUNTER",L184="BOSS_ACTION",L184="BOSS_CONSERVATIVE"),"敌方",IF(AND(L184="37_FOLLOW",DG184=DG183,DH183="敌方"),"敌方",IF(INDEX(回合状态!$C$7:$C$17,MATCH(DG184,回合状态!$A$7:$A$17,0))="普通","出牌",INDEX(回合状态!$C$7:$C$17,MATCH(DG184,回合状态!$A$7:$A$17,0))))))))</f>
        <v/>
      </c>
      <c r="DI184" s="1">
        <f t="shared" si="171"/>
        <v>0</v>
      </c>
      <c r="DJ184" s="1">
        <f>IF(D184="",0,MIN(Boss参数!$B$25,IF(OR(AND(DH184="敌方",OR(DH183&lt;&gt;"敌方",DG184&lt;&gt;DG183)),AND(L184="END_TURN",DH184&lt;&gt;"洞穿"),AND(DG184&lt;&gt;DG183,DH183&lt;&gt;"洞穿",L183&lt;&gt;"END_TURN",COUNTIFS($DG$3:DG183,DG183,$DH$3:DH183,"敌方")=0)),EW184,DN183)))</f>
        <v>0</v>
      </c>
      <c r="DK184" s="1">
        <f>IF(D184="",0,MIN(Boss参数!$B$25,IF(OR(AND(DH184="敌方",OR(DH183&lt;&gt;"敌方",DG184&lt;&gt;DG183)),AND(L184="END_TURN",DH184&lt;&gt;"洞穿"),AND(DG184&lt;&gt;DG183,DH183&lt;&gt;"洞穿",L183&lt;&gt;"END_TURN",COUNTIFS($DG$3:DG183,DG183,$DH$3:DH183,"敌方")=0)),EW184,DO183)))</f>
        <v>0</v>
      </c>
      <c r="DL184" s="1">
        <f>IF(D184="",0,MIN(Boss参数!$B$25,IF(OR(AND(DH184="敌方",OR(DH183&lt;&gt;"敌方",DG184&lt;&gt;DG183)),AND(L184="END_TURN",DH184&lt;&gt;"洞穿"),AND(DG184&lt;&gt;DG183,DH183&lt;&gt;"洞穿",L183&lt;&gt;"END_TURN",COUNTIFS($DG$3:DG183,DG183,$DH$3:DH183,"敌方")=0)),EW184,DP183)))</f>
        <v>0</v>
      </c>
      <c r="DM184" s="1">
        <f>IF(D184="",0,MIN(Boss参数!$B$25,IF(OR(AND(DH184="敌方",OR(DH183&lt;&gt;"敌方",DG184&lt;&gt;DG183)),AND(L184="END_TURN",DH184&lt;&gt;"洞穿"),AND(DG184&lt;&gt;DG183,DH183&lt;&gt;"洞穿",L183&lt;&gt;"END_TURN",COUNTIFS($DG$3:DG183,DG183,$DH$3:DH183,"敌方")=0)),EW184,DQ183)))</f>
        <v>0</v>
      </c>
      <c r="DN184" s="1">
        <f>MAX(0,MIN(Boss参数!$B$25,DJ184+DR184)-IF(E184="红弩箭",2*DR184,0))</f>
        <v>0</v>
      </c>
      <c r="DO184" s="1">
        <f>MAX(0,MIN(Boss参数!$B$25,DK184+DR184)-IF(E184="37",2*DR184,0))</f>
        <v>0</v>
      </c>
      <c r="DP184" s="1">
        <f>MAX(0,MIN(Boss参数!$B$25,DL184+DR184)-IF(E184="小瑞安侬",2*DR184,0))</f>
        <v>0</v>
      </c>
      <c r="DQ184" s="1">
        <f>MAX(0,MIN(Boss参数!$B$25,DM184+DR184)-IF(E184="J",2*DR184,0))</f>
        <v>0</v>
      </c>
      <c r="DR184" s="1">
        <f t="shared" si="172"/>
        <v>0</v>
      </c>
      <c r="DS184" s="1">
        <f t="shared" si="173"/>
        <v>0</v>
      </c>
      <c r="DT184" s="1">
        <f>IF(OR(E184="",E184="系统"),0,IF(OR(AND(DS184=1,Boss参数!$B$32=1),L184="RHI_BERRY",OR(AND(INDEX(角色面板!$B$18:$B$21,MATCH(E184,角色面板!$A$18:$A$21,0))="星",Boss参数!$B$4="岩"),AND(INDEX(角色面板!$B$18:$B$21,MATCH(E184,角色面板!$A$18:$A$21,0))="岩",Boss参数!$B$4="兽"),AND(INDEX(角色面板!$B$18:$B$21,MATCH(E184,角色面板!$A$18:$A$21,0))="兽",Boss参数!$B$4="木"),AND(INDEX(角色面板!$B$18:$B$21,MATCH(E184,角色面板!$A$18:$A$21,0))="木",Boss参数!$B$4="星"),AND(INDEX(角色面板!$B$18:$B$21,MATCH(E184,角色面板!$A$18:$A$21,0))="智",Boss参数!$B$4="灵"),AND(INDEX(角色面板!$B$18:$B$21,MATCH(E184,角色面板!$A$18:$A$21,0))="灵",Boss参数!$B$4="智"))),1,0))</f>
        <v>0</v>
      </c>
      <c r="DU184" s="1">
        <f>IF(D184="",0,INDEX(回合状态!$E$7:$E$17,MATCH(DG184,回合状态!$A$7:$A$17,0))+IF(AND(DH184="敌方",OR(INDEX(回合状态!$C$7:$C$17,MATCH(DG184,回合状态!$A$7:$A$17,0))="普通",INDEX(回合状态!$C$7:$C$17,MATCH(DG184,回合状态!$A$7:$A$17,0))="额外")),0.05,0))</f>
        <v>0</v>
      </c>
      <c r="DV184" s="1">
        <f>MAX(Boss参数!$B$28,1+IF(AND(E184="37",AC184&gt;0,BH184&gt;0),Boss参数!$B$42,0)-DI184*Boss参数!$B$24+EA184-ER184)</f>
        <v>9.9999999999999978E-2</v>
      </c>
      <c r="DW184" s="1">
        <f>MIN(IF(Boss参数!$B$77=1,Boss参数!$B$63*Boss参数!$B$62,Boss参数!$B$61*Boss参数!$B$62),ROUNDDOWN(BQ184*(1-ES184),0))</f>
        <v>0</v>
      </c>
      <c r="DX184" s="1">
        <f>MIN(IF(Boss参数!$B$77=1,Boss参数!$B$63*Boss参数!$B$62,Boss参数!$B$61*Boss参数!$B$62),ROUNDDOWN(BR184*(1-ES184),0))</f>
        <v>0</v>
      </c>
      <c r="DY184" s="1">
        <f t="shared" si="205"/>
        <v>250</v>
      </c>
      <c r="DZ184" s="1">
        <f>IF(L184="RHI_ULT",MIN(Boss参数!$B$48,ROUNDDOWN(AY184*Boss参数!$B$47,0)),DY184)</f>
        <v>250</v>
      </c>
      <c r="EA184" s="1">
        <v>0</v>
      </c>
      <c r="EB184" s="1">
        <f t="shared" si="174"/>
        <v>0</v>
      </c>
      <c r="EC184" s="1">
        <f>SUMIFS($EB$3:EB184,$B$3:B184,"&gt;="&amp;MAX(1,B184-2),$B$3:B184,"&lt;="&amp;B184)*Boss参数!$B$51</f>
        <v>0</v>
      </c>
      <c r="ED184" s="1">
        <f>IF(D184="",EG183,IF(AND(DG184&lt;&gt;DG183,DH184&lt;&gt;"洞穿"),MIN(Boss参数!$B$55,EG183+2),EG183))</f>
        <v>0</v>
      </c>
      <c r="EE184" s="1">
        <f t="shared" si="175"/>
        <v>0</v>
      </c>
      <c r="EF184" s="1">
        <f>IF(AND(OR(L184="END_TURN",AND(DH184="敌方",OR(DH183&lt;&gt;"敌方",DG184&lt;&gt;DG183))),SUMIFS($EF$3:EF183,$DG$3:DG183,DG184)=0),MIN(1,MAX(0,ED184-EE184)),0)</f>
        <v>0</v>
      </c>
      <c r="EG184" s="1">
        <f t="shared" si="176"/>
        <v>0</v>
      </c>
      <c r="EH184" s="1">
        <f>Boss参数!$B$53-IF(Y184=1,Boss参数!$B$54,0)</f>
        <v>0</v>
      </c>
      <c r="EI184" s="1">
        <f t="shared" si="177"/>
        <v>0.15</v>
      </c>
      <c r="EJ184" s="1">
        <f t="shared" si="178"/>
        <v>0.15</v>
      </c>
      <c r="EK184" s="1" t="e">
        <f t="shared" si="179"/>
        <v>#VALUE!</v>
      </c>
      <c r="EL184" s="1">
        <f t="shared" si="206"/>
        <v>0</v>
      </c>
      <c r="EM184" s="1">
        <f>IF(AND(DG184&lt;&gt;DG183,DH184="洞穿"),0,IF(L184="ENTER_INSIGHT",Boss参数!$B$57,EO183))</f>
        <v>0</v>
      </c>
      <c r="EN184" s="1">
        <f>IF(AND(Y184=1,H184="洞知",EM184&gt;0),Boss参数!$B$56,0)</f>
        <v>0</v>
      </c>
      <c r="EO184" s="1">
        <f t="shared" si="180"/>
        <v>0</v>
      </c>
      <c r="EP184" s="1">
        <f t="shared" si="207"/>
        <v>23210479</v>
      </c>
      <c r="EQ184" s="1">
        <f>ROUNDDOWN(EP184/Boss参数!$B$62,0)</f>
        <v>232</v>
      </c>
      <c r="ER184" s="1">
        <f>IF(EQ184&gt;=Boss参数!$B$66,Boss参数!$B$69,IF(EQ184&gt;=Boss参数!$B$65,Boss参数!$B$68,IF(EQ184&gt;=Boss参数!$B$64,Boss参数!$B$67,0)))</f>
        <v>0.9</v>
      </c>
      <c r="ES184" s="1">
        <f>MIN(1,IF(EQ184&gt;=Boss参数!$B$66,Boss参数!$B$72+ROUNDDOWN((EQ184-Boss参数!$B$66)/Boss参数!$B$73,0)*Boss参数!$B$74,IF(EQ184&gt;=Boss参数!$B$65,Boss参数!$B$71,IF(EQ184&gt;=Boss参数!$B$64,Boss参数!$B$70,0))))</f>
        <v>0.65</v>
      </c>
      <c r="ET184" s="1">
        <f>MIN(Boss参数!$B$61*Boss参数!$B$62,EP184+IF(AND(Boss参数!$B$60=1,ISNUMBER(验证表!H190)),验证表!H190,EU184))</f>
        <v>23210479</v>
      </c>
      <c r="EU184" s="1">
        <f>IF(D184="",0,IF(验证表!G190="是",BV184,IF(验证表!G190="否",BU184,BW184)))</f>
        <v>0</v>
      </c>
      <c r="EV184" s="1">
        <f>IF(EQ184&gt;=Boss参数!$B$66,2,IF(EQ184&gt;=Boss参数!$B$65,1,0))</f>
        <v>2</v>
      </c>
      <c r="EW184" s="1">
        <f t="shared" si="181"/>
        <v>3</v>
      </c>
      <c r="EX184" s="1">
        <f>IF(D184="",0,INDEX(回合状态!$D$7:$D$17,MATCH(DG184,回合状态!$A$7:$A$17,0)))</f>
        <v>0</v>
      </c>
      <c r="EY184" s="1">
        <f>IF(OR(L184="RHI_ATTACK",L184="RHI_BUFF"),1,IF(L184="RHI_ULT",Boss参数!$B$52,0))</f>
        <v>0</v>
      </c>
      <c r="EZ184" s="1">
        <f>MIN(6,SUMIFS($EY$3:EY184,$EX$3:EX184,"&gt;="&amp;MAX(1,EX184-Boss参数!$B$87+1),$EX$3:EX184,"&lt;="&amp;EX184))</f>
        <v>0</v>
      </c>
      <c r="FA184" s="1">
        <f t="shared" si="208"/>
        <v>0</v>
      </c>
      <c r="FB184" s="17">
        <f>IF(L184="BOSS_CONSERVATIVE",B184+Boss参数!$B$91,FB183)</f>
        <v>7</v>
      </c>
      <c r="FC184" s="17">
        <f t="shared" si="209"/>
        <v>0</v>
      </c>
      <c r="FD184" s="17">
        <f>IF(D184="",FD183,FD183+IF(AND(DG184&lt;&gt;DG183,INDEX(回合状态!$C$7:$C$17,MATCH(DG184,回合状态!$A$7:$A$17,0))&lt;&gt;"洞穿"),1,0))</f>
        <v>8</v>
      </c>
      <c r="FE184" s="17">
        <f>IF(D184="",0,IF(AND(OR(L184="END_TURN",DH184="敌方"),INDEX(回合状态!$C$7:$C$17,MATCH(DG184,回合状态!$A$7:$A$17,0))&lt;&gt;"洞穿",SUMIFS($FE$3:FE183,$DG$3:DG183,DG184)=0),1,0))</f>
        <v>0</v>
      </c>
    </row>
    <row r="185" spans="1:161" ht="84.95" customHeight="1">
      <c r="A185" s="1" t="str">
        <f>行动模拟!A191</f>
        <v/>
      </c>
      <c r="B185" s="1">
        <f>IF(D185="",0,INDEX(回合状态!$B$7:$B$17,MATCH(DG185,回合状态!$A$7:$A$17,0)))</f>
        <v>0</v>
      </c>
      <c r="C185" s="1">
        <f>行动模拟!C191</f>
        <v>0</v>
      </c>
      <c r="D185" s="1" t="str">
        <f>IF(行动模拟!D191="","",行动模拟!D191)</f>
        <v/>
      </c>
      <c r="E185" s="1" t="str">
        <f>IF($D185="","",IFERROR(INDEX(技能数据库!$B$4:$B$38,MATCH($D185,技能数据库!$A$4:$A$38,0)),""))</f>
        <v/>
      </c>
      <c r="F185" s="1" t="str">
        <f>IF($D185="","",IFERROR(INDEX(技能数据库!$C$4:$C$38,MATCH($D185,技能数据库!$A$4:$A$38,0)),""))</f>
        <v/>
      </c>
      <c r="G185" s="1" t="str">
        <f>IF($D185="","",IFERROR(INDEX(技能数据库!$D$4:$D$38,MATCH($D185,技能数据库!$A$4:$A$38,0)),""))</f>
        <v/>
      </c>
      <c r="H185" s="1" t="str">
        <f>IF($D185="","",IFERROR(INDEX(技能数据库!$E$4:$E$38,MATCH($D185,技能数据库!$A$4:$A$38,0)),""))</f>
        <v/>
      </c>
      <c r="I185" s="1" t="str">
        <f>IF($D185="","",IFERROR(INDEX(技能数据库!$F$4:$F$38,MATCH($D185,技能数据库!$A$4:$A$38,0)),""))</f>
        <v/>
      </c>
      <c r="J185" s="1" t="str">
        <f>IF($D185="","",IFERROR(INDEX(技能数据库!$G$4:$G$38,MATCH($D185,技能数据库!$A$4:$A$38,0)),""))</f>
        <v/>
      </c>
      <c r="K185" s="1" t="str">
        <f>IF($D185="","",IFERROR(INDEX(技能数据库!$H$4:$H$38,MATCH($D185,技能数据库!$A$4:$A$38,0)),""))</f>
        <v/>
      </c>
      <c r="L185" s="1" t="str">
        <f>IF($D185="","",IFERROR(INDEX(技能数据库!$I$4:$I$38,MATCH($D185,技能数据库!$A$4:$A$38,0)),""))</f>
        <v/>
      </c>
      <c r="M185" s="1">
        <v>1</v>
      </c>
      <c r="N185" s="1"/>
      <c r="O185" s="1"/>
      <c r="P185" s="1"/>
      <c r="Q185" s="1">
        <f t="shared" si="140"/>
        <v>0</v>
      </c>
      <c r="R185" s="1">
        <v>0</v>
      </c>
      <c r="S185" s="1">
        <v>0</v>
      </c>
      <c r="T185" s="1">
        <f>行动模拟!I191</f>
        <v>0</v>
      </c>
      <c r="U185" s="1">
        <f>IF(FD185&lt;&gt;FD184,IF(BY184=1,IF(MIN(10,CA184+IF(AND(DG185&lt;&gt;DG184,DH184&lt;&gt;"洞穿",SUMIFS($FE$3:FE184,$DG$3:DG184,DG184)=0,BY184=1),3,0))&gt;=10,2,1),IF(BY184=2,IF(BZ184&lt;=1,0,2),0)),BY184)</f>
        <v>2</v>
      </c>
      <c r="V185" s="1">
        <f>IF(FD185&lt;&gt;FD184,IF(BY184=1,IF(MIN(10,CA184+IF(AND(DG185&lt;&gt;DG184,DH184&lt;&gt;"洞穿",SUMIFS($FE$3:FE184,$DG$3:DG184,DG184)=0,BY184=1),3,0))&gt;=10,2,0),IF(BY184=2,MAX(0,BZ184-1),0)),BZ184)</f>
        <v>1</v>
      </c>
      <c r="W185" s="1">
        <f>IF(AND(FD185&lt;&gt;FD184,BY184=2,BZ184&lt;=1),0,MIN(10,CA184+IF(AND(DG185&lt;&gt;DG184,DH184&lt;&gt;"洞穿",SUMIFS($FE$3:FE184,$DG$3:DG184,DG184)=0,BY184=1),3,0)))</f>
        <v>10</v>
      </c>
      <c r="X185" s="1">
        <f t="shared" si="182"/>
        <v>13</v>
      </c>
      <c r="Y185" s="1">
        <f t="shared" si="183"/>
        <v>0</v>
      </c>
      <c r="Z185" s="1">
        <f t="shared" si="184"/>
        <v>0</v>
      </c>
      <c r="AA185" s="1">
        <f t="shared" si="185"/>
        <v>0</v>
      </c>
      <c r="AB185" s="1">
        <f t="shared" si="186"/>
        <v>10</v>
      </c>
      <c r="AC185" s="1">
        <f t="shared" si="187"/>
        <v>1</v>
      </c>
      <c r="AD185" s="1">
        <f t="shared" si="188"/>
        <v>35</v>
      </c>
      <c r="AE185" s="1">
        <f>IF(D185="",0,IF(DG185&lt;&gt;DG184,IFERROR(INDEX(回合状态!$F$7:$F$17,MATCH(DG185,回合状态!$A$7:$A$17,0)),0),CI184))</f>
        <v>0</v>
      </c>
      <c r="AF185" s="1">
        <f t="shared" si="189"/>
        <v>0.875</v>
      </c>
      <c r="AG185" s="1">
        <f t="shared" si="190"/>
        <v>9</v>
      </c>
      <c r="AH185" s="1">
        <f t="shared" si="191"/>
        <v>9</v>
      </c>
      <c r="AI185" s="1">
        <f t="shared" si="192"/>
        <v>8</v>
      </c>
      <c r="AJ185" s="1">
        <f t="shared" si="193"/>
        <v>9</v>
      </c>
      <c r="AK185" s="1">
        <f t="shared" si="194"/>
        <v>8</v>
      </c>
      <c r="AL185" s="1">
        <f t="shared" si="195"/>
        <v>3</v>
      </c>
      <c r="AM185" s="1">
        <f t="shared" si="196"/>
        <v>30</v>
      </c>
      <c r="AN185" s="1">
        <f t="shared" si="197"/>
        <v>9</v>
      </c>
      <c r="AO185" s="1">
        <f t="shared" si="198"/>
        <v>0</v>
      </c>
      <c r="AP185" s="1" t="e">
        <f t="shared" si="199"/>
        <v>#VALUE!</v>
      </c>
      <c r="AQ185" s="1" t="e">
        <f t="shared" si="200"/>
        <v>#VALUE!</v>
      </c>
      <c r="AR185" s="1">
        <f t="shared" si="201"/>
        <v>0.3</v>
      </c>
      <c r="AS185" s="1">
        <f t="shared" si="202"/>
        <v>9</v>
      </c>
      <c r="AT185" s="1">
        <f t="shared" si="203"/>
        <v>0.3</v>
      </c>
      <c r="AU185" s="1">
        <f t="shared" si="204"/>
        <v>9</v>
      </c>
      <c r="AV185" s="1">
        <f>MIN(5,SUMIFS($EL$3:EL185,$B$3:B185,"&gt;="&amp;MAX(1,B185-2),$B$3:B185,"&lt;="&amp;B185)+EC185)</f>
        <v>0</v>
      </c>
      <c r="AW185" s="1">
        <f>MIN(6,SUMIFS($EY$3:EY184,$EX$3:EX184,"&gt;="&amp;MAX(1,EX185-Boss参数!$B$87+1),$EX$3:EX184,"&lt;="&amp;EX185))</f>
        <v>0</v>
      </c>
      <c r="AX185" s="1">
        <f>MIN(4,COUNTIFS($B$3:$B$184,"&gt;="&amp;MAX(1,$B185-2),$B$3:$B$184,"&lt;="&amp;$B185,$L$3:$L$184,"37_FOLLOW"))</f>
        <v>0</v>
      </c>
      <c r="AY185" s="1" t="str">
        <f>IF($E185="","",IF($E185="系统",0,ROUNDDOWN(INDEX(角色面板!$C$4:$C$7,MATCH($E185,角色面板!$A$4:$A$7,0))*(1+INDEX(角色面板!$C$11:$C$14,MATCH($E185,角色面板!$A$11:$A$14,0))+IF($E185="小瑞安侬",MAX(IF($B185&lt;=$AQ185,$AP185,0),IF(AND($L185="RHI_ATTACK",$EE185&gt;0),0.11+0.01*$G185,0)),0)+IF($E185="J",$AD185*Boss参数!$B$18,0))+IF(FD185&lt;=$AN185,MIN(Boss参数!$B$21,ROUNDDOWN(角色面板!$C$19*Boss参数!$B$20,0)),0)+IF(AND($B185&lt;=$AK185,$E185&lt;&gt;"小瑞安侬"),$DY185,0),0)))</f>
        <v/>
      </c>
      <c r="AZ185" s="1" t="str">
        <f>IF($E185="","",MAX(0,MIN(1,IFERROR(INDEX(角色面板!$G$18:$G$21,MATCH($E185,角色面板!$A$18:$A$21,0)),0)-FC185*Boss参数!$B$89-Boss参数!$E$4)))</f>
        <v/>
      </c>
      <c r="BA185" s="1" t="str">
        <f>IF(E185="","",(IF($E185="","",IF($E185="红弩箭",Boss参数!$B$80,IF($E185="J",Boss参数!$B$81,IFERROR(INDEX(角色面板!$H$18:$H$21,MATCH($E185,角色面板!$A$18:$A$21,0)),0)))+IF($B185&lt;=$AI185,Boss参数!$B$13,0)+MIN(30,$AM185)*Boss参数!$B$17+IF(AND($L185="LILYA_ULT",$X185&gt;=6),1,0)+IF(AND($Y185=1,$L185="LILYA_INSIGHT"),IF(MOD($AA185+1,3)=0,Boss参数!$B$83,Boss参数!$B$82),IF(AND($Y185=1,$L185="LILYA_FINISH"),Boss参数!$B$84,0))))-FC185*Boss参数!$B$90)</f>
        <v/>
      </c>
      <c r="BB185" s="1" t="str">
        <f>IF($E185="","",IFERROR(INDEX(角色面板!$M$18:$M$21,MATCH($E185,角色面板!$A$18:$A$21,0)),0)+$AW185*Boss参数!$B$12+IF($B185&lt;=$AG185,$AF185,0)+$EI185+IF($L185="LILYA_DIVE",IF($U185=1,IF($G185=1,0.3,IF($G185=2,0.4,0.5)),IF($U185=2,IF($G185=1,0.6,IF($G185=2,0.8,1)),0)),0)+$R185+IF(AND($E185="J",OR($L185="J_COUNTER",$L185="J_HARD")),Boss参数!$B$79,0)+IF(AND(OR(L185="J_COUNTER",L185="J_HARD"),FA185&gt;=Boss参数!$B$59),FA185*Boss参数!$B$40,0))</f>
        <v/>
      </c>
      <c r="BC185" s="1" t="e">
        <f>IF($E185="","",IFERROR(INDEX(角色面板!$K$18:$K$21,MATCH($E185,角色面板!$A$18:$A$21,0)),0)+IF($B185&lt;=$AH185,Boss参数!$B$46,0)+IF($E185="红弩箭",IF($U185=1,0.6,IF($U185=2,1.2,0))+$W185*0.06,0))-DI185*Boss参数!$B$23</f>
        <v>#VALUE!</v>
      </c>
      <c r="BD185" s="1" t="e">
        <f>IF($E185="","",IFERROR(INDEX(角色面板!$L$18:$L$21,MATCH($E185,角色面板!$A$18:$A$21,0)),0)+IF($B185&lt;=$AH185,Boss参数!$B$46,0)+IF($E185="J",$AL185*Boss参数!$B$16,0)+IF($E185="红弩箭",$X185*0.025,0)+IF(AND($L185="LILYA_ULT",$X185&gt;=6),1,0))-DI185*Boss参数!$B$23</f>
        <v>#VALUE!</v>
      </c>
      <c r="BE185" s="1" t="str">
        <f>IF($E185="","",IF($H185="洞知",IF($E185="红弩箭",$AO185*Boss参数!$B$15,0)+$AX185*Boss参数!$B$14,0))</f>
        <v/>
      </c>
      <c r="BF185" s="1">
        <f t="shared" si="141"/>
        <v>0</v>
      </c>
      <c r="BG185" s="1">
        <f>IF($D185="",0,IF(AND($L185&lt;&gt;"LILYA_DIVE",$L185&lt;&gt;"LILYA_ULT",$L185&lt;&gt;"LILYA_INSIGHT",$L185&lt;&gt;"LILYA_FINISH",$L185&lt;&gt;"37_FOLLOW",$L185&lt;&gt;"RHI_ATTACK",$L185&lt;&gt;"RHI_BERRY",$L185&lt;&gt;"J_COUNTER",$L185&lt;&gt;"J_ULT"),$J185,0)+IF($L185="LILYA_DIVE",$J185+IF($U185=1,IF($G185=1,6,IF($G185=2,12,18)),IF($U185=2,IF($G185=1,12,IF($G185=2,24,36)),0)),0)+IF($L185="LILYA_ULT",$J185+IF($X185&gt;=6,18,0),0)+IF($L185="LILYA_INSIGHT",IF($Y185=1,IF(MOD($AA185+1,3)=0,32,15),0),0)+IF($L185="LILYA_FINISH",IF($Y185=1,50+2.5*$Z185,0),0)+IF($L185="37_FOLLOW",$J185,0)+IF($L185="RHI_ATTACK",$J185*IF($B185&lt;=$AJ185,2,1),0)+IF($L185="RHI_BERRY",15+1.5*$AV185,0)+IF($L185="J_COUNTER",$J185+$AD185*Boss参数!$B$39,0)+IF($L185="J_ULT",$J185+Boss参数!$B$45*MAX(0,$AE185+$AD185-Boss参数!$I$4),0)+$S185)</f>
        <v>0</v>
      </c>
      <c r="BH185" s="1">
        <f t="shared" si="142"/>
        <v>0</v>
      </c>
      <c r="BI185" s="1" t="str">
        <f>IF(E185="","",IF(DT185=1,1+Boss参数!$B$8+AV185*Boss参数!$B$19,1))</f>
        <v/>
      </c>
      <c r="BJ185" s="1">
        <f>IF($I185="现实",Boss参数!$C$4,IF($I185="精神",Boss参数!$D$4,0))</f>
        <v>0</v>
      </c>
      <c r="BK185" s="1" t="str">
        <f>IF($E185="","",MAX($AY185*Boss参数!$B$9,$AY185-$BJ185*(1-$BF185)))</f>
        <v/>
      </c>
      <c r="BL185" s="1">
        <f>MAX(0,Boss参数!$F$4+IF(DT185=0,Boss参数!$B$27,0)-EJ185)</f>
        <v>1.25</v>
      </c>
      <c r="BM185" s="1">
        <f>Boss参数!$G$4+DU185-IF(Y185=1,Boss参数!$B$11,0)</f>
        <v>0.4</v>
      </c>
      <c r="BN185" s="1" t="str">
        <f>IF($E185="","",MAX(Boss参数!$B$10,1+IFERROR(INDEX(角色面板!$I$18:$I$21,MATCH($E185,角色面板!$A$18:$A$21,0)),0)+$BB185+Boss参数!$H$4-$BM185))</f>
        <v/>
      </c>
      <c r="BO185" s="1" t="str">
        <f>IF(E185="","",IF(OR(L185="J_COUNTER",L185="J_HARD"),MAX(0,1+INDEX(角色面板!$K$18:$K$21,MATCH(E185,角色面板!$A$18:$A$21,0))-DI185*Boss参数!$B$23+IF(OR(Boss参数!$B$43=1,L185="J_HARD"),IF(B185&lt;=AH185,Boss参数!$B$46,0),0)),MAX(0,IF(OR(H185="术法",L185="RHI_BERRY",AND(L185="37_FOLLOW",Boss参数!$B$31=1)),1+BC185,IF(H185="仪式",1+BD185,IF(H185="洞知",EK185,1))))))</f>
        <v/>
      </c>
      <c r="BP185" s="1" t="str">
        <f t="shared" si="143"/>
        <v/>
      </c>
      <c r="BQ185" s="1">
        <f t="shared" si="144"/>
        <v>0</v>
      </c>
      <c r="BR185" s="1">
        <f t="shared" si="145"/>
        <v>0</v>
      </c>
      <c r="BS185" s="1">
        <f>IF(BH185=0,0,ROUNDDOWN(AY185*BH185,0)*DV185*IF(Boss参数!$B$29=1,BN185,1)*IF(Boss参数!$B$33=1,BO185,1)*IF(Boss参数!$B$76=1,1-ES185,1))</f>
        <v>0</v>
      </c>
      <c r="BT185" s="1">
        <f t="shared" si="146"/>
        <v>0</v>
      </c>
      <c r="BU185" s="1">
        <f>IF(D185="",0,MIN(IF(Boss参数!$B$77=1,Boss参数!$B$63*Boss参数!$B$62,Boss参数!$B$61*Boss参数!$B$62),DW185+ROUNDDOWN(BS185,0)+ROUNDDOWN(DW185*Q185,0)))</f>
        <v>0</v>
      </c>
      <c r="BV185" s="1">
        <f>IF(D185="",0,MIN(IF(Boss参数!$B$77=1,Boss参数!$B$63*Boss参数!$B$62,Boss参数!$B$61*Boss参数!$B$62),DX185+ROUNDDOWN(BT185,0)+ROUNDDOWN(DX185*Q185,0)))</f>
        <v>0</v>
      </c>
      <c r="BW185" s="1">
        <f t="shared" si="147"/>
        <v>0</v>
      </c>
      <c r="BX185" s="1" t="str">
        <f t="shared" si="148"/>
        <v/>
      </c>
      <c r="BY185" s="1">
        <f t="shared" si="149"/>
        <v>2</v>
      </c>
      <c r="BZ185" s="1">
        <f t="shared" si="150"/>
        <v>1</v>
      </c>
      <c r="CA185" s="1">
        <f>MIN(10,W185+IF(AND(L185="LILYA_COBRA",COUNTIF($L$3:L185,"LILYA_COBRA")=1),5,0)+IF(AND(L185="LILYA_DIVE",U185=1,COUNTIFS($DG$3:DG185,DG185,$L$3:L185,"LILYA_DIVE")=1),2,0)+IF(AND(FE185=1,U185=1),3,0))</f>
        <v>10</v>
      </c>
      <c r="CB185" s="1">
        <f>MIN(20,MAX(0,X185+IF(L185="LILYA_COBRA",IF(COUNTIF($L$3:L185,"LILYA_COBRA")=1,6,IF(U185=1,MAX(1,G185),IF(U185=2,2*MAX(1,G185),0))),0)+IF(AND(Y185=1,E185="红弩箭",L185&lt;&gt;"ENTER_INSIGHT"),1,0)-IF(AND(L185="LILYA_ULT",X185&gt;=6),6,0)))</f>
        <v>13</v>
      </c>
      <c r="CC185" s="1">
        <f t="shared" si="151"/>
        <v>0</v>
      </c>
      <c r="CD185" s="1">
        <f t="shared" si="152"/>
        <v>0</v>
      </c>
      <c r="CE185" s="1">
        <f t="shared" si="153"/>
        <v>0</v>
      </c>
      <c r="CF185" s="1">
        <f t="shared" si="154"/>
        <v>10</v>
      </c>
      <c r="CG185" s="1">
        <f t="shared" si="155"/>
        <v>1</v>
      </c>
      <c r="CH185" s="1">
        <f>MIN(35,AD185+IF(L185="J_HARD",6,0)+IF(L185="J_COUNTER",Boss参数!$B$30,0))</f>
        <v>35</v>
      </c>
      <c r="CI185" s="1">
        <f>MIN(Boss参数!$I$4,AE185+IF(L185="J_HARD",6,0)+IF(L185="J_ULT",AD185,0)+IF(L185="J_COUNTER",Boss参数!$B$30,0))</f>
        <v>0</v>
      </c>
      <c r="CJ185" s="1">
        <f>IF(L185="J_ULT",AD185*Boss参数!$B$41,IF(B185&lt;=AG185,AF185,0))</f>
        <v>0.875</v>
      </c>
      <c r="CK185" s="1">
        <f t="shared" si="156"/>
        <v>9</v>
      </c>
      <c r="CL185" s="1">
        <f t="shared" si="157"/>
        <v>9</v>
      </c>
      <c r="CM185" s="1">
        <f t="shared" si="158"/>
        <v>8</v>
      </c>
      <c r="CN185" s="1">
        <f t="shared" si="159"/>
        <v>9</v>
      </c>
      <c r="CO185" s="1">
        <f t="shared" si="160"/>
        <v>8</v>
      </c>
      <c r="CP185" s="1">
        <f t="shared" si="161"/>
        <v>3</v>
      </c>
      <c r="CQ185" s="1">
        <f t="shared" si="162"/>
        <v>30</v>
      </c>
      <c r="CR185" s="1">
        <f t="shared" si="163"/>
        <v>9</v>
      </c>
      <c r="CS185" s="1">
        <f t="shared" si="164"/>
        <v>0</v>
      </c>
      <c r="CT185" s="1" t="e">
        <f t="shared" si="165"/>
        <v>#VALUE!</v>
      </c>
      <c r="CU185" s="1" t="e">
        <f t="shared" si="166"/>
        <v>#VALUE!</v>
      </c>
      <c r="CV185" s="1">
        <f t="shared" si="167"/>
        <v>0.3</v>
      </c>
      <c r="CW185" s="1">
        <f t="shared" si="168"/>
        <v>9</v>
      </c>
      <c r="CX185" s="1">
        <f t="shared" si="169"/>
        <v>0.3</v>
      </c>
      <c r="CY185" s="1">
        <f t="shared" si="170"/>
        <v>9</v>
      </c>
      <c r="CZ185" s="1"/>
      <c r="DA185" s="1"/>
      <c r="DB185" s="1"/>
      <c r="DC185" s="1"/>
      <c r="DD185" s="1"/>
      <c r="DE185" s="1"/>
      <c r="DF185" s="1"/>
      <c r="DG185" s="1" t="str">
        <f>IF(D185="","",行动模拟!B191)</f>
        <v/>
      </c>
      <c r="DH185" s="1" t="str">
        <f>IF(L185="END_TURN","回合结束",IF(D185="","",IF(INDEX(回合状态!$C$7:$C$17,MATCH(DG185,回合状态!$A$7:$A$17,0))="洞穿","洞穿",IF(OR(L185="J_COUNTER",L185="BOSS_ACTION",L185="BOSS_CONSERVATIVE"),"敌方",IF(AND(L185="37_FOLLOW",DG185=DG184,DH184="敌方"),"敌方",IF(INDEX(回合状态!$C$7:$C$17,MATCH(DG185,回合状态!$A$7:$A$17,0))="普通","出牌",INDEX(回合状态!$C$7:$C$17,MATCH(DG185,回合状态!$A$7:$A$17,0))))))))</f>
        <v/>
      </c>
      <c r="DI185" s="1">
        <f t="shared" si="171"/>
        <v>0</v>
      </c>
      <c r="DJ185" s="1">
        <f>IF(D185="",0,MIN(Boss参数!$B$25,IF(OR(AND(DH185="敌方",OR(DH184&lt;&gt;"敌方",DG185&lt;&gt;DG184)),AND(L185="END_TURN",DH185&lt;&gt;"洞穿"),AND(DG185&lt;&gt;DG184,DH184&lt;&gt;"洞穿",L184&lt;&gt;"END_TURN",COUNTIFS($DG$3:DG184,DG184,$DH$3:DH184,"敌方")=0)),EW185,DN184)))</f>
        <v>0</v>
      </c>
      <c r="DK185" s="1">
        <f>IF(D185="",0,MIN(Boss参数!$B$25,IF(OR(AND(DH185="敌方",OR(DH184&lt;&gt;"敌方",DG185&lt;&gt;DG184)),AND(L185="END_TURN",DH185&lt;&gt;"洞穿"),AND(DG185&lt;&gt;DG184,DH184&lt;&gt;"洞穿",L184&lt;&gt;"END_TURN",COUNTIFS($DG$3:DG184,DG184,$DH$3:DH184,"敌方")=0)),EW185,DO184)))</f>
        <v>0</v>
      </c>
      <c r="DL185" s="1">
        <f>IF(D185="",0,MIN(Boss参数!$B$25,IF(OR(AND(DH185="敌方",OR(DH184&lt;&gt;"敌方",DG185&lt;&gt;DG184)),AND(L185="END_TURN",DH185&lt;&gt;"洞穿"),AND(DG185&lt;&gt;DG184,DH184&lt;&gt;"洞穿",L184&lt;&gt;"END_TURN",COUNTIFS($DG$3:DG184,DG184,$DH$3:DH184,"敌方")=0)),EW185,DP184)))</f>
        <v>0</v>
      </c>
      <c r="DM185" s="1">
        <f>IF(D185="",0,MIN(Boss参数!$B$25,IF(OR(AND(DH185="敌方",OR(DH184&lt;&gt;"敌方",DG185&lt;&gt;DG184)),AND(L185="END_TURN",DH185&lt;&gt;"洞穿"),AND(DG185&lt;&gt;DG184,DH184&lt;&gt;"洞穿",L184&lt;&gt;"END_TURN",COUNTIFS($DG$3:DG184,DG184,$DH$3:DH184,"敌方")=0)),EW185,DQ184)))</f>
        <v>0</v>
      </c>
      <c r="DN185" s="1">
        <f>MAX(0,MIN(Boss参数!$B$25,DJ185+DR185)-IF(E185="红弩箭",2*DR185,0))</f>
        <v>0</v>
      </c>
      <c r="DO185" s="1">
        <f>MAX(0,MIN(Boss参数!$B$25,DK185+DR185)-IF(E185="37",2*DR185,0))</f>
        <v>0</v>
      </c>
      <c r="DP185" s="1">
        <f>MAX(0,MIN(Boss参数!$B$25,DL185+DR185)-IF(E185="小瑞安侬",2*DR185,0))</f>
        <v>0</v>
      </c>
      <c r="DQ185" s="1">
        <f>MAX(0,MIN(Boss参数!$B$25,DM185+DR185)-IF(E185="J",2*DR185,0))</f>
        <v>0</v>
      </c>
      <c r="DR185" s="1">
        <f t="shared" si="172"/>
        <v>0</v>
      </c>
      <c r="DS185" s="1">
        <f t="shared" si="173"/>
        <v>0</v>
      </c>
      <c r="DT185" s="1">
        <f>IF(OR(E185="",E185="系统"),0,IF(OR(AND(DS185=1,Boss参数!$B$32=1),L185="RHI_BERRY",OR(AND(INDEX(角色面板!$B$18:$B$21,MATCH(E185,角色面板!$A$18:$A$21,0))="星",Boss参数!$B$4="岩"),AND(INDEX(角色面板!$B$18:$B$21,MATCH(E185,角色面板!$A$18:$A$21,0))="岩",Boss参数!$B$4="兽"),AND(INDEX(角色面板!$B$18:$B$21,MATCH(E185,角色面板!$A$18:$A$21,0))="兽",Boss参数!$B$4="木"),AND(INDEX(角色面板!$B$18:$B$21,MATCH(E185,角色面板!$A$18:$A$21,0))="木",Boss参数!$B$4="星"),AND(INDEX(角色面板!$B$18:$B$21,MATCH(E185,角色面板!$A$18:$A$21,0))="智",Boss参数!$B$4="灵"),AND(INDEX(角色面板!$B$18:$B$21,MATCH(E185,角色面板!$A$18:$A$21,0))="灵",Boss参数!$B$4="智"))),1,0))</f>
        <v>0</v>
      </c>
      <c r="DU185" s="1">
        <f>IF(D185="",0,INDEX(回合状态!$E$7:$E$17,MATCH(DG185,回合状态!$A$7:$A$17,0))+IF(AND(DH185="敌方",OR(INDEX(回合状态!$C$7:$C$17,MATCH(DG185,回合状态!$A$7:$A$17,0))="普通",INDEX(回合状态!$C$7:$C$17,MATCH(DG185,回合状态!$A$7:$A$17,0))="额外")),0.05,0))</f>
        <v>0</v>
      </c>
      <c r="DV185" s="1">
        <f>MAX(Boss参数!$B$28,1+IF(AND(E185="37",AC185&gt;0,BH185&gt;0),Boss参数!$B$42,0)-DI185*Boss参数!$B$24+EA185-ER185)</f>
        <v>9.9999999999999978E-2</v>
      </c>
      <c r="DW185" s="1">
        <f>MIN(IF(Boss参数!$B$77=1,Boss参数!$B$63*Boss参数!$B$62,Boss参数!$B$61*Boss参数!$B$62),ROUNDDOWN(BQ185*(1-ES185),0))</f>
        <v>0</v>
      </c>
      <c r="DX185" s="1">
        <f>MIN(IF(Boss参数!$B$77=1,Boss参数!$B$63*Boss参数!$B$62,Boss参数!$B$61*Boss参数!$B$62),ROUNDDOWN(BR185*(1-ES185),0))</f>
        <v>0</v>
      </c>
      <c r="DY185" s="1">
        <f t="shared" si="205"/>
        <v>250</v>
      </c>
      <c r="DZ185" s="1">
        <f>IF(L185="RHI_ULT",MIN(Boss参数!$B$48,ROUNDDOWN(AY185*Boss参数!$B$47,0)),DY185)</f>
        <v>250</v>
      </c>
      <c r="EA185" s="1">
        <v>0</v>
      </c>
      <c r="EB185" s="1">
        <f t="shared" si="174"/>
        <v>0</v>
      </c>
      <c r="EC185" s="1">
        <f>SUMIFS($EB$3:EB185,$B$3:B185,"&gt;="&amp;MAX(1,B185-2),$B$3:B185,"&lt;="&amp;B185)*Boss参数!$B$51</f>
        <v>0</v>
      </c>
      <c r="ED185" s="1">
        <f>IF(D185="",EG184,IF(AND(DG185&lt;&gt;DG184,DH185&lt;&gt;"洞穿"),MIN(Boss参数!$B$55,EG184+2),EG184))</f>
        <v>0</v>
      </c>
      <c r="EE185" s="1">
        <f t="shared" si="175"/>
        <v>0</v>
      </c>
      <c r="EF185" s="1">
        <f>IF(AND(OR(L185="END_TURN",AND(DH185="敌方",OR(DH184&lt;&gt;"敌方",DG185&lt;&gt;DG184))),SUMIFS($EF$3:EF184,$DG$3:DG184,DG185)=0),MIN(1,MAX(0,ED185-EE185)),0)</f>
        <v>0</v>
      </c>
      <c r="EG185" s="1">
        <f t="shared" si="176"/>
        <v>0</v>
      </c>
      <c r="EH185" s="1">
        <f>Boss参数!$B$53-IF(Y185=1,Boss参数!$B$54,0)</f>
        <v>0</v>
      </c>
      <c r="EI185" s="1">
        <f t="shared" si="177"/>
        <v>0.15</v>
      </c>
      <c r="EJ185" s="1">
        <f t="shared" si="178"/>
        <v>0.15</v>
      </c>
      <c r="EK185" s="1" t="e">
        <f t="shared" si="179"/>
        <v>#VALUE!</v>
      </c>
      <c r="EL185" s="1">
        <f t="shared" si="206"/>
        <v>0</v>
      </c>
      <c r="EM185" s="1">
        <f>IF(AND(DG185&lt;&gt;DG184,DH185="洞穿"),0,IF(L185="ENTER_INSIGHT",Boss参数!$B$57,EO184))</f>
        <v>0</v>
      </c>
      <c r="EN185" s="1">
        <f>IF(AND(Y185=1,H185="洞知",EM185&gt;0),Boss参数!$B$56,0)</f>
        <v>0</v>
      </c>
      <c r="EO185" s="1">
        <f t="shared" si="180"/>
        <v>0</v>
      </c>
      <c r="EP185" s="1">
        <f t="shared" si="207"/>
        <v>23210479</v>
      </c>
      <c r="EQ185" s="1">
        <f>ROUNDDOWN(EP185/Boss参数!$B$62,0)</f>
        <v>232</v>
      </c>
      <c r="ER185" s="1">
        <f>IF(EQ185&gt;=Boss参数!$B$66,Boss参数!$B$69,IF(EQ185&gt;=Boss参数!$B$65,Boss参数!$B$68,IF(EQ185&gt;=Boss参数!$B$64,Boss参数!$B$67,0)))</f>
        <v>0.9</v>
      </c>
      <c r="ES185" s="1">
        <f>MIN(1,IF(EQ185&gt;=Boss参数!$B$66,Boss参数!$B$72+ROUNDDOWN((EQ185-Boss参数!$B$66)/Boss参数!$B$73,0)*Boss参数!$B$74,IF(EQ185&gt;=Boss参数!$B$65,Boss参数!$B$71,IF(EQ185&gt;=Boss参数!$B$64,Boss参数!$B$70,0))))</f>
        <v>0.65</v>
      </c>
      <c r="ET185" s="1">
        <f>MIN(Boss参数!$B$61*Boss参数!$B$62,EP185+IF(AND(Boss参数!$B$60=1,ISNUMBER(验证表!H191)),验证表!H191,EU185))</f>
        <v>23210479</v>
      </c>
      <c r="EU185" s="1">
        <f>IF(D185="",0,IF(验证表!G191="是",BV185,IF(验证表!G191="否",BU185,BW185)))</f>
        <v>0</v>
      </c>
      <c r="EV185" s="1">
        <f>IF(EQ185&gt;=Boss参数!$B$66,2,IF(EQ185&gt;=Boss参数!$B$65,1,0))</f>
        <v>2</v>
      </c>
      <c r="EW185" s="1">
        <f t="shared" si="181"/>
        <v>3</v>
      </c>
      <c r="EX185" s="1">
        <f>IF(D185="",0,INDEX(回合状态!$D$7:$D$17,MATCH(DG185,回合状态!$A$7:$A$17,0)))</f>
        <v>0</v>
      </c>
      <c r="EY185" s="1">
        <f>IF(OR(L185="RHI_ATTACK",L185="RHI_BUFF"),1,IF(L185="RHI_ULT",Boss参数!$B$52,0))</f>
        <v>0</v>
      </c>
      <c r="EZ185" s="1">
        <f>MIN(6,SUMIFS($EY$3:EY185,$EX$3:EX185,"&gt;="&amp;MAX(1,EX185-Boss参数!$B$87+1),$EX$3:EX185,"&lt;="&amp;EX185))</f>
        <v>0</v>
      </c>
      <c r="FA185" s="1">
        <f t="shared" si="208"/>
        <v>0</v>
      </c>
      <c r="FB185" s="17">
        <f>IF(L185="BOSS_CONSERVATIVE",B185+Boss参数!$B$91,FB184)</f>
        <v>7</v>
      </c>
      <c r="FC185" s="17">
        <f t="shared" si="209"/>
        <v>0</v>
      </c>
      <c r="FD185" s="17">
        <f>IF(D185="",FD184,FD184+IF(AND(DG185&lt;&gt;DG184,INDEX(回合状态!$C$7:$C$17,MATCH(DG185,回合状态!$A$7:$A$17,0))&lt;&gt;"洞穿"),1,0))</f>
        <v>8</v>
      </c>
      <c r="FE185" s="17">
        <f>IF(D185="",0,IF(AND(OR(L185="END_TURN",DH185="敌方"),INDEX(回合状态!$C$7:$C$17,MATCH(DG185,回合状态!$A$7:$A$17,0))&lt;&gt;"洞穿",SUMIFS($FE$3:FE184,$DG$3:DG184,DG185)=0),1,0))</f>
        <v>0</v>
      </c>
    </row>
    <row r="186" spans="1:161" ht="84.95" customHeight="1">
      <c r="A186" s="1" t="str">
        <f>行动模拟!A192</f>
        <v/>
      </c>
      <c r="B186" s="1">
        <f>IF(D186="",0,INDEX(回合状态!$B$7:$B$17,MATCH(DG186,回合状态!$A$7:$A$17,0)))</f>
        <v>0</v>
      </c>
      <c r="C186" s="1">
        <f>行动模拟!C192</f>
        <v>0</v>
      </c>
      <c r="D186" s="1" t="str">
        <f>IF(行动模拟!D192="","",行动模拟!D192)</f>
        <v/>
      </c>
      <c r="E186" s="1" t="str">
        <f>IF($D186="","",IFERROR(INDEX(技能数据库!$B$4:$B$38,MATCH($D186,技能数据库!$A$4:$A$38,0)),""))</f>
        <v/>
      </c>
      <c r="F186" s="1" t="str">
        <f>IF($D186="","",IFERROR(INDEX(技能数据库!$C$4:$C$38,MATCH($D186,技能数据库!$A$4:$A$38,0)),""))</f>
        <v/>
      </c>
      <c r="G186" s="1" t="str">
        <f>IF($D186="","",IFERROR(INDEX(技能数据库!$D$4:$D$38,MATCH($D186,技能数据库!$A$4:$A$38,0)),""))</f>
        <v/>
      </c>
      <c r="H186" s="1" t="str">
        <f>IF($D186="","",IFERROR(INDEX(技能数据库!$E$4:$E$38,MATCH($D186,技能数据库!$A$4:$A$38,0)),""))</f>
        <v/>
      </c>
      <c r="I186" s="1" t="str">
        <f>IF($D186="","",IFERROR(INDEX(技能数据库!$F$4:$F$38,MATCH($D186,技能数据库!$A$4:$A$38,0)),""))</f>
        <v/>
      </c>
      <c r="J186" s="1" t="str">
        <f>IF($D186="","",IFERROR(INDEX(技能数据库!$G$4:$G$38,MATCH($D186,技能数据库!$A$4:$A$38,0)),""))</f>
        <v/>
      </c>
      <c r="K186" s="1" t="str">
        <f>IF($D186="","",IFERROR(INDEX(技能数据库!$H$4:$H$38,MATCH($D186,技能数据库!$A$4:$A$38,0)),""))</f>
        <v/>
      </c>
      <c r="L186" s="1" t="str">
        <f>IF($D186="","",IFERROR(INDEX(技能数据库!$I$4:$I$38,MATCH($D186,技能数据库!$A$4:$A$38,0)),""))</f>
        <v/>
      </c>
      <c r="M186" s="1">
        <v>1</v>
      </c>
      <c r="N186" s="1"/>
      <c r="O186" s="1"/>
      <c r="P186" s="1"/>
      <c r="Q186" s="1">
        <f t="shared" si="140"/>
        <v>0</v>
      </c>
      <c r="R186" s="1">
        <v>0</v>
      </c>
      <c r="S186" s="1">
        <v>0</v>
      </c>
      <c r="T186" s="1">
        <f>行动模拟!I192</f>
        <v>0</v>
      </c>
      <c r="U186" s="1">
        <f>IF(FD186&lt;&gt;FD185,IF(BY185=1,IF(MIN(10,CA185+IF(AND(DG186&lt;&gt;DG185,DH185&lt;&gt;"洞穿",SUMIFS($FE$3:FE185,$DG$3:DG185,DG185)=0,BY185=1),3,0))&gt;=10,2,1),IF(BY185=2,IF(BZ185&lt;=1,0,2),0)),BY185)</f>
        <v>2</v>
      </c>
      <c r="V186" s="1">
        <f>IF(FD186&lt;&gt;FD185,IF(BY185=1,IF(MIN(10,CA185+IF(AND(DG186&lt;&gt;DG185,DH185&lt;&gt;"洞穿",SUMIFS($FE$3:FE185,$DG$3:DG185,DG185)=0,BY185=1),3,0))&gt;=10,2,0),IF(BY185=2,MAX(0,BZ185-1),0)),BZ185)</f>
        <v>1</v>
      </c>
      <c r="W186" s="1">
        <f>IF(AND(FD186&lt;&gt;FD185,BY185=2,BZ185&lt;=1),0,MIN(10,CA185+IF(AND(DG186&lt;&gt;DG185,DH185&lt;&gt;"洞穿",SUMIFS($FE$3:FE185,$DG$3:DG185,DG185)=0,BY185=1),3,0)))</f>
        <v>10</v>
      </c>
      <c r="X186" s="1">
        <f t="shared" si="182"/>
        <v>13</v>
      </c>
      <c r="Y186" s="1">
        <f t="shared" si="183"/>
        <v>0</v>
      </c>
      <c r="Z186" s="1">
        <f t="shared" si="184"/>
        <v>0</v>
      </c>
      <c r="AA186" s="1">
        <f t="shared" si="185"/>
        <v>0</v>
      </c>
      <c r="AB186" s="1">
        <f t="shared" si="186"/>
        <v>10</v>
      </c>
      <c r="AC186" s="1">
        <f t="shared" si="187"/>
        <v>1</v>
      </c>
      <c r="AD186" s="1">
        <f t="shared" si="188"/>
        <v>35</v>
      </c>
      <c r="AE186" s="1">
        <f>IF(D186="",0,IF(DG186&lt;&gt;DG185,IFERROR(INDEX(回合状态!$F$7:$F$17,MATCH(DG186,回合状态!$A$7:$A$17,0)),0),CI185))</f>
        <v>0</v>
      </c>
      <c r="AF186" s="1">
        <f t="shared" si="189"/>
        <v>0.875</v>
      </c>
      <c r="AG186" s="1">
        <f t="shared" si="190"/>
        <v>9</v>
      </c>
      <c r="AH186" s="1">
        <f t="shared" si="191"/>
        <v>9</v>
      </c>
      <c r="AI186" s="1">
        <f t="shared" si="192"/>
        <v>8</v>
      </c>
      <c r="AJ186" s="1">
        <f t="shared" si="193"/>
        <v>9</v>
      </c>
      <c r="AK186" s="1">
        <f t="shared" si="194"/>
        <v>8</v>
      </c>
      <c r="AL186" s="1">
        <f t="shared" si="195"/>
        <v>3</v>
      </c>
      <c r="AM186" s="1">
        <f t="shared" si="196"/>
        <v>30</v>
      </c>
      <c r="AN186" s="1">
        <f t="shared" si="197"/>
        <v>9</v>
      </c>
      <c r="AO186" s="1">
        <f t="shared" si="198"/>
        <v>0</v>
      </c>
      <c r="AP186" s="1" t="e">
        <f t="shared" si="199"/>
        <v>#VALUE!</v>
      </c>
      <c r="AQ186" s="1" t="e">
        <f t="shared" si="200"/>
        <v>#VALUE!</v>
      </c>
      <c r="AR186" s="1">
        <f t="shared" si="201"/>
        <v>0.3</v>
      </c>
      <c r="AS186" s="1">
        <f t="shared" si="202"/>
        <v>9</v>
      </c>
      <c r="AT186" s="1">
        <f t="shared" si="203"/>
        <v>0.3</v>
      </c>
      <c r="AU186" s="1">
        <f t="shared" si="204"/>
        <v>9</v>
      </c>
      <c r="AV186" s="1">
        <f>MIN(5,SUMIFS($EL$3:EL186,$B$3:B186,"&gt;="&amp;MAX(1,B186-2),$B$3:B186,"&lt;="&amp;B186)+EC186)</f>
        <v>0</v>
      </c>
      <c r="AW186" s="1">
        <f>MIN(6,SUMIFS($EY$3:EY185,$EX$3:EX185,"&gt;="&amp;MAX(1,EX186-Boss参数!$B$87+1),$EX$3:EX185,"&lt;="&amp;EX186))</f>
        <v>0</v>
      </c>
      <c r="AX186" s="1">
        <f>MIN(4,COUNTIFS($B$3:$B$185,"&gt;="&amp;MAX(1,$B186-2),$B$3:$B$185,"&lt;="&amp;$B186,$L$3:$L$185,"37_FOLLOW"))</f>
        <v>0</v>
      </c>
      <c r="AY186" s="1" t="str">
        <f>IF($E186="","",IF($E186="系统",0,ROUNDDOWN(INDEX(角色面板!$C$4:$C$7,MATCH($E186,角色面板!$A$4:$A$7,0))*(1+INDEX(角色面板!$C$11:$C$14,MATCH($E186,角色面板!$A$11:$A$14,0))+IF($E186="小瑞安侬",MAX(IF($B186&lt;=$AQ186,$AP186,0),IF(AND($L186="RHI_ATTACK",$EE186&gt;0),0.11+0.01*$G186,0)),0)+IF($E186="J",$AD186*Boss参数!$B$18,0))+IF(FD186&lt;=$AN186,MIN(Boss参数!$B$21,ROUNDDOWN(角色面板!$C$19*Boss参数!$B$20,0)),0)+IF(AND($B186&lt;=$AK186,$E186&lt;&gt;"小瑞安侬"),$DY186,0),0)))</f>
        <v/>
      </c>
      <c r="AZ186" s="1" t="str">
        <f>IF($E186="","",MAX(0,MIN(1,IFERROR(INDEX(角色面板!$G$18:$G$21,MATCH($E186,角色面板!$A$18:$A$21,0)),0)-FC186*Boss参数!$B$89-Boss参数!$E$4)))</f>
        <v/>
      </c>
      <c r="BA186" s="1" t="str">
        <f>IF(E186="","",(IF($E186="","",IF($E186="红弩箭",Boss参数!$B$80,IF($E186="J",Boss参数!$B$81,IFERROR(INDEX(角色面板!$H$18:$H$21,MATCH($E186,角色面板!$A$18:$A$21,0)),0)))+IF($B186&lt;=$AI186,Boss参数!$B$13,0)+MIN(30,$AM186)*Boss参数!$B$17+IF(AND($L186="LILYA_ULT",$X186&gt;=6),1,0)+IF(AND($Y186=1,$L186="LILYA_INSIGHT"),IF(MOD($AA186+1,3)=0,Boss参数!$B$83,Boss参数!$B$82),IF(AND($Y186=1,$L186="LILYA_FINISH"),Boss参数!$B$84,0))))-FC186*Boss参数!$B$90)</f>
        <v/>
      </c>
      <c r="BB186" s="1" t="str">
        <f>IF($E186="","",IFERROR(INDEX(角色面板!$M$18:$M$21,MATCH($E186,角色面板!$A$18:$A$21,0)),0)+$AW186*Boss参数!$B$12+IF($B186&lt;=$AG186,$AF186,0)+$EI186+IF($L186="LILYA_DIVE",IF($U186=1,IF($G186=1,0.3,IF($G186=2,0.4,0.5)),IF($U186=2,IF($G186=1,0.6,IF($G186=2,0.8,1)),0)),0)+$R186+IF(AND($E186="J",OR($L186="J_COUNTER",$L186="J_HARD")),Boss参数!$B$79,0)+IF(AND(OR(L186="J_COUNTER",L186="J_HARD"),FA186&gt;=Boss参数!$B$59),FA186*Boss参数!$B$40,0))</f>
        <v/>
      </c>
      <c r="BC186" s="1" t="e">
        <f>IF($E186="","",IFERROR(INDEX(角色面板!$K$18:$K$21,MATCH($E186,角色面板!$A$18:$A$21,0)),0)+IF($B186&lt;=$AH186,Boss参数!$B$46,0)+IF($E186="红弩箭",IF($U186=1,0.6,IF($U186=2,1.2,0))+$W186*0.06,0))-DI186*Boss参数!$B$23</f>
        <v>#VALUE!</v>
      </c>
      <c r="BD186" s="1" t="e">
        <f>IF($E186="","",IFERROR(INDEX(角色面板!$L$18:$L$21,MATCH($E186,角色面板!$A$18:$A$21,0)),0)+IF($B186&lt;=$AH186,Boss参数!$B$46,0)+IF($E186="J",$AL186*Boss参数!$B$16,0)+IF($E186="红弩箭",$X186*0.025,0)+IF(AND($L186="LILYA_ULT",$X186&gt;=6),1,0))-DI186*Boss参数!$B$23</f>
        <v>#VALUE!</v>
      </c>
      <c r="BE186" s="1" t="str">
        <f>IF($E186="","",IF($H186="洞知",IF($E186="红弩箭",$AO186*Boss参数!$B$15,0)+$AX186*Boss参数!$B$14,0))</f>
        <v/>
      </c>
      <c r="BF186" s="1">
        <f t="shared" si="141"/>
        <v>0</v>
      </c>
      <c r="BG186" s="1">
        <f>IF($D186="",0,IF(AND($L186&lt;&gt;"LILYA_DIVE",$L186&lt;&gt;"LILYA_ULT",$L186&lt;&gt;"LILYA_INSIGHT",$L186&lt;&gt;"LILYA_FINISH",$L186&lt;&gt;"37_FOLLOW",$L186&lt;&gt;"RHI_ATTACK",$L186&lt;&gt;"RHI_BERRY",$L186&lt;&gt;"J_COUNTER",$L186&lt;&gt;"J_ULT"),$J186,0)+IF($L186="LILYA_DIVE",$J186+IF($U186=1,IF($G186=1,6,IF($G186=2,12,18)),IF($U186=2,IF($G186=1,12,IF($G186=2,24,36)),0)),0)+IF($L186="LILYA_ULT",$J186+IF($X186&gt;=6,18,0),0)+IF($L186="LILYA_INSIGHT",IF($Y186=1,IF(MOD($AA186+1,3)=0,32,15),0),0)+IF($L186="LILYA_FINISH",IF($Y186=1,50+2.5*$Z186,0),0)+IF($L186="37_FOLLOW",$J186,0)+IF($L186="RHI_ATTACK",$J186*IF($B186&lt;=$AJ186,2,1),0)+IF($L186="RHI_BERRY",15+1.5*$AV186,0)+IF($L186="J_COUNTER",$J186+$AD186*Boss参数!$B$39,0)+IF($L186="J_ULT",$J186+Boss参数!$B$45*MAX(0,$AE186+$AD186-Boss参数!$I$4),0)+$S186)</f>
        <v>0</v>
      </c>
      <c r="BH186" s="1">
        <f t="shared" si="142"/>
        <v>0</v>
      </c>
      <c r="BI186" s="1" t="str">
        <f>IF(E186="","",IF(DT186=1,1+Boss参数!$B$8+AV186*Boss参数!$B$19,1))</f>
        <v/>
      </c>
      <c r="BJ186" s="1">
        <f>IF($I186="现实",Boss参数!$C$4,IF($I186="精神",Boss参数!$D$4,0))</f>
        <v>0</v>
      </c>
      <c r="BK186" s="1" t="str">
        <f>IF($E186="","",MAX($AY186*Boss参数!$B$9,$AY186-$BJ186*(1-$BF186)))</f>
        <v/>
      </c>
      <c r="BL186" s="1">
        <f>MAX(0,Boss参数!$F$4+IF(DT186=0,Boss参数!$B$27,0)-EJ186)</f>
        <v>1.25</v>
      </c>
      <c r="BM186" s="1">
        <f>Boss参数!$G$4+DU186-IF(Y186=1,Boss参数!$B$11,0)</f>
        <v>0.4</v>
      </c>
      <c r="BN186" s="1" t="str">
        <f>IF($E186="","",MAX(Boss参数!$B$10,1+IFERROR(INDEX(角色面板!$I$18:$I$21,MATCH($E186,角色面板!$A$18:$A$21,0)),0)+$BB186+Boss参数!$H$4-$BM186))</f>
        <v/>
      </c>
      <c r="BO186" s="1" t="str">
        <f>IF(E186="","",IF(OR(L186="J_COUNTER",L186="J_HARD"),MAX(0,1+INDEX(角色面板!$K$18:$K$21,MATCH(E186,角色面板!$A$18:$A$21,0))-DI186*Boss参数!$B$23+IF(OR(Boss参数!$B$43=1,L186="J_HARD"),IF(B186&lt;=AH186,Boss参数!$B$46,0),0)),MAX(0,IF(OR(H186="术法",L186="RHI_BERRY",AND(L186="37_FOLLOW",Boss参数!$B$31=1)),1+BC186,IF(H186="仪式",1+BD186,IF(H186="洞知",EK186,1))))))</f>
        <v/>
      </c>
      <c r="BP186" s="1" t="str">
        <f t="shared" si="143"/>
        <v/>
      </c>
      <c r="BQ186" s="1">
        <f t="shared" si="144"/>
        <v>0</v>
      </c>
      <c r="BR186" s="1">
        <f t="shared" si="145"/>
        <v>0</v>
      </c>
      <c r="BS186" s="1">
        <f>IF(BH186=0,0,ROUNDDOWN(AY186*BH186,0)*DV186*IF(Boss参数!$B$29=1,BN186,1)*IF(Boss参数!$B$33=1,BO186,1)*IF(Boss参数!$B$76=1,1-ES186,1))</f>
        <v>0</v>
      </c>
      <c r="BT186" s="1">
        <f t="shared" si="146"/>
        <v>0</v>
      </c>
      <c r="BU186" s="1">
        <f>IF(D186="",0,MIN(IF(Boss参数!$B$77=1,Boss参数!$B$63*Boss参数!$B$62,Boss参数!$B$61*Boss参数!$B$62),DW186+ROUNDDOWN(BS186,0)+ROUNDDOWN(DW186*Q186,0)))</f>
        <v>0</v>
      </c>
      <c r="BV186" s="1">
        <f>IF(D186="",0,MIN(IF(Boss参数!$B$77=1,Boss参数!$B$63*Boss参数!$B$62,Boss参数!$B$61*Boss参数!$B$62),DX186+ROUNDDOWN(BT186,0)+ROUNDDOWN(DX186*Q186,0)))</f>
        <v>0</v>
      </c>
      <c r="BW186" s="1">
        <f t="shared" si="147"/>
        <v>0</v>
      </c>
      <c r="BX186" s="1" t="str">
        <f t="shared" si="148"/>
        <v/>
      </c>
      <c r="BY186" s="1">
        <f t="shared" si="149"/>
        <v>2</v>
      </c>
      <c r="BZ186" s="1">
        <f t="shared" si="150"/>
        <v>1</v>
      </c>
      <c r="CA186" s="1">
        <f>MIN(10,W186+IF(AND(L186="LILYA_COBRA",COUNTIF($L$3:L186,"LILYA_COBRA")=1),5,0)+IF(AND(L186="LILYA_DIVE",U186=1,COUNTIFS($DG$3:DG186,DG186,$L$3:L186,"LILYA_DIVE")=1),2,0)+IF(AND(FE186=1,U186=1),3,0))</f>
        <v>10</v>
      </c>
      <c r="CB186" s="1">
        <f>MIN(20,MAX(0,X186+IF(L186="LILYA_COBRA",IF(COUNTIF($L$3:L186,"LILYA_COBRA")=1,6,IF(U186=1,MAX(1,G186),IF(U186=2,2*MAX(1,G186),0))),0)+IF(AND(Y186=1,E186="红弩箭",L186&lt;&gt;"ENTER_INSIGHT"),1,0)-IF(AND(L186="LILYA_ULT",X186&gt;=6),6,0)))</f>
        <v>13</v>
      </c>
      <c r="CC186" s="1">
        <f t="shared" si="151"/>
        <v>0</v>
      </c>
      <c r="CD186" s="1">
        <f t="shared" si="152"/>
        <v>0</v>
      </c>
      <c r="CE186" s="1">
        <f t="shared" si="153"/>
        <v>0</v>
      </c>
      <c r="CF186" s="1">
        <f t="shared" si="154"/>
        <v>10</v>
      </c>
      <c r="CG186" s="1">
        <f t="shared" si="155"/>
        <v>1</v>
      </c>
      <c r="CH186" s="1">
        <f>MIN(35,AD186+IF(L186="J_HARD",6,0)+IF(L186="J_COUNTER",Boss参数!$B$30,0))</f>
        <v>35</v>
      </c>
      <c r="CI186" s="1">
        <f>MIN(Boss参数!$I$4,AE186+IF(L186="J_HARD",6,0)+IF(L186="J_ULT",AD186,0)+IF(L186="J_COUNTER",Boss参数!$B$30,0))</f>
        <v>0</v>
      </c>
      <c r="CJ186" s="1">
        <f>IF(L186="J_ULT",AD186*Boss参数!$B$41,IF(B186&lt;=AG186,AF186,0))</f>
        <v>0.875</v>
      </c>
      <c r="CK186" s="1">
        <f t="shared" si="156"/>
        <v>9</v>
      </c>
      <c r="CL186" s="1">
        <f t="shared" si="157"/>
        <v>9</v>
      </c>
      <c r="CM186" s="1">
        <f t="shared" si="158"/>
        <v>8</v>
      </c>
      <c r="CN186" s="1">
        <f t="shared" si="159"/>
        <v>9</v>
      </c>
      <c r="CO186" s="1">
        <f t="shared" si="160"/>
        <v>8</v>
      </c>
      <c r="CP186" s="1">
        <f t="shared" si="161"/>
        <v>3</v>
      </c>
      <c r="CQ186" s="1">
        <f t="shared" si="162"/>
        <v>30</v>
      </c>
      <c r="CR186" s="1">
        <f t="shared" si="163"/>
        <v>9</v>
      </c>
      <c r="CS186" s="1">
        <f t="shared" si="164"/>
        <v>0</v>
      </c>
      <c r="CT186" s="1" t="e">
        <f t="shared" si="165"/>
        <v>#VALUE!</v>
      </c>
      <c r="CU186" s="1" t="e">
        <f t="shared" si="166"/>
        <v>#VALUE!</v>
      </c>
      <c r="CV186" s="1">
        <f t="shared" si="167"/>
        <v>0.3</v>
      </c>
      <c r="CW186" s="1">
        <f t="shared" si="168"/>
        <v>9</v>
      </c>
      <c r="CX186" s="1">
        <f t="shared" si="169"/>
        <v>0.3</v>
      </c>
      <c r="CY186" s="1">
        <f t="shared" si="170"/>
        <v>9</v>
      </c>
      <c r="CZ186" s="1"/>
      <c r="DA186" s="1"/>
      <c r="DB186" s="1"/>
      <c r="DC186" s="1"/>
      <c r="DD186" s="1"/>
      <c r="DE186" s="1"/>
      <c r="DF186" s="1"/>
      <c r="DG186" s="1" t="str">
        <f>IF(D186="","",行动模拟!B192)</f>
        <v/>
      </c>
      <c r="DH186" s="1" t="str">
        <f>IF(L186="END_TURN","回合结束",IF(D186="","",IF(INDEX(回合状态!$C$7:$C$17,MATCH(DG186,回合状态!$A$7:$A$17,0))="洞穿","洞穿",IF(OR(L186="J_COUNTER",L186="BOSS_ACTION",L186="BOSS_CONSERVATIVE"),"敌方",IF(AND(L186="37_FOLLOW",DG186=DG185,DH185="敌方"),"敌方",IF(INDEX(回合状态!$C$7:$C$17,MATCH(DG186,回合状态!$A$7:$A$17,0))="普通","出牌",INDEX(回合状态!$C$7:$C$17,MATCH(DG186,回合状态!$A$7:$A$17,0))))))))</f>
        <v/>
      </c>
      <c r="DI186" s="1">
        <f t="shared" si="171"/>
        <v>0</v>
      </c>
      <c r="DJ186" s="1">
        <f>IF(D186="",0,MIN(Boss参数!$B$25,IF(OR(AND(DH186="敌方",OR(DH185&lt;&gt;"敌方",DG186&lt;&gt;DG185)),AND(L186="END_TURN",DH186&lt;&gt;"洞穿"),AND(DG186&lt;&gt;DG185,DH185&lt;&gt;"洞穿",L185&lt;&gt;"END_TURN",COUNTIFS($DG$3:DG185,DG185,$DH$3:DH185,"敌方")=0)),EW186,DN185)))</f>
        <v>0</v>
      </c>
      <c r="DK186" s="1">
        <f>IF(D186="",0,MIN(Boss参数!$B$25,IF(OR(AND(DH186="敌方",OR(DH185&lt;&gt;"敌方",DG186&lt;&gt;DG185)),AND(L186="END_TURN",DH186&lt;&gt;"洞穿"),AND(DG186&lt;&gt;DG185,DH185&lt;&gt;"洞穿",L185&lt;&gt;"END_TURN",COUNTIFS($DG$3:DG185,DG185,$DH$3:DH185,"敌方")=0)),EW186,DO185)))</f>
        <v>0</v>
      </c>
      <c r="DL186" s="1">
        <f>IF(D186="",0,MIN(Boss参数!$B$25,IF(OR(AND(DH186="敌方",OR(DH185&lt;&gt;"敌方",DG186&lt;&gt;DG185)),AND(L186="END_TURN",DH186&lt;&gt;"洞穿"),AND(DG186&lt;&gt;DG185,DH185&lt;&gt;"洞穿",L185&lt;&gt;"END_TURN",COUNTIFS($DG$3:DG185,DG185,$DH$3:DH185,"敌方")=0)),EW186,DP185)))</f>
        <v>0</v>
      </c>
      <c r="DM186" s="1">
        <f>IF(D186="",0,MIN(Boss参数!$B$25,IF(OR(AND(DH186="敌方",OR(DH185&lt;&gt;"敌方",DG186&lt;&gt;DG185)),AND(L186="END_TURN",DH186&lt;&gt;"洞穿"),AND(DG186&lt;&gt;DG185,DH185&lt;&gt;"洞穿",L185&lt;&gt;"END_TURN",COUNTIFS($DG$3:DG185,DG185,$DH$3:DH185,"敌方")=0)),EW186,DQ185)))</f>
        <v>0</v>
      </c>
      <c r="DN186" s="1">
        <f>MAX(0,MIN(Boss参数!$B$25,DJ186+DR186)-IF(E186="红弩箭",2*DR186,0))</f>
        <v>0</v>
      </c>
      <c r="DO186" s="1">
        <f>MAX(0,MIN(Boss参数!$B$25,DK186+DR186)-IF(E186="37",2*DR186,0))</f>
        <v>0</v>
      </c>
      <c r="DP186" s="1">
        <f>MAX(0,MIN(Boss参数!$B$25,DL186+DR186)-IF(E186="小瑞安侬",2*DR186,0))</f>
        <v>0</v>
      </c>
      <c r="DQ186" s="1">
        <f>MAX(0,MIN(Boss参数!$B$25,DM186+DR186)-IF(E186="J",2*DR186,0))</f>
        <v>0</v>
      </c>
      <c r="DR186" s="1">
        <f t="shared" si="172"/>
        <v>0</v>
      </c>
      <c r="DS186" s="1">
        <f t="shared" si="173"/>
        <v>0</v>
      </c>
      <c r="DT186" s="1">
        <f>IF(OR(E186="",E186="系统"),0,IF(OR(AND(DS186=1,Boss参数!$B$32=1),L186="RHI_BERRY",OR(AND(INDEX(角色面板!$B$18:$B$21,MATCH(E186,角色面板!$A$18:$A$21,0))="星",Boss参数!$B$4="岩"),AND(INDEX(角色面板!$B$18:$B$21,MATCH(E186,角色面板!$A$18:$A$21,0))="岩",Boss参数!$B$4="兽"),AND(INDEX(角色面板!$B$18:$B$21,MATCH(E186,角色面板!$A$18:$A$21,0))="兽",Boss参数!$B$4="木"),AND(INDEX(角色面板!$B$18:$B$21,MATCH(E186,角色面板!$A$18:$A$21,0))="木",Boss参数!$B$4="星"),AND(INDEX(角色面板!$B$18:$B$21,MATCH(E186,角色面板!$A$18:$A$21,0))="智",Boss参数!$B$4="灵"),AND(INDEX(角色面板!$B$18:$B$21,MATCH(E186,角色面板!$A$18:$A$21,0))="灵",Boss参数!$B$4="智"))),1,0))</f>
        <v>0</v>
      </c>
      <c r="DU186" s="1">
        <f>IF(D186="",0,INDEX(回合状态!$E$7:$E$17,MATCH(DG186,回合状态!$A$7:$A$17,0))+IF(AND(DH186="敌方",OR(INDEX(回合状态!$C$7:$C$17,MATCH(DG186,回合状态!$A$7:$A$17,0))="普通",INDEX(回合状态!$C$7:$C$17,MATCH(DG186,回合状态!$A$7:$A$17,0))="额外")),0.05,0))</f>
        <v>0</v>
      </c>
      <c r="DV186" s="1">
        <f>MAX(Boss参数!$B$28,1+IF(AND(E186="37",AC186&gt;0,BH186&gt;0),Boss参数!$B$42,0)-DI186*Boss参数!$B$24+EA186-ER186)</f>
        <v>9.9999999999999978E-2</v>
      </c>
      <c r="DW186" s="1">
        <f>MIN(IF(Boss参数!$B$77=1,Boss参数!$B$63*Boss参数!$B$62,Boss参数!$B$61*Boss参数!$B$62),ROUNDDOWN(BQ186*(1-ES186),0))</f>
        <v>0</v>
      </c>
      <c r="DX186" s="1">
        <f>MIN(IF(Boss参数!$B$77=1,Boss参数!$B$63*Boss参数!$B$62,Boss参数!$B$61*Boss参数!$B$62),ROUNDDOWN(BR186*(1-ES186),0))</f>
        <v>0</v>
      </c>
      <c r="DY186" s="1">
        <f t="shared" si="205"/>
        <v>250</v>
      </c>
      <c r="DZ186" s="1">
        <f>IF(L186="RHI_ULT",MIN(Boss参数!$B$48,ROUNDDOWN(AY186*Boss参数!$B$47,0)),DY186)</f>
        <v>250</v>
      </c>
      <c r="EA186" s="1">
        <v>0</v>
      </c>
      <c r="EB186" s="1">
        <f t="shared" si="174"/>
        <v>0</v>
      </c>
      <c r="EC186" s="1">
        <f>SUMIFS($EB$3:EB186,$B$3:B186,"&gt;="&amp;MAX(1,B186-2),$B$3:B186,"&lt;="&amp;B186)*Boss参数!$B$51</f>
        <v>0</v>
      </c>
      <c r="ED186" s="1">
        <f>IF(D186="",EG185,IF(AND(DG186&lt;&gt;DG185,DH186&lt;&gt;"洞穿"),MIN(Boss参数!$B$55,EG185+2),EG185))</f>
        <v>0</v>
      </c>
      <c r="EE186" s="1">
        <f t="shared" si="175"/>
        <v>0</v>
      </c>
      <c r="EF186" s="1">
        <f>IF(AND(OR(L186="END_TURN",AND(DH186="敌方",OR(DH185&lt;&gt;"敌方",DG186&lt;&gt;DG185))),SUMIFS($EF$3:EF185,$DG$3:DG185,DG186)=0),MIN(1,MAX(0,ED186-EE186)),0)</f>
        <v>0</v>
      </c>
      <c r="EG186" s="1">
        <f t="shared" si="176"/>
        <v>0</v>
      </c>
      <c r="EH186" s="1">
        <f>Boss参数!$B$53-IF(Y186=1,Boss参数!$B$54,0)</f>
        <v>0</v>
      </c>
      <c r="EI186" s="1">
        <f t="shared" si="177"/>
        <v>0.15</v>
      </c>
      <c r="EJ186" s="1">
        <f t="shared" si="178"/>
        <v>0.15</v>
      </c>
      <c r="EK186" s="1" t="e">
        <f t="shared" si="179"/>
        <v>#VALUE!</v>
      </c>
      <c r="EL186" s="1">
        <f t="shared" si="206"/>
        <v>0</v>
      </c>
      <c r="EM186" s="1">
        <f>IF(AND(DG186&lt;&gt;DG185,DH186="洞穿"),0,IF(L186="ENTER_INSIGHT",Boss参数!$B$57,EO185))</f>
        <v>0</v>
      </c>
      <c r="EN186" s="1">
        <f>IF(AND(Y186=1,H186="洞知",EM186&gt;0),Boss参数!$B$56,0)</f>
        <v>0</v>
      </c>
      <c r="EO186" s="1">
        <f t="shared" si="180"/>
        <v>0</v>
      </c>
      <c r="EP186" s="1">
        <f t="shared" si="207"/>
        <v>23210479</v>
      </c>
      <c r="EQ186" s="1">
        <f>ROUNDDOWN(EP186/Boss参数!$B$62,0)</f>
        <v>232</v>
      </c>
      <c r="ER186" s="1">
        <f>IF(EQ186&gt;=Boss参数!$B$66,Boss参数!$B$69,IF(EQ186&gt;=Boss参数!$B$65,Boss参数!$B$68,IF(EQ186&gt;=Boss参数!$B$64,Boss参数!$B$67,0)))</f>
        <v>0.9</v>
      </c>
      <c r="ES186" s="1">
        <f>MIN(1,IF(EQ186&gt;=Boss参数!$B$66,Boss参数!$B$72+ROUNDDOWN((EQ186-Boss参数!$B$66)/Boss参数!$B$73,0)*Boss参数!$B$74,IF(EQ186&gt;=Boss参数!$B$65,Boss参数!$B$71,IF(EQ186&gt;=Boss参数!$B$64,Boss参数!$B$70,0))))</f>
        <v>0.65</v>
      </c>
      <c r="ET186" s="1">
        <f>MIN(Boss参数!$B$61*Boss参数!$B$62,EP186+IF(AND(Boss参数!$B$60=1,ISNUMBER(验证表!H192)),验证表!H192,EU186))</f>
        <v>23210479</v>
      </c>
      <c r="EU186" s="1">
        <f>IF(D186="",0,IF(验证表!G192="是",BV186,IF(验证表!G192="否",BU186,BW186)))</f>
        <v>0</v>
      </c>
      <c r="EV186" s="1">
        <f>IF(EQ186&gt;=Boss参数!$B$66,2,IF(EQ186&gt;=Boss参数!$B$65,1,0))</f>
        <v>2</v>
      </c>
      <c r="EW186" s="1">
        <f t="shared" si="181"/>
        <v>3</v>
      </c>
      <c r="EX186" s="1">
        <f>IF(D186="",0,INDEX(回合状态!$D$7:$D$17,MATCH(DG186,回合状态!$A$7:$A$17,0)))</f>
        <v>0</v>
      </c>
      <c r="EY186" s="1">
        <f>IF(OR(L186="RHI_ATTACK",L186="RHI_BUFF"),1,IF(L186="RHI_ULT",Boss参数!$B$52,0))</f>
        <v>0</v>
      </c>
      <c r="EZ186" s="1">
        <f>MIN(6,SUMIFS($EY$3:EY186,$EX$3:EX186,"&gt;="&amp;MAX(1,EX186-Boss参数!$B$87+1),$EX$3:EX186,"&lt;="&amp;EX186))</f>
        <v>0</v>
      </c>
      <c r="FA186" s="1">
        <f t="shared" si="208"/>
        <v>0</v>
      </c>
      <c r="FB186" s="17">
        <f>IF(L186="BOSS_CONSERVATIVE",B186+Boss参数!$B$91,FB185)</f>
        <v>7</v>
      </c>
      <c r="FC186" s="17">
        <f t="shared" si="209"/>
        <v>0</v>
      </c>
      <c r="FD186" s="17">
        <f>IF(D186="",FD185,FD185+IF(AND(DG186&lt;&gt;DG185,INDEX(回合状态!$C$7:$C$17,MATCH(DG186,回合状态!$A$7:$A$17,0))&lt;&gt;"洞穿"),1,0))</f>
        <v>8</v>
      </c>
      <c r="FE186" s="17">
        <f>IF(D186="",0,IF(AND(OR(L186="END_TURN",DH186="敌方"),INDEX(回合状态!$C$7:$C$17,MATCH(DG186,回合状态!$A$7:$A$17,0))&lt;&gt;"洞穿",SUMIFS($FE$3:FE185,$DG$3:DG185,DG186)=0),1,0))</f>
        <v>0</v>
      </c>
    </row>
    <row r="187" spans="1:161" ht="84.95" customHeight="1">
      <c r="A187" s="1" t="str">
        <f>行动模拟!A193</f>
        <v/>
      </c>
      <c r="B187" s="1">
        <f>IF(D187="",0,INDEX(回合状态!$B$7:$B$17,MATCH(DG187,回合状态!$A$7:$A$17,0)))</f>
        <v>0</v>
      </c>
      <c r="C187" s="1">
        <f>行动模拟!C193</f>
        <v>0</v>
      </c>
      <c r="D187" s="1" t="str">
        <f>IF(行动模拟!D193="","",行动模拟!D193)</f>
        <v/>
      </c>
      <c r="E187" s="1" t="str">
        <f>IF($D187="","",IFERROR(INDEX(技能数据库!$B$4:$B$38,MATCH($D187,技能数据库!$A$4:$A$38,0)),""))</f>
        <v/>
      </c>
      <c r="F187" s="1" t="str">
        <f>IF($D187="","",IFERROR(INDEX(技能数据库!$C$4:$C$38,MATCH($D187,技能数据库!$A$4:$A$38,0)),""))</f>
        <v/>
      </c>
      <c r="G187" s="1" t="str">
        <f>IF($D187="","",IFERROR(INDEX(技能数据库!$D$4:$D$38,MATCH($D187,技能数据库!$A$4:$A$38,0)),""))</f>
        <v/>
      </c>
      <c r="H187" s="1" t="str">
        <f>IF($D187="","",IFERROR(INDEX(技能数据库!$E$4:$E$38,MATCH($D187,技能数据库!$A$4:$A$38,0)),""))</f>
        <v/>
      </c>
      <c r="I187" s="1" t="str">
        <f>IF($D187="","",IFERROR(INDEX(技能数据库!$F$4:$F$38,MATCH($D187,技能数据库!$A$4:$A$38,0)),""))</f>
        <v/>
      </c>
      <c r="J187" s="1" t="str">
        <f>IF($D187="","",IFERROR(INDEX(技能数据库!$G$4:$G$38,MATCH($D187,技能数据库!$A$4:$A$38,0)),""))</f>
        <v/>
      </c>
      <c r="K187" s="1" t="str">
        <f>IF($D187="","",IFERROR(INDEX(技能数据库!$H$4:$H$38,MATCH($D187,技能数据库!$A$4:$A$38,0)),""))</f>
        <v/>
      </c>
      <c r="L187" s="1" t="str">
        <f>IF($D187="","",IFERROR(INDEX(技能数据库!$I$4:$I$38,MATCH($D187,技能数据库!$A$4:$A$38,0)),""))</f>
        <v/>
      </c>
      <c r="M187" s="1">
        <v>1</v>
      </c>
      <c r="N187" s="1"/>
      <c r="O187" s="1"/>
      <c r="P187" s="1"/>
      <c r="Q187" s="1">
        <f t="shared" si="140"/>
        <v>0</v>
      </c>
      <c r="R187" s="1">
        <v>0</v>
      </c>
      <c r="S187" s="1">
        <v>0</v>
      </c>
      <c r="T187" s="1">
        <f>行动模拟!I193</f>
        <v>0</v>
      </c>
      <c r="U187" s="1">
        <f>IF(FD187&lt;&gt;FD186,IF(BY186=1,IF(MIN(10,CA186+IF(AND(DG187&lt;&gt;DG186,DH186&lt;&gt;"洞穿",SUMIFS($FE$3:FE186,$DG$3:DG186,DG186)=0,BY186=1),3,0))&gt;=10,2,1),IF(BY186=2,IF(BZ186&lt;=1,0,2),0)),BY186)</f>
        <v>2</v>
      </c>
      <c r="V187" s="1">
        <f>IF(FD187&lt;&gt;FD186,IF(BY186=1,IF(MIN(10,CA186+IF(AND(DG187&lt;&gt;DG186,DH186&lt;&gt;"洞穿",SUMIFS($FE$3:FE186,$DG$3:DG186,DG186)=0,BY186=1),3,0))&gt;=10,2,0),IF(BY186=2,MAX(0,BZ186-1),0)),BZ186)</f>
        <v>1</v>
      </c>
      <c r="W187" s="1">
        <f>IF(AND(FD187&lt;&gt;FD186,BY186=2,BZ186&lt;=1),0,MIN(10,CA186+IF(AND(DG187&lt;&gt;DG186,DH186&lt;&gt;"洞穿",SUMIFS($FE$3:FE186,$DG$3:DG186,DG186)=0,BY186=1),3,0)))</f>
        <v>10</v>
      </c>
      <c r="X187" s="1">
        <f t="shared" si="182"/>
        <v>13</v>
      </c>
      <c r="Y187" s="1">
        <f t="shared" si="183"/>
        <v>0</v>
      </c>
      <c r="Z187" s="1">
        <f t="shared" si="184"/>
        <v>0</v>
      </c>
      <c r="AA187" s="1">
        <f t="shared" si="185"/>
        <v>0</v>
      </c>
      <c r="AB187" s="1">
        <f t="shared" si="186"/>
        <v>10</v>
      </c>
      <c r="AC187" s="1">
        <f t="shared" si="187"/>
        <v>1</v>
      </c>
      <c r="AD187" s="1">
        <f t="shared" si="188"/>
        <v>35</v>
      </c>
      <c r="AE187" s="1">
        <f>IF(D187="",0,IF(DG187&lt;&gt;DG186,IFERROR(INDEX(回合状态!$F$7:$F$17,MATCH(DG187,回合状态!$A$7:$A$17,0)),0),CI186))</f>
        <v>0</v>
      </c>
      <c r="AF187" s="1">
        <f t="shared" si="189"/>
        <v>0.875</v>
      </c>
      <c r="AG187" s="1">
        <f t="shared" si="190"/>
        <v>9</v>
      </c>
      <c r="AH187" s="1">
        <f t="shared" si="191"/>
        <v>9</v>
      </c>
      <c r="AI187" s="1">
        <f t="shared" si="192"/>
        <v>8</v>
      </c>
      <c r="AJ187" s="1">
        <f t="shared" si="193"/>
        <v>9</v>
      </c>
      <c r="AK187" s="1">
        <f t="shared" si="194"/>
        <v>8</v>
      </c>
      <c r="AL187" s="1">
        <f t="shared" si="195"/>
        <v>3</v>
      </c>
      <c r="AM187" s="1">
        <f t="shared" si="196"/>
        <v>30</v>
      </c>
      <c r="AN187" s="1">
        <f t="shared" si="197"/>
        <v>9</v>
      </c>
      <c r="AO187" s="1">
        <f t="shared" si="198"/>
        <v>0</v>
      </c>
      <c r="AP187" s="1" t="e">
        <f t="shared" si="199"/>
        <v>#VALUE!</v>
      </c>
      <c r="AQ187" s="1" t="e">
        <f t="shared" si="200"/>
        <v>#VALUE!</v>
      </c>
      <c r="AR187" s="1">
        <f t="shared" si="201"/>
        <v>0.3</v>
      </c>
      <c r="AS187" s="1">
        <f t="shared" si="202"/>
        <v>9</v>
      </c>
      <c r="AT187" s="1">
        <f t="shared" si="203"/>
        <v>0.3</v>
      </c>
      <c r="AU187" s="1">
        <f t="shared" si="204"/>
        <v>9</v>
      </c>
      <c r="AV187" s="1">
        <f>MIN(5,SUMIFS($EL$3:EL187,$B$3:B187,"&gt;="&amp;MAX(1,B187-2),$B$3:B187,"&lt;="&amp;B187)+EC187)</f>
        <v>0</v>
      </c>
      <c r="AW187" s="1">
        <f>MIN(6,SUMIFS($EY$3:EY186,$EX$3:EX186,"&gt;="&amp;MAX(1,EX187-Boss参数!$B$87+1),$EX$3:EX186,"&lt;="&amp;EX187))</f>
        <v>0</v>
      </c>
      <c r="AX187" s="1">
        <f>MIN(4,COUNTIFS($B$3:$B$186,"&gt;="&amp;MAX(1,$B187-2),$B$3:$B$186,"&lt;="&amp;$B187,$L$3:$L$186,"37_FOLLOW"))</f>
        <v>0</v>
      </c>
      <c r="AY187" s="1" t="str">
        <f>IF($E187="","",IF($E187="系统",0,ROUNDDOWN(INDEX(角色面板!$C$4:$C$7,MATCH($E187,角色面板!$A$4:$A$7,0))*(1+INDEX(角色面板!$C$11:$C$14,MATCH($E187,角色面板!$A$11:$A$14,0))+IF($E187="小瑞安侬",MAX(IF($B187&lt;=$AQ187,$AP187,0),IF(AND($L187="RHI_ATTACK",$EE187&gt;0),0.11+0.01*$G187,0)),0)+IF($E187="J",$AD187*Boss参数!$B$18,0))+IF(FD187&lt;=$AN187,MIN(Boss参数!$B$21,ROUNDDOWN(角色面板!$C$19*Boss参数!$B$20,0)),0)+IF(AND($B187&lt;=$AK187,$E187&lt;&gt;"小瑞安侬"),$DY187,0),0)))</f>
        <v/>
      </c>
      <c r="AZ187" s="1" t="str">
        <f>IF($E187="","",MAX(0,MIN(1,IFERROR(INDEX(角色面板!$G$18:$G$21,MATCH($E187,角色面板!$A$18:$A$21,0)),0)-FC187*Boss参数!$B$89-Boss参数!$E$4)))</f>
        <v/>
      </c>
      <c r="BA187" s="1" t="str">
        <f>IF(E187="","",(IF($E187="","",IF($E187="红弩箭",Boss参数!$B$80,IF($E187="J",Boss参数!$B$81,IFERROR(INDEX(角色面板!$H$18:$H$21,MATCH($E187,角色面板!$A$18:$A$21,0)),0)))+IF($B187&lt;=$AI187,Boss参数!$B$13,0)+MIN(30,$AM187)*Boss参数!$B$17+IF(AND($L187="LILYA_ULT",$X187&gt;=6),1,0)+IF(AND($Y187=1,$L187="LILYA_INSIGHT"),IF(MOD($AA187+1,3)=0,Boss参数!$B$83,Boss参数!$B$82),IF(AND($Y187=1,$L187="LILYA_FINISH"),Boss参数!$B$84,0))))-FC187*Boss参数!$B$90)</f>
        <v/>
      </c>
      <c r="BB187" s="1" t="str">
        <f>IF($E187="","",IFERROR(INDEX(角色面板!$M$18:$M$21,MATCH($E187,角色面板!$A$18:$A$21,0)),0)+$AW187*Boss参数!$B$12+IF($B187&lt;=$AG187,$AF187,0)+$EI187+IF($L187="LILYA_DIVE",IF($U187=1,IF($G187=1,0.3,IF($G187=2,0.4,0.5)),IF($U187=2,IF($G187=1,0.6,IF($G187=2,0.8,1)),0)),0)+$R187+IF(AND($E187="J",OR($L187="J_COUNTER",$L187="J_HARD")),Boss参数!$B$79,0)+IF(AND(OR(L187="J_COUNTER",L187="J_HARD"),FA187&gt;=Boss参数!$B$59),FA187*Boss参数!$B$40,0))</f>
        <v/>
      </c>
      <c r="BC187" s="1" t="e">
        <f>IF($E187="","",IFERROR(INDEX(角色面板!$K$18:$K$21,MATCH($E187,角色面板!$A$18:$A$21,0)),0)+IF($B187&lt;=$AH187,Boss参数!$B$46,0)+IF($E187="红弩箭",IF($U187=1,0.6,IF($U187=2,1.2,0))+$W187*0.06,0))-DI187*Boss参数!$B$23</f>
        <v>#VALUE!</v>
      </c>
      <c r="BD187" s="1" t="e">
        <f>IF($E187="","",IFERROR(INDEX(角色面板!$L$18:$L$21,MATCH($E187,角色面板!$A$18:$A$21,0)),0)+IF($B187&lt;=$AH187,Boss参数!$B$46,0)+IF($E187="J",$AL187*Boss参数!$B$16,0)+IF($E187="红弩箭",$X187*0.025,0)+IF(AND($L187="LILYA_ULT",$X187&gt;=6),1,0))-DI187*Boss参数!$B$23</f>
        <v>#VALUE!</v>
      </c>
      <c r="BE187" s="1" t="str">
        <f>IF($E187="","",IF($H187="洞知",IF($E187="红弩箭",$AO187*Boss参数!$B$15,0)+$AX187*Boss参数!$B$14,0))</f>
        <v/>
      </c>
      <c r="BF187" s="1">
        <f t="shared" si="141"/>
        <v>0</v>
      </c>
      <c r="BG187" s="1">
        <f>IF($D187="",0,IF(AND($L187&lt;&gt;"LILYA_DIVE",$L187&lt;&gt;"LILYA_ULT",$L187&lt;&gt;"LILYA_INSIGHT",$L187&lt;&gt;"LILYA_FINISH",$L187&lt;&gt;"37_FOLLOW",$L187&lt;&gt;"RHI_ATTACK",$L187&lt;&gt;"RHI_BERRY",$L187&lt;&gt;"J_COUNTER",$L187&lt;&gt;"J_ULT"),$J187,0)+IF($L187="LILYA_DIVE",$J187+IF($U187=1,IF($G187=1,6,IF($G187=2,12,18)),IF($U187=2,IF($G187=1,12,IF($G187=2,24,36)),0)),0)+IF($L187="LILYA_ULT",$J187+IF($X187&gt;=6,18,0),0)+IF($L187="LILYA_INSIGHT",IF($Y187=1,IF(MOD($AA187+1,3)=0,32,15),0),0)+IF($L187="LILYA_FINISH",IF($Y187=1,50+2.5*$Z187,0),0)+IF($L187="37_FOLLOW",$J187,0)+IF($L187="RHI_ATTACK",$J187*IF($B187&lt;=$AJ187,2,1),0)+IF($L187="RHI_BERRY",15+1.5*$AV187,0)+IF($L187="J_COUNTER",$J187+$AD187*Boss参数!$B$39,0)+IF($L187="J_ULT",$J187+Boss参数!$B$45*MAX(0,$AE187+$AD187-Boss参数!$I$4),0)+$S187)</f>
        <v>0</v>
      </c>
      <c r="BH187" s="1">
        <f t="shared" si="142"/>
        <v>0</v>
      </c>
      <c r="BI187" s="1" t="str">
        <f>IF(E187="","",IF(DT187=1,1+Boss参数!$B$8+AV187*Boss参数!$B$19,1))</f>
        <v/>
      </c>
      <c r="BJ187" s="1">
        <f>IF($I187="现实",Boss参数!$C$4,IF($I187="精神",Boss参数!$D$4,0))</f>
        <v>0</v>
      </c>
      <c r="BK187" s="1" t="str">
        <f>IF($E187="","",MAX($AY187*Boss参数!$B$9,$AY187-$BJ187*(1-$BF187)))</f>
        <v/>
      </c>
      <c r="BL187" s="1">
        <f>MAX(0,Boss参数!$F$4+IF(DT187=0,Boss参数!$B$27,0)-EJ187)</f>
        <v>1.25</v>
      </c>
      <c r="BM187" s="1">
        <f>Boss参数!$G$4+DU187-IF(Y187=1,Boss参数!$B$11,0)</f>
        <v>0.4</v>
      </c>
      <c r="BN187" s="1" t="str">
        <f>IF($E187="","",MAX(Boss参数!$B$10,1+IFERROR(INDEX(角色面板!$I$18:$I$21,MATCH($E187,角色面板!$A$18:$A$21,0)),0)+$BB187+Boss参数!$H$4-$BM187))</f>
        <v/>
      </c>
      <c r="BO187" s="1" t="str">
        <f>IF(E187="","",IF(OR(L187="J_COUNTER",L187="J_HARD"),MAX(0,1+INDEX(角色面板!$K$18:$K$21,MATCH(E187,角色面板!$A$18:$A$21,0))-DI187*Boss参数!$B$23+IF(OR(Boss参数!$B$43=1,L187="J_HARD"),IF(B187&lt;=AH187,Boss参数!$B$46,0),0)),MAX(0,IF(OR(H187="术法",L187="RHI_BERRY",AND(L187="37_FOLLOW",Boss参数!$B$31=1)),1+BC187,IF(H187="仪式",1+BD187,IF(H187="洞知",EK187,1))))))</f>
        <v/>
      </c>
      <c r="BP187" s="1" t="str">
        <f t="shared" si="143"/>
        <v/>
      </c>
      <c r="BQ187" s="1">
        <f t="shared" si="144"/>
        <v>0</v>
      </c>
      <c r="BR187" s="1">
        <f t="shared" si="145"/>
        <v>0</v>
      </c>
      <c r="BS187" s="1">
        <f>IF(BH187=0,0,ROUNDDOWN(AY187*BH187,0)*DV187*IF(Boss参数!$B$29=1,BN187,1)*IF(Boss参数!$B$33=1,BO187,1)*IF(Boss参数!$B$76=1,1-ES187,1))</f>
        <v>0</v>
      </c>
      <c r="BT187" s="1">
        <f t="shared" si="146"/>
        <v>0</v>
      </c>
      <c r="BU187" s="1">
        <f>IF(D187="",0,MIN(IF(Boss参数!$B$77=1,Boss参数!$B$63*Boss参数!$B$62,Boss参数!$B$61*Boss参数!$B$62),DW187+ROUNDDOWN(BS187,0)+ROUNDDOWN(DW187*Q187,0)))</f>
        <v>0</v>
      </c>
      <c r="BV187" s="1">
        <f>IF(D187="",0,MIN(IF(Boss参数!$B$77=1,Boss参数!$B$63*Boss参数!$B$62,Boss参数!$B$61*Boss参数!$B$62),DX187+ROUNDDOWN(BT187,0)+ROUNDDOWN(DX187*Q187,0)))</f>
        <v>0</v>
      </c>
      <c r="BW187" s="1">
        <f t="shared" si="147"/>
        <v>0</v>
      </c>
      <c r="BX187" s="1" t="str">
        <f t="shared" si="148"/>
        <v/>
      </c>
      <c r="BY187" s="1">
        <f t="shared" si="149"/>
        <v>2</v>
      </c>
      <c r="BZ187" s="1">
        <f t="shared" si="150"/>
        <v>1</v>
      </c>
      <c r="CA187" s="1">
        <f>MIN(10,W187+IF(AND(L187="LILYA_COBRA",COUNTIF($L$3:L187,"LILYA_COBRA")=1),5,0)+IF(AND(L187="LILYA_DIVE",U187=1,COUNTIFS($DG$3:DG187,DG187,$L$3:L187,"LILYA_DIVE")=1),2,0)+IF(AND(FE187=1,U187=1),3,0))</f>
        <v>10</v>
      </c>
      <c r="CB187" s="1">
        <f>MIN(20,MAX(0,X187+IF(L187="LILYA_COBRA",IF(COUNTIF($L$3:L187,"LILYA_COBRA")=1,6,IF(U187=1,MAX(1,G187),IF(U187=2,2*MAX(1,G187),0))),0)+IF(AND(Y187=1,E187="红弩箭",L187&lt;&gt;"ENTER_INSIGHT"),1,0)-IF(AND(L187="LILYA_ULT",X187&gt;=6),6,0)))</f>
        <v>13</v>
      </c>
      <c r="CC187" s="1">
        <f t="shared" si="151"/>
        <v>0</v>
      </c>
      <c r="CD187" s="1">
        <f t="shared" si="152"/>
        <v>0</v>
      </c>
      <c r="CE187" s="1">
        <f t="shared" si="153"/>
        <v>0</v>
      </c>
      <c r="CF187" s="1">
        <f t="shared" si="154"/>
        <v>10</v>
      </c>
      <c r="CG187" s="1">
        <f t="shared" si="155"/>
        <v>1</v>
      </c>
      <c r="CH187" s="1">
        <f>MIN(35,AD187+IF(L187="J_HARD",6,0)+IF(L187="J_COUNTER",Boss参数!$B$30,0))</f>
        <v>35</v>
      </c>
      <c r="CI187" s="1">
        <f>MIN(Boss参数!$I$4,AE187+IF(L187="J_HARD",6,0)+IF(L187="J_ULT",AD187,0)+IF(L187="J_COUNTER",Boss参数!$B$30,0))</f>
        <v>0</v>
      </c>
      <c r="CJ187" s="1">
        <f>IF(L187="J_ULT",AD187*Boss参数!$B$41,IF(B187&lt;=AG187,AF187,0))</f>
        <v>0.875</v>
      </c>
      <c r="CK187" s="1">
        <f t="shared" si="156"/>
        <v>9</v>
      </c>
      <c r="CL187" s="1">
        <f t="shared" si="157"/>
        <v>9</v>
      </c>
      <c r="CM187" s="1">
        <f t="shared" si="158"/>
        <v>8</v>
      </c>
      <c r="CN187" s="1">
        <f t="shared" si="159"/>
        <v>9</v>
      </c>
      <c r="CO187" s="1">
        <f t="shared" si="160"/>
        <v>8</v>
      </c>
      <c r="CP187" s="1">
        <f t="shared" si="161"/>
        <v>3</v>
      </c>
      <c r="CQ187" s="1">
        <f t="shared" si="162"/>
        <v>30</v>
      </c>
      <c r="CR187" s="1">
        <f t="shared" si="163"/>
        <v>9</v>
      </c>
      <c r="CS187" s="1">
        <f t="shared" si="164"/>
        <v>0</v>
      </c>
      <c r="CT187" s="1" t="e">
        <f t="shared" si="165"/>
        <v>#VALUE!</v>
      </c>
      <c r="CU187" s="1" t="e">
        <f t="shared" si="166"/>
        <v>#VALUE!</v>
      </c>
      <c r="CV187" s="1">
        <f t="shared" si="167"/>
        <v>0.3</v>
      </c>
      <c r="CW187" s="1">
        <f t="shared" si="168"/>
        <v>9</v>
      </c>
      <c r="CX187" s="1">
        <f t="shared" si="169"/>
        <v>0.3</v>
      </c>
      <c r="CY187" s="1">
        <f t="shared" si="170"/>
        <v>9</v>
      </c>
      <c r="CZ187" s="1"/>
      <c r="DA187" s="1"/>
      <c r="DB187" s="1"/>
      <c r="DC187" s="1"/>
      <c r="DD187" s="1"/>
      <c r="DE187" s="1"/>
      <c r="DF187" s="1"/>
      <c r="DG187" s="1" t="str">
        <f>IF(D187="","",行动模拟!B193)</f>
        <v/>
      </c>
      <c r="DH187" s="1" t="str">
        <f>IF(L187="END_TURN","回合结束",IF(D187="","",IF(INDEX(回合状态!$C$7:$C$17,MATCH(DG187,回合状态!$A$7:$A$17,0))="洞穿","洞穿",IF(OR(L187="J_COUNTER",L187="BOSS_ACTION",L187="BOSS_CONSERVATIVE"),"敌方",IF(AND(L187="37_FOLLOW",DG187=DG186,DH186="敌方"),"敌方",IF(INDEX(回合状态!$C$7:$C$17,MATCH(DG187,回合状态!$A$7:$A$17,0))="普通","出牌",INDEX(回合状态!$C$7:$C$17,MATCH(DG187,回合状态!$A$7:$A$17,0))))))))</f>
        <v/>
      </c>
      <c r="DI187" s="1">
        <f t="shared" si="171"/>
        <v>0</v>
      </c>
      <c r="DJ187" s="1">
        <f>IF(D187="",0,MIN(Boss参数!$B$25,IF(OR(AND(DH187="敌方",OR(DH186&lt;&gt;"敌方",DG187&lt;&gt;DG186)),AND(L187="END_TURN",DH187&lt;&gt;"洞穿"),AND(DG187&lt;&gt;DG186,DH186&lt;&gt;"洞穿",L186&lt;&gt;"END_TURN",COUNTIFS($DG$3:DG186,DG186,$DH$3:DH186,"敌方")=0)),EW187,DN186)))</f>
        <v>0</v>
      </c>
      <c r="DK187" s="1">
        <f>IF(D187="",0,MIN(Boss参数!$B$25,IF(OR(AND(DH187="敌方",OR(DH186&lt;&gt;"敌方",DG187&lt;&gt;DG186)),AND(L187="END_TURN",DH187&lt;&gt;"洞穿"),AND(DG187&lt;&gt;DG186,DH186&lt;&gt;"洞穿",L186&lt;&gt;"END_TURN",COUNTIFS($DG$3:DG186,DG186,$DH$3:DH186,"敌方")=0)),EW187,DO186)))</f>
        <v>0</v>
      </c>
      <c r="DL187" s="1">
        <f>IF(D187="",0,MIN(Boss参数!$B$25,IF(OR(AND(DH187="敌方",OR(DH186&lt;&gt;"敌方",DG187&lt;&gt;DG186)),AND(L187="END_TURN",DH187&lt;&gt;"洞穿"),AND(DG187&lt;&gt;DG186,DH186&lt;&gt;"洞穿",L186&lt;&gt;"END_TURN",COUNTIFS($DG$3:DG186,DG186,$DH$3:DH186,"敌方")=0)),EW187,DP186)))</f>
        <v>0</v>
      </c>
      <c r="DM187" s="1">
        <f>IF(D187="",0,MIN(Boss参数!$B$25,IF(OR(AND(DH187="敌方",OR(DH186&lt;&gt;"敌方",DG187&lt;&gt;DG186)),AND(L187="END_TURN",DH187&lt;&gt;"洞穿"),AND(DG187&lt;&gt;DG186,DH186&lt;&gt;"洞穿",L186&lt;&gt;"END_TURN",COUNTIFS($DG$3:DG186,DG186,$DH$3:DH186,"敌方")=0)),EW187,DQ186)))</f>
        <v>0</v>
      </c>
      <c r="DN187" s="1">
        <f>MAX(0,MIN(Boss参数!$B$25,DJ187+DR187)-IF(E187="红弩箭",2*DR187,0))</f>
        <v>0</v>
      </c>
      <c r="DO187" s="1">
        <f>MAX(0,MIN(Boss参数!$B$25,DK187+DR187)-IF(E187="37",2*DR187,0))</f>
        <v>0</v>
      </c>
      <c r="DP187" s="1">
        <f>MAX(0,MIN(Boss参数!$B$25,DL187+DR187)-IF(E187="小瑞安侬",2*DR187,0))</f>
        <v>0</v>
      </c>
      <c r="DQ187" s="1">
        <f>MAX(0,MIN(Boss参数!$B$25,DM187+DR187)-IF(E187="J",2*DR187,0))</f>
        <v>0</v>
      </c>
      <c r="DR187" s="1">
        <f t="shared" si="172"/>
        <v>0</v>
      </c>
      <c r="DS187" s="1">
        <f t="shared" si="173"/>
        <v>0</v>
      </c>
      <c r="DT187" s="1">
        <f>IF(OR(E187="",E187="系统"),0,IF(OR(AND(DS187=1,Boss参数!$B$32=1),L187="RHI_BERRY",OR(AND(INDEX(角色面板!$B$18:$B$21,MATCH(E187,角色面板!$A$18:$A$21,0))="星",Boss参数!$B$4="岩"),AND(INDEX(角色面板!$B$18:$B$21,MATCH(E187,角色面板!$A$18:$A$21,0))="岩",Boss参数!$B$4="兽"),AND(INDEX(角色面板!$B$18:$B$21,MATCH(E187,角色面板!$A$18:$A$21,0))="兽",Boss参数!$B$4="木"),AND(INDEX(角色面板!$B$18:$B$21,MATCH(E187,角色面板!$A$18:$A$21,0))="木",Boss参数!$B$4="星"),AND(INDEX(角色面板!$B$18:$B$21,MATCH(E187,角色面板!$A$18:$A$21,0))="智",Boss参数!$B$4="灵"),AND(INDEX(角色面板!$B$18:$B$21,MATCH(E187,角色面板!$A$18:$A$21,0))="灵",Boss参数!$B$4="智"))),1,0))</f>
        <v>0</v>
      </c>
      <c r="DU187" s="1">
        <f>IF(D187="",0,INDEX(回合状态!$E$7:$E$17,MATCH(DG187,回合状态!$A$7:$A$17,0))+IF(AND(DH187="敌方",OR(INDEX(回合状态!$C$7:$C$17,MATCH(DG187,回合状态!$A$7:$A$17,0))="普通",INDEX(回合状态!$C$7:$C$17,MATCH(DG187,回合状态!$A$7:$A$17,0))="额外")),0.05,0))</f>
        <v>0</v>
      </c>
      <c r="DV187" s="1">
        <f>MAX(Boss参数!$B$28,1+IF(AND(E187="37",AC187&gt;0,BH187&gt;0),Boss参数!$B$42,0)-DI187*Boss参数!$B$24+EA187-ER187)</f>
        <v>9.9999999999999978E-2</v>
      </c>
      <c r="DW187" s="1">
        <f>MIN(IF(Boss参数!$B$77=1,Boss参数!$B$63*Boss参数!$B$62,Boss参数!$B$61*Boss参数!$B$62),ROUNDDOWN(BQ187*(1-ES187),0))</f>
        <v>0</v>
      </c>
      <c r="DX187" s="1">
        <f>MIN(IF(Boss参数!$B$77=1,Boss参数!$B$63*Boss参数!$B$62,Boss参数!$B$61*Boss参数!$B$62),ROUNDDOWN(BR187*(1-ES187),0))</f>
        <v>0</v>
      </c>
      <c r="DY187" s="1">
        <f t="shared" si="205"/>
        <v>250</v>
      </c>
      <c r="DZ187" s="1">
        <f>IF(L187="RHI_ULT",MIN(Boss参数!$B$48,ROUNDDOWN(AY187*Boss参数!$B$47,0)),DY187)</f>
        <v>250</v>
      </c>
      <c r="EA187" s="1">
        <v>0</v>
      </c>
      <c r="EB187" s="1">
        <f t="shared" si="174"/>
        <v>0</v>
      </c>
      <c r="EC187" s="1">
        <f>SUMIFS($EB$3:EB187,$B$3:B187,"&gt;="&amp;MAX(1,B187-2),$B$3:B187,"&lt;="&amp;B187)*Boss参数!$B$51</f>
        <v>0</v>
      </c>
      <c r="ED187" s="1">
        <f>IF(D187="",EG186,IF(AND(DG187&lt;&gt;DG186,DH187&lt;&gt;"洞穿"),MIN(Boss参数!$B$55,EG186+2),EG186))</f>
        <v>0</v>
      </c>
      <c r="EE187" s="1">
        <f t="shared" si="175"/>
        <v>0</v>
      </c>
      <c r="EF187" s="1">
        <f>IF(AND(OR(L187="END_TURN",AND(DH187="敌方",OR(DH186&lt;&gt;"敌方",DG187&lt;&gt;DG186))),SUMIFS($EF$3:EF186,$DG$3:DG186,DG187)=0),MIN(1,MAX(0,ED187-EE187)),0)</f>
        <v>0</v>
      </c>
      <c r="EG187" s="1">
        <f t="shared" si="176"/>
        <v>0</v>
      </c>
      <c r="EH187" s="1">
        <f>Boss参数!$B$53-IF(Y187=1,Boss参数!$B$54,0)</f>
        <v>0</v>
      </c>
      <c r="EI187" s="1">
        <f t="shared" si="177"/>
        <v>0.15</v>
      </c>
      <c r="EJ187" s="1">
        <f t="shared" si="178"/>
        <v>0.15</v>
      </c>
      <c r="EK187" s="1" t="e">
        <f t="shared" si="179"/>
        <v>#VALUE!</v>
      </c>
      <c r="EL187" s="1">
        <f t="shared" si="206"/>
        <v>0</v>
      </c>
      <c r="EM187" s="1">
        <f>IF(AND(DG187&lt;&gt;DG186,DH187="洞穿"),0,IF(L187="ENTER_INSIGHT",Boss参数!$B$57,EO186))</f>
        <v>0</v>
      </c>
      <c r="EN187" s="1">
        <f>IF(AND(Y187=1,H187="洞知",EM187&gt;0),Boss参数!$B$56,0)</f>
        <v>0</v>
      </c>
      <c r="EO187" s="1">
        <f t="shared" si="180"/>
        <v>0</v>
      </c>
      <c r="EP187" s="1">
        <f t="shared" si="207"/>
        <v>23210479</v>
      </c>
      <c r="EQ187" s="1">
        <f>ROUNDDOWN(EP187/Boss参数!$B$62,0)</f>
        <v>232</v>
      </c>
      <c r="ER187" s="1">
        <f>IF(EQ187&gt;=Boss参数!$B$66,Boss参数!$B$69,IF(EQ187&gt;=Boss参数!$B$65,Boss参数!$B$68,IF(EQ187&gt;=Boss参数!$B$64,Boss参数!$B$67,0)))</f>
        <v>0.9</v>
      </c>
      <c r="ES187" s="1">
        <f>MIN(1,IF(EQ187&gt;=Boss参数!$B$66,Boss参数!$B$72+ROUNDDOWN((EQ187-Boss参数!$B$66)/Boss参数!$B$73,0)*Boss参数!$B$74,IF(EQ187&gt;=Boss参数!$B$65,Boss参数!$B$71,IF(EQ187&gt;=Boss参数!$B$64,Boss参数!$B$70,0))))</f>
        <v>0.65</v>
      </c>
      <c r="ET187" s="1">
        <f>MIN(Boss参数!$B$61*Boss参数!$B$62,EP187+IF(AND(Boss参数!$B$60=1,ISNUMBER(验证表!H193)),验证表!H193,EU187))</f>
        <v>23210479</v>
      </c>
      <c r="EU187" s="1">
        <f>IF(D187="",0,IF(验证表!G193="是",BV187,IF(验证表!G193="否",BU187,BW187)))</f>
        <v>0</v>
      </c>
      <c r="EV187" s="1">
        <f>IF(EQ187&gt;=Boss参数!$B$66,2,IF(EQ187&gt;=Boss参数!$B$65,1,0))</f>
        <v>2</v>
      </c>
      <c r="EW187" s="1">
        <f t="shared" si="181"/>
        <v>3</v>
      </c>
      <c r="EX187" s="1">
        <f>IF(D187="",0,INDEX(回合状态!$D$7:$D$17,MATCH(DG187,回合状态!$A$7:$A$17,0)))</f>
        <v>0</v>
      </c>
      <c r="EY187" s="1">
        <f>IF(OR(L187="RHI_ATTACK",L187="RHI_BUFF"),1,IF(L187="RHI_ULT",Boss参数!$B$52,0))</f>
        <v>0</v>
      </c>
      <c r="EZ187" s="1">
        <f>MIN(6,SUMIFS($EY$3:EY187,$EX$3:EX187,"&gt;="&amp;MAX(1,EX187-Boss参数!$B$87+1),$EX$3:EX187,"&lt;="&amp;EX187))</f>
        <v>0</v>
      </c>
      <c r="FA187" s="1">
        <f t="shared" si="208"/>
        <v>0</v>
      </c>
      <c r="FB187" s="17">
        <f>IF(L187="BOSS_CONSERVATIVE",B187+Boss参数!$B$91,FB186)</f>
        <v>7</v>
      </c>
      <c r="FC187" s="17">
        <f t="shared" si="209"/>
        <v>0</v>
      </c>
      <c r="FD187" s="17">
        <f>IF(D187="",FD186,FD186+IF(AND(DG187&lt;&gt;DG186,INDEX(回合状态!$C$7:$C$17,MATCH(DG187,回合状态!$A$7:$A$17,0))&lt;&gt;"洞穿"),1,0))</f>
        <v>8</v>
      </c>
      <c r="FE187" s="17">
        <f>IF(D187="",0,IF(AND(OR(L187="END_TURN",DH187="敌方"),INDEX(回合状态!$C$7:$C$17,MATCH(DG187,回合状态!$A$7:$A$17,0))&lt;&gt;"洞穿",SUMIFS($FE$3:FE186,$DG$3:DG186,DG187)=0),1,0))</f>
        <v>0</v>
      </c>
    </row>
    <row r="188" spans="1:161" ht="84.95" customHeight="1">
      <c r="A188" s="1" t="str">
        <f>行动模拟!A194</f>
        <v/>
      </c>
      <c r="B188" s="1">
        <f>IF(D188="",0,INDEX(回合状态!$B$7:$B$17,MATCH(DG188,回合状态!$A$7:$A$17,0)))</f>
        <v>0</v>
      </c>
      <c r="C188" s="1">
        <f>行动模拟!C194</f>
        <v>0</v>
      </c>
      <c r="D188" s="1" t="str">
        <f>IF(行动模拟!D194="","",行动模拟!D194)</f>
        <v/>
      </c>
      <c r="E188" s="1" t="str">
        <f>IF($D188="","",IFERROR(INDEX(技能数据库!$B$4:$B$38,MATCH($D188,技能数据库!$A$4:$A$38,0)),""))</f>
        <v/>
      </c>
      <c r="F188" s="1" t="str">
        <f>IF($D188="","",IFERROR(INDEX(技能数据库!$C$4:$C$38,MATCH($D188,技能数据库!$A$4:$A$38,0)),""))</f>
        <v/>
      </c>
      <c r="G188" s="1" t="str">
        <f>IF($D188="","",IFERROR(INDEX(技能数据库!$D$4:$D$38,MATCH($D188,技能数据库!$A$4:$A$38,0)),""))</f>
        <v/>
      </c>
      <c r="H188" s="1" t="str">
        <f>IF($D188="","",IFERROR(INDEX(技能数据库!$E$4:$E$38,MATCH($D188,技能数据库!$A$4:$A$38,0)),""))</f>
        <v/>
      </c>
      <c r="I188" s="1" t="str">
        <f>IF($D188="","",IFERROR(INDEX(技能数据库!$F$4:$F$38,MATCH($D188,技能数据库!$A$4:$A$38,0)),""))</f>
        <v/>
      </c>
      <c r="J188" s="1" t="str">
        <f>IF($D188="","",IFERROR(INDEX(技能数据库!$G$4:$G$38,MATCH($D188,技能数据库!$A$4:$A$38,0)),""))</f>
        <v/>
      </c>
      <c r="K188" s="1" t="str">
        <f>IF($D188="","",IFERROR(INDEX(技能数据库!$H$4:$H$38,MATCH($D188,技能数据库!$A$4:$A$38,0)),""))</f>
        <v/>
      </c>
      <c r="L188" s="1" t="str">
        <f>IF($D188="","",IFERROR(INDEX(技能数据库!$I$4:$I$38,MATCH($D188,技能数据库!$A$4:$A$38,0)),""))</f>
        <v/>
      </c>
      <c r="M188" s="1">
        <v>1</v>
      </c>
      <c r="N188" s="1"/>
      <c r="O188" s="1"/>
      <c r="P188" s="1"/>
      <c r="Q188" s="1">
        <f t="shared" si="140"/>
        <v>0</v>
      </c>
      <c r="R188" s="1">
        <v>0</v>
      </c>
      <c r="S188" s="1">
        <v>0</v>
      </c>
      <c r="T188" s="1">
        <f>行动模拟!I194</f>
        <v>0</v>
      </c>
      <c r="U188" s="1">
        <f>IF(FD188&lt;&gt;FD187,IF(BY187=1,IF(MIN(10,CA187+IF(AND(DG188&lt;&gt;DG187,DH187&lt;&gt;"洞穿",SUMIFS($FE$3:FE187,$DG$3:DG187,DG187)=0,BY187=1),3,0))&gt;=10,2,1),IF(BY187=2,IF(BZ187&lt;=1,0,2),0)),BY187)</f>
        <v>2</v>
      </c>
      <c r="V188" s="1">
        <f>IF(FD188&lt;&gt;FD187,IF(BY187=1,IF(MIN(10,CA187+IF(AND(DG188&lt;&gt;DG187,DH187&lt;&gt;"洞穿",SUMIFS($FE$3:FE187,$DG$3:DG187,DG187)=0,BY187=1),3,0))&gt;=10,2,0),IF(BY187=2,MAX(0,BZ187-1),0)),BZ187)</f>
        <v>1</v>
      </c>
      <c r="W188" s="1">
        <f>IF(AND(FD188&lt;&gt;FD187,BY187=2,BZ187&lt;=1),0,MIN(10,CA187+IF(AND(DG188&lt;&gt;DG187,DH187&lt;&gt;"洞穿",SUMIFS($FE$3:FE187,$DG$3:DG187,DG187)=0,BY187=1),3,0)))</f>
        <v>10</v>
      </c>
      <c r="X188" s="1">
        <f t="shared" si="182"/>
        <v>13</v>
      </c>
      <c r="Y188" s="1">
        <f t="shared" si="183"/>
        <v>0</v>
      </c>
      <c r="Z188" s="1">
        <f t="shared" si="184"/>
        <v>0</v>
      </c>
      <c r="AA188" s="1">
        <f t="shared" si="185"/>
        <v>0</v>
      </c>
      <c r="AB188" s="1">
        <f t="shared" si="186"/>
        <v>10</v>
      </c>
      <c r="AC188" s="1">
        <f t="shared" si="187"/>
        <v>1</v>
      </c>
      <c r="AD188" s="1">
        <f t="shared" si="188"/>
        <v>35</v>
      </c>
      <c r="AE188" s="1">
        <f>IF(D188="",0,IF(DG188&lt;&gt;DG187,IFERROR(INDEX(回合状态!$F$7:$F$17,MATCH(DG188,回合状态!$A$7:$A$17,0)),0),CI187))</f>
        <v>0</v>
      </c>
      <c r="AF188" s="1">
        <f t="shared" si="189"/>
        <v>0.875</v>
      </c>
      <c r="AG188" s="1">
        <f t="shared" si="190"/>
        <v>9</v>
      </c>
      <c r="AH188" s="1">
        <f t="shared" si="191"/>
        <v>9</v>
      </c>
      <c r="AI188" s="1">
        <f t="shared" si="192"/>
        <v>8</v>
      </c>
      <c r="AJ188" s="1">
        <f t="shared" si="193"/>
        <v>9</v>
      </c>
      <c r="AK188" s="1">
        <f t="shared" si="194"/>
        <v>8</v>
      </c>
      <c r="AL188" s="1">
        <f t="shared" si="195"/>
        <v>3</v>
      </c>
      <c r="AM188" s="1">
        <f t="shared" si="196"/>
        <v>30</v>
      </c>
      <c r="AN188" s="1">
        <f t="shared" si="197"/>
        <v>9</v>
      </c>
      <c r="AO188" s="1">
        <f t="shared" si="198"/>
        <v>0</v>
      </c>
      <c r="AP188" s="1" t="e">
        <f t="shared" si="199"/>
        <v>#VALUE!</v>
      </c>
      <c r="AQ188" s="1" t="e">
        <f t="shared" si="200"/>
        <v>#VALUE!</v>
      </c>
      <c r="AR188" s="1">
        <f t="shared" si="201"/>
        <v>0.3</v>
      </c>
      <c r="AS188" s="1">
        <f t="shared" si="202"/>
        <v>9</v>
      </c>
      <c r="AT188" s="1">
        <f t="shared" si="203"/>
        <v>0.3</v>
      </c>
      <c r="AU188" s="1">
        <f t="shared" si="204"/>
        <v>9</v>
      </c>
      <c r="AV188" s="1">
        <f>MIN(5,SUMIFS($EL$3:EL188,$B$3:B188,"&gt;="&amp;MAX(1,B188-2),$B$3:B188,"&lt;="&amp;B188)+EC188)</f>
        <v>0</v>
      </c>
      <c r="AW188" s="1">
        <f>MIN(6,SUMIFS($EY$3:EY187,$EX$3:EX187,"&gt;="&amp;MAX(1,EX188-Boss参数!$B$87+1),$EX$3:EX187,"&lt;="&amp;EX188))</f>
        <v>0</v>
      </c>
      <c r="AX188" s="1">
        <f>MIN(4,COUNTIFS($B$3:$B$187,"&gt;="&amp;MAX(1,$B188-2),$B$3:$B$187,"&lt;="&amp;$B188,$L$3:$L$187,"37_FOLLOW"))</f>
        <v>0</v>
      </c>
      <c r="AY188" s="1" t="str">
        <f>IF($E188="","",IF($E188="系统",0,ROUNDDOWN(INDEX(角色面板!$C$4:$C$7,MATCH($E188,角色面板!$A$4:$A$7,0))*(1+INDEX(角色面板!$C$11:$C$14,MATCH($E188,角色面板!$A$11:$A$14,0))+IF($E188="小瑞安侬",MAX(IF($B188&lt;=$AQ188,$AP188,0),IF(AND($L188="RHI_ATTACK",$EE188&gt;0),0.11+0.01*$G188,0)),0)+IF($E188="J",$AD188*Boss参数!$B$18,0))+IF(FD188&lt;=$AN188,MIN(Boss参数!$B$21,ROUNDDOWN(角色面板!$C$19*Boss参数!$B$20,0)),0)+IF(AND($B188&lt;=$AK188,$E188&lt;&gt;"小瑞安侬"),$DY188,0),0)))</f>
        <v/>
      </c>
      <c r="AZ188" s="1" t="str">
        <f>IF($E188="","",MAX(0,MIN(1,IFERROR(INDEX(角色面板!$G$18:$G$21,MATCH($E188,角色面板!$A$18:$A$21,0)),0)-FC188*Boss参数!$B$89-Boss参数!$E$4)))</f>
        <v/>
      </c>
      <c r="BA188" s="1" t="str">
        <f>IF(E188="","",(IF($E188="","",IF($E188="红弩箭",Boss参数!$B$80,IF($E188="J",Boss参数!$B$81,IFERROR(INDEX(角色面板!$H$18:$H$21,MATCH($E188,角色面板!$A$18:$A$21,0)),0)))+IF($B188&lt;=$AI188,Boss参数!$B$13,0)+MIN(30,$AM188)*Boss参数!$B$17+IF(AND($L188="LILYA_ULT",$X188&gt;=6),1,0)+IF(AND($Y188=1,$L188="LILYA_INSIGHT"),IF(MOD($AA188+1,3)=0,Boss参数!$B$83,Boss参数!$B$82),IF(AND($Y188=1,$L188="LILYA_FINISH"),Boss参数!$B$84,0))))-FC188*Boss参数!$B$90)</f>
        <v/>
      </c>
      <c r="BB188" s="1" t="str">
        <f>IF($E188="","",IFERROR(INDEX(角色面板!$M$18:$M$21,MATCH($E188,角色面板!$A$18:$A$21,0)),0)+$AW188*Boss参数!$B$12+IF($B188&lt;=$AG188,$AF188,0)+$EI188+IF($L188="LILYA_DIVE",IF($U188=1,IF($G188=1,0.3,IF($G188=2,0.4,0.5)),IF($U188=2,IF($G188=1,0.6,IF($G188=2,0.8,1)),0)),0)+$R188+IF(AND($E188="J",OR($L188="J_COUNTER",$L188="J_HARD")),Boss参数!$B$79,0)+IF(AND(OR(L188="J_COUNTER",L188="J_HARD"),FA188&gt;=Boss参数!$B$59),FA188*Boss参数!$B$40,0))</f>
        <v/>
      </c>
      <c r="BC188" s="1" t="e">
        <f>IF($E188="","",IFERROR(INDEX(角色面板!$K$18:$K$21,MATCH($E188,角色面板!$A$18:$A$21,0)),0)+IF($B188&lt;=$AH188,Boss参数!$B$46,0)+IF($E188="红弩箭",IF($U188=1,0.6,IF($U188=2,1.2,0))+$W188*0.06,0))-DI188*Boss参数!$B$23</f>
        <v>#VALUE!</v>
      </c>
      <c r="BD188" s="1" t="e">
        <f>IF($E188="","",IFERROR(INDEX(角色面板!$L$18:$L$21,MATCH($E188,角色面板!$A$18:$A$21,0)),0)+IF($B188&lt;=$AH188,Boss参数!$B$46,0)+IF($E188="J",$AL188*Boss参数!$B$16,0)+IF($E188="红弩箭",$X188*0.025,0)+IF(AND($L188="LILYA_ULT",$X188&gt;=6),1,0))-DI188*Boss参数!$B$23</f>
        <v>#VALUE!</v>
      </c>
      <c r="BE188" s="1" t="str">
        <f>IF($E188="","",IF($H188="洞知",IF($E188="红弩箭",$AO188*Boss参数!$B$15,0)+$AX188*Boss参数!$B$14,0))</f>
        <v/>
      </c>
      <c r="BF188" s="1">
        <f t="shared" si="141"/>
        <v>0</v>
      </c>
      <c r="BG188" s="1">
        <f>IF($D188="",0,IF(AND($L188&lt;&gt;"LILYA_DIVE",$L188&lt;&gt;"LILYA_ULT",$L188&lt;&gt;"LILYA_INSIGHT",$L188&lt;&gt;"LILYA_FINISH",$L188&lt;&gt;"37_FOLLOW",$L188&lt;&gt;"RHI_ATTACK",$L188&lt;&gt;"RHI_BERRY",$L188&lt;&gt;"J_COUNTER",$L188&lt;&gt;"J_ULT"),$J188,0)+IF($L188="LILYA_DIVE",$J188+IF($U188=1,IF($G188=1,6,IF($G188=2,12,18)),IF($U188=2,IF($G188=1,12,IF($G188=2,24,36)),0)),0)+IF($L188="LILYA_ULT",$J188+IF($X188&gt;=6,18,0),0)+IF($L188="LILYA_INSIGHT",IF($Y188=1,IF(MOD($AA188+1,3)=0,32,15),0),0)+IF($L188="LILYA_FINISH",IF($Y188=1,50+2.5*$Z188,0),0)+IF($L188="37_FOLLOW",$J188,0)+IF($L188="RHI_ATTACK",$J188*IF($B188&lt;=$AJ188,2,1),0)+IF($L188="RHI_BERRY",15+1.5*$AV188,0)+IF($L188="J_COUNTER",$J188+$AD188*Boss参数!$B$39,0)+IF($L188="J_ULT",$J188+Boss参数!$B$45*MAX(0,$AE188+$AD188-Boss参数!$I$4),0)+$S188)</f>
        <v>0</v>
      </c>
      <c r="BH188" s="1">
        <f t="shared" si="142"/>
        <v>0</v>
      </c>
      <c r="BI188" s="1" t="str">
        <f>IF(E188="","",IF(DT188=1,1+Boss参数!$B$8+AV188*Boss参数!$B$19,1))</f>
        <v/>
      </c>
      <c r="BJ188" s="1">
        <f>IF($I188="现实",Boss参数!$C$4,IF($I188="精神",Boss参数!$D$4,0))</f>
        <v>0</v>
      </c>
      <c r="BK188" s="1" t="str">
        <f>IF($E188="","",MAX($AY188*Boss参数!$B$9,$AY188-$BJ188*(1-$BF188)))</f>
        <v/>
      </c>
      <c r="BL188" s="1">
        <f>MAX(0,Boss参数!$F$4+IF(DT188=0,Boss参数!$B$27,0)-EJ188)</f>
        <v>1.25</v>
      </c>
      <c r="BM188" s="1">
        <f>Boss参数!$G$4+DU188-IF(Y188=1,Boss参数!$B$11,0)</f>
        <v>0.4</v>
      </c>
      <c r="BN188" s="1" t="str">
        <f>IF($E188="","",MAX(Boss参数!$B$10,1+IFERROR(INDEX(角色面板!$I$18:$I$21,MATCH($E188,角色面板!$A$18:$A$21,0)),0)+$BB188+Boss参数!$H$4-$BM188))</f>
        <v/>
      </c>
      <c r="BO188" s="1" t="str">
        <f>IF(E188="","",IF(OR(L188="J_COUNTER",L188="J_HARD"),MAX(0,1+INDEX(角色面板!$K$18:$K$21,MATCH(E188,角色面板!$A$18:$A$21,0))-DI188*Boss参数!$B$23+IF(OR(Boss参数!$B$43=1,L188="J_HARD"),IF(B188&lt;=AH188,Boss参数!$B$46,0),0)),MAX(0,IF(OR(H188="术法",L188="RHI_BERRY",AND(L188="37_FOLLOW",Boss参数!$B$31=1)),1+BC188,IF(H188="仪式",1+BD188,IF(H188="洞知",EK188,1))))))</f>
        <v/>
      </c>
      <c r="BP188" s="1" t="str">
        <f t="shared" si="143"/>
        <v/>
      </c>
      <c r="BQ188" s="1">
        <f t="shared" si="144"/>
        <v>0</v>
      </c>
      <c r="BR188" s="1">
        <f t="shared" si="145"/>
        <v>0</v>
      </c>
      <c r="BS188" s="1">
        <f>IF(BH188=0,0,ROUNDDOWN(AY188*BH188,0)*DV188*IF(Boss参数!$B$29=1,BN188,1)*IF(Boss参数!$B$33=1,BO188,1)*IF(Boss参数!$B$76=1,1-ES188,1))</f>
        <v>0</v>
      </c>
      <c r="BT188" s="1">
        <f t="shared" si="146"/>
        <v>0</v>
      </c>
      <c r="BU188" s="1">
        <f>IF(D188="",0,MIN(IF(Boss参数!$B$77=1,Boss参数!$B$63*Boss参数!$B$62,Boss参数!$B$61*Boss参数!$B$62),DW188+ROUNDDOWN(BS188,0)+ROUNDDOWN(DW188*Q188,0)))</f>
        <v>0</v>
      </c>
      <c r="BV188" s="1">
        <f>IF(D188="",0,MIN(IF(Boss参数!$B$77=1,Boss参数!$B$63*Boss参数!$B$62,Boss参数!$B$61*Boss参数!$B$62),DX188+ROUNDDOWN(BT188,0)+ROUNDDOWN(DX188*Q188,0)))</f>
        <v>0</v>
      </c>
      <c r="BW188" s="1">
        <f t="shared" si="147"/>
        <v>0</v>
      </c>
      <c r="BX188" s="1" t="str">
        <f t="shared" si="148"/>
        <v/>
      </c>
      <c r="BY188" s="1">
        <f t="shared" si="149"/>
        <v>2</v>
      </c>
      <c r="BZ188" s="1">
        <f t="shared" si="150"/>
        <v>1</v>
      </c>
      <c r="CA188" s="1">
        <f>MIN(10,W188+IF(AND(L188="LILYA_COBRA",COUNTIF($L$3:L188,"LILYA_COBRA")=1),5,0)+IF(AND(L188="LILYA_DIVE",U188=1,COUNTIFS($DG$3:DG188,DG188,$L$3:L188,"LILYA_DIVE")=1),2,0)+IF(AND(FE188=1,U188=1),3,0))</f>
        <v>10</v>
      </c>
      <c r="CB188" s="1">
        <f>MIN(20,MAX(0,X188+IF(L188="LILYA_COBRA",IF(COUNTIF($L$3:L188,"LILYA_COBRA")=1,6,IF(U188=1,MAX(1,G188),IF(U188=2,2*MAX(1,G188),0))),0)+IF(AND(Y188=1,E188="红弩箭",L188&lt;&gt;"ENTER_INSIGHT"),1,0)-IF(AND(L188="LILYA_ULT",X188&gt;=6),6,0)))</f>
        <v>13</v>
      </c>
      <c r="CC188" s="1">
        <f t="shared" si="151"/>
        <v>0</v>
      </c>
      <c r="CD188" s="1">
        <f t="shared" si="152"/>
        <v>0</v>
      </c>
      <c r="CE188" s="1">
        <f t="shared" si="153"/>
        <v>0</v>
      </c>
      <c r="CF188" s="1">
        <f t="shared" si="154"/>
        <v>10</v>
      </c>
      <c r="CG188" s="1">
        <f t="shared" si="155"/>
        <v>1</v>
      </c>
      <c r="CH188" s="1">
        <f>MIN(35,AD188+IF(L188="J_HARD",6,0)+IF(L188="J_COUNTER",Boss参数!$B$30,0))</f>
        <v>35</v>
      </c>
      <c r="CI188" s="1">
        <f>MIN(Boss参数!$I$4,AE188+IF(L188="J_HARD",6,0)+IF(L188="J_ULT",AD188,0)+IF(L188="J_COUNTER",Boss参数!$B$30,0))</f>
        <v>0</v>
      </c>
      <c r="CJ188" s="1">
        <f>IF(L188="J_ULT",AD188*Boss参数!$B$41,IF(B188&lt;=AG188,AF188,0))</f>
        <v>0.875</v>
      </c>
      <c r="CK188" s="1">
        <f t="shared" si="156"/>
        <v>9</v>
      </c>
      <c r="CL188" s="1">
        <f t="shared" si="157"/>
        <v>9</v>
      </c>
      <c r="CM188" s="1">
        <f t="shared" si="158"/>
        <v>8</v>
      </c>
      <c r="CN188" s="1">
        <f t="shared" si="159"/>
        <v>9</v>
      </c>
      <c r="CO188" s="1">
        <f t="shared" si="160"/>
        <v>8</v>
      </c>
      <c r="CP188" s="1">
        <f t="shared" si="161"/>
        <v>3</v>
      </c>
      <c r="CQ188" s="1">
        <f t="shared" si="162"/>
        <v>30</v>
      </c>
      <c r="CR188" s="1">
        <f t="shared" si="163"/>
        <v>9</v>
      </c>
      <c r="CS188" s="1">
        <f t="shared" si="164"/>
        <v>0</v>
      </c>
      <c r="CT188" s="1" t="e">
        <f t="shared" si="165"/>
        <v>#VALUE!</v>
      </c>
      <c r="CU188" s="1" t="e">
        <f t="shared" si="166"/>
        <v>#VALUE!</v>
      </c>
      <c r="CV188" s="1">
        <f t="shared" si="167"/>
        <v>0.3</v>
      </c>
      <c r="CW188" s="1">
        <f t="shared" si="168"/>
        <v>9</v>
      </c>
      <c r="CX188" s="1">
        <f t="shared" si="169"/>
        <v>0.3</v>
      </c>
      <c r="CY188" s="1">
        <f t="shared" si="170"/>
        <v>9</v>
      </c>
      <c r="CZ188" s="1"/>
      <c r="DA188" s="1"/>
      <c r="DB188" s="1"/>
      <c r="DC188" s="1"/>
      <c r="DD188" s="1"/>
      <c r="DE188" s="1"/>
      <c r="DF188" s="1"/>
      <c r="DG188" s="1" t="str">
        <f>IF(D188="","",行动模拟!B194)</f>
        <v/>
      </c>
      <c r="DH188" s="1" t="str">
        <f>IF(L188="END_TURN","回合结束",IF(D188="","",IF(INDEX(回合状态!$C$7:$C$17,MATCH(DG188,回合状态!$A$7:$A$17,0))="洞穿","洞穿",IF(OR(L188="J_COUNTER",L188="BOSS_ACTION",L188="BOSS_CONSERVATIVE"),"敌方",IF(AND(L188="37_FOLLOW",DG188=DG187,DH187="敌方"),"敌方",IF(INDEX(回合状态!$C$7:$C$17,MATCH(DG188,回合状态!$A$7:$A$17,0))="普通","出牌",INDEX(回合状态!$C$7:$C$17,MATCH(DG188,回合状态!$A$7:$A$17,0))))))))</f>
        <v/>
      </c>
      <c r="DI188" s="1">
        <f t="shared" si="171"/>
        <v>0</v>
      </c>
      <c r="DJ188" s="1">
        <f>IF(D188="",0,MIN(Boss参数!$B$25,IF(OR(AND(DH188="敌方",OR(DH187&lt;&gt;"敌方",DG188&lt;&gt;DG187)),AND(L188="END_TURN",DH188&lt;&gt;"洞穿"),AND(DG188&lt;&gt;DG187,DH187&lt;&gt;"洞穿",L187&lt;&gt;"END_TURN",COUNTIFS($DG$3:DG187,DG187,$DH$3:DH187,"敌方")=0)),EW188,DN187)))</f>
        <v>0</v>
      </c>
      <c r="DK188" s="1">
        <f>IF(D188="",0,MIN(Boss参数!$B$25,IF(OR(AND(DH188="敌方",OR(DH187&lt;&gt;"敌方",DG188&lt;&gt;DG187)),AND(L188="END_TURN",DH188&lt;&gt;"洞穿"),AND(DG188&lt;&gt;DG187,DH187&lt;&gt;"洞穿",L187&lt;&gt;"END_TURN",COUNTIFS($DG$3:DG187,DG187,$DH$3:DH187,"敌方")=0)),EW188,DO187)))</f>
        <v>0</v>
      </c>
      <c r="DL188" s="1">
        <f>IF(D188="",0,MIN(Boss参数!$B$25,IF(OR(AND(DH188="敌方",OR(DH187&lt;&gt;"敌方",DG188&lt;&gt;DG187)),AND(L188="END_TURN",DH188&lt;&gt;"洞穿"),AND(DG188&lt;&gt;DG187,DH187&lt;&gt;"洞穿",L187&lt;&gt;"END_TURN",COUNTIFS($DG$3:DG187,DG187,$DH$3:DH187,"敌方")=0)),EW188,DP187)))</f>
        <v>0</v>
      </c>
      <c r="DM188" s="1">
        <f>IF(D188="",0,MIN(Boss参数!$B$25,IF(OR(AND(DH188="敌方",OR(DH187&lt;&gt;"敌方",DG188&lt;&gt;DG187)),AND(L188="END_TURN",DH188&lt;&gt;"洞穿"),AND(DG188&lt;&gt;DG187,DH187&lt;&gt;"洞穿",L187&lt;&gt;"END_TURN",COUNTIFS($DG$3:DG187,DG187,$DH$3:DH187,"敌方")=0)),EW188,DQ187)))</f>
        <v>0</v>
      </c>
      <c r="DN188" s="1">
        <f>MAX(0,MIN(Boss参数!$B$25,DJ188+DR188)-IF(E188="红弩箭",2*DR188,0))</f>
        <v>0</v>
      </c>
      <c r="DO188" s="1">
        <f>MAX(0,MIN(Boss参数!$B$25,DK188+DR188)-IF(E188="37",2*DR188,0))</f>
        <v>0</v>
      </c>
      <c r="DP188" s="1">
        <f>MAX(0,MIN(Boss参数!$B$25,DL188+DR188)-IF(E188="小瑞安侬",2*DR188,0))</f>
        <v>0</v>
      </c>
      <c r="DQ188" s="1">
        <f>MAX(0,MIN(Boss参数!$B$25,DM188+DR188)-IF(E188="J",2*DR188,0))</f>
        <v>0</v>
      </c>
      <c r="DR188" s="1">
        <f t="shared" si="172"/>
        <v>0</v>
      </c>
      <c r="DS188" s="1">
        <f t="shared" si="173"/>
        <v>0</v>
      </c>
      <c r="DT188" s="1">
        <f>IF(OR(E188="",E188="系统"),0,IF(OR(AND(DS188=1,Boss参数!$B$32=1),L188="RHI_BERRY",OR(AND(INDEX(角色面板!$B$18:$B$21,MATCH(E188,角色面板!$A$18:$A$21,0))="星",Boss参数!$B$4="岩"),AND(INDEX(角色面板!$B$18:$B$21,MATCH(E188,角色面板!$A$18:$A$21,0))="岩",Boss参数!$B$4="兽"),AND(INDEX(角色面板!$B$18:$B$21,MATCH(E188,角色面板!$A$18:$A$21,0))="兽",Boss参数!$B$4="木"),AND(INDEX(角色面板!$B$18:$B$21,MATCH(E188,角色面板!$A$18:$A$21,0))="木",Boss参数!$B$4="星"),AND(INDEX(角色面板!$B$18:$B$21,MATCH(E188,角色面板!$A$18:$A$21,0))="智",Boss参数!$B$4="灵"),AND(INDEX(角色面板!$B$18:$B$21,MATCH(E188,角色面板!$A$18:$A$21,0))="灵",Boss参数!$B$4="智"))),1,0))</f>
        <v>0</v>
      </c>
      <c r="DU188" s="1">
        <f>IF(D188="",0,INDEX(回合状态!$E$7:$E$17,MATCH(DG188,回合状态!$A$7:$A$17,0))+IF(AND(DH188="敌方",OR(INDEX(回合状态!$C$7:$C$17,MATCH(DG188,回合状态!$A$7:$A$17,0))="普通",INDEX(回合状态!$C$7:$C$17,MATCH(DG188,回合状态!$A$7:$A$17,0))="额外")),0.05,0))</f>
        <v>0</v>
      </c>
      <c r="DV188" s="1">
        <f>MAX(Boss参数!$B$28,1+IF(AND(E188="37",AC188&gt;0,BH188&gt;0),Boss参数!$B$42,0)-DI188*Boss参数!$B$24+EA188-ER188)</f>
        <v>9.9999999999999978E-2</v>
      </c>
      <c r="DW188" s="1">
        <f>MIN(IF(Boss参数!$B$77=1,Boss参数!$B$63*Boss参数!$B$62,Boss参数!$B$61*Boss参数!$B$62),ROUNDDOWN(BQ188*(1-ES188),0))</f>
        <v>0</v>
      </c>
      <c r="DX188" s="1">
        <f>MIN(IF(Boss参数!$B$77=1,Boss参数!$B$63*Boss参数!$B$62,Boss参数!$B$61*Boss参数!$B$62),ROUNDDOWN(BR188*(1-ES188),0))</f>
        <v>0</v>
      </c>
      <c r="DY188" s="1">
        <f t="shared" si="205"/>
        <v>250</v>
      </c>
      <c r="DZ188" s="1">
        <f>IF(L188="RHI_ULT",MIN(Boss参数!$B$48,ROUNDDOWN(AY188*Boss参数!$B$47,0)),DY188)</f>
        <v>250</v>
      </c>
      <c r="EA188" s="1">
        <v>0</v>
      </c>
      <c r="EB188" s="1">
        <f t="shared" si="174"/>
        <v>0</v>
      </c>
      <c r="EC188" s="1">
        <f>SUMIFS($EB$3:EB188,$B$3:B188,"&gt;="&amp;MAX(1,B188-2),$B$3:B188,"&lt;="&amp;B188)*Boss参数!$B$51</f>
        <v>0</v>
      </c>
      <c r="ED188" s="1">
        <f>IF(D188="",EG187,IF(AND(DG188&lt;&gt;DG187,DH188&lt;&gt;"洞穿"),MIN(Boss参数!$B$55,EG187+2),EG187))</f>
        <v>0</v>
      </c>
      <c r="EE188" s="1">
        <f t="shared" si="175"/>
        <v>0</v>
      </c>
      <c r="EF188" s="1">
        <f>IF(AND(OR(L188="END_TURN",AND(DH188="敌方",OR(DH187&lt;&gt;"敌方",DG188&lt;&gt;DG187))),SUMIFS($EF$3:EF187,$DG$3:DG187,DG188)=0),MIN(1,MAX(0,ED188-EE188)),0)</f>
        <v>0</v>
      </c>
      <c r="EG188" s="1">
        <f t="shared" si="176"/>
        <v>0</v>
      </c>
      <c r="EH188" s="1">
        <f>Boss参数!$B$53-IF(Y188=1,Boss参数!$B$54,0)</f>
        <v>0</v>
      </c>
      <c r="EI188" s="1">
        <f t="shared" si="177"/>
        <v>0.15</v>
      </c>
      <c r="EJ188" s="1">
        <f t="shared" si="178"/>
        <v>0.15</v>
      </c>
      <c r="EK188" s="1" t="e">
        <f t="shared" si="179"/>
        <v>#VALUE!</v>
      </c>
      <c r="EL188" s="1">
        <f t="shared" si="206"/>
        <v>0</v>
      </c>
      <c r="EM188" s="1">
        <f>IF(AND(DG188&lt;&gt;DG187,DH188="洞穿"),0,IF(L188="ENTER_INSIGHT",Boss参数!$B$57,EO187))</f>
        <v>0</v>
      </c>
      <c r="EN188" s="1">
        <f>IF(AND(Y188=1,H188="洞知",EM188&gt;0),Boss参数!$B$56,0)</f>
        <v>0</v>
      </c>
      <c r="EO188" s="1">
        <f t="shared" si="180"/>
        <v>0</v>
      </c>
      <c r="EP188" s="1">
        <f t="shared" si="207"/>
        <v>23210479</v>
      </c>
      <c r="EQ188" s="1">
        <f>ROUNDDOWN(EP188/Boss参数!$B$62,0)</f>
        <v>232</v>
      </c>
      <c r="ER188" s="1">
        <f>IF(EQ188&gt;=Boss参数!$B$66,Boss参数!$B$69,IF(EQ188&gt;=Boss参数!$B$65,Boss参数!$B$68,IF(EQ188&gt;=Boss参数!$B$64,Boss参数!$B$67,0)))</f>
        <v>0.9</v>
      </c>
      <c r="ES188" s="1">
        <f>MIN(1,IF(EQ188&gt;=Boss参数!$B$66,Boss参数!$B$72+ROUNDDOWN((EQ188-Boss参数!$B$66)/Boss参数!$B$73,0)*Boss参数!$B$74,IF(EQ188&gt;=Boss参数!$B$65,Boss参数!$B$71,IF(EQ188&gt;=Boss参数!$B$64,Boss参数!$B$70,0))))</f>
        <v>0.65</v>
      </c>
      <c r="ET188" s="1">
        <f>MIN(Boss参数!$B$61*Boss参数!$B$62,EP188+IF(AND(Boss参数!$B$60=1,ISNUMBER(验证表!H194)),验证表!H194,EU188))</f>
        <v>23210479</v>
      </c>
      <c r="EU188" s="1">
        <f>IF(D188="",0,IF(验证表!G194="是",BV188,IF(验证表!G194="否",BU188,BW188)))</f>
        <v>0</v>
      </c>
      <c r="EV188" s="1">
        <f>IF(EQ188&gt;=Boss参数!$B$66,2,IF(EQ188&gt;=Boss参数!$B$65,1,0))</f>
        <v>2</v>
      </c>
      <c r="EW188" s="1">
        <f t="shared" si="181"/>
        <v>3</v>
      </c>
      <c r="EX188" s="1">
        <f>IF(D188="",0,INDEX(回合状态!$D$7:$D$17,MATCH(DG188,回合状态!$A$7:$A$17,0)))</f>
        <v>0</v>
      </c>
      <c r="EY188" s="1">
        <f>IF(OR(L188="RHI_ATTACK",L188="RHI_BUFF"),1,IF(L188="RHI_ULT",Boss参数!$B$52,0))</f>
        <v>0</v>
      </c>
      <c r="EZ188" s="1">
        <f>MIN(6,SUMIFS($EY$3:EY188,$EX$3:EX188,"&gt;="&amp;MAX(1,EX188-Boss参数!$B$87+1),$EX$3:EX188,"&lt;="&amp;EX188))</f>
        <v>0</v>
      </c>
      <c r="FA188" s="1">
        <f t="shared" si="208"/>
        <v>0</v>
      </c>
      <c r="FB188" s="17">
        <f>IF(L188="BOSS_CONSERVATIVE",B188+Boss参数!$B$91,FB187)</f>
        <v>7</v>
      </c>
      <c r="FC188" s="17">
        <f t="shared" si="209"/>
        <v>0</v>
      </c>
      <c r="FD188" s="17">
        <f>IF(D188="",FD187,FD187+IF(AND(DG188&lt;&gt;DG187,INDEX(回合状态!$C$7:$C$17,MATCH(DG188,回合状态!$A$7:$A$17,0))&lt;&gt;"洞穿"),1,0))</f>
        <v>8</v>
      </c>
      <c r="FE188" s="17">
        <f>IF(D188="",0,IF(AND(OR(L188="END_TURN",DH188="敌方"),INDEX(回合状态!$C$7:$C$17,MATCH(DG188,回合状态!$A$7:$A$17,0))&lt;&gt;"洞穿",SUMIFS($FE$3:FE187,$DG$3:DG187,DG188)=0),1,0))</f>
        <v>0</v>
      </c>
    </row>
    <row r="189" spans="1:161" ht="84.95" customHeight="1">
      <c r="A189" s="1" t="str">
        <f>行动模拟!A195</f>
        <v/>
      </c>
      <c r="B189" s="1">
        <f>IF(D189="",0,INDEX(回合状态!$B$7:$B$17,MATCH(DG189,回合状态!$A$7:$A$17,0)))</f>
        <v>0</v>
      </c>
      <c r="C189" s="1">
        <f>行动模拟!C195</f>
        <v>0</v>
      </c>
      <c r="D189" s="1" t="str">
        <f>IF(行动模拟!D195="","",行动模拟!D195)</f>
        <v/>
      </c>
      <c r="E189" s="1" t="str">
        <f>IF($D189="","",IFERROR(INDEX(技能数据库!$B$4:$B$38,MATCH($D189,技能数据库!$A$4:$A$38,0)),""))</f>
        <v/>
      </c>
      <c r="F189" s="1" t="str">
        <f>IF($D189="","",IFERROR(INDEX(技能数据库!$C$4:$C$38,MATCH($D189,技能数据库!$A$4:$A$38,0)),""))</f>
        <v/>
      </c>
      <c r="G189" s="1" t="str">
        <f>IF($D189="","",IFERROR(INDEX(技能数据库!$D$4:$D$38,MATCH($D189,技能数据库!$A$4:$A$38,0)),""))</f>
        <v/>
      </c>
      <c r="H189" s="1" t="str">
        <f>IF($D189="","",IFERROR(INDEX(技能数据库!$E$4:$E$38,MATCH($D189,技能数据库!$A$4:$A$38,0)),""))</f>
        <v/>
      </c>
      <c r="I189" s="1" t="str">
        <f>IF($D189="","",IFERROR(INDEX(技能数据库!$F$4:$F$38,MATCH($D189,技能数据库!$A$4:$A$38,0)),""))</f>
        <v/>
      </c>
      <c r="J189" s="1" t="str">
        <f>IF($D189="","",IFERROR(INDEX(技能数据库!$G$4:$G$38,MATCH($D189,技能数据库!$A$4:$A$38,0)),""))</f>
        <v/>
      </c>
      <c r="K189" s="1" t="str">
        <f>IF($D189="","",IFERROR(INDEX(技能数据库!$H$4:$H$38,MATCH($D189,技能数据库!$A$4:$A$38,0)),""))</f>
        <v/>
      </c>
      <c r="L189" s="1" t="str">
        <f>IF($D189="","",IFERROR(INDEX(技能数据库!$I$4:$I$38,MATCH($D189,技能数据库!$A$4:$A$38,0)),""))</f>
        <v/>
      </c>
      <c r="M189" s="1">
        <v>1</v>
      </c>
      <c r="N189" s="1"/>
      <c r="O189" s="1"/>
      <c r="P189" s="1"/>
      <c r="Q189" s="1">
        <f t="shared" si="140"/>
        <v>0</v>
      </c>
      <c r="R189" s="1">
        <v>0</v>
      </c>
      <c r="S189" s="1">
        <v>0</v>
      </c>
      <c r="T189" s="1">
        <f>行动模拟!I195</f>
        <v>0</v>
      </c>
      <c r="U189" s="1">
        <f>IF(FD189&lt;&gt;FD188,IF(BY188=1,IF(MIN(10,CA188+IF(AND(DG189&lt;&gt;DG188,DH188&lt;&gt;"洞穿",SUMIFS($FE$3:FE188,$DG$3:DG188,DG188)=0,BY188=1),3,0))&gt;=10,2,1),IF(BY188=2,IF(BZ188&lt;=1,0,2),0)),BY188)</f>
        <v>2</v>
      </c>
      <c r="V189" s="1">
        <f>IF(FD189&lt;&gt;FD188,IF(BY188=1,IF(MIN(10,CA188+IF(AND(DG189&lt;&gt;DG188,DH188&lt;&gt;"洞穿",SUMIFS($FE$3:FE188,$DG$3:DG188,DG188)=0,BY188=1),3,0))&gt;=10,2,0),IF(BY188=2,MAX(0,BZ188-1),0)),BZ188)</f>
        <v>1</v>
      </c>
      <c r="W189" s="1">
        <f>IF(AND(FD189&lt;&gt;FD188,BY188=2,BZ188&lt;=1),0,MIN(10,CA188+IF(AND(DG189&lt;&gt;DG188,DH188&lt;&gt;"洞穿",SUMIFS($FE$3:FE188,$DG$3:DG188,DG188)=0,BY188=1),3,0)))</f>
        <v>10</v>
      </c>
      <c r="X189" s="1">
        <f t="shared" si="182"/>
        <v>13</v>
      </c>
      <c r="Y189" s="1">
        <f t="shared" si="183"/>
        <v>0</v>
      </c>
      <c r="Z189" s="1">
        <f t="shared" si="184"/>
        <v>0</v>
      </c>
      <c r="AA189" s="1">
        <f t="shared" si="185"/>
        <v>0</v>
      </c>
      <c r="AB189" s="1">
        <f t="shared" si="186"/>
        <v>10</v>
      </c>
      <c r="AC189" s="1">
        <f t="shared" si="187"/>
        <v>1</v>
      </c>
      <c r="AD189" s="1">
        <f t="shared" si="188"/>
        <v>35</v>
      </c>
      <c r="AE189" s="1">
        <f>IF(D189="",0,IF(DG189&lt;&gt;DG188,IFERROR(INDEX(回合状态!$F$7:$F$17,MATCH(DG189,回合状态!$A$7:$A$17,0)),0),CI188))</f>
        <v>0</v>
      </c>
      <c r="AF189" s="1">
        <f t="shared" si="189"/>
        <v>0.875</v>
      </c>
      <c r="AG189" s="1">
        <f t="shared" si="190"/>
        <v>9</v>
      </c>
      <c r="AH189" s="1">
        <f t="shared" si="191"/>
        <v>9</v>
      </c>
      <c r="AI189" s="1">
        <f t="shared" si="192"/>
        <v>8</v>
      </c>
      <c r="AJ189" s="1">
        <f t="shared" si="193"/>
        <v>9</v>
      </c>
      <c r="AK189" s="1">
        <f t="shared" si="194"/>
        <v>8</v>
      </c>
      <c r="AL189" s="1">
        <f t="shared" si="195"/>
        <v>3</v>
      </c>
      <c r="AM189" s="1">
        <f t="shared" si="196"/>
        <v>30</v>
      </c>
      <c r="AN189" s="1">
        <f t="shared" si="197"/>
        <v>9</v>
      </c>
      <c r="AO189" s="1">
        <f t="shared" si="198"/>
        <v>0</v>
      </c>
      <c r="AP189" s="1" t="e">
        <f t="shared" si="199"/>
        <v>#VALUE!</v>
      </c>
      <c r="AQ189" s="1" t="e">
        <f t="shared" si="200"/>
        <v>#VALUE!</v>
      </c>
      <c r="AR189" s="1">
        <f t="shared" si="201"/>
        <v>0.3</v>
      </c>
      <c r="AS189" s="1">
        <f t="shared" si="202"/>
        <v>9</v>
      </c>
      <c r="AT189" s="1">
        <f t="shared" si="203"/>
        <v>0.3</v>
      </c>
      <c r="AU189" s="1">
        <f t="shared" si="204"/>
        <v>9</v>
      </c>
      <c r="AV189" s="1">
        <f>MIN(5,SUMIFS($EL$3:EL189,$B$3:B189,"&gt;="&amp;MAX(1,B189-2),$B$3:B189,"&lt;="&amp;B189)+EC189)</f>
        <v>0</v>
      </c>
      <c r="AW189" s="1">
        <f>MIN(6,SUMIFS($EY$3:EY188,$EX$3:EX188,"&gt;="&amp;MAX(1,EX189-Boss参数!$B$87+1),$EX$3:EX188,"&lt;="&amp;EX189))</f>
        <v>0</v>
      </c>
      <c r="AX189" s="1">
        <f>MIN(4,COUNTIFS($B$3:$B$188,"&gt;="&amp;MAX(1,$B189-2),$B$3:$B$188,"&lt;="&amp;$B189,$L$3:$L$188,"37_FOLLOW"))</f>
        <v>0</v>
      </c>
      <c r="AY189" s="1" t="str">
        <f>IF($E189="","",IF($E189="系统",0,ROUNDDOWN(INDEX(角色面板!$C$4:$C$7,MATCH($E189,角色面板!$A$4:$A$7,0))*(1+INDEX(角色面板!$C$11:$C$14,MATCH($E189,角色面板!$A$11:$A$14,0))+IF($E189="小瑞安侬",MAX(IF($B189&lt;=$AQ189,$AP189,0),IF(AND($L189="RHI_ATTACK",$EE189&gt;0),0.11+0.01*$G189,0)),0)+IF($E189="J",$AD189*Boss参数!$B$18,0))+IF(FD189&lt;=$AN189,MIN(Boss参数!$B$21,ROUNDDOWN(角色面板!$C$19*Boss参数!$B$20,0)),0)+IF(AND($B189&lt;=$AK189,$E189&lt;&gt;"小瑞安侬"),$DY189,0),0)))</f>
        <v/>
      </c>
      <c r="AZ189" s="1" t="str">
        <f>IF($E189="","",MAX(0,MIN(1,IFERROR(INDEX(角色面板!$G$18:$G$21,MATCH($E189,角色面板!$A$18:$A$21,0)),0)-FC189*Boss参数!$B$89-Boss参数!$E$4)))</f>
        <v/>
      </c>
      <c r="BA189" s="1" t="str">
        <f>IF(E189="","",(IF($E189="","",IF($E189="红弩箭",Boss参数!$B$80,IF($E189="J",Boss参数!$B$81,IFERROR(INDEX(角色面板!$H$18:$H$21,MATCH($E189,角色面板!$A$18:$A$21,0)),0)))+IF($B189&lt;=$AI189,Boss参数!$B$13,0)+MIN(30,$AM189)*Boss参数!$B$17+IF(AND($L189="LILYA_ULT",$X189&gt;=6),1,0)+IF(AND($Y189=1,$L189="LILYA_INSIGHT"),IF(MOD($AA189+1,3)=0,Boss参数!$B$83,Boss参数!$B$82),IF(AND($Y189=1,$L189="LILYA_FINISH"),Boss参数!$B$84,0))))-FC189*Boss参数!$B$90)</f>
        <v/>
      </c>
      <c r="BB189" s="1" t="str">
        <f>IF($E189="","",IFERROR(INDEX(角色面板!$M$18:$M$21,MATCH($E189,角色面板!$A$18:$A$21,0)),0)+$AW189*Boss参数!$B$12+IF($B189&lt;=$AG189,$AF189,0)+$EI189+IF($L189="LILYA_DIVE",IF($U189=1,IF($G189=1,0.3,IF($G189=2,0.4,0.5)),IF($U189=2,IF($G189=1,0.6,IF($G189=2,0.8,1)),0)),0)+$R189+IF(AND($E189="J",OR($L189="J_COUNTER",$L189="J_HARD")),Boss参数!$B$79,0)+IF(AND(OR(L189="J_COUNTER",L189="J_HARD"),FA189&gt;=Boss参数!$B$59),FA189*Boss参数!$B$40,0))</f>
        <v/>
      </c>
      <c r="BC189" s="1" t="e">
        <f>IF($E189="","",IFERROR(INDEX(角色面板!$K$18:$K$21,MATCH($E189,角色面板!$A$18:$A$21,0)),0)+IF($B189&lt;=$AH189,Boss参数!$B$46,0)+IF($E189="红弩箭",IF($U189=1,0.6,IF($U189=2,1.2,0))+$W189*0.06,0))-DI189*Boss参数!$B$23</f>
        <v>#VALUE!</v>
      </c>
      <c r="BD189" s="1" t="e">
        <f>IF($E189="","",IFERROR(INDEX(角色面板!$L$18:$L$21,MATCH($E189,角色面板!$A$18:$A$21,0)),0)+IF($B189&lt;=$AH189,Boss参数!$B$46,0)+IF($E189="J",$AL189*Boss参数!$B$16,0)+IF($E189="红弩箭",$X189*0.025,0)+IF(AND($L189="LILYA_ULT",$X189&gt;=6),1,0))-DI189*Boss参数!$B$23</f>
        <v>#VALUE!</v>
      </c>
      <c r="BE189" s="1" t="str">
        <f>IF($E189="","",IF($H189="洞知",IF($E189="红弩箭",$AO189*Boss参数!$B$15,0)+$AX189*Boss参数!$B$14,0))</f>
        <v/>
      </c>
      <c r="BF189" s="1">
        <f t="shared" si="141"/>
        <v>0</v>
      </c>
      <c r="BG189" s="1">
        <f>IF($D189="",0,IF(AND($L189&lt;&gt;"LILYA_DIVE",$L189&lt;&gt;"LILYA_ULT",$L189&lt;&gt;"LILYA_INSIGHT",$L189&lt;&gt;"LILYA_FINISH",$L189&lt;&gt;"37_FOLLOW",$L189&lt;&gt;"RHI_ATTACK",$L189&lt;&gt;"RHI_BERRY",$L189&lt;&gt;"J_COUNTER",$L189&lt;&gt;"J_ULT"),$J189,0)+IF($L189="LILYA_DIVE",$J189+IF($U189=1,IF($G189=1,6,IF($G189=2,12,18)),IF($U189=2,IF($G189=1,12,IF($G189=2,24,36)),0)),0)+IF($L189="LILYA_ULT",$J189+IF($X189&gt;=6,18,0),0)+IF($L189="LILYA_INSIGHT",IF($Y189=1,IF(MOD($AA189+1,3)=0,32,15),0),0)+IF($L189="LILYA_FINISH",IF($Y189=1,50+2.5*$Z189,0),0)+IF($L189="37_FOLLOW",$J189,0)+IF($L189="RHI_ATTACK",$J189*IF($B189&lt;=$AJ189,2,1),0)+IF($L189="RHI_BERRY",15+1.5*$AV189,0)+IF($L189="J_COUNTER",$J189+$AD189*Boss参数!$B$39,0)+IF($L189="J_ULT",$J189+Boss参数!$B$45*MAX(0,$AE189+$AD189-Boss参数!$I$4),0)+$S189)</f>
        <v>0</v>
      </c>
      <c r="BH189" s="1">
        <f t="shared" si="142"/>
        <v>0</v>
      </c>
      <c r="BI189" s="1" t="str">
        <f>IF(E189="","",IF(DT189=1,1+Boss参数!$B$8+AV189*Boss参数!$B$19,1))</f>
        <v/>
      </c>
      <c r="BJ189" s="1">
        <f>IF($I189="现实",Boss参数!$C$4,IF($I189="精神",Boss参数!$D$4,0))</f>
        <v>0</v>
      </c>
      <c r="BK189" s="1" t="str">
        <f>IF($E189="","",MAX($AY189*Boss参数!$B$9,$AY189-$BJ189*(1-$BF189)))</f>
        <v/>
      </c>
      <c r="BL189" s="1">
        <f>MAX(0,Boss参数!$F$4+IF(DT189=0,Boss参数!$B$27,0)-EJ189)</f>
        <v>1.25</v>
      </c>
      <c r="BM189" s="1">
        <f>Boss参数!$G$4+DU189-IF(Y189=1,Boss参数!$B$11,0)</f>
        <v>0.4</v>
      </c>
      <c r="BN189" s="1" t="str">
        <f>IF($E189="","",MAX(Boss参数!$B$10,1+IFERROR(INDEX(角色面板!$I$18:$I$21,MATCH($E189,角色面板!$A$18:$A$21,0)),0)+$BB189+Boss参数!$H$4-$BM189))</f>
        <v/>
      </c>
      <c r="BO189" s="1" t="str">
        <f>IF(E189="","",IF(OR(L189="J_COUNTER",L189="J_HARD"),MAX(0,1+INDEX(角色面板!$K$18:$K$21,MATCH(E189,角色面板!$A$18:$A$21,0))-DI189*Boss参数!$B$23+IF(OR(Boss参数!$B$43=1,L189="J_HARD"),IF(B189&lt;=AH189,Boss参数!$B$46,0),0)),MAX(0,IF(OR(H189="术法",L189="RHI_BERRY",AND(L189="37_FOLLOW",Boss参数!$B$31=1)),1+BC189,IF(H189="仪式",1+BD189,IF(H189="洞知",EK189,1))))))</f>
        <v/>
      </c>
      <c r="BP189" s="1" t="str">
        <f t="shared" si="143"/>
        <v/>
      </c>
      <c r="BQ189" s="1">
        <f t="shared" si="144"/>
        <v>0</v>
      </c>
      <c r="BR189" s="1">
        <f t="shared" si="145"/>
        <v>0</v>
      </c>
      <c r="BS189" s="1">
        <f>IF(BH189=0,0,ROUNDDOWN(AY189*BH189,0)*DV189*IF(Boss参数!$B$29=1,BN189,1)*IF(Boss参数!$B$33=1,BO189,1)*IF(Boss参数!$B$76=1,1-ES189,1))</f>
        <v>0</v>
      </c>
      <c r="BT189" s="1">
        <f t="shared" si="146"/>
        <v>0</v>
      </c>
      <c r="BU189" s="1">
        <f>IF(D189="",0,MIN(IF(Boss参数!$B$77=1,Boss参数!$B$63*Boss参数!$B$62,Boss参数!$B$61*Boss参数!$B$62),DW189+ROUNDDOWN(BS189,0)+ROUNDDOWN(DW189*Q189,0)))</f>
        <v>0</v>
      </c>
      <c r="BV189" s="1">
        <f>IF(D189="",0,MIN(IF(Boss参数!$B$77=1,Boss参数!$B$63*Boss参数!$B$62,Boss参数!$B$61*Boss参数!$B$62),DX189+ROUNDDOWN(BT189,0)+ROUNDDOWN(DX189*Q189,0)))</f>
        <v>0</v>
      </c>
      <c r="BW189" s="1">
        <f t="shared" si="147"/>
        <v>0</v>
      </c>
      <c r="BX189" s="1" t="str">
        <f t="shared" si="148"/>
        <v/>
      </c>
      <c r="BY189" s="1">
        <f t="shared" si="149"/>
        <v>2</v>
      </c>
      <c r="BZ189" s="1">
        <f t="shared" si="150"/>
        <v>1</v>
      </c>
      <c r="CA189" s="1">
        <f>MIN(10,W189+IF(AND(L189="LILYA_COBRA",COUNTIF($L$3:L189,"LILYA_COBRA")=1),5,0)+IF(AND(L189="LILYA_DIVE",U189=1,COUNTIFS($DG$3:DG189,DG189,$L$3:L189,"LILYA_DIVE")=1),2,0)+IF(AND(FE189=1,U189=1),3,0))</f>
        <v>10</v>
      </c>
      <c r="CB189" s="1">
        <f>MIN(20,MAX(0,X189+IF(L189="LILYA_COBRA",IF(COUNTIF($L$3:L189,"LILYA_COBRA")=1,6,IF(U189=1,MAX(1,G189),IF(U189=2,2*MAX(1,G189),0))),0)+IF(AND(Y189=1,E189="红弩箭",L189&lt;&gt;"ENTER_INSIGHT"),1,0)-IF(AND(L189="LILYA_ULT",X189&gt;=6),6,0)))</f>
        <v>13</v>
      </c>
      <c r="CC189" s="1">
        <f t="shared" si="151"/>
        <v>0</v>
      </c>
      <c r="CD189" s="1">
        <f t="shared" si="152"/>
        <v>0</v>
      </c>
      <c r="CE189" s="1">
        <f t="shared" si="153"/>
        <v>0</v>
      </c>
      <c r="CF189" s="1">
        <f t="shared" si="154"/>
        <v>10</v>
      </c>
      <c r="CG189" s="1">
        <f t="shared" si="155"/>
        <v>1</v>
      </c>
      <c r="CH189" s="1">
        <f>MIN(35,AD189+IF(L189="J_HARD",6,0)+IF(L189="J_COUNTER",Boss参数!$B$30,0))</f>
        <v>35</v>
      </c>
      <c r="CI189" s="1">
        <f>MIN(Boss参数!$I$4,AE189+IF(L189="J_HARD",6,0)+IF(L189="J_ULT",AD189,0)+IF(L189="J_COUNTER",Boss参数!$B$30,0))</f>
        <v>0</v>
      </c>
      <c r="CJ189" s="1">
        <f>IF(L189="J_ULT",AD189*Boss参数!$B$41,IF(B189&lt;=AG189,AF189,0))</f>
        <v>0.875</v>
      </c>
      <c r="CK189" s="1">
        <f t="shared" si="156"/>
        <v>9</v>
      </c>
      <c r="CL189" s="1">
        <f t="shared" si="157"/>
        <v>9</v>
      </c>
      <c r="CM189" s="1">
        <f t="shared" si="158"/>
        <v>8</v>
      </c>
      <c r="CN189" s="1">
        <f t="shared" si="159"/>
        <v>9</v>
      </c>
      <c r="CO189" s="1">
        <f t="shared" si="160"/>
        <v>8</v>
      </c>
      <c r="CP189" s="1">
        <f t="shared" si="161"/>
        <v>3</v>
      </c>
      <c r="CQ189" s="1">
        <f t="shared" si="162"/>
        <v>30</v>
      </c>
      <c r="CR189" s="1">
        <f t="shared" si="163"/>
        <v>9</v>
      </c>
      <c r="CS189" s="1">
        <f t="shared" si="164"/>
        <v>0</v>
      </c>
      <c r="CT189" s="1" t="e">
        <f t="shared" si="165"/>
        <v>#VALUE!</v>
      </c>
      <c r="CU189" s="1" t="e">
        <f t="shared" si="166"/>
        <v>#VALUE!</v>
      </c>
      <c r="CV189" s="1">
        <f t="shared" si="167"/>
        <v>0.3</v>
      </c>
      <c r="CW189" s="1">
        <f t="shared" si="168"/>
        <v>9</v>
      </c>
      <c r="CX189" s="1">
        <f t="shared" si="169"/>
        <v>0.3</v>
      </c>
      <c r="CY189" s="1">
        <f t="shared" si="170"/>
        <v>9</v>
      </c>
      <c r="CZ189" s="1"/>
      <c r="DA189" s="1"/>
      <c r="DB189" s="1"/>
      <c r="DC189" s="1"/>
      <c r="DD189" s="1"/>
      <c r="DE189" s="1"/>
      <c r="DF189" s="1"/>
      <c r="DG189" s="1" t="str">
        <f>IF(D189="","",行动模拟!B195)</f>
        <v/>
      </c>
      <c r="DH189" s="1" t="str">
        <f>IF(L189="END_TURN","回合结束",IF(D189="","",IF(INDEX(回合状态!$C$7:$C$17,MATCH(DG189,回合状态!$A$7:$A$17,0))="洞穿","洞穿",IF(OR(L189="J_COUNTER",L189="BOSS_ACTION",L189="BOSS_CONSERVATIVE"),"敌方",IF(AND(L189="37_FOLLOW",DG189=DG188,DH188="敌方"),"敌方",IF(INDEX(回合状态!$C$7:$C$17,MATCH(DG189,回合状态!$A$7:$A$17,0))="普通","出牌",INDEX(回合状态!$C$7:$C$17,MATCH(DG189,回合状态!$A$7:$A$17,0))))))))</f>
        <v/>
      </c>
      <c r="DI189" s="1">
        <f t="shared" si="171"/>
        <v>0</v>
      </c>
      <c r="DJ189" s="1">
        <f>IF(D189="",0,MIN(Boss参数!$B$25,IF(OR(AND(DH189="敌方",OR(DH188&lt;&gt;"敌方",DG189&lt;&gt;DG188)),AND(L189="END_TURN",DH189&lt;&gt;"洞穿"),AND(DG189&lt;&gt;DG188,DH188&lt;&gt;"洞穿",L188&lt;&gt;"END_TURN",COUNTIFS($DG$3:DG188,DG188,$DH$3:DH188,"敌方")=0)),EW189,DN188)))</f>
        <v>0</v>
      </c>
      <c r="DK189" s="1">
        <f>IF(D189="",0,MIN(Boss参数!$B$25,IF(OR(AND(DH189="敌方",OR(DH188&lt;&gt;"敌方",DG189&lt;&gt;DG188)),AND(L189="END_TURN",DH189&lt;&gt;"洞穿"),AND(DG189&lt;&gt;DG188,DH188&lt;&gt;"洞穿",L188&lt;&gt;"END_TURN",COUNTIFS($DG$3:DG188,DG188,$DH$3:DH188,"敌方")=0)),EW189,DO188)))</f>
        <v>0</v>
      </c>
      <c r="DL189" s="1">
        <f>IF(D189="",0,MIN(Boss参数!$B$25,IF(OR(AND(DH189="敌方",OR(DH188&lt;&gt;"敌方",DG189&lt;&gt;DG188)),AND(L189="END_TURN",DH189&lt;&gt;"洞穿"),AND(DG189&lt;&gt;DG188,DH188&lt;&gt;"洞穿",L188&lt;&gt;"END_TURN",COUNTIFS($DG$3:DG188,DG188,$DH$3:DH188,"敌方")=0)),EW189,DP188)))</f>
        <v>0</v>
      </c>
      <c r="DM189" s="1">
        <f>IF(D189="",0,MIN(Boss参数!$B$25,IF(OR(AND(DH189="敌方",OR(DH188&lt;&gt;"敌方",DG189&lt;&gt;DG188)),AND(L189="END_TURN",DH189&lt;&gt;"洞穿"),AND(DG189&lt;&gt;DG188,DH188&lt;&gt;"洞穿",L188&lt;&gt;"END_TURN",COUNTIFS($DG$3:DG188,DG188,$DH$3:DH188,"敌方")=0)),EW189,DQ188)))</f>
        <v>0</v>
      </c>
      <c r="DN189" s="1">
        <f>MAX(0,MIN(Boss参数!$B$25,DJ189+DR189)-IF(E189="红弩箭",2*DR189,0))</f>
        <v>0</v>
      </c>
      <c r="DO189" s="1">
        <f>MAX(0,MIN(Boss参数!$B$25,DK189+DR189)-IF(E189="37",2*DR189,0))</f>
        <v>0</v>
      </c>
      <c r="DP189" s="1">
        <f>MAX(0,MIN(Boss参数!$B$25,DL189+DR189)-IF(E189="小瑞安侬",2*DR189,0))</f>
        <v>0</v>
      </c>
      <c r="DQ189" s="1">
        <f>MAX(0,MIN(Boss参数!$B$25,DM189+DR189)-IF(E189="J",2*DR189,0))</f>
        <v>0</v>
      </c>
      <c r="DR189" s="1">
        <f t="shared" si="172"/>
        <v>0</v>
      </c>
      <c r="DS189" s="1">
        <f t="shared" si="173"/>
        <v>0</v>
      </c>
      <c r="DT189" s="1">
        <f>IF(OR(E189="",E189="系统"),0,IF(OR(AND(DS189=1,Boss参数!$B$32=1),L189="RHI_BERRY",OR(AND(INDEX(角色面板!$B$18:$B$21,MATCH(E189,角色面板!$A$18:$A$21,0))="星",Boss参数!$B$4="岩"),AND(INDEX(角色面板!$B$18:$B$21,MATCH(E189,角色面板!$A$18:$A$21,0))="岩",Boss参数!$B$4="兽"),AND(INDEX(角色面板!$B$18:$B$21,MATCH(E189,角色面板!$A$18:$A$21,0))="兽",Boss参数!$B$4="木"),AND(INDEX(角色面板!$B$18:$B$21,MATCH(E189,角色面板!$A$18:$A$21,0))="木",Boss参数!$B$4="星"),AND(INDEX(角色面板!$B$18:$B$21,MATCH(E189,角色面板!$A$18:$A$21,0))="智",Boss参数!$B$4="灵"),AND(INDEX(角色面板!$B$18:$B$21,MATCH(E189,角色面板!$A$18:$A$21,0))="灵",Boss参数!$B$4="智"))),1,0))</f>
        <v>0</v>
      </c>
      <c r="DU189" s="1">
        <f>IF(D189="",0,INDEX(回合状态!$E$7:$E$17,MATCH(DG189,回合状态!$A$7:$A$17,0))+IF(AND(DH189="敌方",OR(INDEX(回合状态!$C$7:$C$17,MATCH(DG189,回合状态!$A$7:$A$17,0))="普通",INDEX(回合状态!$C$7:$C$17,MATCH(DG189,回合状态!$A$7:$A$17,0))="额外")),0.05,0))</f>
        <v>0</v>
      </c>
      <c r="DV189" s="1">
        <f>MAX(Boss参数!$B$28,1+IF(AND(E189="37",AC189&gt;0,BH189&gt;0),Boss参数!$B$42,0)-DI189*Boss参数!$B$24+EA189-ER189)</f>
        <v>9.9999999999999978E-2</v>
      </c>
      <c r="DW189" s="1">
        <f>MIN(IF(Boss参数!$B$77=1,Boss参数!$B$63*Boss参数!$B$62,Boss参数!$B$61*Boss参数!$B$62),ROUNDDOWN(BQ189*(1-ES189),0))</f>
        <v>0</v>
      </c>
      <c r="DX189" s="1">
        <f>MIN(IF(Boss参数!$B$77=1,Boss参数!$B$63*Boss参数!$B$62,Boss参数!$B$61*Boss参数!$B$62),ROUNDDOWN(BR189*(1-ES189),0))</f>
        <v>0</v>
      </c>
      <c r="DY189" s="1">
        <f t="shared" si="205"/>
        <v>250</v>
      </c>
      <c r="DZ189" s="1">
        <f>IF(L189="RHI_ULT",MIN(Boss参数!$B$48,ROUNDDOWN(AY189*Boss参数!$B$47,0)),DY189)</f>
        <v>250</v>
      </c>
      <c r="EA189" s="1">
        <v>0</v>
      </c>
      <c r="EB189" s="1">
        <f t="shared" si="174"/>
        <v>0</v>
      </c>
      <c r="EC189" s="1">
        <f>SUMIFS($EB$3:EB189,$B$3:B189,"&gt;="&amp;MAX(1,B189-2),$B$3:B189,"&lt;="&amp;B189)*Boss参数!$B$51</f>
        <v>0</v>
      </c>
      <c r="ED189" s="1">
        <f>IF(D189="",EG188,IF(AND(DG189&lt;&gt;DG188,DH189&lt;&gt;"洞穿"),MIN(Boss参数!$B$55,EG188+2),EG188))</f>
        <v>0</v>
      </c>
      <c r="EE189" s="1">
        <f t="shared" si="175"/>
        <v>0</v>
      </c>
      <c r="EF189" s="1">
        <f>IF(AND(OR(L189="END_TURN",AND(DH189="敌方",OR(DH188&lt;&gt;"敌方",DG189&lt;&gt;DG188))),SUMIFS($EF$3:EF188,$DG$3:DG188,DG189)=0),MIN(1,MAX(0,ED189-EE189)),0)</f>
        <v>0</v>
      </c>
      <c r="EG189" s="1">
        <f t="shared" si="176"/>
        <v>0</v>
      </c>
      <c r="EH189" s="1">
        <f>Boss参数!$B$53-IF(Y189=1,Boss参数!$B$54,0)</f>
        <v>0</v>
      </c>
      <c r="EI189" s="1">
        <f t="shared" si="177"/>
        <v>0.15</v>
      </c>
      <c r="EJ189" s="1">
        <f t="shared" si="178"/>
        <v>0.15</v>
      </c>
      <c r="EK189" s="1" t="e">
        <f t="shared" si="179"/>
        <v>#VALUE!</v>
      </c>
      <c r="EL189" s="1">
        <f t="shared" si="206"/>
        <v>0</v>
      </c>
      <c r="EM189" s="1">
        <f>IF(AND(DG189&lt;&gt;DG188,DH189="洞穿"),0,IF(L189="ENTER_INSIGHT",Boss参数!$B$57,EO188))</f>
        <v>0</v>
      </c>
      <c r="EN189" s="1">
        <f>IF(AND(Y189=1,H189="洞知",EM189&gt;0),Boss参数!$B$56,0)</f>
        <v>0</v>
      </c>
      <c r="EO189" s="1">
        <f t="shared" si="180"/>
        <v>0</v>
      </c>
      <c r="EP189" s="1">
        <f t="shared" si="207"/>
        <v>23210479</v>
      </c>
      <c r="EQ189" s="1">
        <f>ROUNDDOWN(EP189/Boss参数!$B$62,0)</f>
        <v>232</v>
      </c>
      <c r="ER189" s="1">
        <f>IF(EQ189&gt;=Boss参数!$B$66,Boss参数!$B$69,IF(EQ189&gt;=Boss参数!$B$65,Boss参数!$B$68,IF(EQ189&gt;=Boss参数!$B$64,Boss参数!$B$67,0)))</f>
        <v>0.9</v>
      </c>
      <c r="ES189" s="1">
        <f>MIN(1,IF(EQ189&gt;=Boss参数!$B$66,Boss参数!$B$72+ROUNDDOWN((EQ189-Boss参数!$B$66)/Boss参数!$B$73,0)*Boss参数!$B$74,IF(EQ189&gt;=Boss参数!$B$65,Boss参数!$B$71,IF(EQ189&gt;=Boss参数!$B$64,Boss参数!$B$70,0))))</f>
        <v>0.65</v>
      </c>
      <c r="ET189" s="1">
        <f>MIN(Boss参数!$B$61*Boss参数!$B$62,EP189+IF(AND(Boss参数!$B$60=1,ISNUMBER(验证表!H195)),验证表!H195,EU189))</f>
        <v>23210479</v>
      </c>
      <c r="EU189" s="1">
        <f>IF(D189="",0,IF(验证表!G195="是",BV189,IF(验证表!G195="否",BU189,BW189)))</f>
        <v>0</v>
      </c>
      <c r="EV189" s="1">
        <f>IF(EQ189&gt;=Boss参数!$B$66,2,IF(EQ189&gt;=Boss参数!$B$65,1,0))</f>
        <v>2</v>
      </c>
      <c r="EW189" s="1">
        <f t="shared" si="181"/>
        <v>3</v>
      </c>
      <c r="EX189" s="1">
        <f>IF(D189="",0,INDEX(回合状态!$D$7:$D$17,MATCH(DG189,回合状态!$A$7:$A$17,0)))</f>
        <v>0</v>
      </c>
      <c r="EY189" s="1">
        <f>IF(OR(L189="RHI_ATTACK",L189="RHI_BUFF"),1,IF(L189="RHI_ULT",Boss参数!$B$52,0))</f>
        <v>0</v>
      </c>
      <c r="EZ189" s="1">
        <f>MIN(6,SUMIFS($EY$3:EY189,$EX$3:EX189,"&gt;="&amp;MAX(1,EX189-Boss参数!$B$87+1),$EX$3:EX189,"&lt;="&amp;EX189))</f>
        <v>0</v>
      </c>
      <c r="FA189" s="1">
        <f t="shared" si="208"/>
        <v>0</v>
      </c>
      <c r="FB189" s="17">
        <f>IF(L189="BOSS_CONSERVATIVE",B189+Boss参数!$B$91,FB188)</f>
        <v>7</v>
      </c>
      <c r="FC189" s="17">
        <f t="shared" si="209"/>
        <v>0</v>
      </c>
      <c r="FD189" s="17">
        <f>IF(D189="",FD188,FD188+IF(AND(DG189&lt;&gt;DG188,INDEX(回合状态!$C$7:$C$17,MATCH(DG189,回合状态!$A$7:$A$17,0))&lt;&gt;"洞穿"),1,0))</f>
        <v>8</v>
      </c>
      <c r="FE189" s="17">
        <f>IF(D189="",0,IF(AND(OR(L189="END_TURN",DH189="敌方"),INDEX(回合状态!$C$7:$C$17,MATCH(DG189,回合状态!$A$7:$A$17,0))&lt;&gt;"洞穿",SUMIFS($FE$3:FE188,$DG$3:DG188,DG189)=0),1,0))</f>
        <v>0</v>
      </c>
    </row>
    <row r="190" spans="1:161" ht="84.95" customHeight="1">
      <c r="A190" s="1" t="str">
        <f>行动模拟!A196</f>
        <v/>
      </c>
      <c r="B190" s="1">
        <f>IF(D190="",0,INDEX(回合状态!$B$7:$B$17,MATCH(DG190,回合状态!$A$7:$A$17,0)))</f>
        <v>0</v>
      </c>
      <c r="C190" s="1">
        <f>行动模拟!C196</f>
        <v>0</v>
      </c>
      <c r="D190" s="1" t="str">
        <f>IF(行动模拟!D196="","",行动模拟!D196)</f>
        <v/>
      </c>
      <c r="E190" s="1" t="str">
        <f>IF($D190="","",IFERROR(INDEX(技能数据库!$B$4:$B$38,MATCH($D190,技能数据库!$A$4:$A$38,0)),""))</f>
        <v/>
      </c>
      <c r="F190" s="1" t="str">
        <f>IF($D190="","",IFERROR(INDEX(技能数据库!$C$4:$C$38,MATCH($D190,技能数据库!$A$4:$A$38,0)),""))</f>
        <v/>
      </c>
      <c r="G190" s="1" t="str">
        <f>IF($D190="","",IFERROR(INDEX(技能数据库!$D$4:$D$38,MATCH($D190,技能数据库!$A$4:$A$38,0)),""))</f>
        <v/>
      </c>
      <c r="H190" s="1" t="str">
        <f>IF($D190="","",IFERROR(INDEX(技能数据库!$E$4:$E$38,MATCH($D190,技能数据库!$A$4:$A$38,0)),""))</f>
        <v/>
      </c>
      <c r="I190" s="1" t="str">
        <f>IF($D190="","",IFERROR(INDEX(技能数据库!$F$4:$F$38,MATCH($D190,技能数据库!$A$4:$A$38,0)),""))</f>
        <v/>
      </c>
      <c r="J190" s="1" t="str">
        <f>IF($D190="","",IFERROR(INDEX(技能数据库!$G$4:$G$38,MATCH($D190,技能数据库!$A$4:$A$38,0)),""))</f>
        <v/>
      </c>
      <c r="K190" s="1" t="str">
        <f>IF($D190="","",IFERROR(INDEX(技能数据库!$H$4:$H$38,MATCH($D190,技能数据库!$A$4:$A$38,0)),""))</f>
        <v/>
      </c>
      <c r="L190" s="1" t="str">
        <f>IF($D190="","",IFERROR(INDEX(技能数据库!$I$4:$I$38,MATCH($D190,技能数据库!$A$4:$A$38,0)),""))</f>
        <v/>
      </c>
      <c r="M190" s="1">
        <v>1</v>
      </c>
      <c r="N190" s="1"/>
      <c r="O190" s="1"/>
      <c r="P190" s="1"/>
      <c r="Q190" s="1">
        <f t="shared" si="140"/>
        <v>0</v>
      </c>
      <c r="R190" s="1">
        <v>0</v>
      </c>
      <c r="S190" s="1">
        <v>0</v>
      </c>
      <c r="T190" s="1">
        <f>行动模拟!I196</f>
        <v>0</v>
      </c>
      <c r="U190" s="1">
        <f>IF(FD190&lt;&gt;FD189,IF(BY189=1,IF(MIN(10,CA189+IF(AND(DG190&lt;&gt;DG189,DH189&lt;&gt;"洞穿",SUMIFS($FE$3:FE189,$DG$3:DG189,DG189)=0,BY189=1),3,0))&gt;=10,2,1),IF(BY189=2,IF(BZ189&lt;=1,0,2),0)),BY189)</f>
        <v>2</v>
      </c>
      <c r="V190" s="1">
        <f>IF(FD190&lt;&gt;FD189,IF(BY189=1,IF(MIN(10,CA189+IF(AND(DG190&lt;&gt;DG189,DH189&lt;&gt;"洞穿",SUMIFS($FE$3:FE189,$DG$3:DG189,DG189)=0,BY189=1),3,0))&gt;=10,2,0),IF(BY189=2,MAX(0,BZ189-1),0)),BZ189)</f>
        <v>1</v>
      </c>
      <c r="W190" s="1">
        <f>IF(AND(FD190&lt;&gt;FD189,BY189=2,BZ189&lt;=1),0,MIN(10,CA189+IF(AND(DG190&lt;&gt;DG189,DH189&lt;&gt;"洞穿",SUMIFS($FE$3:FE189,$DG$3:DG189,DG189)=0,BY189=1),3,0)))</f>
        <v>10</v>
      </c>
      <c r="X190" s="1">
        <f t="shared" si="182"/>
        <v>13</v>
      </c>
      <c r="Y190" s="1">
        <f t="shared" si="183"/>
        <v>0</v>
      </c>
      <c r="Z190" s="1">
        <f t="shared" si="184"/>
        <v>0</v>
      </c>
      <c r="AA190" s="1">
        <f t="shared" si="185"/>
        <v>0</v>
      </c>
      <c r="AB190" s="1">
        <f t="shared" si="186"/>
        <v>10</v>
      </c>
      <c r="AC190" s="1">
        <f t="shared" si="187"/>
        <v>1</v>
      </c>
      <c r="AD190" s="1">
        <f t="shared" si="188"/>
        <v>35</v>
      </c>
      <c r="AE190" s="1">
        <f>IF(D190="",0,IF(DG190&lt;&gt;DG189,IFERROR(INDEX(回合状态!$F$7:$F$17,MATCH(DG190,回合状态!$A$7:$A$17,0)),0),CI189))</f>
        <v>0</v>
      </c>
      <c r="AF190" s="1">
        <f t="shared" si="189"/>
        <v>0.875</v>
      </c>
      <c r="AG190" s="1">
        <f t="shared" si="190"/>
        <v>9</v>
      </c>
      <c r="AH190" s="1">
        <f t="shared" si="191"/>
        <v>9</v>
      </c>
      <c r="AI190" s="1">
        <f t="shared" si="192"/>
        <v>8</v>
      </c>
      <c r="AJ190" s="1">
        <f t="shared" si="193"/>
        <v>9</v>
      </c>
      <c r="AK190" s="1">
        <f t="shared" si="194"/>
        <v>8</v>
      </c>
      <c r="AL190" s="1">
        <f t="shared" si="195"/>
        <v>3</v>
      </c>
      <c r="AM190" s="1">
        <f t="shared" si="196"/>
        <v>30</v>
      </c>
      <c r="AN190" s="1">
        <f t="shared" si="197"/>
        <v>9</v>
      </c>
      <c r="AO190" s="1">
        <f t="shared" si="198"/>
        <v>0</v>
      </c>
      <c r="AP190" s="1" t="e">
        <f t="shared" si="199"/>
        <v>#VALUE!</v>
      </c>
      <c r="AQ190" s="1" t="e">
        <f t="shared" si="200"/>
        <v>#VALUE!</v>
      </c>
      <c r="AR190" s="1">
        <f t="shared" si="201"/>
        <v>0.3</v>
      </c>
      <c r="AS190" s="1">
        <f t="shared" si="202"/>
        <v>9</v>
      </c>
      <c r="AT190" s="1">
        <f t="shared" si="203"/>
        <v>0.3</v>
      </c>
      <c r="AU190" s="1">
        <f t="shared" si="204"/>
        <v>9</v>
      </c>
      <c r="AV190" s="1">
        <f>MIN(5,SUMIFS($EL$3:EL190,$B$3:B190,"&gt;="&amp;MAX(1,B190-2),$B$3:B190,"&lt;="&amp;B190)+EC190)</f>
        <v>0</v>
      </c>
      <c r="AW190" s="1">
        <f>MIN(6,SUMIFS($EY$3:EY189,$EX$3:EX189,"&gt;="&amp;MAX(1,EX190-Boss参数!$B$87+1),$EX$3:EX189,"&lt;="&amp;EX190))</f>
        <v>0</v>
      </c>
      <c r="AX190" s="1">
        <f>MIN(4,COUNTIFS($B$3:$B$189,"&gt;="&amp;MAX(1,$B190-2),$B$3:$B$189,"&lt;="&amp;$B190,$L$3:$L$189,"37_FOLLOW"))</f>
        <v>0</v>
      </c>
      <c r="AY190" s="1" t="str">
        <f>IF($E190="","",IF($E190="系统",0,ROUNDDOWN(INDEX(角色面板!$C$4:$C$7,MATCH($E190,角色面板!$A$4:$A$7,0))*(1+INDEX(角色面板!$C$11:$C$14,MATCH($E190,角色面板!$A$11:$A$14,0))+IF($E190="小瑞安侬",MAX(IF($B190&lt;=$AQ190,$AP190,0),IF(AND($L190="RHI_ATTACK",$EE190&gt;0),0.11+0.01*$G190,0)),0)+IF($E190="J",$AD190*Boss参数!$B$18,0))+IF(FD190&lt;=$AN190,MIN(Boss参数!$B$21,ROUNDDOWN(角色面板!$C$19*Boss参数!$B$20,0)),0)+IF(AND($B190&lt;=$AK190,$E190&lt;&gt;"小瑞安侬"),$DY190,0),0)))</f>
        <v/>
      </c>
      <c r="AZ190" s="1" t="str">
        <f>IF($E190="","",MAX(0,MIN(1,IFERROR(INDEX(角色面板!$G$18:$G$21,MATCH($E190,角色面板!$A$18:$A$21,0)),0)-FC190*Boss参数!$B$89-Boss参数!$E$4)))</f>
        <v/>
      </c>
      <c r="BA190" s="1" t="str">
        <f>IF(E190="","",(IF($E190="","",IF($E190="红弩箭",Boss参数!$B$80,IF($E190="J",Boss参数!$B$81,IFERROR(INDEX(角色面板!$H$18:$H$21,MATCH($E190,角色面板!$A$18:$A$21,0)),0)))+IF($B190&lt;=$AI190,Boss参数!$B$13,0)+MIN(30,$AM190)*Boss参数!$B$17+IF(AND($L190="LILYA_ULT",$X190&gt;=6),1,0)+IF(AND($Y190=1,$L190="LILYA_INSIGHT"),IF(MOD($AA190+1,3)=0,Boss参数!$B$83,Boss参数!$B$82),IF(AND($Y190=1,$L190="LILYA_FINISH"),Boss参数!$B$84,0))))-FC190*Boss参数!$B$90)</f>
        <v/>
      </c>
      <c r="BB190" s="1" t="str">
        <f>IF($E190="","",IFERROR(INDEX(角色面板!$M$18:$M$21,MATCH($E190,角色面板!$A$18:$A$21,0)),0)+$AW190*Boss参数!$B$12+IF($B190&lt;=$AG190,$AF190,0)+$EI190+IF($L190="LILYA_DIVE",IF($U190=1,IF($G190=1,0.3,IF($G190=2,0.4,0.5)),IF($U190=2,IF($G190=1,0.6,IF($G190=2,0.8,1)),0)),0)+$R190+IF(AND($E190="J",OR($L190="J_COUNTER",$L190="J_HARD")),Boss参数!$B$79,0)+IF(AND(OR(L190="J_COUNTER",L190="J_HARD"),FA190&gt;=Boss参数!$B$59),FA190*Boss参数!$B$40,0))</f>
        <v/>
      </c>
      <c r="BC190" s="1" t="e">
        <f>IF($E190="","",IFERROR(INDEX(角色面板!$K$18:$K$21,MATCH($E190,角色面板!$A$18:$A$21,0)),0)+IF($B190&lt;=$AH190,Boss参数!$B$46,0)+IF($E190="红弩箭",IF($U190=1,0.6,IF($U190=2,1.2,0))+$W190*0.06,0))-DI190*Boss参数!$B$23</f>
        <v>#VALUE!</v>
      </c>
      <c r="BD190" s="1" t="e">
        <f>IF($E190="","",IFERROR(INDEX(角色面板!$L$18:$L$21,MATCH($E190,角色面板!$A$18:$A$21,0)),0)+IF($B190&lt;=$AH190,Boss参数!$B$46,0)+IF($E190="J",$AL190*Boss参数!$B$16,0)+IF($E190="红弩箭",$X190*0.025,0)+IF(AND($L190="LILYA_ULT",$X190&gt;=6),1,0))-DI190*Boss参数!$B$23</f>
        <v>#VALUE!</v>
      </c>
      <c r="BE190" s="1" t="str">
        <f>IF($E190="","",IF($H190="洞知",IF($E190="红弩箭",$AO190*Boss参数!$B$15,0)+$AX190*Boss参数!$B$14,0))</f>
        <v/>
      </c>
      <c r="BF190" s="1">
        <f t="shared" si="141"/>
        <v>0</v>
      </c>
      <c r="BG190" s="1">
        <f>IF($D190="",0,IF(AND($L190&lt;&gt;"LILYA_DIVE",$L190&lt;&gt;"LILYA_ULT",$L190&lt;&gt;"LILYA_INSIGHT",$L190&lt;&gt;"LILYA_FINISH",$L190&lt;&gt;"37_FOLLOW",$L190&lt;&gt;"RHI_ATTACK",$L190&lt;&gt;"RHI_BERRY",$L190&lt;&gt;"J_COUNTER",$L190&lt;&gt;"J_ULT"),$J190,0)+IF($L190="LILYA_DIVE",$J190+IF($U190=1,IF($G190=1,6,IF($G190=2,12,18)),IF($U190=2,IF($G190=1,12,IF($G190=2,24,36)),0)),0)+IF($L190="LILYA_ULT",$J190+IF($X190&gt;=6,18,0),0)+IF($L190="LILYA_INSIGHT",IF($Y190=1,IF(MOD($AA190+1,3)=0,32,15),0),0)+IF($L190="LILYA_FINISH",IF($Y190=1,50+2.5*$Z190,0),0)+IF($L190="37_FOLLOW",$J190,0)+IF($L190="RHI_ATTACK",$J190*IF($B190&lt;=$AJ190,2,1),0)+IF($L190="RHI_BERRY",15+1.5*$AV190,0)+IF($L190="J_COUNTER",$J190+$AD190*Boss参数!$B$39,0)+IF($L190="J_ULT",$J190+Boss参数!$B$45*MAX(0,$AE190+$AD190-Boss参数!$I$4),0)+$S190)</f>
        <v>0</v>
      </c>
      <c r="BH190" s="1">
        <f t="shared" si="142"/>
        <v>0</v>
      </c>
      <c r="BI190" s="1" t="str">
        <f>IF(E190="","",IF(DT190=1,1+Boss参数!$B$8+AV190*Boss参数!$B$19,1))</f>
        <v/>
      </c>
      <c r="BJ190" s="1">
        <f>IF($I190="现实",Boss参数!$C$4,IF($I190="精神",Boss参数!$D$4,0))</f>
        <v>0</v>
      </c>
      <c r="BK190" s="1" t="str">
        <f>IF($E190="","",MAX($AY190*Boss参数!$B$9,$AY190-$BJ190*(1-$BF190)))</f>
        <v/>
      </c>
      <c r="BL190" s="1">
        <f>MAX(0,Boss参数!$F$4+IF(DT190=0,Boss参数!$B$27,0)-EJ190)</f>
        <v>1.25</v>
      </c>
      <c r="BM190" s="1">
        <f>Boss参数!$G$4+DU190-IF(Y190=1,Boss参数!$B$11,0)</f>
        <v>0.4</v>
      </c>
      <c r="BN190" s="1" t="str">
        <f>IF($E190="","",MAX(Boss参数!$B$10,1+IFERROR(INDEX(角色面板!$I$18:$I$21,MATCH($E190,角色面板!$A$18:$A$21,0)),0)+$BB190+Boss参数!$H$4-$BM190))</f>
        <v/>
      </c>
      <c r="BO190" s="1" t="str">
        <f>IF(E190="","",IF(OR(L190="J_COUNTER",L190="J_HARD"),MAX(0,1+INDEX(角色面板!$K$18:$K$21,MATCH(E190,角色面板!$A$18:$A$21,0))-DI190*Boss参数!$B$23+IF(OR(Boss参数!$B$43=1,L190="J_HARD"),IF(B190&lt;=AH190,Boss参数!$B$46,0),0)),MAX(0,IF(OR(H190="术法",L190="RHI_BERRY",AND(L190="37_FOLLOW",Boss参数!$B$31=1)),1+BC190,IF(H190="仪式",1+BD190,IF(H190="洞知",EK190,1))))))</f>
        <v/>
      </c>
      <c r="BP190" s="1" t="str">
        <f t="shared" si="143"/>
        <v/>
      </c>
      <c r="BQ190" s="1">
        <f t="shared" si="144"/>
        <v>0</v>
      </c>
      <c r="BR190" s="1">
        <f t="shared" si="145"/>
        <v>0</v>
      </c>
      <c r="BS190" s="1">
        <f>IF(BH190=0,0,ROUNDDOWN(AY190*BH190,0)*DV190*IF(Boss参数!$B$29=1,BN190,1)*IF(Boss参数!$B$33=1,BO190,1)*IF(Boss参数!$B$76=1,1-ES190,1))</f>
        <v>0</v>
      </c>
      <c r="BT190" s="1">
        <f t="shared" si="146"/>
        <v>0</v>
      </c>
      <c r="BU190" s="1">
        <f>IF(D190="",0,MIN(IF(Boss参数!$B$77=1,Boss参数!$B$63*Boss参数!$B$62,Boss参数!$B$61*Boss参数!$B$62),DW190+ROUNDDOWN(BS190,0)+ROUNDDOWN(DW190*Q190,0)))</f>
        <v>0</v>
      </c>
      <c r="BV190" s="1">
        <f>IF(D190="",0,MIN(IF(Boss参数!$B$77=1,Boss参数!$B$63*Boss参数!$B$62,Boss参数!$B$61*Boss参数!$B$62),DX190+ROUNDDOWN(BT190,0)+ROUNDDOWN(DX190*Q190,0)))</f>
        <v>0</v>
      </c>
      <c r="BW190" s="1">
        <f t="shared" si="147"/>
        <v>0</v>
      </c>
      <c r="BX190" s="1" t="str">
        <f t="shared" si="148"/>
        <v/>
      </c>
      <c r="BY190" s="1">
        <f t="shared" si="149"/>
        <v>2</v>
      </c>
      <c r="BZ190" s="1">
        <f t="shared" si="150"/>
        <v>1</v>
      </c>
      <c r="CA190" s="1">
        <f>MIN(10,W190+IF(AND(L190="LILYA_COBRA",COUNTIF($L$3:L190,"LILYA_COBRA")=1),5,0)+IF(AND(L190="LILYA_DIVE",U190=1,COUNTIFS($DG$3:DG190,DG190,$L$3:L190,"LILYA_DIVE")=1),2,0)+IF(AND(FE190=1,U190=1),3,0))</f>
        <v>10</v>
      </c>
      <c r="CB190" s="1">
        <f>MIN(20,MAX(0,X190+IF(L190="LILYA_COBRA",IF(COUNTIF($L$3:L190,"LILYA_COBRA")=1,6,IF(U190=1,MAX(1,G190),IF(U190=2,2*MAX(1,G190),0))),0)+IF(AND(Y190=1,E190="红弩箭",L190&lt;&gt;"ENTER_INSIGHT"),1,0)-IF(AND(L190="LILYA_ULT",X190&gt;=6),6,0)))</f>
        <v>13</v>
      </c>
      <c r="CC190" s="1">
        <f t="shared" si="151"/>
        <v>0</v>
      </c>
      <c r="CD190" s="1">
        <f t="shared" si="152"/>
        <v>0</v>
      </c>
      <c r="CE190" s="1">
        <f t="shared" si="153"/>
        <v>0</v>
      </c>
      <c r="CF190" s="1">
        <f t="shared" si="154"/>
        <v>10</v>
      </c>
      <c r="CG190" s="1">
        <f t="shared" si="155"/>
        <v>1</v>
      </c>
      <c r="CH190" s="1">
        <f>MIN(35,AD190+IF(L190="J_HARD",6,0)+IF(L190="J_COUNTER",Boss参数!$B$30,0))</f>
        <v>35</v>
      </c>
      <c r="CI190" s="1">
        <f>MIN(Boss参数!$I$4,AE190+IF(L190="J_HARD",6,0)+IF(L190="J_ULT",AD190,0)+IF(L190="J_COUNTER",Boss参数!$B$30,0))</f>
        <v>0</v>
      </c>
      <c r="CJ190" s="1">
        <f>IF(L190="J_ULT",AD190*Boss参数!$B$41,IF(B190&lt;=AG190,AF190,0))</f>
        <v>0.875</v>
      </c>
      <c r="CK190" s="1">
        <f t="shared" si="156"/>
        <v>9</v>
      </c>
      <c r="CL190" s="1">
        <f t="shared" si="157"/>
        <v>9</v>
      </c>
      <c r="CM190" s="1">
        <f t="shared" si="158"/>
        <v>8</v>
      </c>
      <c r="CN190" s="1">
        <f t="shared" si="159"/>
        <v>9</v>
      </c>
      <c r="CO190" s="1">
        <f t="shared" si="160"/>
        <v>8</v>
      </c>
      <c r="CP190" s="1">
        <f t="shared" si="161"/>
        <v>3</v>
      </c>
      <c r="CQ190" s="1">
        <f t="shared" si="162"/>
        <v>30</v>
      </c>
      <c r="CR190" s="1">
        <f t="shared" si="163"/>
        <v>9</v>
      </c>
      <c r="CS190" s="1">
        <f t="shared" si="164"/>
        <v>0</v>
      </c>
      <c r="CT190" s="1" t="e">
        <f t="shared" si="165"/>
        <v>#VALUE!</v>
      </c>
      <c r="CU190" s="1" t="e">
        <f t="shared" si="166"/>
        <v>#VALUE!</v>
      </c>
      <c r="CV190" s="1">
        <f t="shared" si="167"/>
        <v>0.3</v>
      </c>
      <c r="CW190" s="1">
        <f t="shared" si="168"/>
        <v>9</v>
      </c>
      <c r="CX190" s="1">
        <f t="shared" si="169"/>
        <v>0.3</v>
      </c>
      <c r="CY190" s="1">
        <f t="shared" si="170"/>
        <v>9</v>
      </c>
      <c r="CZ190" s="1"/>
      <c r="DA190" s="1"/>
      <c r="DB190" s="1"/>
      <c r="DC190" s="1"/>
      <c r="DD190" s="1"/>
      <c r="DE190" s="1"/>
      <c r="DF190" s="1"/>
      <c r="DG190" s="1" t="str">
        <f>IF(D190="","",行动模拟!B196)</f>
        <v/>
      </c>
      <c r="DH190" s="1" t="str">
        <f>IF(L190="END_TURN","回合结束",IF(D190="","",IF(INDEX(回合状态!$C$7:$C$17,MATCH(DG190,回合状态!$A$7:$A$17,0))="洞穿","洞穿",IF(OR(L190="J_COUNTER",L190="BOSS_ACTION",L190="BOSS_CONSERVATIVE"),"敌方",IF(AND(L190="37_FOLLOW",DG190=DG189,DH189="敌方"),"敌方",IF(INDEX(回合状态!$C$7:$C$17,MATCH(DG190,回合状态!$A$7:$A$17,0))="普通","出牌",INDEX(回合状态!$C$7:$C$17,MATCH(DG190,回合状态!$A$7:$A$17,0))))))))</f>
        <v/>
      </c>
      <c r="DI190" s="1">
        <f t="shared" si="171"/>
        <v>0</v>
      </c>
      <c r="DJ190" s="1">
        <f>IF(D190="",0,MIN(Boss参数!$B$25,IF(OR(AND(DH190="敌方",OR(DH189&lt;&gt;"敌方",DG190&lt;&gt;DG189)),AND(L190="END_TURN",DH190&lt;&gt;"洞穿"),AND(DG190&lt;&gt;DG189,DH189&lt;&gt;"洞穿",L189&lt;&gt;"END_TURN",COUNTIFS($DG$3:DG189,DG189,$DH$3:DH189,"敌方")=0)),EW190,DN189)))</f>
        <v>0</v>
      </c>
      <c r="DK190" s="1">
        <f>IF(D190="",0,MIN(Boss参数!$B$25,IF(OR(AND(DH190="敌方",OR(DH189&lt;&gt;"敌方",DG190&lt;&gt;DG189)),AND(L190="END_TURN",DH190&lt;&gt;"洞穿"),AND(DG190&lt;&gt;DG189,DH189&lt;&gt;"洞穿",L189&lt;&gt;"END_TURN",COUNTIFS($DG$3:DG189,DG189,$DH$3:DH189,"敌方")=0)),EW190,DO189)))</f>
        <v>0</v>
      </c>
      <c r="DL190" s="1">
        <f>IF(D190="",0,MIN(Boss参数!$B$25,IF(OR(AND(DH190="敌方",OR(DH189&lt;&gt;"敌方",DG190&lt;&gt;DG189)),AND(L190="END_TURN",DH190&lt;&gt;"洞穿"),AND(DG190&lt;&gt;DG189,DH189&lt;&gt;"洞穿",L189&lt;&gt;"END_TURN",COUNTIFS($DG$3:DG189,DG189,$DH$3:DH189,"敌方")=0)),EW190,DP189)))</f>
        <v>0</v>
      </c>
      <c r="DM190" s="1">
        <f>IF(D190="",0,MIN(Boss参数!$B$25,IF(OR(AND(DH190="敌方",OR(DH189&lt;&gt;"敌方",DG190&lt;&gt;DG189)),AND(L190="END_TURN",DH190&lt;&gt;"洞穿"),AND(DG190&lt;&gt;DG189,DH189&lt;&gt;"洞穿",L189&lt;&gt;"END_TURN",COUNTIFS($DG$3:DG189,DG189,$DH$3:DH189,"敌方")=0)),EW190,DQ189)))</f>
        <v>0</v>
      </c>
      <c r="DN190" s="1">
        <f>MAX(0,MIN(Boss参数!$B$25,DJ190+DR190)-IF(E190="红弩箭",2*DR190,0))</f>
        <v>0</v>
      </c>
      <c r="DO190" s="1">
        <f>MAX(0,MIN(Boss参数!$B$25,DK190+DR190)-IF(E190="37",2*DR190,0))</f>
        <v>0</v>
      </c>
      <c r="DP190" s="1">
        <f>MAX(0,MIN(Boss参数!$B$25,DL190+DR190)-IF(E190="小瑞安侬",2*DR190,0))</f>
        <v>0</v>
      </c>
      <c r="DQ190" s="1">
        <f>MAX(0,MIN(Boss参数!$B$25,DM190+DR190)-IF(E190="J",2*DR190,0))</f>
        <v>0</v>
      </c>
      <c r="DR190" s="1">
        <f t="shared" si="172"/>
        <v>0</v>
      </c>
      <c r="DS190" s="1">
        <f t="shared" si="173"/>
        <v>0</v>
      </c>
      <c r="DT190" s="1">
        <f>IF(OR(E190="",E190="系统"),0,IF(OR(AND(DS190=1,Boss参数!$B$32=1),L190="RHI_BERRY",OR(AND(INDEX(角色面板!$B$18:$B$21,MATCH(E190,角色面板!$A$18:$A$21,0))="星",Boss参数!$B$4="岩"),AND(INDEX(角色面板!$B$18:$B$21,MATCH(E190,角色面板!$A$18:$A$21,0))="岩",Boss参数!$B$4="兽"),AND(INDEX(角色面板!$B$18:$B$21,MATCH(E190,角色面板!$A$18:$A$21,0))="兽",Boss参数!$B$4="木"),AND(INDEX(角色面板!$B$18:$B$21,MATCH(E190,角色面板!$A$18:$A$21,0))="木",Boss参数!$B$4="星"),AND(INDEX(角色面板!$B$18:$B$21,MATCH(E190,角色面板!$A$18:$A$21,0))="智",Boss参数!$B$4="灵"),AND(INDEX(角色面板!$B$18:$B$21,MATCH(E190,角色面板!$A$18:$A$21,0))="灵",Boss参数!$B$4="智"))),1,0))</f>
        <v>0</v>
      </c>
      <c r="DU190" s="1">
        <f>IF(D190="",0,INDEX(回合状态!$E$7:$E$17,MATCH(DG190,回合状态!$A$7:$A$17,0))+IF(AND(DH190="敌方",OR(INDEX(回合状态!$C$7:$C$17,MATCH(DG190,回合状态!$A$7:$A$17,0))="普通",INDEX(回合状态!$C$7:$C$17,MATCH(DG190,回合状态!$A$7:$A$17,0))="额外")),0.05,0))</f>
        <v>0</v>
      </c>
      <c r="DV190" s="1">
        <f>MAX(Boss参数!$B$28,1+IF(AND(E190="37",AC190&gt;0,BH190&gt;0),Boss参数!$B$42,0)-DI190*Boss参数!$B$24+EA190-ER190)</f>
        <v>9.9999999999999978E-2</v>
      </c>
      <c r="DW190" s="1">
        <f>MIN(IF(Boss参数!$B$77=1,Boss参数!$B$63*Boss参数!$B$62,Boss参数!$B$61*Boss参数!$B$62),ROUNDDOWN(BQ190*(1-ES190),0))</f>
        <v>0</v>
      </c>
      <c r="DX190" s="1">
        <f>MIN(IF(Boss参数!$B$77=1,Boss参数!$B$63*Boss参数!$B$62,Boss参数!$B$61*Boss参数!$B$62),ROUNDDOWN(BR190*(1-ES190),0))</f>
        <v>0</v>
      </c>
      <c r="DY190" s="1">
        <f t="shared" si="205"/>
        <v>250</v>
      </c>
      <c r="DZ190" s="1">
        <f>IF(L190="RHI_ULT",MIN(Boss参数!$B$48,ROUNDDOWN(AY190*Boss参数!$B$47,0)),DY190)</f>
        <v>250</v>
      </c>
      <c r="EA190" s="1">
        <v>0</v>
      </c>
      <c r="EB190" s="1">
        <f t="shared" si="174"/>
        <v>0</v>
      </c>
      <c r="EC190" s="1">
        <f>SUMIFS($EB$3:EB190,$B$3:B190,"&gt;="&amp;MAX(1,B190-2),$B$3:B190,"&lt;="&amp;B190)*Boss参数!$B$51</f>
        <v>0</v>
      </c>
      <c r="ED190" s="1">
        <f>IF(D190="",EG189,IF(AND(DG190&lt;&gt;DG189,DH190&lt;&gt;"洞穿"),MIN(Boss参数!$B$55,EG189+2),EG189))</f>
        <v>0</v>
      </c>
      <c r="EE190" s="1">
        <f t="shared" si="175"/>
        <v>0</v>
      </c>
      <c r="EF190" s="1">
        <f>IF(AND(OR(L190="END_TURN",AND(DH190="敌方",OR(DH189&lt;&gt;"敌方",DG190&lt;&gt;DG189))),SUMIFS($EF$3:EF189,$DG$3:DG189,DG190)=0),MIN(1,MAX(0,ED190-EE190)),0)</f>
        <v>0</v>
      </c>
      <c r="EG190" s="1">
        <f t="shared" si="176"/>
        <v>0</v>
      </c>
      <c r="EH190" s="1">
        <f>Boss参数!$B$53-IF(Y190=1,Boss参数!$B$54,0)</f>
        <v>0</v>
      </c>
      <c r="EI190" s="1">
        <f t="shared" si="177"/>
        <v>0.15</v>
      </c>
      <c r="EJ190" s="1">
        <f t="shared" si="178"/>
        <v>0.15</v>
      </c>
      <c r="EK190" s="1" t="e">
        <f t="shared" si="179"/>
        <v>#VALUE!</v>
      </c>
      <c r="EL190" s="1">
        <f t="shared" si="206"/>
        <v>0</v>
      </c>
      <c r="EM190" s="1">
        <f>IF(AND(DG190&lt;&gt;DG189,DH190="洞穿"),0,IF(L190="ENTER_INSIGHT",Boss参数!$B$57,EO189))</f>
        <v>0</v>
      </c>
      <c r="EN190" s="1">
        <f>IF(AND(Y190=1,H190="洞知",EM190&gt;0),Boss参数!$B$56,0)</f>
        <v>0</v>
      </c>
      <c r="EO190" s="1">
        <f t="shared" si="180"/>
        <v>0</v>
      </c>
      <c r="EP190" s="1">
        <f t="shared" si="207"/>
        <v>23210479</v>
      </c>
      <c r="EQ190" s="1">
        <f>ROUNDDOWN(EP190/Boss参数!$B$62,0)</f>
        <v>232</v>
      </c>
      <c r="ER190" s="1">
        <f>IF(EQ190&gt;=Boss参数!$B$66,Boss参数!$B$69,IF(EQ190&gt;=Boss参数!$B$65,Boss参数!$B$68,IF(EQ190&gt;=Boss参数!$B$64,Boss参数!$B$67,0)))</f>
        <v>0.9</v>
      </c>
      <c r="ES190" s="1">
        <f>MIN(1,IF(EQ190&gt;=Boss参数!$B$66,Boss参数!$B$72+ROUNDDOWN((EQ190-Boss参数!$B$66)/Boss参数!$B$73,0)*Boss参数!$B$74,IF(EQ190&gt;=Boss参数!$B$65,Boss参数!$B$71,IF(EQ190&gt;=Boss参数!$B$64,Boss参数!$B$70,0))))</f>
        <v>0.65</v>
      </c>
      <c r="ET190" s="1">
        <f>MIN(Boss参数!$B$61*Boss参数!$B$62,EP190+IF(AND(Boss参数!$B$60=1,ISNUMBER(验证表!H196)),验证表!H196,EU190))</f>
        <v>23210479</v>
      </c>
      <c r="EU190" s="1">
        <f>IF(D190="",0,IF(验证表!G196="是",BV190,IF(验证表!G196="否",BU190,BW190)))</f>
        <v>0</v>
      </c>
      <c r="EV190" s="1">
        <f>IF(EQ190&gt;=Boss参数!$B$66,2,IF(EQ190&gt;=Boss参数!$B$65,1,0))</f>
        <v>2</v>
      </c>
      <c r="EW190" s="1">
        <f t="shared" si="181"/>
        <v>3</v>
      </c>
      <c r="EX190" s="1">
        <f>IF(D190="",0,INDEX(回合状态!$D$7:$D$17,MATCH(DG190,回合状态!$A$7:$A$17,0)))</f>
        <v>0</v>
      </c>
      <c r="EY190" s="1">
        <f>IF(OR(L190="RHI_ATTACK",L190="RHI_BUFF"),1,IF(L190="RHI_ULT",Boss参数!$B$52,0))</f>
        <v>0</v>
      </c>
      <c r="EZ190" s="1">
        <f>MIN(6,SUMIFS($EY$3:EY190,$EX$3:EX190,"&gt;="&amp;MAX(1,EX190-Boss参数!$B$87+1),$EX$3:EX190,"&lt;="&amp;EX190))</f>
        <v>0</v>
      </c>
      <c r="FA190" s="1">
        <f t="shared" si="208"/>
        <v>0</v>
      </c>
      <c r="FB190" s="17">
        <f>IF(L190="BOSS_CONSERVATIVE",B190+Boss参数!$B$91,FB189)</f>
        <v>7</v>
      </c>
      <c r="FC190" s="17">
        <f t="shared" si="209"/>
        <v>0</v>
      </c>
      <c r="FD190" s="17">
        <f>IF(D190="",FD189,FD189+IF(AND(DG190&lt;&gt;DG189,INDEX(回合状态!$C$7:$C$17,MATCH(DG190,回合状态!$A$7:$A$17,0))&lt;&gt;"洞穿"),1,0))</f>
        <v>8</v>
      </c>
      <c r="FE190" s="17">
        <f>IF(D190="",0,IF(AND(OR(L190="END_TURN",DH190="敌方"),INDEX(回合状态!$C$7:$C$17,MATCH(DG190,回合状态!$A$7:$A$17,0))&lt;&gt;"洞穿",SUMIFS($FE$3:FE189,$DG$3:DG189,DG190)=0),1,0))</f>
        <v>0</v>
      </c>
    </row>
    <row r="191" spans="1:161" ht="84.95" customHeight="1">
      <c r="A191" s="1" t="str">
        <f>行动模拟!A197</f>
        <v/>
      </c>
      <c r="B191" s="1">
        <f>IF(D191="",0,INDEX(回合状态!$B$7:$B$17,MATCH(DG191,回合状态!$A$7:$A$17,0)))</f>
        <v>0</v>
      </c>
      <c r="C191" s="1">
        <f>行动模拟!C197</f>
        <v>0</v>
      </c>
      <c r="D191" s="1" t="str">
        <f>IF(行动模拟!D197="","",行动模拟!D197)</f>
        <v/>
      </c>
      <c r="E191" s="1" t="str">
        <f>IF($D191="","",IFERROR(INDEX(技能数据库!$B$4:$B$38,MATCH($D191,技能数据库!$A$4:$A$38,0)),""))</f>
        <v/>
      </c>
      <c r="F191" s="1" t="str">
        <f>IF($D191="","",IFERROR(INDEX(技能数据库!$C$4:$C$38,MATCH($D191,技能数据库!$A$4:$A$38,0)),""))</f>
        <v/>
      </c>
      <c r="G191" s="1" t="str">
        <f>IF($D191="","",IFERROR(INDEX(技能数据库!$D$4:$D$38,MATCH($D191,技能数据库!$A$4:$A$38,0)),""))</f>
        <v/>
      </c>
      <c r="H191" s="1" t="str">
        <f>IF($D191="","",IFERROR(INDEX(技能数据库!$E$4:$E$38,MATCH($D191,技能数据库!$A$4:$A$38,0)),""))</f>
        <v/>
      </c>
      <c r="I191" s="1" t="str">
        <f>IF($D191="","",IFERROR(INDEX(技能数据库!$F$4:$F$38,MATCH($D191,技能数据库!$A$4:$A$38,0)),""))</f>
        <v/>
      </c>
      <c r="J191" s="1" t="str">
        <f>IF($D191="","",IFERROR(INDEX(技能数据库!$G$4:$G$38,MATCH($D191,技能数据库!$A$4:$A$38,0)),""))</f>
        <v/>
      </c>
      <c r="K191" s="1" t="str">
        <f>IF($D191="","",IFERROR(INDEX(技能数据库!$H$4:$H$38,MATCH($D191,技能数据库!$A$4:$A$38,0)),""))</f>
        <v/>
      </c>
      <c r="L191" s="1" t="str">
        <f>IF($D191="","",IFERROR(INDEX(技能数据库!$I$4:$I$38,MATCH($D191,技能数据库!$A$4:$A$38,0)),""))</f>
        <v/>
      </c>
      <c r="M191" s="1">
        <v>1</v>
      </c>
      <c r="N191" s="1"/>
      <c r="O191" s="1"/>
      <c r="P191" s="1"/>
      <c r="Q191" s="1">
        <f t="shared" si="140"/>
        <v>0</v>
      </c>
      <c r="R191" s="1">
        <v>0</v>
      </c>
      <c r="S191" s="1">
        <v>0</v>
      </c>
      <c r="T191" s="1">
        <f>行动模拟!I197</f>
        <v>0</v>
      </c>
      <c r="U191" s="1">
        <f>IF(FD191&lt;&gt;FD190,IF(BY190=1,IF(MIN(10,CA190+IF(AND(DG191&lt;&gt;DG190,DH190&lt;&gt;"洞穿",SUMIFS($FE$3:FE190,$DG$3:DG190,DG190)=0,BY190=1),3,0))&gt;=10,2,1),IF(BY190=2,IF(BZ190&lt;=1,0,2),0)),BY190)</f>
        <v>2</v>
      </c>
      <c r="V191" s="1">
        <f>IF(FD191&lt;&gt;FD190,IF(BY190=1,IF(MIN(10,CA190+IF(AND(DG191&lt;&gt;DG190,DH190&lt;&gt;"洞穿",SUMIFS($FE$3:FE190,$DG$3:DG190,DG190)=0,BY190=1),3,0))&gt;=10,2,0),IF(BY190=2,MAX(0,BZ190-1),0)),BZ190)</f>
        <v>1</v>
      </c>
      <c r="W191" s="1">
        <f>IF(AND(FD191&lt;&gt;FD190,BY190=2,BZ190&lt;=1),0,MIN(10,CA190+IF(AND(DG191&lt;&gt;DG190,DH190&lt;&gt;"洞穿",SUMIFS($FE$3:FE190,$DG$3:DG190,DG190)=0,BY190=1),3,0)))</f>
        <v>10</v>
      </c>
      <c r="X191" s="1">
        <f t="shared" si="182"/>
        <v>13</v>
      </c>
      <c r="Y191" s="1">
        <f t="shared" si="183"/>
        <v>0</v>
      </c>
      <c r="Z191" s="1">
        <f t="shared" si="184"/>
        <v>0</v>
      </c>
      <c r="AA191" s="1">
        <f t="shared" si="185"/>
        <v>0</v>
      </c>
      <c r="AB191" s="1">
        <f t="shared" si="186"/>
        <v>10</v>
      </c>
      <c r="AC191" s="1">
        <f t="shared" si="187"/>
        <v>1</v>
      </c>
      <c r="AD191" s="1">
        <f t="shared" si="188"/>
        <v>35</v>
      </c>
      <c r="AE191" s="1">
        <f>IF(D191="",0,IF(DG191&lt;&gt;DG190,IFERROR(INDEX(回合状态!$F$7:$F$17,MATCH(DG191,回合状态!$A$7:$A$17,0)),0),CI190))</f>
        <v>0</v>
      </c>
      <c r="AF191" s="1">
        <f t="shared" si="189"/>
        <v>0.875</v>
      </c>
      <c r="AG191" s="1">
        <f t="shared" si="190"/>
        <v>9</v>
      </c>
      <c r="AH191" s="1">
        <f t="shared" si="191"/>
        <v>9</v>
      </c>
      <c r="AI191" s="1">
        <f t="shared" si="192"/>
        <v>8</v>
      </c>
      <c r="AJ191" s="1">
        <f t="shared" si="193"/>
        <v>9</v>
      </c>
      <c r="AK191" s="1">
        <f t="shared" si="194"/>
        <v>8</v>
      </c>
      <c r="AL191" s="1">
        <f t="shared" si="195"/>
        <v>3</v>
      </c>
      <c r="AM191" s="1">
        <f t="shared" si="196"/>
        <v>30</v>
      </c>
      <c r="AN191" s="1">
        <f t="shared" si="197"/>
        <v>9</v>
      </c>
      <c r="AO191" s="1">
        <f t="shared" si="198"/>
        <v>0</v>
      </c>
      <c r="AP191" s="1" t="e">
        <f t="shared" si="199"/>
        <v>#VALUE!</v>
      </c>
      <c r="AQ191" s="1" t="e">
        <f t="shared" si="200"/>
        <v>#VALUE!</v>
      </c>
      <c r="AR191" s="1">
        <f t="shared" si="201"/>
        <v>0.3</v>
      </c>
      <c r="AS191" s="1">
        <f t="shared" si="202"/>
        <v>9</v>
      </c>
      <c r="AT191" s="1">
        <f t="shared" si="203"/>
        <v>0.3</v>
      </c>
      <c r="AU191" s="1">
        <f t="shared" si="204"/>
        <v>9</v>
      </c>
      <c r="AV191" s="1">
        <f>MIN(5,SUMIFS($EL$3:EL191,$B$3:B191,"&gt;="&amp;MAX(1,B191-2),$B$3:B191,"&lt;="&amp;B191)+EC191)</f>
        <v>0</v>
      </c>
      <c r="AW191" s="1">
        <f>MIN(6,SUMIFS($EY$3:EY190,$EX$3:EX190,"&gt;="&amp;MAX(1,EX191-Boss参数!$B$87+1),$EX$3:EX190,"&lt;="&amp;EX191))</f>
        <v>0</v>
      </c>
      <c r="AX191" s="1">
        <f>MIN(4,COUNTIFS($B$3:$B$190,"&gt;="&amp;MAX(1,$B191-2),$B$3:$B$190,"&lt;="&amp;$B191,$L$3:$L$190,"37_FOLLOW"))</f>
        <v>0</v>
      </c>
      <c r="AY191" s="1" t="str">
        <f>IF($E191="","",IF($E191="系统",0,ROUNDDOWN(INDEX(角色面板!$C$4:$C$7,MATCH($E191,角色面板!$A$4:$A$7,0))*(1+INDEX(角色面板!$C$11:$C$14,MATCH($E191,角色面板!$A$11:$A$14,0))+IF($E191="小瑞安侬",MAX(IF($B191&lt;=$AQ191,$AP191,0),IF(AND($L191="RHI_ATTACK",$EE191&gt;0),0.11+0.01*$G191,0)),0)+IF($E191="J",$AD191*Boss参数!$B$18,0))+IF(FD191&lt;=$AN191,MIN(Boss参数!$B$21,ROUNDDOWN(角色面板!$C$19*Boss参数!$B$20,0)),0)+IF(AND($B191&lt;=$AK191,$E191&lt;&gt;"小瑞安侬"),$DY191,0),0)))</f>
        <v/>
      </c>
      <c r="AZ191" s="1" t="str">
        <f>IF($E191="","",MAX(0,MIN(1,IFERROR(INDEX(角色面板!$G$18:$G$21,MATCH($E191,角色面板!$A$18:$A$21,0)),0)-FC191*Boss参数!$B$89-Boss参数!$E$4)))</f>
        <v/>
      </c>
      <c r="BA191" s="1" t="str">
        <f>IF(E191="","",(IF($E191="","",IF($E191="红弩箭",Boss参数!$B$80,IF($E191="J",Boss参数!$B$81,IFERROR(INDEX(角色面板!$H$18:$H$21,MATCH($E191,角色面板!$A$18:$A$21,0)),0)))+IF($B191&lt;=$AI191,Boss参数!$B$13,0)+MIN(30,$AM191)*Boss参数!$B$17+IF(AND($L191="LILYA_ULT",$X191&gt;=6),1,0)+IF(AND($Y191=1,$L191="LILYA_INSIGHT"),IF(MOD($AA191+1,3)=0,Boss参数!$B$83,Boss参数!$B$82),IF(AND($Y191=1,$L191="LILYA_FINISH"),Boss参数!$B$84,0))))-FC191*Boss参数!$B$90)</f>
        <v/>
      </c>
      <c r="BB191" s="1" t="str">
        <f>IF($E191="","",IFERROR(INDEX(角色面板!$M$18:$M$21,MATCH($E191,角色面板!$A$18:$A$21,0)),0)+$AW191*Boss参数!$B$12+IF($B191&lt;=$AG191,$AF191,0)+$EI191+IF($L191="LILYA_DIVE",IF($U191=1,IF($G191=1,0.3,IF($G191=2,0.4,0.5)),IF($U191=2,IF($G191=1,0.6,IF($G191=2,0.8,1)),0)),0)+$R191+IF(AND($E191="J",OR($L191="J_COUNTER",$L191="J_HARD")),Boss参数!$B$79,0)+IF(AND(OR(L191="J_COUNTER",L191="J_HARD"),FA191&gt;=Boss参数!$B$59),FA191*Boss参数!$B$40,0))</f>
        <v/>
      </c>
      <c r="BC191" s="1" t="e">
        <f>IF($E191="","",IFERROR(INDEX(角色面板!$K$18:$K$21,MATCH($E191,角色面板!$A$18:$A$21,0)),0)+IF($B191&lt;=$AH191,Boss参数!$B$46,0)+IF($E191="红弩箭",IF($U191=1,0.6,IF($U191=2,1.2,0))+$W191*0.06,0))-DI191*Boss参数!$B$23</f>
        <v>#VALUE!</v>
      </c>
      <c r="BD191" s="1" t="e">
        <f>IF($E191="","",IFERROR(INDEX(角色面板!$L$18:$L$21,MATCH($E191,角色面板!$A$18:$A$21,0)),0)+IF($B191&lt;=$AH191,Boss参数!$B$46,0)+IF($E191="J",$AL191*Boss参数!$B$16,0)+IF($E191="红弩箭",$X191*0.025,0)+IF(AND($L191="LILYA_ULT",$X191&gt;=6),1,0))-DI191*Boss参数!$B$23</f>
        <v>#VALUE!</v>
      </c>
      <c r="BE191" s="1" t="str">
        <f>IF($E191="","",IF($H191="洞知",IF($E191="红弩箭",$AO191*Boss参数!$B$15,0)+$AX191*Boss参数!$B$14,0))</f>
        <v/>
      </c>
      <c r="BF191" s="1">
        <f t="shared" si="141"/>
        <v>0</v>
      </c>
      <c r="BG191" s="1">
        <f>IF($D191="",0,IF(AND($L191&lt;&gt;"LILYA_DIVE",$L191&lt;&gt;"LILYA_ULT",$L191&lt;&gt;"LILYA_INSIGHT",$L191&lt;&gt;"LILYA_FINISH",$L191&lt;&gt;"37_FOLLOW",$L191&lt;&gt;"RHI_ATTACK",$L191&lt;&gt;"RHI_BERRY",$L191&lt;&gt;"J_COUNTER",$L191&lt;&gt;"J_ULT"),$J191,0)+IF($L191="LILYA_DIVE",$J191+IF($U191=1,IF($G191=1,6,IF($G191=2,12,18)),IF($U191=2,IF($G191=1,12,IF($G191=2,24,36)),0)),0)+IF($L191="LILYA_ULT",$J191+IF($X191&gt;=6,18,0),0)+IF($L191="LILYA_INSIGHT",IF($Y191=1,IF(MOD($AA191+1,3)=0,32,15),0),0)+IF($L191="LILYA_FINISH",IF($Y191=1,50+2.5*$Z191,0),0)+IF($L191="37_FOLLOW",$J191,0)+IF($L191="RHI_ATTACK",$J191*IF($B191&lt;=$AJ191,2,1),0)+IF($L191="RHI_BERRY",15+1.5*$AV191,0)+IF($L191="J_COUNTER",$J191+$AD191*Boss参数!$B$39,0)+IF($L191="J_ULT",$J191+Boss参数!$B$45*MAX(0,$AE191+$AD191-Boss参数!$I$4),0)+$S191)</f>
        <v>0</v>
      </c>
      <c r="BH191" s="1">
        <f t="shared" si="142"/>
        <v>0</v>
      </c>
      <c r="BI191" s="1" t="str">
        <f>IF(E191="","",IF(DT191=1,1+Boss参数!$B$8+AV191*Boss参数!$B$19,1))</f>
        <v/>
      </c>
      <c r="BJ191" s="1">
        <f>IF($I191="现实",Boss参数!$C$4,IF($I191="精神",Boss参数!$D$4,0))</f>
        <v>0</v>
      </c>
      <c r="BK191" s="1" t="str">
        <f>IF($E191="","",MAX($AY191*Boss参数!$B$9,$AY191-$BJ191*(1-$BF191)))</f>
        <v/>
      </c>
      <c r="BL191" s="1">
        <f>MAX(0,Boss参数!$F$4+IF(DT191=0,Boss参数!$B$27,0)-EJ191)</f>
        <v>1.25</v>
      </c>
      <c r="BM191" s="1">
        <f>Boss参数!$G$4+DU191-IF(Y191=1,Boss参数!$B$11,0)</f>
        <v>0.4</v>
      </c>
      <c r="BN191" s="1" t="str">
        <f>IF($E191="","",MAX(Boss参数!$B$10,1+IFERROR(INDEX(角色面板!$I$18:$I$21,MATCH($E191,角色面板!$A$18:$A$21,0)),0)+$BB191+Boss参数!$H$4-$BM191))</f>
        <v/>
      </c>
      <c r="BO191" s="1" t="str">
        <f>IF(E191="","",IF(OR(L191="J_COUNTER",L191="J_HARD"),MAX(0,1+INDEX(角色面板!$K$18:$K$21,MATCH(E191,角色面板!$A$18:$A$21,0))-DI191*Boss参数!$B$23+IF(OR(Boss参数!$B$43=1,L191="J_HARD"),IF(B191&lt;=AH191,Boss参数!$B$46,0),0)),MAX(0,IF(OR(H191="术法",L191="RHI_BERRY",AND(L191="37_FOLLOW",Boss参数!$B$31=1)),1+BC191,IF(H191="仪式",1+BD191,IF(H191="洞知",EK191,1))))))</f>
        <v/>
      </c>
      <c r="BP191" s="1" t="str">
        <f t="shared" si="143"/>
        <v/>
      </c>
      <c r="BQ191" s="1">
        <f t="shared" si="144"/>
        <v>0</v>
      </c>
      <c r="BR191" s="1">
        <f t="shared" si="145"/>
        <v>0</v>
      </c>
      <c r="BS191" s="1">
        <f>IF(BH191=0,0,ROUNDDOWN(AY191*BH191,0)*DV191*IF(Boss参数!$B$29=1,BN191,1)*IF(Boss参数!$B$33=1,BO191,1)*IF(Boss参数!$B$76=1,1-ES191,1))</f>
        <v>0</v>
      </c>
      <c r="BT191" s="1">
        <f t="shared" si="146"/>
        <v>0</v>
      </c>
      <c r="BU191" s="1">
        <f>IF(D191="",0,MIN(IF(Boss参数!$B$77=1,Boss参数!$B$63*Boss参数!$B$62,Boss参数!$B$61*Boss参数!$B$62),DW191+ROUNDDOWN(BS191,0)+ROUNDDOWN(DW191*Q191,0)))</f>
        <v>0</v>
      </c>
      <c r="BV191" s="1">
        <f>IF(D191="",0,MIN(IF(Boss参数!$B$77=1,Boss参数!$B$63*Boss参数!$B$62,Boss参数!$B$61*Boss参数!$B$62),DX191+ROUNDDOWN(BT191,0)+ROUNDDOWN(DX191*Q191,0)))</f>
        <v>0</v>
      </c>
      <c r="BW191" s="1">
        <f t="shared" si="147"/>
        <v>0</v>
      </c>
      <c r="BX191" s="1" t="str">
        <f t="shared" si="148"/>
        <v/>
      </c>
      <c r="BY191" s="1">
        <f t="shared" si="149"/>
        <v>2</v>
      </c>
      <c r="BZ191" s="1">
        <f t="shared" si="150"/>
        <v>1</v>
      </c>
      <c r="CA191" s="1">
        <f>MIN(10,W191+IF(AND(L191="LILYA_COBRA",COUNTIF($L$3:L191,"LILYA_COBRA")=1),5,0)+IF(AND(L191="LILYA_DIVE",U191=1,COUNTIFS($DG$3:DG191,DG191,$L$3:L191,"LILYA_DIVE")=1),2,0)+IF(AND(FE191=1,U191=1),3,0))</f>
        <v>10</v>
      </c>
      <c r="CB191" s="1">
        <f>MIN(20,MAX(0,X191+IF(L191="LILYA_COBRA",IF(COUNTIF($L$3:L191,"LILYA_COBRA")=1,6,IF(U191=1,MAX(1,G191),IF(U191=2,2*MAX(1,G191),0))),0)+IF(AND(Y191=1,E191="红弩箭",L191&lt;&gt;"ENTER_INSIGHT"),1,0)-IF(AND(L191="LILYA_ULT",X191&gt;=6),6,0)))</f>
        <v>13</v>
      </c>
      <c r="CC191" s="1">
        <f t="shared" si="151"/>
        <v>0</v>
      </c>
      <c r="CD191" s="1">
        <f t="shared" si="152"/>
        <v>0</v>
      </c>
      <c r="CE191" s="1">
        <f t="shared" si="153"/>
        <v>0</v>
      </c>
      <c r="CF191" s="1">
        <f t="shared" si="154"/>
        <v>10</v>
      </c>
      <c r="CG191" s="1">
        <f t="shared" si="155"/>
        <v>1</v>
      </c>
      <c r="CH191" s="1">
        <f>MIN(35,AD191+IF(L191="J_HARD",6,0)+IF(L191="J_COUNTER",Boss参数!$B$30,0))</f>
        <v>35</v>
      </c>
      <c r="CI191" s="1">
        <f>MIN(Boss参数!$I$4,AE191+IF(L191="J_HARD",6,0)+IF(L191="J_ULT",AD191,0)+IF(L191="J_COUNTER",Boss参数!$B$30,0))</f>
        <v>0</v>
      </c>
      <c r="CJ191" s="1">
        <f>IF(L191="J_ULT",AD191*Boss参数!$B$41,IF(B191&lt;=AG191,AF191,0))</f>
        <v>0.875</v>
      </c>
      <c r="CK191" s="1">
        <f t="shared" si="156"/>
        <v>9</v>
      </c>
      <c r="CL191" s="1">
        <f t="shared" si="157"/>
        <v>9</v>
      </c>
      <c r="CM191" s="1">
        <f t="shared" si="158"/>
        <v>8</v>
      </c>
      <c r="CN191" s="1">
        <f t="shared" si="159"/>
        <v>9</v>
      </c>
      <c r="CO191" s="1">
        <f t="shared" si="160"/>
        <v>8</v>
      </c>
      <c r="CP191" s="1">
        <f t="shared" si="161"/>
        <v>3</v>
      </c>
      <c r="CQ191" s="1">
        <f t="shared" si="162"/>
        <v>30</v>
      </c>
      <c r="CR191" s="1">
        <f t="shared" si="163"/>
        <v>9</v>
      </c>
      <c r="CS191" s="1">
        <f t="shared" si="164"/>
        <v>0</v>
      </c>
      <c r="CT191" s="1" t="e">
        <f t="shared" si="165"/>
        <v>#VALUE!</v>
      </c>
      <c r="CU191" s="1" t="e">
        <f t="shared" si="166"/>
        <v>#VALUE!</v>
      </c>
      <c r="CV191" s="1">
        <f t="shared" si="167"/>
        <v>0.3</v>
      </c>
      <c r="CW191" s="1">
        <f t="shared" si="168"/>
        <v>9</v>
      </c>
      <c r="CX191" s="1">
        <f t="shared" si="169"/>
        <v>0.3</v>
      </c>
      <c r="CY191" s="1">
        <f t="shared" si="170"/>
        <v>9</v>
      </c>
      <c r="CZ191" s="1"/>
      <c r="DA191" s="1"/>
      <c r="DB191" s="1"/>
      <c r="DC191" s="1"/>
      <c r="DD191" s="1"/>
      <c r="DE191" s="1"/>
      <c r="DF191" s="1"/>
      <c r="DG191" s="1" t="str">
        <f>IF(D191="","",行动模拟!B197)</f>
        <v/>
      </c>
      <c r="DH191" s="1" t="str">
        <f>IF(L191="END_TURN","回合结束",IF(D191="","",IF(INDEX(回合状态!$C$7:$C$17,MATCH(DG191,回合状态!$A$7:$A$17,0))="洞穿","洞穿",IF(OR(L191="J_COUNTER",L191="BOSS_ACTION",L191="BOSS_CONSERVATIVE"),"敌方",IF(AND(L191="37_FOLLOW",DG191=DG190,DH190="敌方"),"敌方",IF(INDEX(回合状态!$C$7:$C$17,MATCH(DG191,回合状态!$A$7:$A$17,0))="普通","出牌",INDEX(回合状态!$C$7:$C$17,MATCH(DG191,回合状态!$A$7:$A$17,0))))))))</f>
        <v/>
      </c>
      <c r="DI191" s="1">
        <f t="shared" si="171"/>
        <v>0</v>
      </c>
      <c r="DJ191" s="1">
        <f>IF(D191="",0,MIN(Boss参数!$B$25,IF(OR(AND(DH191="敌方",OR(DH190&lt;&gt;"敌方",DG191&lt;&gt;DG190)),AND(L191="END_TURN",DH191&lt;&gt;"洞穿"),AND(DG191&lt;&gt;DG190,DH190&lt;&gt;"洞穿",L190&lt;&gt;"END_TURN",COUNTIFS($DG$3:DG190,DG190,$DH$3:DH190,"敌方")=0)),EW191,DN190)))</f>
        <v>0</v>
      </c>
      <c r="DK191" s="1">
        <f>IF(D191="",0,MIN(Boss参数!$B$25,IF(OR(AND(DH191="敌方",OR(DH190&lt;&gt;"敌方",DG191&lt;&gt;DG190)),AND(L191="END_TURN",DH191&lt;&gt;"洞穿"),AND(DG191&lt;&gt;DG190,DH190&lt;&gt;"洞穿",L190&lt;&gt;"END_TURN",COUNTIFS($DG$3:DG190,DG190,$DH$3:DH190,"敌方")=0)),EW191,DO190)))</f>
        <v>0</v>
      </c>
      <c r="DL191" s="1">
        <f>IF(D191="",0,MIN(Boss参数!$B$25,IF(OR(AND(DH191="敌方",OR(DH190&lt;&gt;"敌方",DG191&lt;&gt;DG190)),AND(L191="END_TURN",DH191&lt;&gt;"洞穿"),AND(DG191&lt;&gt;DG190,DH190&lt;&gt;"洞穿",L190&lt;&gt;"END_TURN",COUNTIFS($DG$3:DG190,DG190,$DH$3:DH190,"敌方")=0)),EW191,DP190)))</f>
        <v>0</v>
      </c>
      <c r="DM191" s="1">
        <f>IF(D191="",0,MIN(Boss参数!$B$25,IF(OR(AND(DH191="敌方",OR(DH190&lt;&gt;"敌方",DG191&lt;&gt;DG190)),AND(L191="END_TURN",DH191&lt;&gt;"洞穿"),AND(DG191&lt;&gt;DG190,DH190&lt;&gt;"洞穿",L190&lt;&gt;"END_TURN",COUNTIFS($DG$3:DG190,DG190,$DH$3:DH190,"敌方")=0)),EW191,DQ190)))</f>
        <v>0</v>
      </c>
      <c r="DN191" s="1">
        <f>MAX(0,MIN(Boss参数!$B$25,DJ191+DR191)-IF(E191="红弩箭",2*DR191,0))</f>
        <v>0</v>
      </c>
      <c r="DO191" s="1">
        <f>MAX(0,MIN(Boss参数!$B$25,DK191+DR191)-IF(E191="37",2*DR191,0))</f>
        <v>0</v>
      </c>
      <c r="DP191" s="1">
        <f>MAX(0,MIN(Boss参数!$B$25,DL191+DR191)-IF(E191="小瑞安侬",2*DR191,0))</f>
        <v>0</v>
      </c>
      <c r="DQ191" s="1">
        <f>MAX(0,MIN(Boss参数!$B$25,DM191+DR191)-IF(E191="J",2*DR191,0))</f>
        <v>0</v>
      </c>
      <c r="DR191" s="1">
        <f t="shared" si="172"/>
        <v>0</v>
      </c>
      <c r="DS191" s="1">
        <f t="shared" si="173"/>
        <v>0</v>
      </c>
      <c r="DT191" s="1">
        <f>IF(OR(E191="",E191="系统"),0,IF(OR(AND(DS191=1,Boss参数!$B$32=1),L191="RHI_BERRY",OR(AND(INDEX(角色面板!$B$18:$B$21,MATCH(E191,角色面板!$A$18:$A$21,0))="星",Boss参数!$B$4="岩"),AND(INDEX(角色面板!$B$18:$B$21,MATCH(E191,角色面板!$A$18:$A$21,0))="岩",Boss参数!$B$4="兽"),AND(INDEX(角色面板!$B$18:$B$21,MATCH(E191,角色面板!$A$18:$A$21,0))="兽",Boss参数!$B$4="木"),AND(INDEX(角色面板!$B$18:$B$21,MATCH(E191,角色面板!$A$18:$A$21,0))="木",Boss参数!$B$4="星"),AND(INDEX(角色面板!$B$18:$B$21,MATCH(E191,角色面板!$A$18:$A$21,0))="智",Boss参数!$B$4="灵"),AND(INDEX(角色面板!$B$18:$B$21,MATCH(E191,角色面板!$A$18:$A$21,0))="灵",Boss参数!$B$4="智"))),1,0))</f>
        <v>0</v>
      </c>
      <c r="DU191" s="1">
        <f>IF(D191="",0,INDEX(回合状态!$E$7:$E$17,MATCH(DG191,回合状态!$A$7:$A$17,0))+IF(AND(DH191="敌方",OR(INDEX(回合状态!$C$7:$C$17,MATCH(DG191,回合状态!$A$7:$A$17,0))="普通",INDEX(回合状态!$C$7:$C$17,MATCH(DG191,回合状态!$A$7:$A$17,0))="额外")),0.05,0))</f>
        <v>0</v>
      </c>
      <c r="DV191" s="1">
        <f>MAX(Boss参数!$B$28,1+IF(AND(E191="37",AC191&gt;0,BH191&gt;0),Boss参数!$B$42,0)-DI191*Boss参数!$B$24+EA191-ER191)</f>
        <v>9.9999999999999978E-2</v>
      </c>
      <c r="DW191" s="1">
        <f>MIN(IF(Boss参数!$B$77=1,Boss参数!$B$63*Boss参数!$B$62,Boss参数!$B$61*Boss参数!$B$62),ROUNDDOWN(BQ191*(1-ES191),0))</f>
        <v>0</v>
      </c>
      <c r="DX191" s="1">
        <f>MIN(IF(Boss参数!$B$77=1,Boss参数!$B$63*Boss参数!$B$62,Boss参数!$B$61*Boss参数!$B$62),ROUNDDOWN(BR191*(1-ES191),0))</f>
        <v>0</v>
      </c>
      <c r="DY191" s="1">
        <f t="shared" si="205"/>
        <v>250</v>
      </c>
      <c r="DZ191" s="1">
        <f>IF(L191="RHI_ULT",MIN(Boss参数!$B$48,ROUNDDOWN(AY191*Boss参数!$B$47,0)),DY191)</f>
        <v>250</v>
      </c>
      <c r="EA191" s="1">
        <v>0</v>
      </c>
      <c r="EB191" s="1">
        <f t="shared" si="174"/>
        <v>0</v>
      </c>
      <c r="EC191" s="1">
        <f>SUMIFS($EB$3:EB191,$B$3:B191,"&gt;="&amp;MAX(1,B191-2),$B$3:B191,"&lt;="&amp;B191)*Boss参数!$B$51</f>
        <v>0</v>
      </c>
      <c r="ED191" s="1">
        <f>IF(D191="",EG190,IF(AND(DG191&lt;&gt;DG190,DH191&lt;&gt;"洞穿"),MIN(Boss参数!$B$55,EG190+2),EG190))</f>
        <v>0</v>
      </c>
      <c r="EE191" s="1">
        <f t="shared" si="175"/>
        <v>0</v>
      </c>
      <c r="EF191" s="1">
        <f>IF(AND(OR(L191="END_TURN",AND(DH191="敌方",OR(DH190&lt;&gt;"敌方",DG191&lt;&gt;DG190))),SUMIFS($EF$3:EF190,$DG$3:DG190,DG191)=0),MIN(1,MAX(0,ED191-EE191)),0)</f>
        <v>0</v>
      </c>
      <c r="EG191" s="1">
        <f t="shared" si="176"/>
        <v>0</v>
      </c>
      <c r="EH191" s="1">
        <f>Boss参数!$B$53-IF(Y191=1,Boss参数!$B$54,0)</f>
        <v>0</v>
      </c>
      <c r="EI191" s="1">
        <f t="shared" si="177"/>
        <v>0.15</v>
      </c>
      <c r="EJ191" s="1">
        <f t="shared" si="178"/>
        <v>0.15</v>
      </c>
      <c r="EK191" s="1" t="e">
        <f t="shared" si="179"/>
        <v>#VALUE!</v>
      </c>
      <c r="EL191" s="1">
        <f t="shared" si="206"/>
        <v>0</v>
      </c>
      <c r="EM191" s="1">
        <f>IF(AND(DG191&lt;&gt;DG190,DH191="洞穿"),0,IF(L191="ENTER_INSIGHT",Boss参数!$B$57,EO190))</f>
        <v>0</v>
      </c>
      <c r="EN191" s="1">
        <f>IF(AND(Y191=1,H191="洞知",EM191&gt;0),Boss参数!$B$56,0)</f>
        <v>0</v>
      </c>
      <c r="EO191" s="1">
        <f t="shared" si="180"/>
        <v>0</v>
      </c>
      <c r="EP191" s="1">
        <f t="shared" si="207"/>
        <v>23210479</v>
      </c>
      <c r="EQ191" s="1">
        <f>ROUNDDOWN(EP191/Boss参数!$B$62,0)</f>
        <v>232</v>
      </c>
      <c r="ER191" s="1">
        <f>IF(EQ191&gt;=Boss参数!$B$66,Boss参数!$B$69,IF(EQ191&gt;=Boss参数!$B$65,Boss参数!$B$68,IF(EQ191&gt;=Boss参数!$B$64,Boss参数!$B$67,0)))</f>
        <v>0.9</v>
      </c>
      <c r="ES191" s="1">
        <f>MIN(1,IF(EQ191&gt;=Boss参数!$B$66,Boss参数!$B$72+ROUNDDOWN((EQ191-Boss参数!$B$66)/Boss参数!$B$73,0)*Boss参数!$B$74,IF(EQ191&gt;=Boss参数!$B$65,Boss参数!$B$71,IF(EQ191&gt;=Boss参数!$B$64,Boss参数!$B$70,0))))</f>
        <v>0.65</v>
      </c>
      <c r="ET191" s="1">
        <f>MIN(Boss参数!$B$61*Boss参数!$B$62,EP191+IF(AND(Boss参数!$B$60=1,ISNUMBER(验证表!H197)),验证表!H197,EU191))</f>
        <v>23210479</v>
      </c>
      <c r="EU191" s="1">
        <f>IF(D191="",0,IF(验证表!G197="是",BV191,IF(验证表!G197="否",BU191,BW191)))</f>
        <v>0</v>
      </c>
      <c r="EV191" s="1">
        <f>IF(EQ191&gt;=Boss参数!$B$66,2,IF(EQ191&gt;=Boss参数!$B$65,1,0))</f>
        <v>2</v>
      </c>
      <c r="EW191" s="1">
        <f t="shared" si="181"/>
        <v>3</v>
      </c>
      <c r="EX191" s="1">
        <f>IF(D191="",0,INDEX(回合状态!$D$7:$D$17,MATCH(DG191,回合状态!$A$7:$A$17,0)))</f>
        <v>0</v>
      </c>
      <c r="EY191" s="1">
        <f>IF(OR(L191="RHI_ATTACK",L191="RHI_BUFF"),1,IF(L191="RHI_ULT",Boss参数!$B$52,0))</f>
        <v>0</v>
      </c>
      <c r="EZ191" s="1">
        <f>MIN(6,SUMIFS($EY$3:EY191,$EX$3:EX191,"&gt;="&amp;MAX(1,EX191-Boss参数!$B$87+1),$EX$3:EX191,"&lt;="&amp;EX191))</f>
        <v>0</v>
      </c>
      <c r="FA191" s="1">
        <f t="shared" si="208"/>
        <v>0</v>
      </c>
      <c r="FB191" s="17">
        <f>IF(L191="BOSS_CONSERVATIVE",B191+Boss参数!$B$91,FB190)</f>
        <v>7</v>
      </c>
      <c r="FC191" s="17">
        <f t="shared" si="209"/>
        <v>0</v>
      </c>
      <c r="FD191" s="17">
        <f>IF(D191="",FD190,FD190+IF(AND(DG191&lt;&gt;DG190,INDEX(回合状态!$C$7:$C$17,MATCH(DG191,回合状态!$A$7:$A$17,0))&lt;&gt;"洞穿"),1,0))</f>
        <v>8</v>
      </c>
      <c r="FE191" s="17">
        <f>IF(D191="",0,IF(AND(OR(L191="END_TURN",DH191="敌方"),INDEX(回合状态!$C$7:$C$17,MATCH(DG191,回合状态!$A$7:$A$17,0))&lt;&gt;"洞穿",SUMIFS($FE$3:FE190,$DG$3:DG190,DG191)=0),1,0))</f>
        <v>0</v>
      </c>
    </row>
    <row r="192" spans="1:161" ht="84.95" customHeight="1">
      <c r="A192" s="1" t="str">
        <f>行动模拟!A198</f>
        <v/>
      </c>
      <c r="B192" s="1">
        <f>IF(D192="",0,INDEX(回合状态!$B$7:$B$17,MATCH(DG192,回合状态!$A$7:$A$17,0)))</f>
        <v>0</v>
      </c>
      <c r="C192" s="1">
        <f>行动模拟!C198</f>
        <v>0</v>
      </c>
      <c r="D192" s="1" t="str">
        <f>IF(行动模拟!D198="","",行动模拟!D198)</f>
        <v/>
      </c>
      <c r="E192" s="1" t="str">
        <f>IF($D192="","",IFERROR(INDEX(技能数据库!$B$4:$B$38,MATCH($D192,技能数据库!$A$4:$A$38,0)),""))</f>
        <v/>
      </c>
      <c r="F192" s="1" t="str">
        <f>IF($D192="","",IFERROR(INDEX(技能数据库!$C$4:$C$38,MATCH($D192,技能数据库!$A$4:$A$38,0)),""))</f>
        <v/>
      </c>
      <c r="G192" s="1" t="str">
        <f>IF($D192="","",IFERROR(INDEX(技能数据库!$D$4:$D$38,MATCH($D192,技能数据库!$A$4:$A$38,0)),""))</f>
        <v/>
      </c>
      <c r="H192" s="1" t="str">
        <f>IF($D192="","",IFERROR(INDEX(技能数据库!$E$4:$E$38,MATCH($D192,技能数据库!$A$4:$A$38,0)),""))</f>
        <v/>
      </c>
      <c r="I192" s="1" t="str">
        <f>IF($D192="","",IFERROR(INDEX(技能数据库!$F$4:$F$38,MATCH($D192,技能数据库!$A$4:$A$38,0)),""))</f>
        <v/>
      </c>
      <c r="J192" s="1" t="str">
        <f>IF($D192="","",IFERROR(INDEX(技能数据库!$G$4:$G$38,MATCH($D192,技能数据库!$A$4:$A$38,0)),""))</f>
        <v/>
      </c>
      <c r="K192" s="1" t="str">
        <f>IF($D192="","",IFERROR(INDEX(技能数据库!$H$4:$H$38,MATCH($D192,技能数据库!$A$4:$A$38,0)),""))</f>
        <v/>
      </c>
      <c r="L192" s="1" t="str">
        <f>IF($D192="","",IFERROR(INDEX(技能数据库!$I$4:$I$38,MATCH($D192,技能数据库!$A$4:$A$38,0)),""))</f>
        <v/>
      </c>
      <c r="M192" s="1">
        <v>1</v>
      </c>
      <c r="N192" s="1"/>
      <c r="O192" s="1"/>
      <c r="P192" s="1"/>
      <c r="Q192" s="1">
        <f t="shared" si="140"/>
        <v>0</v>
      </c>
      <c r="R192" s="1">
        <v>0</v>
      </c>
      <c r="S192" s="1">
        <v>0</v>
      </c>
      <c r="T192" s="1">
        <f>行动模拟!I198</f>
        <v>0</v>
      </c>
      <c r="U192" s="1">
        <f>IF(FD192&lt;&gt;FD191,IF(BY191=1,IF(MIN(10,CA191+IF(AND(DG192&lt;&gt;DG191,DH191&lt;&gt;"洞穿",SUMIFS($FE$3:FE191,$DG$3:DG191,DG191)=0,BY191=1),3,0))&gt;=10,2,1),IF(BY191=2,IF(BZ191&lt;=1,0,2),0)),BY191)</f>
        <v>2</v>
      </c>
      <c r="V192" s="1">
        <f>IF(FD192&lt;&gt;FD191,IF(BY191=1,IF(MIN(10,CA191+IF(AND(DG192&lt;&gt;DG191,DH191&lt;&gt;"洞穿",SUMIFS($FE$3:FE191,$DG$3:DG191,DG191)=0,BY191=1),3,0))&gt;=10,2,0),IF(BY191=2,MAX(0,BZ191-1),0)),BZ191)</f>
        <v>1</v>
      </c>
      <c r="W192" s="1">
        <f>IF(AND(FD192&lt;&gt;FD191,BY191=2,BZ191&lt;=1),0,MIN(10,CA191+IF(AND(DG192&lt;&gt;DG191,DH191&lt;&gt;"洞穿",SUMIFS($FE$3:FE191,$DG$3:DG191,DG191)=0,BY191=1),3,0)))</f>
        <v>10</v>
      </c>
      <c r="X192" s="1">
        <f t="shared" si="182"/>
        <v>13</v>
      </c>
      <c r="Y192" s="1">
        <f t="shared" si="183"/>
        <v>0</v>
      </c>
      <c r="Z192" s="1">
        <f t="shared" si="184"/>
        <v>0</v>
      </c>
      <c r="AA192" s="1">
        <f t="shared" si="185"/>
        <v>0</v>
      </c>
      <c r="AB192" s="1">
        <f t="shared" si="186"/>
        <v>10</v>
      </c>
      <c r="AC192" s="1">
        <f t="shared" si="187"/>
        <v>1</v>
      </c>
      <c r="AD192" s="1">
        <f t="shared" si="188"/>
        <v>35</v>
      </c>
      <c r="AE192" s="1">
        <f>IF(D192="",0,IF(DG192&lt;&gt;DG191,IFERROR(INDEX(回合状态!$F$7:$F$17,MATCH(DG192,回合状态!$A$7:$A$17,0)),0),CI191))</f>
        <v>0</v>
      </c>
      <c r="AF192" s="1">
        <f t="shared" si="189"/>
        <v>0.875</v>
      </c>
      <c r="AG192" s="1">
        <f t="shared" si="190"/>
        <v>9</v>
      </c>
      <c r="AH192" s="1">
        <f t="shared" si="191"/>
        <v>9</v>
      </c>
      <c r="AI192" s="1">
        <f t="shared" si="192"/>
        <v>8</v>
      </c>
      <c r="AJ192" s="1">
        <f t="shared" si="193"/>
        <v>9</v>
      </c>
      <c r="AK192" s="1">
        <f t="shared" si="194"/>
        <v>8</v>
      </c>
      <c r="AL192" s="1">
        <f t="shared" si="195"/>
        <v>3</v>
      </c>
      <c r="AM192" s="1">
        <f t="shared" si="196"/>
        <v>30</v>
      </c>
      <c r="AN192" s="1">
        <f t="shared" si="197"/>
        <v>9</v>
      </c>
      <c r="AO192" s="1">
        <f t="shared" si="198"/>
        <v>0</v>
      </c>
      <c r="AP192" s="1" t="e">
        <f t="shared" si="199"/>
        <v>#VALUE!</v>
      </c>
      <c r="AQ192" s="1" t="e">
        <f t="shared" si="200"/>
        <v>#VALUE!</v>
      </c>
      <c r="AR192" s="1">
        <f t="shared" si="201"/>
        <v>0.3</v>
      </c>
      <c r="AS192" s="1">
        <f t="shared" si="202"/>
        <v>9</v>
      </c>
      <c r="AT192" s="1">
        <f t="shared" si="203"/>
        <v>0.3</v>
      </c>
      <c r="AU192" s="1">
        <f t="shared" si="204"/>
        <v>9</v>
      </c>
      <c r="AV192" s="1">
        <f>MIN(5,SUMIFS($EL$3:EL192,$B$3:B192,"&gt;="&amp;MAX(1,B192-2),$B$3:B192,"&lt;="&amp;B192)+EC192)</f>
        <v>0</v>
      </c>
      <c r="AW192" s="1">
        <f>MIN(6,SUMIFS($EY$3:EY191,$EX$3:EX191,"&gt;="&amp;MAX(1,EX192-Boss参数!$B$87+1),$EX$3:EX191,"&lt;="&amp;EX192))</f>
        <v>0</v>
      </c>
      <c r="AX192" s="1">
        <f>MIN(4,COUNTIFS($B$3:$B$191,"&gt;="&amp;MAX(1,$B192-2),$B$3:$B$191,"&lt;="&amp;$B192,$L$3:$L$191,"37_FOLLOW"))</f>
        <v>0</v>
      </c>
      <c r="AY192" s="1" t="str">
        <f>IF($E192="","",IF($E192="系统",0,ROUNDDOWN(INDEX(角色面板!$C$4:$C$7,MATCH($E192,角色面板!$A$4:$A$7,0))*(1+INDEX(角色面板!$C$11:$C$14,MATCH($E192,角色面板!$A$11:$A$14,0))+IF($E192="小瑞安侬",MAX(IF($B192&lt;=$AQ192,$AP192,0),IF(AND($L192="RHI_ATTACK",$EE192&gt;0),0.11+0.01*$G192,0)),0)+IF($E192="J",$AD192*Boss参数!$B$18,0))+IF(FD192&lt;=$AN192,MIN(Boss参数!$B$21,ROUNDDOWN(角色面板!$C$19*Boss参数!$B$20,0)),0)+IF(AND($B192&lt;=$AK192,$E192&lt;&gt;"小瑞安侬"),$DY192,0),0)))</f>
        <v/>
      </c>
      <c r="AZ192" s="1" t="str">
        <f>IF($E192="","",MAX(0,MIN(1,IFERROR(INDEX(角色面板!$G$18:$G$21,MATCH($E192,角色面板!$A$18:$A$21,0)),0)-FC192*Boss参数!$B$89-Boss参数!$E$4)))</f>
        <v/>
      </c>
      <c r="BA192" s="1" t="str">
        <f>IF(E192="","",(IF($E192="","",IF($E192="红弩箭",Boss参数!$B$80,IF($E192="J",Boss参数!$B$81,IFERROR(INDEX(角色面板!$H$18:$H$21,MATCH($E192,角色面板!$A$18:$A$21,0)),0)))+IF($B192&lt;=$AI192,Boss参数!$B$13,0)+MIN(30,$AM192)*Boss参数!$B$17+IF(AND($L192="LILYA_ULT",$X192&gt;=6),1,0)+IF(AND($Y192=1,$L192="LILYA_INSIGHT"),IF(MOD($AA192+1,3)=0,Boss参数!$B$83,Boss参数!$B$82),IF(AND($Y192=1,$L192="LILYA_FINISH"),Boss参数!$B$84,0))))-FC192*Boss参数!$B$90)</f>
        <v/>
      </c>
      <c r="BB192" s="1" t="str">
        <f>IF($E192="","",IFERROR(INDEX(角色面板!$M$18:$M$21,MATCH($E192,角色面板!$A$18:$A$21,0)),0)+$AW192*Boss参数!$B$12+IF($B192&lt;=$AG192,$AF192,0)+$EI192+IF($L192="LILYA_DIVE",IF($U192=1,IF($G192=1,0.3,IF($G192=2,0.4,0.5)),IF($U192=2,IF($G192=1,0.6,IF($G192=2,0.8,1)),0)),0)+$R192+IF(AND($E192="J",OR($L192="J_COUNTER",$L192="J_HARD")),Boss参数!$B$79,0)+IF(AND(OR(L192="J_COUNTER",L192="J_HARD"),FA192&gt;=Boss参数!$B$59),FA192*Boss参数!$B$40,0))</f>
        <v/>
      </c>
      <c r="BC192" s="1" t="e">
        <f>IF($E192="","",IFERROR(INDEX(角色面板!$K$18:$K$21,MATCH($E192,角色面板!$A$18:$A$21,0)),0)+IF($B192&lt;=$AH192,Boss参数!$B$46,0)+IF($E192="红弩箭",IF($U192=1,0.6,IF($U192=2,1.2,0))+$W192*0.06,0))-DI192*Boss参数!$B$23</f>
        <v>#VALUE!</v>
      </c>
      <c r="BD192" s="1" t="e">
        <f>IF($E192="","",IFERROR(INDEX(角色面板!$L$18:$L$21,MATCH($E192,角色面板!$A$18:$A$21,0)),0)+IF($B192&lt;=$AH192,Boss参数!$B$46,0)+IF($E192="J",$AL192*Boss参数!$B$16,0)+IF($E192="红弩箭",$X192*0.025,0)+IF(AND($L192="LILYA_ULT",$X192&gt;=6),1,0))-DI192*Boss参数!$B$23</f>
        <v>#VALUE!</v>
      </c>
      <c r="BE192" s="1" t="str">
        <f>IF($E192="","",IF($H192="洞知",IF($E192="红弩箭",$AO192*Boss参数!$B$15,0)+$AX192*Boss参数!$B$14,0))</f>
        <v/>
      </c>
      <c r="BF192" s="1">
        <f t="shared" si="141"/>
        <v>0</v>
      </c>
      <c r="BG192" s="1">
        <f>IF($D192="",0,IF(AND($L192&lt;&gt;"LILYA_DIVE",$L192&lt;&gt;"LILYA_ULT",$L192&lt;&gt;"LILYA_INSIGHT",$L192&lt;&gt;"LILYA_FINISH",$L192&lt;&gt;"37_FOLLOW",$L192&lt;&gt;"RHI_ATTACK",$L192&lt;&gt;"RHI_BERRY",$L192&lt;&gt;"J_COUNTER",$L192&lt;&gt;"J_ULT"),$J192,0)+IF($L192="LILYA_DIVE",$J192+IF($U192=1,IF($G192=1,6,IF($G192=2,12,18)),IF($U192=2,IF($G192=1,12,IF($G192=2,24,36)),0)),0)+IF($L192="LILYA_ULT",$J192+IF($X192&gt;=6,18,0),0)+IF($L192="LILYA_INSIGHT",IF($Y192=1,IF(MOD($AA192+1,3)=0,32,15),0),0)+IF($L192="LILYA_FINISH",IF($Y192=1,50+2.5*$Z192,0),0)+IF($L192="37_FOLLOW",$J192,0)+IF($L192="RHI_ATTACK",$J192*IF($B192&lt;=$AJ192,2,1),0)+IF($L192="RHI_BERRY",15+1.5*$AV192,0)+IF($L192="J_COUNTER",$J192+$AD192*Boss参数!$B$39,0)+IF($L192="J_ULT",$J192+Boss参数!$B$45*MAX(0,$AE192+$AD192-Boss参数!$I$4),0)+$S192)</f>
        <v>0</v>
      </c>
      <c r="BH192" s="1">
        <f t="shared" si="142"/>
        <v>0</v>
      </c>
      <c r="BI192" s="1" t="str">
        <f>IF(E192="","",IF(DT192=1,1+Boss参数!$B$8+AV192*Boss参数!$B$19,1))</f>
        <v/>
      </c>
      <c r="BJ192" s="1">
        <f>IF($I192="现实",Boss参数!$C$4,IF($I192="精神",Boss参数!$D$4,0))</f>
        <v>0</v>
      </c>
      <c r="BK192" s="1" t="str">
        <f>IF($E192="","",MAX($AY192*Boss参数!$B$9,$AY192-$BJ192*(1-$BF192)))</f>
        <v/>
      </c>
      <c r="BL192" s="1">
        <f>MAX(0,Boss参数!$F$4+IF(DT192=0,Boss参数!$B$27,0)-EJ192)</f>
        <v>1.25</v>
      </c>
      <c r="BM192" s="1">
        <f>Boss参数!$G$4+DU192-IF(Y192=1,Boss参数!$B$11,0)</f>
        <v>0.4</v>
      </c>
      <c r="BN192" s="1" t="str">
        <f>IF($E192="","",MAX(Boss参数!$B$10,1+IFERROR(INDEX(角色面板!$I$18:$I$21,MATCH($E192,角色面板!$A$18:$A$21,0)),0)+$BB192+Boss参数!$H$4-$BM192))</f>
        <v/>
      </c>
      <c r="BO192" s="1" t="str">
        <f>IF(E192="","",IF(OR(L192="J_COUNTER",L192="J_HARD"),MAX(0,1+INDEX(角色面板!$K$18:$K$21,MATCH(E192,角色面板!$A$18:$A$21,0))-DI192*Boss参数!$B$23+IF(OR(Boss参数!$B$43=1,L192="J_HARD"),IF(B192&lt;=AH192,Boss参数!$B$46,0),0)),MAX(0,IF(OR(H192="术法",L192="RHI_BERRY",AND(L192="37_FOLLOW",Boss参数!$B$31=1)),1+BC192,IF(H192="仪式",1+BD192,IF(H192="洞知",EK192,1))))))</f>
        <v/>
      </c>
      <c r="BP192" s="1" t="str">
        <f t="shared" si="143"/>
        <v/>
      </c>
      <c r="BQ192" s="1">
        <f t="shared" si="144"/>
        <v>0</v>
      </c>
      <c r="BR192" s="1">
        <f t="shared" si="145"/>
        <v>0</v>
      </c>
      <c r="BS192" s="1">
        <f>IF(BH192=0,0,ROUNDDOWN(AY192*BH192,0)*DV192*IF(Boss参数!$B$29=1,BN192,1)*IF(Boss参数!$B$33=1,BO192,1)*IF(Boss参数!$B$76=1,1-ES192,1))</f>
        <v>0</v>
      </c>
      <c r="BT192" s="1">
        <f t="shared" si="146"/>
        <v>0</v>
      </c>
      <c r="BU192" s="1">
        <f>IF(D192="",0,MIN(IF(Boss参数!$B$77=1,Boss参数!$B$63*Boss参数!$B$62,Boss参数!$B$61*Boss参数!$B$62),DW192+ROUNDDOWN(BS192,0)+ROUNDDOWN(DW192*Q192,0)))</f>
        <v>0</v>
      </c>
      <c r="BV192" s="1">
        <f>IF(D192="",0,MIN(IF(Boss参数!$B$77=1,Boss参数!$B$63*Boss参数!$B$62,Boss参数!$B$61*Boss参数!$B$62),DX192+ROUNDDOWN(BT192,0)+ROUNDDOWN(DX192*Q192,0)))</f>
        <v>0</v>
      </c>
      <c r="BW192" s="1">
        <f t="shared" si="147"/>
        <v>0</v>
      </c>
      <c r="BX192" s="1" t="str">
        <f t="shared" si="148"/>
        <v/>
      </c>
      <c r="BY192" s="1">
        <f t="shared" si="149"/>
        <v>2</v>
      </c>
      <c r="BZ192" s="1">
        <f t="shared" si="150"/>
        <v>1</v>
      </c>
      <c r="CA192" s="1">
        <f>MIN(10,W192+IF(AND(L192="LILYA_COBRA",COUNTIF($L$3:L192,"LILYA_COBRA")=1),5,0)+IF(AND(L192="LILYA_DIVE",U192=1,COUNTIFS($DG$3:DG192,DG192,$L$3:L192,"LILYA_DIVE")=1),2,0)+IF(AND(FE192=1,U192=1),3,0))</f>
        <v>10</v>
      </c>
      <c r="CB192" s="1">
        <f>MIN(20,MAX(0,X192+IF(L192="LILYA_COBRA",IF(COUNTIF($L$3:L192,"LILYA_COBRA")=1,6,IF(U192=1,MAX(1,G192),IF(U192=2,2*MAX(1,G192),0))),0)+IF(AND(Y192=1,E192="红弩箭",L192&lt;&gt;"ENTER_INSIGHT"),1,0)-IF(AND(L192="LILYA_ULT",X192&gt;=6),6,0)))</f>
        <v>13</v>
      </c>
      <c r="CC192" s="1">
        <f t="shared" si="151"/>
        <v>0</v>
      </c>
      <c r="CD192" s="1">
        <f t="shared" si="152"/>
        <v>0</v>
      </c>
      <c r="CE192" s="1">
        <f t="shared" si="153"/>
        <v>0</v>
      </c>
      <c r="CF192" s="1">
        <f t="shared" si="154"/>
        <v>10</v>
      </c>
      <c r="CG192" s="1">
        <f t="shared" si="155"/>
        <v>1</v>
      </c>
      <c r="CH192" s="1">
        <f>MIN(35,AD192+IF(L192="J_HARD",6,0)+IF(L192="J_COUNTER",Boss参数!$B$30,0))</f>
        <v>35</v>
      </c>
      <c r="CI192" s="1">
        <f>MIN(Boss参数!$I$4,AE192+IF(L192="J_HARD",6,0)+IF(L192="J_ULT",AD192,0)+IF(L192="J_COUNTER",Boss参数!$B$30,0))</f>
        <v>0</v>
      </c>
      <c r="CJ192" s="1">
        <f>IF(L192="J_ULT",AD192*Boss参数!$B$41,IF(B192&lt;=AG192,AF192,0))</f>
        <v>0.875</v>
      </c>
      <c r="CK192" s="1">
        <f t="shared" si="156"/>
        <v>9</v>
      </c>
      <c r="CL192" s="1">
        <f t="shared" si="157"/>
        <v>9</v>
      </c>
      <c r="CM192" s="1">
        <f t="shared" si="158"/>
        <v>8</v>
      </c>
      <c r="CN192" s="1">
        <f t="shared" si="159"/>
        <v>9</v>
      </c>
      <c r="CO192" s="1">
        <f t="shared" si="160"/>
        <v>8</v>
      </c>
      <c r="CP192" s="1">
        <f t="shared" si="161"/>
        <v>3</v>
      </c>
      <c r="CQ192" s="1">
        <f t="shared" si="162"/>
        <v>30</v>
      </c>
      <c r="CR192" s="1">
        <f t="shared" si="163"/>
        <v>9</v>
      </c>
      <c r="CS192" s="1">
        <f t="shared" si="164"/>
        <v>0</v>
      </c>
      <c r="CT192" s="1" t="e">
        <f t="shared" si="165"/>
        <v>#VALUE!</v>
      </c>
      <c r="CU192" s="1" t="e">
        <f t="shared" si="166"/>
        <v>#VALUE!</v>
      </c>
      <c r="CV192" s="1">
        <f t="shared" si="167"/>
        <v>0.3</v>
      </c>
      <c r="CW192" s="1">
        <f t="shared" si="168"/>
        <v>9</v>
      </c>
      <c r="CX192" s="1">
        <f t="shared" si="169"/>
        <v>0.3</v>
      </c>
      <c r="CY192" s="1">
        <f t="shared" si="170"/>
        <v>9</v>
      </c>
      <c r="CZ192" s="1"/>
      <c r="DA192" s="1"/>
      <c r="DB192" s="1"/>
      <c r="DC192" s="1"/>
      <c r="DD192" s="1"/>
      <c r="DE192" s="1"/>
      <c r="DF192" s="1"/>
      <c r="DG192" s="1" t="str">
        <f>IF(D192="","",行动模拟!B198)</f>
        <v/>
      </c>
      <c r="DH192" s="1" t="str">
        <f>IF(L192="END_TURN","回合结束",IF(D192="","",IF(INDEX(回合状态!$C$7:$C$17,MATCH(DG192,回合状态!$A$7:$A$17,0))="洞穿","洞穿",IF(OR(L192="J_COUNTER",L192="BOSS_ACTION",L192="BOSS_CONSERVATIVE"),"敌方",IF(AND(L192="37_FOLLOW",DG192=DG191,DH191="敌方"),"敌方",IF(INDEX(回合状态!$C$7:$C$17,MATCH(DG192,回合状态!$A$7:$A$17,0))="普通","出牌",INDEX(回合状态!$C$7:$C$17,MATCH(DG192,回合状态!$A$7:$A$17,0))))))))</f>
        <v/>
      </c>
      <c r="DI192" s="1">
        <f t="shared" si="171"/>
        <v>0</v>
      </c>
      <c r="DJ192" s="1">
        <f>IF(D192="",0,MIN(Boss参数!$B$25,IF(OR(AND(DH192="敌方",OR(DH191&lt;&gt;"敌方",DG192&lt;&gt;DG191)),AND(L192="END_TURN",DH192&lt;&gt;"洞穿"),AND(DG192&lt;&gt;DG191,DH191&lt;&gt;"洞穿",L191&lt;&gt;"END_TURN",COUNTIFS($DG$3:DG191,DG191,$DH$3:DH191,"敌方")=0)),EW192,DN191)))</f>
        <v>0</v>
      </c>
      <c r="DK192" s="1">
        <f>IF(D192="",0,MIN(Boss参数!$B$25,IF(OR(AND(DH192="敌方",OR(DH191&lt;&gt;"敌方",DG192&lt;&gt;DG191)),AND(L192="END_TURN",DH192&lt;&gt;"洞穿"),AND(DG192&lt;&gt;DG191,DH191&lt;&gt;"洞穿",L191&lt;&gt;"END_TURN",COUNTIFS($DG$3:DG191,DG191,$DH$3:DH191,"敌方")=0)),EW192,DO191)))</f>
        <v>0</v>
      </c>
      <c r="DL192" s="1">
        <f>IF(D192="",0,MIN(Boss参数!$B$25,IF(OR(AND(DH192="敌方",OR(DH191&lt;&gt;"敌方",DG192&lt;&gt;DG191)),AND(L192="END_TURN",DH192&lt;&gt;"洞穿"),AND(DG192&lt;&gt;DG191,DH191&lt;&gt;"洞穿",L191&lt;&gt;"END_TURN",COUNTIFS($DG$3:DG191,DG191,$DH$3:DH191,"敌方")=0)),EW192,DP191)))</f>
        <v>0</v>
      </c>
      <c r="DM192" s="1">
        <f>IF(D192="",0,MIN(Boss参数!$B$25,IF(OR(AND(DH192="敌方",OR(DH191&lt;&gt;"敌方",DG192&lt;&gt;DG191)),AND(L192="END_TURN",DH192&lt;&gt;"洞穿"),AND(DG192&lt;&gt;DG191,DH191&lt;&gt;"洞穿",L191&lt;&gt;"END_TURN",COUNTIFS($DG$3:DG191,DG191,$DH$3:DH191,"敌方")=0)),EW192,DQ191)))</f>
        <v>0</v>
      </c>
      <c r="DN192" s="1">
        <f>MAX(0,MIN(Boss参数!$B$25,DJ192+DR192)-IF(E192="红弩箭",2*DR192,0))</f>
        <v>0</v>
      </c>
      <c r="DO192" s="1">
        <f>MAX(0,MIN(Boss参数!$B$25,DK192+DR192)-IF(E192="37",2*DR192,0))</f>
        <v>0</v>
      </c>
      <c r="DP192" s="1">
        <f>MAX(0,MIN(Boss参数!$B$25,DL192+DR192)-IF(E192="小瑞安侬",2*DR192,0))</f>
        <v>0</v>
      </c>
      <c r="DQ192" s="1">
        <f>MAX(0,MIN(Boss参数!$B$25,DM192+DR192)-IF(E192="J",2*DR192,0))</f>
        <v>0</v>
      </c>
      <c r="DR192" s="1">
        <f t="shared" si="172"/>
        <v>0</v>
      </c>
      <c r="DS192" s="1">
        <f t="shared" si="173"/>
        <v>0</v>
      </c>
      <c r="DT192" s="1">
        <f>IF(OR(E192="",E192="系统"),0,IF(OR(AND(DS192=1,Boss参数!$B$32=1),L192="RHI_BERRY",OR(AND(INDEX(角色面板!$B$18:$B$21,MATCH(E192,角色面板!$A$18:$A$21,0))="星",Boss参数!$B$4="岩"),AND(INDEX(角色面板!$B$18:$B$21,MATCH(E192,角色面板!$A$18:$A$21,0))="岩",Boss参数!$B$4="兽"),AND(INDEX(角色面板!$B$18:$B$21,MATCH(E192,角色面板!$A$18:$A$21,0))="兽",Boss参数!$B$4="木"),AND(INDEX(角色面板!$B$18:$B$21,MATCH(E192,角色面板!$A$18:$A$21,0))="木",Boss参数!$B$4="星"),AND(INDEX(角色面板!$B$18:$B$21,MATCH(E192,角色面板!$A$18:$A$21,0))="智",Boss参数!$B$4="灵"),AND(INDEX(角色面板!$B$18:$B$21,MATCH(E192,角色面板!$A$18:$A$21,0))="灵",Boss参数!$B$4="智"))),1,0))</f>
        <v>0</v>
      </c>
      <c r="DU192" s="1">
        <f>IF(D192="",0,INDEX(回合状态!$E$7:$E$17,MATCH(DG192,回合状态!$A$7:$A$17,0))+IF(AND(DH192="敌方",OR(INDEX(回合状态!$C$7:$C$17,MATCH(DG192,回合状态!$A$7:$A$17,0))="普通",INDEX(回合状态!$C$7:$C$17,MATCH(DG192,回合状态!$A$7:$A$17,0))="额外")),0.05,0))</f>
        <v>0</v>
      </c>
      <c r="DV192" s="1">
        <f>MAX(Boss参数!$B$28,1+IF(AND(E192="37",AC192&gt;0,BH192&gt;0),Boss参数!$B$42,0)-DI192*Boss参数!$B$24+EA192-ER192)</f>
        <v>9.9999999999999978E-2</v>
      </c>
      <c r="DW192" s="1">
        <f>MIN(IF(Boss参数!$B$77=1,Boss参数!$B$63*Boss参数!$B$62,Boss参数!$B$61*Boss参数!$B$62),ROUNDDOWN(BQ192*(1-ES192),0))</f>
        <v>0</v>
      </c>
      <c r="DX192" s="1">
        <f>MIN(IF(Boss参数!$B$77=1,Boss参数!$B$63*Boss参数!$B$62,Boss参数!$B$61*Boss参数!$B$62),ROUNDDOWN(BR192*(1-ES192),0))</f>
        <v>0</v>
      </c>
      <c r="DY192" s="1">
        <f t="shared" si="205"/>
        <v>250</v>
      </c>
      <c r="DZ192" s="1">
        <f>IF(L192="RHI_ULT",MIN(Boss参数!$B$48,ROUNDDOWN(AY192*Boss参数!$B$47,0)),DY192)</f>
        <v>250</v>
      </c>
      <c r="EA192" s="1">
        <v>0</v>
      </c>
      <c r="EB192" s="1">
        <f t="shared" si="174"/>
        <v>0</v>
      </c>
      <c r="EC192" s="1">
        <f>SUMIFS($EB$3:EB192,$B$3:B192,"&gt;="&amp;MAX(1,B192-2),$B$3:B192,"&lt;="&amp;B192)*Boss参数!$B$51</f>
        <v>0</v>
      </c>
      <c r="ED192" s="1">
        <f>IF(D192="",EG191,IF(AND(DG192&lt;&gt;DG191,DH192&lt;&gt;"洞穿"),MIN(Boss参数!$B$55,EG191+2),EG191))</f>
        <v>0</v>
      </c>
      <c r="EE192" s="1">
        <f t="shared" si="175"/>
        <v>0</v>
      </c>
      <c r="EF192" s="1">
        <f>IF(AND(OR(L192="END_TURN",AND(DH192="敌方",OR(DH191&lt;&gt;"敌方",DG192&lt;&gt;DG191))),SUMIFS($EF$3:EF191,$DG$3:DG191,DG192)=0),MIN(1,MAX(0,ED192-EE192)),0)</f>
        <v>0</v>
      </c>
      <c r="EG192" s="1">
        <f t="shared" si="176"/>
        <v>0</v>
      </c>
      <c r="EH192" s="1">
        <f>Boss参数!$B$53-IF(Y192=1,Boss参数!$B$54,0)</f>
        <v>0</v>
      </c>
      <c r="EI192" s="1">
        <f t="shared" si="177"/>
        <v>0.15</v>
      </c>
      <c r="EJ192" s="1">
        <f t="shared" si="178"/>
        <v>0.15</v>
      </c>
      <c r="EK192" s="1" t="e">
        <f t="shared" si="179"/>
        <v>#VALUE!</v>
      </c>
      <c r="EL192" s="1">
        <f t="shared" si="206"/>
        <v>0</v>
      </c>
      <c r="EM192" s="1">
        <f>IF(AND(DG192&lt;&gt;DG191,DH192="洞穿"),0,IF(L192="ENTER_INSIGHT",Boss参数!$B$57,EO191))</f>
        <v>0</v>
      </c>
      <c r="EN192" s="1">
        <f>IF(AND(Y192=1,H192="洞知",EM192&gt;0),Boss参数!$B$56,0)</f>
        <v>0</v>
      </c>
      <c r="EO192" s="1">
        <f t="shared" si="180"/>
        <v>0</v>
      </c>
      <c r="EP192" s="1">
        <f t="shared" si="207"/>
        <v>23210479</v>
      </c>
      <c r="EQ192" s="1">
        <f>ROUNDDOWN(EP192/Boss参数!$B$62,0)</f>
        <v>232</v>
      </c>
      <c r="ER192" s="1">
        <f>IF(EQ192&gt;=Boss参数!$B$66,Boss参数!$B$69,IF(EQ192&gt;=Boss参数!$B$65,Boss参数!$B$68,IF(EQ192&gt;=Boss参数!$B$64,Boss参数!$B$67,0)))</f>
        <v>0.9</v>
      </c>
      <c r="ES192" s="1">
        <f>MIN(1,IF(EQ192&gt;=Boss参数!$B$66,Boss参数!$B$72+ROUNDDOWN((EQ192-Boss参数!$B$66)/Boss参数!$B$73,0)*Boss参数!$B$74,IF(EQ192&gt;=Boss参数!$B$65,Boss参数!$B$71,IF(EQ192&gt;=Boss参数!$B$64,Boss参数!$B$70,0))))</f>
        <v>0.65</v>
      </c>
      <c r="ET192" s="1">
        <f>MIN(Boss参数!$B$61*Boss参数!$B$62,EP192+IF(AND(Boss参数!$B$60=1,ISNUMBER(验证表!H198)),验证表!H198,EU192))</f>
        <v>23210479</v>
      </c>
      <c r="EU192" s="1">
        <f>IF(D192="",0,IF(验证表!G198="是",BV192,IF(验证表!G198="否",BU192,BW192)))</f>
        <v>0</v>
      </c>
      <c r="EV192" s="1">
        <f>IF(EQ192&gt;=Boss参数!$B$66,2,IF(EQ192&gt;=Boss参数!$B$65,1,0))</f>
        <v>2</v>
      </c>
      <c r="EW192" s="1">
        <f t="shared" si="181"/>
        <v>3</v>
      </c>
      <c r="EX192" s="1">
        <f>IF(D192="",0,INDEX(回合状态!$D$7:$D$17,MATCH(DG192,回合状态!$A$7:$A$17,0)))</f>
        <v>0</v>
      </c>
      <c r="EY192" s="1">
        <f>IF(OR(L192="RHI_ATTACK",L192="RHI_BUFF"),1,IF(L192="RHI_ULT",Boss参数!$B$52,0))</f>
        <v>0</v>
      </c>
      <c r="EZ192" s="1">
        <f>MIN(6,SUMIFS($EY$3:EY192,$EX$3:EX192,"&gt;="&amp;MAX(1,EX192-Boss参数!$B$87+1),$EX$3:EX192,"&lt;="&amp;EX192))</f>
        <v>0</v>
      </c>
      <c r="FA192" s="1">
        <f t="shared" si="208"/>
        <v>0</v>
      </c>
      <c r="FB192" s="17">
        <f>IF(L192="BOSS_CONSERVATIVE",B192+Boss参数!$B$91,FB191)</f>
        <v>7</v>
      </c>
      <c r="FC192" s="17">
        <f t="shared" si="209"/>
        <v>0</v>
      </c>
      <c r="FD192" s="17">
        <f>IF(D192="",FD191,FD191+IF(AND(DG192&lt;&gt;DG191,INDEX(回合状态!$C$7:$C$17,MATCH(DG192,回合状态!$A$7:$A$17,0))&lt;&gt;"洞穿"),1,0))</f>
        <v>8</v>
      </c>
      <c r="FE192" s="17">
        <f>IF(D192="",0,IF(AND(OR(L192="END_TURN",DH192="敌方"),INDEX(回合状态!$C$7:$C$17,MATCH(DG192,回合状态!$A$7:$A$17,0))&lt;&gt;"洞穿",SUMIFS($FE$3:FE191,$DG$3:DG191,DG192)=0),1,0))</f>
        <v>0</v>
      </c>
    </row>
    <row r="193" spans="1:161" ht="84.95" customHeight="1">
      <c r="A193" s="1" t="str">
        <f>行动模拟!A199</f>
        <v/>
      </c>
      <c r="B193" s="1">
        <f>IF(D193="",0,INDEX(回合状态!$B$7:$B$17,MATCH(DG193,回合状态!$A$7:$A$17,0)))</f>
        <v>0</v>
      </c>
      <c r="C193" s="1">
        <f>行动模拟!C199</f>
        <v>0</v>
      </c>
      <c r="D193" s="1" t="str">
        <f>IF(行动模拟!D199="","",行动模拟!D199)</f>
        <v/>
      </c>
      <c r="E193" s="1" t="str">
        <f>IF($D193="","",IFERROR(INDEX(技能数据库!$B$4:$B$38,MATCH($D193,技能数据库!$A$4:$A$38,0)),""))</f>
        <v/>
      </c>
      <c r="F193" s="1" t="str">
        <f>IF($D193="","",IFERROR(INDEX(技能数据库!$C$4:$C$38,MATCH($D193,技能数据库!$A$4:$A$38,0)),""))</f>
        <v/>
      </c>
      <c r="G193" s="1" t="str">
        <f>IF($D193="","",IFERROR(INDEX(技能数据库!$D$4:$D$38,MATCH($D193,技能数据库!$A$4:$A$38,0)),""))</f>
        <v/>
      </c>
      <c r="H193" s="1" t="str">
        <f>IF($D193="","",IFERROR(INDEX(技能数据库!$E$4:$E$38,MATCH($D193,技能数据库!$A$4:$A$38,0)),""))</f>
        <v/>
      </c>
      <c r="I193" s="1" t="str">
        <f>IF($D193="","",IFERROR(INDEX(技能数据库!$F$4:$F$38,MATCH($D193,技能数据库!$A$4:$A$38,0)),""))</f>
        <v/>
      </c>
      <c r="J193" s="1" t="str">
        <f>IF($D193="","",IFERROR(INDEX(技能数据库!$G$4:$G$38,MATCH($D193,技能数据库!$A$4:$A$38,0)),""))</f>
        <v/>
      </c>
      <c r="K193" s="1" t="str">
        <f>IF($D193="","",IFERROR(INDEX(技能数据库!$H$4:$H$38,MATCH($D193,技能数据库!$A$4:$A$38,0)),""))</f>
        <v/>
      </c>
      <c r="L193" s="1" t="str">
        <f>IF($D193="","",IFERROR(INDEX(技能数据库!$I$4:$I$38,MATCH($D193,技能数据库!$A$4:$A$38,0)),""))</f>
        <v/>
      </c>
      <c r="M193" s="1">
        <v>1</v>
      </c>
      <c r="N193" s="1"/>
      <c r="O193" s="1"/>
      <c r="P193" s="1"/>
      <c r="Q193" s="1">
        <f t="shared" si="140"/>
        <v>0</v>
      </c>
      <c r="R193" s="1">
        <v>0</v>
      </c>
      <c r="S193" s="1">
        <v>0</v>
      </c>
      <c r="T193" s="1">
        <f>行动模拟!I199</f>
        <v>0</v>
      </c>
      <c r="U193" s="1">
        <f>IF(FD193&lt;&gt;FD192,IF(BY192=1,IF(MIN(10,CA192+IF(AND(DG193&lt;&gt;DG192,DH192&lt;&gt;"洞穿",SUMIFS($FE$3:FE192,$DG$3:DG192,DG192)=0,BY192=1),3,0))&gt;=10,2,1),IF(BY192=2,IF(BZ192&lt;=1,0,2),0)),BY192)</f>
        <v>2</v>
      </c>
      <c r="V193" s="1">
        <f>IF(FD193&lt;&gt;FD192,IF(BY192=1,IF(MIN(10,CA192+IF(AND(DG193&lt;&gt;DG192,DH192&lt;&gt;"洞穿",SUMIFS($FE$3:FE192,$DG$3:DG192,DG192)=0,BY192=1),3,0))&gt;=10,2,0),IF(BY192=2,MAX(0,BZ192-1),0)),BZ192)</f>
        <v>1</v>
      </c>
      <c r="W193" s="1">
        <f>IF(AND(FD193&lt;&gt;FD192,BY192=2,BZ192&lt;=1),0,MIN(10,CA192+IF(AND(DG193&lt;&gt;DG192,DH192&lt;&gt;"洞穿",SUMIFS($FE$3:FE192,$DG$3:DG192,DG192)=0,BY192=1),3,0)))</f>
        <v>10</v>
      </c>
      <c r="X193" s="1">
        <f t="shared" si="182"/>
        <v>13</v>
      </c>
      <c r="Y193" s="1">
        <f t="shared" si="183"/>
        <v>0</v>
      </c>
      <c r="Z193" s="1">
        <f t="shared" si="184"/>
        <v>0</v>
      </c>
      <c r="AA193" s="1">
        <f t="shared" si="185"/>
        <v>0</v>
      </c>
      <c r="AB193" s="1">
        <f t="shared" si="186"/>
        <v>10</v>
      </c>
      <c r="AC193" s="1">
        <f t="shared" si="187"/>
        <v>1</v>
      </c>
      <c r="AD193" s="1">
        <f t="shared" si="188"/>
        <v>35</v>
      </c>
      <c r="AE193" s="1">
        <f>IF(D193="",0,IF(DG193&lt;&gt;DG192,IFERROR(INDEX(回合状态!$F$7:$F$17,MATCH(DG193,回合状态!$A$7:$A$17,0)),0),CI192))</f>
        <v>0</v>
      </c>
      <c r="AF193" s="1">
        <f t="shared" si="189"/>
        <v>0.875</v>
      </c>
      <c r="AG193" s="1">
        <f t="shared" si="190"/>
        <v>9</v>
      </c>
      <c r="AH193" s="1">
        <f t="shared" si="191"/>
        <v>9</v>
      </c>
      <c r="AI193" s="1">
        <f t="shared" si="192"/>
        <v>8</v>
      </c>
      <c r="AJ193" s="1">
        <f t="shared" si="193"/>
        <v>9</v>
      </c>
      <c r="AK193" s="1">
        <f t="shared" si="194"/>
        <v>8</v>
      </c>
      <c r="AL193" s="1">
        <f t="shared" si="195"/>
        <v>3</v>
      </c>
      <c r="AM193" s="1">
        <f t="shared" si="196"/>
        <v>30</v>
      </c>
      <c r="AN193" s="1">
        <f t="shared" si="197"/>
        <v>9</v>
      </c>
      <c r="AO193" s="1">
        <f t="shared" si="198"/>
        <v>0</v>
      </c>
      <c r="AP193" s="1" t="e">
        <f t="shared" si="199"/>
        <v>#VALUE!</v>
      </c>
      <c r="AQ193" s="1" t="e">
        <f t="shared" si="200"/>
        <v>#VALUE!</v>
      </c>
      <c r="AR193" s="1">
        <f t="shared" si="201"/>
        <v>0.3</v>
      </c>
      <c r="AS193" s="1">
        <f t="shared" si="202"/>
        <v>9</v>
      </c>
      <c r="AT193" s="1">
        <f t="shared" si="203"/>
        <v>0.3</v>
      </c>
      <c r="AU193" s="1">
        <f t="shared" si="204"/>
        <v>9</v>
      </c>
      <c r="AV193" s="1">
        <f>MIN(5,SUMIFS($EL$3:EL193,$B$3:B193,"&gt;="&amp;MAX(1,B193-2),$B$3:B193,"&lt;="&amp;B193)+EC193)</f>
        <v>0</v>
      </c>
      <c r="AW193" s="1">
        <f>MIN(6,SUMIFS($EY$3:EY192,$EX$3:EX192,"&gt;="&amp;MAX(1,EX193-Boss参数!$B$87+1),$EX$3:EX192,"&lt;="&amp;EX193))</f>
        <v>0</v>
      </c>
      <c r="AX193" s="1">
        <f>MIN(4,COUNTIFS($B$3:$B$192,"&gt;="&amp;MAX(1,$B193-2),$B$3:$B$192,"&lt;="&amp;$B193,$L$3:$L$192,"37_FOLLOW"))</f>
        <v>0</v>
      </c>
      <c r="AY193" s="1" t="str">
        <f>IF($E193="","",IF($E193="系统",0,ROUNDDOWN(INDEX(角色面板!$C$4:$C$7,MATCH($E193,角色面板!$A$4:$A$7,0))*(1+INDEX(角色面板!$C$11:$C$14,MATCH($E193,角色面板!$A$11:$A$14,0))+IF($E193="小瑞安侬",MAX(IF($B193&lt;=$AQ193,$AP193,0),IF(AND($L193="RHI_ATTACK",$EE193&gt;0),0.11+0.01*$G193,0)),0)+IF($E193="J",$AD193*Boss参数!$B$18,0))+IF(FD193&lt;=$AN193,MIN(Boss参数!$B$21,ROUNDDOWN(角色面板!$C$19*Boss参数!$B$20,0)),0)+IF(AND($B193&lt;=$AK193,$E193&lt;&gt;"小瑞安侬"),$DY193,0),0)))</f>
        <v/>
      </c>
      <c r="AZ193" s="1" t="str">
        <f>IF($E193="","",MAX(0,MIN(1,IFERROR(INDEX(角色面板!$G$18:$G$21,MATCH($E193,角色面板!$A$18:$A$21,0)),0)-FC193*Boss参数!$B$89-Boss参数!$E$4)))</f>
        <v/>
      </c>
      <c r="BA193" s="1" t="str">
        <f>IF(E193="","",(IF($E193="","",IF($E193="红弩箭",Boss参数!$B$80,IF($E193="J",Boss参数!$B$81,IFERROR(INDEX(角色面板!$H$18:$H$21,MATCH($E193,角色面板!$A$18:$A$21,0)),0)))+IF($B193&lt;=$AI193,Boss参数!$B$13,0)+MIN(30,$AM193)*Boss参数!$B$17+IF(AND($L193="LILYA_ULT",$X193&gt;=6),1,0)+IF(AND($Y193=1,$L193="LILYA_INSIGHT"),IF(MOD($AA193+1,3)=0,Boss参数!$B$83,Boss参数!$B$82),IF(AND($Y193=1,$L193="LILYA_FINISH"),Boss参数!$B$84,0))))-FC193*Boss参数!$B$90)</f>
        <v/>
      </c>
      <c r="BB193" s="1" t="str">
        <f>IF($E193="","",IFERROR(INDEX(角色面板!$M$18:$M$21,MATCH($E193,角色面板!$A$18:$A$21,0)),0)+$AW193*Boss参数!$B$12+IF($B193&lt;=$AG193,$AF193,0)+$EI193+IF($L193="LILYA_DIVE",IF($U193=1,IF($G193=1,0.3,IF($G193=2,0.4,0.5)),IF($U193=2,IF($G193=1,0.6,IF($G193=2,0.8,1)),0)),0)+$R193+IF(AND($E193="J",OR($L193="J_COUNTER",$L193="J_HARD")),Boss参数!$B$79,0)+IF(AND(OR(L193="J_COUNTER",L193="J_HARD"),FA193&gt;=Boss参数!$B$59),FA193*Boss参数!$B$40,0))</f>
        <v/>
      </c>
      <c r="BC193" s="1" t="e">
        <f>IF($E193="","",IFERROR(INDEX(角色面板!$K$18:$K$21,MATCH($E193,角色面板!$A$18:$A$21,0)),0)+IF($B193&lt;=$AH193,Boss参数!$B$46,0)+IF($E193="红弩箭",IF($U193=1,0.6,IF($U193=2,1.2,0))+$W193*0.06,0))-DI193*Boss参数!$B$23</f>
        <v>#VALUE!</v>
      </c>
      <c r="BD193" s="1" t="e">
        <f>IF($E193="","",IFERROR(INDEX(角色面板!$L$18:$L$21,MATCH($E193,角色面板!$A$18:$A$21,0)),0)+IF($B193&lt;=$AH193,Boss参数!$B$46,0)+IF($E193="J",$AL193*Boss参数!$B$16,0)+IF($E193="红弩箭",$X193*0.025,0)+IF(AND($L193="LILYA_ULT",$X193&gt;=6),1,0))-DI193*Boss参数!$B$23</f>
        <v>#VALUE!</v>
      </c>
      <c r="BE193" s="1" t="str">
        <f>IF($E193="","",IF($H193="洞知",IF($E193="红弩箭",$AO193*Boss参数!$B$15,0)+$AX193*Boss参数!$B$14,0))</f>
        <v/>
      </c>
      <c r="BF193" s="1">
        <f t="shared" si="141"/>
        <v>0</v>
      </c>
      <c r="BG193" s="1">
        <f>IF($D193="",0,IF(AND($L193&lt;&gt;"LILYA_DIVE",$L193&lt;&gt;"LILYA_ULT",$L193&lt;&gt;"LILYA_INSIGHT",$L193&lt;&gt;"LILYA_FINISH",$L193&lt;&gt;"37_FOLLOW",$L193&lt;&gt;"RHI_ATTACK",$L193&lt;&gt;"RHI_BERRY",$L193&lt;&gt;"J_COUNTER",$L193&lt;&gt;"J_ULT"),$J193,0)+IF($L193="LILYA_DIVE",$J193+IF($U193=1,IF($G193=1,6,IF($G193=2,12,18)),IF($U193=2,IF($G193=1,12,IF($G193=2,24,36)),0)),0)+IF($L193="LILYA_ULT",$J193+IF($X193&gt;=6,18,0),0)+IF($L193="LILYA_INSIGHT",IF($Y193=1,IF(MOD($AA193+1,3)=0,32,15),0),0)+IF($L193="LILYA_FINISH",IF($Y193=1,50+2.5*$Z193,0),0)+IF($L193="37_FOLLOW",$J193,0)+IF($L193="RHI_ATTACK",$J193*IF($B193&lt;=$AJ193,2,1),0)+IF($L193="RHI_BERRY",15+1.5*$AV193,0)+IF($L193="J_COUNTER",$J193+$AD193*Boss参数!$B$39,0)+IF($L193="J_ULT",$J193+Boss参数!$B$45*MAX(0,$AE193+$AD193-Boss参数!$I$4),0)+$S193)</f>
        <v>0</v>
      </c>
      <c r="BH193" s="1">
        <f t="shared" si="142"/>
        <v>0</v>
      </c>
      <c r="BI193" s="1" t="str">
        <f>IF(E193="","",IF(DT193=1,1+Boss参数!$B$8+AV193*Boss参数!$B$19,1))</f>
        <v/>
      </c>
      <c r="BJ193" s="1">
        <f>IF($I193="现实",Boss参数!$C$4,IF($I193="精神",Boss参数!$D$4,0))</f>
        <v>0</v>
      </c>
      <c r="BK193" s="1" t="str">
        <f>IF($E193="","",MAX($AY193*Boss参数!$B$9,$AY193-$BJ193*(1-$BF193)))</f>
        <v/>
      </c>
      <c r="BL193" s="1">
        <f>MAX(0,Boss参数!$F$4+IF(DT193=0,Boss参数!$B$27,0)-EJ193)</f>
        <v>1.25</v>
      </c>
      <c r="BM193" s="1">
        <f>Boss参数!$G$4+DU193-IF(Y193=1,Boss参数!$B$11,0)</f>
        <v>0.4</v>
      </c>
      <c r="BN193" s="1" t="str">
        <f>IF($E193="","",MAX(Boss参数!$B$10,1+IFERROR(INDEX(角色面板!$I$18:$I$21,MATCH($E193,角色面板!$A$18:$A$21,0)),0)+$BB193+Boss参数!$H$4-$BM193))</f>
        <v/>
      </c>
      <c r="BO193" s="1" t="str">
        <f>IF(E193="","",IF(OR(L193="J_COUNTER",L193="J_HARD"),MAX(0,1+INDEX(角色面板!$K$18:$K$21,MATCH(E193,角色面板!$A$18:$A$21,0))-DI193*Boss参数!$B$23+IF(OR(Boss参数!$B$43=1,L193="J_HARD"),IF(B193&lt;=AH193,Boss参数!$B$46,0),0)),MAX(0,IF(OR(H193="术法",L193="RHI_BERRY",AND(L193="37_FOLLOW",Boss参数!$B$31=1)),1+BC193,IF(H193="仪式",1+BD193,IF(H193="洞知",EK193,1))))))</f>
        <v/>
      </c>
      <c r="BP193" s="1" t="str">
        <f t="shared" si="143"/>
        <v/>
      </c>
      <c r="BQ193" s="1">
        <f t="shared" si="144"/>
        <v>0</v>
      </c>
      <c r="BR193" s="1">
        <f t="shared" si="145"/>
        <v>0</v>
      </c>
      <c r="BS193" s="1">
        <f>IF(BH193=0,0,ROUNDDOWN(AY193*BH193,0)*DV193*IF(Boss参数!$B$29=1,BN193,1)*IF(Boss参数!$B$33=1,BO193,1)*IF(Boss参数!$B$76=1,1-ES193,1))</f>
        <v>0</v>
      </c>
      <c r="BT193" s="1">
        <f t="shared" si="146"/>
        <v>0</v>
      </c>
      <c r="BU193" s="1">
        <f>IF(D193="",0,MIN(IF(Boss参数!$B$77=1,Boss参数!$B$63*Boss参数!$B$62,Boss参数!$B$61*Boss参数!$B$62),DW193+ROUNDDOWN(BS193,0)+ROUNDDOWN(DW193*Q193,0)))</f>
        <v>0</v>
      </c>
      <c r="BV193" s="1">
        <f>IF(D193="",0,MIN(IF(Boss参数!$B$77=1,Boss参数!$B$63*Boss参数!$B$62,Boss参数!$B$61*Boss参数!$B$62),DX193+ROUNDDOWN(BT193,0)+ROUNDDOWN(DX193*Q193,0)))</f>
        <v>0</v>
      </c>
      <c r="BW193" s="1">
        <f t="shared" si="147"/>
        <v>0</v>
      </c>
      <c r="BX193" s="1" t="str">
        <f t="shared" si="148"/>
        <v/>
      </c>
      <c r="BY193" s="1">
        <f t="shared" si="149"/>
        <v>2</v>
      </c>
      <c r="BZ193" s="1">
        <f t="shared" si="150"/>
        <v>1</v>
      </c>
      <c r="CA193" s="1">
        <f>MIN(10,W193+IF(AND(L193="LILYA_COBRA",COUNTIF($L$3:L193,"LILYA_COBRA")=1),5,0)+IF(AND(L193="LILYA_DIVE",U193=1,COUNTIFS($DG$3:DG193,DG193,$L$3:L193,"LILYA_DIVE")=1),2,0)+IF(AND(FE193=1,U193=1),3,0))</f>
        <v>10</v>
      </c>
      <c r="CB193" s="1">
        <f>MIN(20,MAX(0,X193+IF(L193="LILYA_COBRA",IF(COUNTIF($L$3:L193,"LILYA_COBRA")=1,6,IF(U193=1,MAX(1,G193),IF(U193=2,2*MAX(1,G193),0))),0)+IF(AND(Y193=1,E193="红弩箭",L193&lt;&gt;"ENTER_INSIGHT"),1,0)-IF(AND(L193="LILYA_ULT",X193&gt;=6),6,0)))</f>
        <v>13</v>
      </c>
      <c r="CC193" s="1">
        <f t="shared" si="151"/>
        <v>0</v>
      </c>
      <c r="CD193" s="1">
        <f t="shared" si="152"/>
        <v>0</v>
      </c>
      <c r="CE193" s="1">
        <f t="shared" si="153"/>
        <v>0</v>
      </c>
      <c r="CF193" s="1">
        <f t="shared" si="154"/>
        <v>10</v>
      </c>
      <c r="CG193" s="1">
        <f t="shared" si="155"/>
        <v>1</v>
      </c>
      <c r="CH193" s="1">
        <f>MIN(35,AD193+IF(L193="J_HARD",6,0)+IF(L193="J_COUNTER",Boss参数!$B$30,0))</f>
        <v>35</v>
      </c>
      <c r="CI193" s="1">
        <f>MIN(Boss参数!$I$4,AE193+IF(L193="J_HARD",6,0)+IF(L193="J_ULT",AD193,0)+IF(L193="J_COUNTER",Boss参数!$B$30,0))</f>
        <v>0</v>
      </c>
      <c r="CJ193" s="1">
        <f>IF(L193="J_ULT",AD193*Boss参数!$B$41,IF(B193&lt;=AG193,AF193,0))</f>
        <v>0.875</v>
      </c>
      <c r="CK193" s="1">
        <f t="shared" si="156"/>
        <v>9</v>
      </c>
      <c r="CL193" s="1">
        <f t="shared" si="157"/>
        <v>9</v>
      </c>
      <c r="CM193" s="1">
        <f t="shared" si="158"/>
        <v>8</v>
      </c>
      <c r="CN193" s="1">
        <f t="shared" si="159"/>
        <v>9</v>
      </c>
      <c r="CO193" s="1">
        <f t="shared" si="160"/>
        <v>8</v>
      </c>
      <c r="CP193" s="1">
        <f t="shared" si="161"/>
        <v>3</v>
      </c>
      <c r="CQ193" s="1">
        <f t="shared" si="162"/>
        <v>30</v>
      </c>
      <c r="CR193" s="1">
        <f t="shared" si="163"/>
        <v>9</v>
      </c>
      <c r="CS193" s="1">
        <f t="shared" si="164"/>
        <v>0</v>
      </c>
      <c r="CT193" s="1" t="e">
        <f t="shared" si="165"/>
        <v>#VALUE!</v>
      </c>
      <c r="CU193" s="1" t="e">
        <f t="shared" si="166"/>
        <v>#VALUE!</v>
      </c>
      <c r="CV193" s="1">
        <f t="shared" si="167"/>
        <v>0.3</v>
      </c>
      <c r="CW193" s="1">
        <f t="shared" si="168"/>
        <v>9</v>
      </c>
      <c r="CX193" s="1">
        <f t="shared" si="169"/>
        <v>0.3</v>
      </c>
      <c r="CY193" s="1">
        <f t="shared" si="170"/>
        <v>9</v>
      </c>
      <c r="CZ193" s="1"/>
      <c r="DA193" s="1"/>
      <c r="DB193" s="1"/>
      <c r="DC193" s="1"/>
      <c r="DD193" s="1"/>
      <c r="DE193" s="1"/>
      <c r="DF193" s="1"/>
      <c r="DG193" s="1" t="str">
        <f>IF(D193="","",行动模拟!B199)</f>
        <v/>
      </c>
      <c r="DH193" s="1" t="str">
        <f>IF(L193="END_TURN","回合结束",IF(D193="","",IF(INDEX(回合状态!$C$7:$C$17,MATCH(DG193,回合状态!$A$7:$A$17,0))="洞穿","洞穿",IF(OR(L193="J_COUNTER",L193="BOSS_ACTION",L193="BOSS_CONSERVATIVE"),"敌方",IF(AND(L193="37_FOLLOW",DG193=DG192,DH192="敌方"),"敌方",IF(INDEX(回合状态!$C$7:$C$17,MATCH(DG193,回合状态!$A$7:$A$17,0))="普通","出牌",INDEX(回合状态!$C$7:$C$17,MATCH(DG193,回合状态!$A$7:$A$17,0))))))))</f>
        <v/>
      </c>
      <c r="DI193" s="1">
        <f t="shared" si="171"/>
        <v>0</v>
      </c>
      <c r="DJ193" s="1">
        <f>IF(D193="",0,MIN(Boss参数!$B$25,IF(OR(AND(DH193="敌方",OR(DH192&lt;&gt;"敌方",DG193&lt;&gt;DG192)),AND(L193="END_TURN",DH193&lt;&gt;"洞穿"),AND(DG193&lt;&gt;DG192,DH192&lt;&gt;"洞穿",L192&lt;&gt;"END_TURN",COUNTIFS($DG$3:DG192,DG192,$DH$3:DH192,"敌方")=0)),EW193,DN192)))</f>
        <v>0</v>
      </c>
      <c r="DK193" s="1">
        <f>IF(D193="",0,MIN(Boss参数!$B$25,IF(OR(AND(DH193="敌方",OR(DH192&lt;&gt;"敌方",DG193&lt;&gt;DG192)),AND(L193="END_TURN",DH193&lt;&gt;"洞穿"),AND(DG193&lt;&gt;DG192,DH192&lt;&gt;"洞穿",L192&lt;&gt;"END_TURN",COUNTIFS($DG$3:DG192,DG192,$DH$3:DH192,"敌方")=0)),EW193,DO192)))</f>
        <v>0</v>
      </c>
      <c r="DL193" s="1">
        <f>IF(D193="",0,MIN(Boss参数!$B$25,IF(OR(AND(DH193="敌方",OR(DH192&lt;&gt;"敌方",DG193&lt;&gt;DG192)),AND(L193="END_TURN",DH193&lt;&gt;"洞穿"),AND(DG193&lt;&gt;DG192,DH192&lt;&gt;"洞穿",L192&lt;&gt;"END_TURN",COUNTIFS($DG$3:DG192,DG192,$DH$3:DH192,"敌方")=0)),EW193,DP192)))</f>
        <v>0</v>
      </c>
      <c r="DM193" s="1">
        <f>IF(D193="",0,MIN(Boss参数!$B$25,IF(OR(AND(DH193="敌方",OR(DH192&lt;&gt;"敌方",DG193&lt;&gt;DG192)),AND(L193="END_TURN",DH193&lt;&gt;"洞穿"),AND(DG193&lt;&gt;DG192,DH192&lt;&gt;"洞穿",L192&lt;&gt;"END_TURN",COUNTIFS($DG$3:DG192,DG192,$DH$3:DH192,"敌方")=0)),EW193,DQ192)))</f>
        <v>0</v>
      </c>
      <c r="DN193" s="1">
        <f>MAX(0,MIN(Boss参数!$B$25,DJ193+DR193)-IF(E193="红弩箭",2*DR193,0))</f>
        <v>0</v>
      </c>
      <c r="DO193" s="1">
        <f>MAX(0,MIN(Boss参数!$B$25,DK193+DR193)-IF(E193="37",2*DR193,0))</f>
        <v>0</v>
      </c>
      <c r="DP193" s="1">
        <f>MAX(0,MIN(Boss参数!$B$25,DL193+DR193)-IF(E193="小瑞安侬",2*DR193,0))</f>
        <v>0</v>
      </c>
      <c r="DQ193" s="1">
        <f>MAX(0,MIN(Boss参数!$B$25,DM193+DR193)-IF(E193="J",2*DR193,0))</f>
        <v>0</v>
      </c>
      <c r="DR193" s="1">
        <f t="shared" si="172"/>
        <v>0</v>
      </c>
      <c r="DS193" s="1">
        <f t="shared" si="173"/>
        <v>0</v>
      </c>
      <c r="DT193" s="1">
        <f>IF(OR(E193="",E193="系统"),0,IF(OR(AND(DS193=1,Boss参数!$B$32=1),L193="RHI_BERRY",OR(AND(INDEX(角色面板!$B$18:$B$21,MATCH(E193,角色面板!$A$18:$A$21,0))="星",Boss参数!$B$4="岩"),AND(INDEX(角色面板!$B$18:$B$21,MATCH(E193,角色面板!$A$18:$A$21,0))="岩",Boss参数!$B$4="兽"),AND(INDEX(角色面板!$B$18:$B$21,MATCH(E193,角色面板!$A$18:$A$21,0))="兽",Boss参数!$B$4="木"),AND(INDEX(角色面板!$B$18:$B$21,MATCH(E193,角色面板!$A$18:$A$21,0))="木",Boss参数!$B$4="星"),AND(INDEX(角色面板!$B$18:$B$21,MATCH(E193,角色面板!$A$18:$A$21,0))="智",Boss参数!$B$4="灵"),AND(INDEX(角色面板!$B$18:$B$21,MATCH(E193,角色面板!$A$18:$A$21,0))="灵",Boss参数!$B$4="智"))),1,0))</f>
        <v>0</v>
      </c>
      <c r="DU193" s="1">
        <f>IF(D193="",0,INDEX(回合状态!$E$7:$E$17,MATCH(DG193,回合状态!$A$7:$A$17,0))+IF(AND(DH193="敌方",OR(INDEX(回合状态!$C$7:$C$17,MATCH(DG193,回合状态!$A$7:$A$17,0))="普通",INDEX(回合状态!$C$7:$C$17,MATCH(DG193,回合状态!$A$7:$A$17,0))="额外")),0.05,0))</f>
        <v>0</v>
      </c>
      <c r="DV193" s="1">
        <f>MAX(Boss参数!$B$28,1+IF(AND(E193="37",AC193&gt;0,BH193&gt;0),Boss参数!$B$42,0)-DI193*Boss参数!$B$24+EA193-ER193)</f>
        <v>9.9999999999999978E-2</v>
      </c>
      <c r="DW193" s="1">
        <f>MIN(IF(Boss参数!$B$77=1,Boss参数!$B$63*Boss参数!$B$62,Boss参数!$B$61*Boss参数!$B$62),ROUNDDOWN(BQ193*(1-ES193),0))</f>
        <v>0</v>
      </c>
      <c r="DX193" s="1">
        <f>MIN(IF(Boss参数!$B$77=1,Boss参数!$B$63*Boss参数!$B$62,Boss参数!$B$61*Boss参数!$B$62),ROUNDDOWN(BR193*(1-ES193),0))</f>
        <v>0</v>
      </c>
      <c r="DY193" s="1">
        <f t="shared" si="205"/>
        <v>250</v>
      </c>
      <c r="DZ193" s="1">
        <f>IF(L193="RHI_ULT",MIN(Boss参数!$B$48,ROUNDDOWN(AY193*Boss参数!$B$47,0)),DY193)</f>
        <v>250</v>
      </c>
      <c r="EA193" s="1">
        <v>0</v>
      </c>
      <c r="EB193" s="1">
        <f t="shared" si="174"/>
        <v>0</v>
      </c>
      <c r="EC193" s="1">
        <f>SUMIFS($EB$3:EB193,$B$3:B193,"&gt;="&amp;MAX(1,B193-2),$B$3:B193,"&lt;="&amp;B193)*Boss参数!$B$51</f>
        <v>0</v>
      </c>
      <c r="ED193" s="1">
        <f>IF(D193="",EG192,IF(AND(DG193&lt;&gt;DG192,DH193&lt;&gt;"洞穿"),MIN(Boss参数!$B$55,EG192+2),EG192))</f>
        <v>0</v>
      </c>
      <c r="EE193" s="1">
        <f t="shared" si="175"/>
        <v>0</v>
      </c>
      <c r="EF193" s="1">
        <f>IF(AND(OR(L193="END_TURN",AND(DH193="敌方",OR(DH192&lt;&gt;"敌方",DG193&lt;&gt;DG192))),SUMIFS($EF$3:EF192,$DG$3:DG192,DG193)=0),MIN(1,MAX(0,ED193-EE193)),0)</f>
        <v>0</v>
      </c>
      <c r="EG193" s="1">
        <f t="shared" si="176"/>
        <v>0</v>
      </c>
      <c r="EH193" s="1">
        <f>Boss参数!$B$53-IF(Y193=1,Boss参数!$B$54,0)</f>
        <v>0</v>
      </c>
      <c r="EI193" s="1">
        <f t="shared" si="177"/>
        <v>0.15</v>
      </c>
      <c r="EJ193" s="1">
        <f t="shared" si="178"/>
        <v>0.15</v>
      </c>
      <c r="EK193" s="1" t="e">
        <f t="shared" si="179"/>
        <v>#VALUE!</v>
      </c>
      <c r="EL193" s="1">
        <f t="shared" si="206"/>
        <v>0</v>
      </c>
      <c r="EM193" s="1">
        <f>IF(AND(DG193&lt;&gt;DG192,DH193="洞穿"),0,IF(L193="ENTER_INSIGHT",Boss参数!$B$57,EO192))</f>
        <v>0</v>
      </c>
      <c r="EN193" s="1">
        <f>IF(AND(Y193=1,H193="洞知",EM193&gt;0),Boss参数!$B$56,0)</f>
        <v>0</v>
      </c>
      <c r="EO193" s="1">
        <f t="shared" si="180"/>
        <v>0</v>
      </c>
      <c r="EP193" s="1">
        <f t="shared" si="207"/>
        <v>23210479</v>
      </c>
      <c r="EQ193" s="1">
        <f>ROUNDDOWN(EP193/Boss参数!$B$62,0)</f>
        <v>232</v>
      </c>
      <c r="ER193" s="1">
        <f>IF(EQ193&gt;=Boss参数!$B$66,Boss参数!$B$69,IF(EQ193&gt;=Boss参数!$B$65,Boss参数!$B$68,IF(EQ193&gt;=Boss参数!$B$64,Boss参数!$B$67,0)))</f>
        <v>0.9</v>
      </c>
      <c r="ES193" s="1">
        <f>MIN(1,IF(EQ193&gt;=Boss参数!$B$66,Boss参数!$B$72+ROUNDDOWN((EQ193-Boss参数!$B$66)/Boss参数!$B$73,0)*Boss参数!$B$74,IF(EQ193&gt;=Boss参数!$B$65,Boss参数!$B$71,IF(EQ193&gt;=Boss参数!$B$64,Boss参数!$B$70,0))))</f>
        <v>0.65</v>
      </c>
      <c r="ET193" s="1">
        <f>MIN(Boss参数!$B$61*Boss参数!$B$62,EP193+IF(AND(Boss参数!$B$60=1,ISNUMBER(验证表!H199)),验证表!H199,EU193))</f>
        <v>23210479</v>
      </c>
      <c r="EU193" s="1">
        <f>IF(D193="",0,IF(验证表!G199="是",BV193,IF(验证表!G199="否",BU193,BW193)))</f>
        <v>0</v>
      </c>
      <c r="EV193" s="1">
        <f>IF(EQ193&gt;=Boss参数!$B$66,2,IF(EQ193&gt;=Boss参数!$B$65,1,0))</f>
        <v>2</v>
      </c>
      <c r="EW193" s="1">
        <f t="shared" si="181"/>
        <v>3</v>
      </c>
      <c r="EX193" s="1">
        <f>IF(D193="",0,INDEX(回合状态!$D$7:$D$17,MATCH(DG193,回合状态!$A$7:$A$17,0)))</f>
        <v>0</v>
      </c>
      <c r="EY193" s="1">
        <f>IF(OR(L193="RHI_ATTACK",L193="RHI_BUFF"),1,IF(L193="RHI_ULT",Boss参数!$B$52,0))</f>
        <v>0</v>
      </c>
      <c r="EZ193" s="1">
        <f>MIN(6,SUMIFS($EY$3:EY193,$EX$3:EX193,"&gt;="&amp;MAX(1,EX193-Boss参数!$B$87+1),$EX$3:EX193,"&lt;="&amp;EX193))</f>
        <v>0</v>
      </c>
      <c r="FA193" s="1">
        <f t="shared" si="208"/>
        <v>0</v>
      </c>
      <c r="FB193" s="17">
        <f>IF(L193="BOSS_CONSERVATIVE",B193+Boss参数!$B$91,FB192)</f>
        <v>7</v>
      </c>
      <c r="FC193" s="17">
        <f t="shared" si="209"/>
        <v>0</v>
      </c>
      <c r="FD193" s="17">
        <f>IF(D193="",FD192,FD192+IF(AND(DG193&lt;&gt;DG192,INDEX(回合状态!$C$7:$C$17,MATCH(DG193,回合状态!$A$7:$A$17,0))&lt;&gt;"洞穿"),1,0))</f>
        <v>8</v>
      </c>
      <c r="FE193" s="17">
        <f>IF(D193="",0,IF(AND(OR(L193="END_TURN",DH193="敌方"),INDEX(回合状态!$C$7:$C$17,MATCH(DG193,回合状态!$A$7:$A$17,0))&lt;&gt;"洞穿",SUMIFS($FE$3:FE192,$DG$3:DG192,DG193)=0),1,0))</f>
        <v>0</v>
      </c>
    </row>
    <row r="194" spans="1:161" ht="84.95" customHeight="1">
      <c r="A194" s="1" t="str">
        <f>行动模拟!A200</f>
        <v/>
      </c>
      <c r="B194" s="1">
        <f>IF(D194="",0,INDEX(回合状态!$B$7:$B$17,MATCH(DG194,回合状态!$A$7:$A$17,0)))</f>
        <v>0</v>
      </c>
      <c r="C194" s="1">
        <f>行动模拟!C200</f>
        <v>0</v>
      </c>
      <c r="D194" s="1" t="str">
        <f>IF(行动模拟!D200="","",行动模拟!D200)</f>
        <v/>
      </c>
      <c r="E194" s="1" t="str">
        <f>IF($D194="","",IFERROR(INDEX(技能数据库!$B$4:$B$38,MATCH($D194,技能数据库!$A$4:$A$38,0)),""))</f>
        <v/>
      </c>
      <c r="F194" s="1" t="str">
        <f>IF($D194="","",IFERROR(INDEX(技能数据库!$C$4:$C$38,MATCH($D194,技能数据库!$A$4:$A$38,0)),""))</f>
        <v/>
      </c>
      <c r="G194" s="1" t="str">
        <f>IF($D194="","",IFERROR(INDEX(技能数据库!$D$4:$D$38,MATCH($D194,技能数据库!$A$4:$A$38,0)),""))</f>
        <v/>
      </c>
      <c r="H194" s="1" t="str">
        <f>IF($D194="","",IFERROR(INDEX(技能数据库!$E$4:$E$38,MATCH($D194,技能数据库!$A$4:$A$38,0)),""))</f>
        <v/>
      </c>
      <c r="I194" s="1" t="str">
        <f>IF($D194="","",IFERROR(INDEX(技能数据库!$F$4:$F$38,MATCH($D194,技能数据库!$A$4:$A$38,0)),""))</f>
        <v/>
      </c>
      <c r="J194" s="1" t="str">
        <f>IF($D194="","",IFERROR(INDEX(技能数据库!$G$4:$G$38,MATCH($D194,技能数据库!$A$4:$A$38,0)),""))</f>
        <v/>
      </c>
      <c r="K194" s="1" t="str">
        <f>IF($D194="","",IFERROR(INDEX(技能数据库!$H$4:$H$38,MATCH($D194,技能数据库!$A$4:$A$38,0)),""))</f>
        <v/>
      </c>
      <c r="L194" s="1" t="str">
        <f>IF($D194="","",IFERROR(INDEX(技能数据库!$I$4:$I$38,MATCH($D194,技能数据库!$A$4:$A$38,0)),""))</f>
        <v/>
      </c>
      <c r="M194" s="1">
        <v>1</v>
      </c>
      <c r="N194" s="1"/>
      <c r="O194" s="1"/>
      <c r="P194" s="1"/>
      <c r="Q194" s="1">
        <f t="shared" si="140"/>
        <v>0</v>
      </c>
      <c r="R194" s="1">
        <v>0</v>
      </c>
      <c r="S194" s="1">
        <v>0</v>
      </c>
      <c r="T194" s="1">
        <f>行动模拟!I200</f>
        <v>0</v>
      </c>
      <c r="U194" s="1">
        <f>IF(FD194&lt;&gt;FD193,IF(BY193=1,IF(MIN(10,CA193+IF(AND(DG194&lt;&gt;DG193,DH193&lt;&gt;"洞穿",SUMIFS($FE$3:FE193,$DG$3:DG193,DG193)=0,BY193=1),3,0))&gt;=10,2,1),IF(BY193=2,IF(BZ193&lt;=1,0,2),0)),BY193)</f>
        <v>2</v>
      </c>
      <c r="V194" s="1">
        <f>IF(FD194&lt;&gt;FD193,IF(BY193=1,IF(MIN(10,CA193+IF(AND(DG194&lt;&gt;DG193,DH193&lt;&gt;"洞穿",SUMIFS($FE$3:FE193,$DG$3:DG193,DG193)=0,BY193=1),3,0))&gt;=10,2,0),IF(BY193=2,MAX(0,BZ193-1),0)),BZ193)</f>
        <v>1</v>
      </c>
      <c r="W194" s="1">
        <f>IF(AND(FD194&lt;&gt;FD193,BY193=2,BZ193&lt;=1),0,MIN(10,CA193+IF(AND(DG194&lt;&gt;DG193,DH193&lt;&gt;"洞穿",SUMIFS($FE$3:FE193,$DG$3:DG193,DG193)=0,BY193=1),3,0)))</f>
        <v>10</v>
      </c>
      <c r="X194" s="1">
        <f t="shared" si="182"/>
        <v>13</v>
      </c>
      <c r="Y194" s="1">
        <f t="shared" si="183"/>
        <v>0</v>
      </c>
      <c r="Z194" s="1">
        <f t="shared" si="184"/>
        <v>0</v>
      </c>
      <c r="AA194" s="1">
        <f t="shared" si="185"/>
        <v>0</v>
      </c>
      <c r="AB194" s="1">
        <f t="shared" si="186"/>
        <v>10</v>
      </c>
      <c r="AC194" s="1">
        <f t="shared" si="187"/>
        <v>1</v>
      </c>
      <c r="AD194" s="1">
        <f t="shared" si="188"/>
        <v>35</v>
      </c>
      <c r="AE194" s="1">
        <f>IF(D194="",0,IF(DG194&lt;&gt;DG193,IFERROR(INDEX(回合状态!$F$7:$F$17,MATCH(DG194,回合状态!$A$7:$A$17,0)),0),CI193))</f>
        <v>0</v>
      </c>
      <c r="AF194" s="1">
        <f t="shared" si="189"/>
        <v>0.875</v>
      </c>
      <c r="AG194" s="1">
        <f t="shared" si="190"/>
        <v>9</v>
      </c>
      <c r="AH194" s="1">
        <f t="shared" si="191"/>
        <v>9</v>
      </c>
      <c r="AI194" s="1">
        <f t="shared" si="192"/>
        <v>8</v>
      </c>
      <c r="AJ194" s="1">
        <f t="shared" si="193"/>
        <v>9</v>
      </c>
      <c r="AK194" s="1">
        <f t="shared" si="194"/>
        <v>8</v>
      </c>
      <c r="AL194" s="1">
        <f t="shared" si="195"/>
        <v>3</v>
      </c>
      <c r="AM194" s="1">
        <f t="shared" si="196"/>
        <v>30</v>
      </c>
      <c r="AN194" s="1">
        <f t="shared" si="197"/>
        <v>9</v>
      </c>
      <c r="AO194" s="1">
        <f t="shared" si="198"/>
        <v>0</v>
      </c>
      <c r="AP194" s="1" t="e">
        <f t="shared" si="199"/>
        <v>#VALUE!</v>
      </c>
      <c r="AQ194" s="1" t="e">
        <f t="shared" si="200"/>
        <v>#VALUE!</v>
      </c>
      <c r="AR194" s="1">
        <f t="shared" si="201"/>
        <v>0.3</v>
      </c>
      <c r="AS194" s="1">
        <f t="shared" si="202"/>
        <v>9</v>
      </c>
      <c r="AT194" s="1">
        <f t="shared" si="203"/>
        <v>0.3</v>
      </c>
      <c r="AU194" s="1">
        <f t="shared" si="204"/>
        <v>9</v>
      </c>
      <c r="AV194" s="1">
        <f>MIN(5,SUMIFS($EL$3:EL194,$B$3:B194,"&gt;="&amp;MAX(1,B194-2),$B$3:B194,"&lt;="&amp;B194)+EC194)</f>
        <v>0</v>
      </c>
      <c r="AW194" s="1">
        <f>MIN(6,SUMIFS($EY$3:EY193,$EX$3:EX193,"&gt;="&amp;MAX(1,EX194-Boss参数!$B$87+1),$EX$3:EX193,"&lt;="&amp;EX194))</f>
        <v>0</v>
      </c>
      <c r="AX194" s="1">
        <f>MIN(4,COUNTIFS($B$3:$B$193,"&gt;="&amp;MAX(1,$B194-2),$B$3:$B$193,"&lt;="&amp;$B194,$L$3:$L$193,"37_FOLLOW"))</f>
        <v>0</v>
      </c>
      <c r="AY194" s="1" t="str">
        <f>IF($E194="","",IF($E194="系统",0,ROUNDDOWN(INDEX(角色面板!$C$4:$C$7,MATCH($E194,角色面板!$A$4:$A$7,0))*(1+INDEX(角色面板!$C$11:$C$14,MATCH($E194,角色面板!$A$11:$A$14,0))+IF($E194="小瑞安侬",MAX(IF($B194&lt;=$AQ194,$AP194,0),IF(AND($L194="RHI_ATTACK",$EE194&gt;0),0.11+0.01*$G194,0)),0)+IF($E194="J",$AD194*Boss参数!$B$18,0))+IF(FD194&lt;=$AN194,MIN(Boss参数!$B$21,ROUNDDOWN(角色面板!$C$19*Boss参数!$B$20,0)),0)+IF(AND($B194&lt;=$AK194,$E194&lt;&gt;"小瑞安侬"),$DY194,0),0)))</f>
        <v/>
      </c>
      <c r="AZ194" s="1" t="str">
        <f>IF($E194="","",MAX(0,MIN(1,IFERROR(INDEX(角色面板!$G$18:$G$21,MATCH($E194,角色面板!$A$18:$A$21,0)),0)-FC194*Boss参数!$B$89-Boss参数!$E$4)))</f>
        <v/>
      </c>
      <c r="BA194" s="1" t="str">
        <f>IF(E194="","",(IF($E194="","",IF($E194="红弩箭",Boss参数!$B$80,IF($E194="J",Boss参数!$B$81,IFERROR(INDEX(角色面板!$H$18:$H$21,MATCH($E194,角色面板!$A$18:$A$21,0)),0)))+IF($B194&lt;=$AI194,Boss参数!$B$13,0)+MIN(30,$AM194)*Boss参数!$B$17+IF(AND($L194="LILYA_ULT",$X194&gt;=6),1,0)+IF(AND($Y194=1,$L194="LILYA_INSIGHT"),IF(MOD($AA194+1,3)=0,Boss参数!$B$83,Boss参数!$B$82),IF(AND($Y194=1,$L194="LILYA_FINISH"),Boss参数!$B$84,0))))-FC194*Boss参数!$B$90)</f>
        <v/>
      </c>
      <c r="BB194" s="1" t="str">
        <f>IF($E194="","",IFERROR(INDEX(角色面板!$M$18:$M$21,MATCH($E194,角色面板!$A$18:$A$21,0)),0)+$AW194*Boss参数!$B$12+IF($B194&lt;=$AG194,$AF194,0)+$EI194+IF($L194="LILYA_DIVE",IF($U194=1,IF($G194=1,0.3,IF($G194=2,0.4,0.5)),IF($U194=2,IF($G194=1,0.6,IF($G194=2,0.8,1)),0)),0)+$R194+IF(AND($E194="J",OR($L194="J_COUNTER",$L194="J_HARD")),Boss参数!$B$79,0)+IF(AND(OR(L194="J_COUNTER",L194="J_HARD"),FA194&gt;=Boss参数!$B$59),FA194*Boss参数!$B$40,0))</f>
        <v/>
      </c>
      <c r="BC194" s="1" t="e">
        <f>IF($E194="","",IFERROR(INDEX(角色面板!$K$18:$K$21,MATCH($E194,角色面板!$A$18:$A$21,0)),0)+IF($B194&lt;=$AH194,Boss参数!$B$46,0)+IF($E194="红弩箭",IF($U194=1,0.6,IF($U194=2,1.2,0))+$W194*0.06,0))-DI194*Boss参数!$B$23</f>
        <v>#VALUE!</v>
      </c>
      <c r="BD194" s="1" t="e">
        <f>IF($E194="","",IFERROR(INDEX(角色面板!$L$18:$L$21,MATCH($E194,角色面板!$A$18:$A$21,0)),0)+IF($B194&lt;=$AH194,Boss参数!$B$46,0)+IF($E194="J",$AL194*Boss参数!$B$16,0)+IF($E194="红弩箭",$X194*0.025,0)+IF(AND($L194="LILYA_ULT",$X194&gt;=6),1,0))-DI194*Boss参数!$B$23</f>
        <v>#VALUE!</v>
      </c>
      <c r="BE194" s="1" t="str">
        <f>IF($E194="","",IF($H194="洞知",IF($E194="红弩箭",$AO194*Boss参数!$B$15,0)+$AX194*Boss参数!$B$14,0))</f>
        <v/>
      </c>
      <c r="BF194" s="1">
        <f t="shared" si="141"/>
        <v>0</v>
      </c>
      <c r="BG194" s="1">
        <f>IF($D194="",0,IF(AND($L194&lt;&gt;"LILYA_DIVE",$L194&lt;&gt;"LILYA_ULT",$L194&lt;&gt;"LILYA_INSIGHT",$L194&lt;&gt;"LILYA_FINISH",$L194&lt;&gt;"37_FOLLOW",$L194&lt;&gt;"RHI_ATTACK",$L194&lt;&gt;"RHI_BERRY",$L194&lt;&gt;"J_COUNTER",$L194&lt;&gt;"J_ULT"),$J194,0)+IF($L194="LILYA_DIVE",$J194+IF($U194=1,IF($G194=1,6,IF($G194=2,12,18)),IF($U194=2,IF($G194=1,12,IF($G194=2,24,36)),0)),0)+IF($L194="LILYA_ULT",$J194+IF($X194&gt;=6,18,0),0)+IF($L194="LILYA_INSIGHT",IF($Y194=1,IF(MOD($AA194+1,3)=0,32,15),0),0)+IF($L194="LILYA_FINISH",IF($Y194=1,50+2.5*$Z194,0),0)+IF($L194="37_FOLLOW",$J194,0)+IF($L194="RHI_ATTACK",$J194*IF($B194&lt;=$AJ194,2,1),0)+IF($L194="RHI_BERRY",15+1.5*$AV194,0)+IF($L194="J_COUNTER",$J194+$AD194*Boss参数!$B$39,0)+IF($L194="J_ULT",$J194+Boss参数!$B$45*MAX(0,$AE194+$AD194-Boss参数!$I$4),0)+$S194)</f>
        <v>0</v>
      </c>
      <c r="BH194" s="1">
        <f t="shared" si="142"/>
        <v>0</v>
      </c>
      <c r="BI194" s="1" t="str">
        <f>IF(E194="","",IF(DT194=1,1+Boss参数!$B$8+AV194*Boss参数!$B$19,1))</f>
        <v/>
      </c>
      <c r="BJ194" s="1">
        <f>IF($I194="现实",Boss参数!$C$4,IF($I194="精神",Boss参数!$D$4,0))</f>
        <v>0</v>
      </c>
      <c r="BK194" s="1" t="str">
        <f>IF($E194="","",MAX($AY194*Boss参数!$B$9,$AY194-$BJ194*(1-$BF194)))</f>
        <v/>
      </c>
      <c r="BL194" s="1">
        <f>MAX(0,Boss参数!$F$4+IF(DT194=0,Boss参数!$B$27,0)-EJ194)</f>
        <v>1.25</v>
      </c>
      <c r="BM194" s="1">
        <f>Boss参数!$G$4+DU194-IF(Y194=1,Boss参数!$B$11,0)</f>
        <v>0.4</v>
      </c>
      <c r="BN194" s="1" t="str">
        <f>IF($E194="","",MAX(Boss参数!$B$10,1+IFERROR(INDEX(角色面板!$I$18:$I$21,MATCH($E194,角色面板!$A$18:$A$21,0)),0)+$BB194+Boss参数!$H$4-$BM194))</f>
        <v/>
      </c>
      <c r="BO194" s="1" t="str">
        <f>IF(E194="","",IF(OR(L194="J_COUNTER",L194="J_HARD"),MAX(0,1+INDEX(角色面板!$K$18:$K$21,MATCH(E194,角色面板!$A$18:$A$21,0))-DI194*Boss参数!$B$23+IF(OR(Boss参数!$B$43=1,L194="J_HARD"),IF(B194&lt;=AH194,Boss参数!$B$46,0),0)),MAX(0,IF(OR(H194="术法",L194="RHI_BERRY",AND(L194="37_FOLLOW",Boss参数!$B$31=1)),1+BC194,IF(H194="仪式",1+BD194,IF(H194="洞知",EK194,1))))))</f>
        <v/>
      </c>
      <c r="BP194" s="1" t="str">
        <f t="shared" si="143"/>
        <v/>
      </c>
      <c r="BQ194" s="1">
        <f t="shared" si="144"/>
        <v>0</v>
      </c>
      <c r="BR194" s="1">
        <f t="shared" si="145"/>
        <v>0</v>
      </c>
      <c r="BS194" s="1">
        <f>IF(BH194=0,0,ROUNDDOWN(AY194*BH194,0)*DV194*IF(Boss参数!$B$29=1,BN194,1)*IF(Boss参数!$B$33=1,BO194,1)*IF(Boss参数!$B$76=1,1-ES194,1))</f>
        <v>0</v>
      </c>
      <c r="BT194" s="1">
        <f t="shared" si="146"/>
        <v>0</v>
      </c>
      <c r="BU194" s="1">
        <f>IF(D194="",0,MIN(IF(Boss参数!$B$77=1,Boss参数!$B$63*Boss参数!$B$62,Boss参数!$B$61*Boss参数!$B$62),DW194+ROUNDDOWN(BS194,0)+ROUNDDOWN(DW194*Q194,0)))</f>
        <v>0</v>
      </c>
      <c r="BV194" s="1">
        <f>IF(D194="",0,MIN(IF(Boss参数!$B$77=1,Boss参数!$B$63*Boss参数!$B$62,Boss参数!$B$61*Boss参数!$B$62),DX194+ROUNDDOWN(BT194,0)+ROUNDDOWN(DX194*Q194,0)))</f>
        <v>0</v>
      </c>
      <c r="BW194" s="1">
        <f t="shared" si="147"/>
        <v>0</v>
      </c>
      <c r="BX194" s="1" t="str">
        <f t="shared" si="148"/>
        <v/>
      </c>
      <c r="BY194" s="1">
        <f t="shared" si="149"/>
        <v>2</v>
      </c>
      <c r="BZ194" s="1">
        <f t="shared" si="150"/>
        <v>1</v>
      </c>
      <c r="CA194" s="1">
        <f>MIN(10,W194+IF(AND(L194="LILYA_COBRA",COUNTIF($L$3:L194,"LILYA_COBRA")=1),5,0)+IF(AND(L194="LILYA_DIVE",U194=1,COUNTIFS($DG$3:DG194,DG194,$L$3:L194,"LILYA_DIVE")=1),2,0)+IF(AND(FE194=1,U194=1),3,0))</f>
        <v>10</v>
      </c>
      <c r="CB194" s="1">
        <f>MIN(20,MAX(0,X194+IF(L194="LILYA_COBRA",IF(COUNTIF($L$3:L194,"LILYA_COBRA")=1,6,IF(U194=1,MAX(1,G194),IF(U194=2,2*MAX(1,G194),0))),0)+IF(AND(Y194=1,E194="红弩箭",L194&lt;&gt;"ENTER_INSIGHT"),1,0)-IF(AND(L194="LILYA_ULT",X194&gt;=6),6,0)))</f>
        <v>13</v>
      </c>
      <c r="CC194" s="1">
        <f t="shared" si="151"/>
        <v>0</v>
      </c>
      <c r="CD194" s="1">
        <f t="shared" si="152"/>
        <v>0</v>
      </c>
      <c r="CE194" s="1">
        <f t="shared" si="153"/>
        <v>0</v>
      </c>
      <c r="CF194" s="1">
        <f t="shared" si="154"/>
        <v>10</v>
      </c>
      <c r="CG194" s="1">
        <f t="shared" si="155"/>
        <v>1</v>
      </c>
      <c r="CH194" s="1">
        <f>MIN(35,AD194+IF(L194="J_HARD",6,0)+IF(L194="J_COUNTER",Boss参数!$B$30,0))</f>
        <v>35</v>
      </c>
      <c r="CI194" s="1">
        <f>MIN(Boss参数!$I$4,AE194+IF(L194="J_HARD",6,0)+IF(L194="J_ULT",AD194,0)+IF(L194="J_COUNTER",Boss参数!$B$30,0))</f>
        <v>0</v>
      </c>
      <c r="CJ194" s="1">
        <f>IF(L194="J_ULT",AD194*Boss参数!$B$41,IF(B194&lt;=AG194,AF194,0))</f>
        <v>0.875</v>
      </c>
      <c r="CK194" s="1">
        <f t="shared" si="156"/>
        <v>9</v>
      </c>
      <c r="CL194" s="1">
        <f t="shared" si="157"/>
        <v>9</v>
      </c>
      <c r="CM194" s="1">
        <f t="shared" si="158"/>
        <v>8</v>
      </c>
      <c r="CN194" s="1">
        <f t="shared" si="159"/>
        <v>9</v>
      </c>
      <c r="CO194" s="1">
        <f t="shared" si="160"/>
        <v>8</v>
      </c>
      <c r="CP194" s="1">
        <f t="shared" si="161"/>
        <v>3</v>
      </c>
      <c r="CQ194" s="1">
        <f t="shared" si="162"/>
        <v>30</v>
      </c>
      <c r="CR194" s="1">
        <f t="shared" si="163"/>
        <v>9</v>
      </c>
      <c r="CS194" s="1">
        <f t="shared" si="164"/>
        <v>0</v>
      </c>
      <c r="CT194" s="1" t="e">
        <f t="shared" si="165"/>
        <v>#VALUE!</v>
      </c>
      <c r="CU194" s="1" t="e">
        <f t="shared" si="166"/>
        <v>#VALUE!</v>
      </c>
      <c r="CV194" s="1">
        <f t="shared" si="167"/>
        <v>0.3</v>
      </c>
      <c r="CW194" s="1">
        <f t="shared" si="168"/>
        <v>9</v>
      </c>
      <c r="CX194" s="1">
        <f t="shared" si="169"/>
        <v>0.3</v>
      </c>
      <c r="CY194" s="1">
        <f t="shared" si="170"/>
        <v>9</v>
      </c>
      <c r="CZ194" s="1"/>
      <c r="DA194" s="1"/>
      <c r="DB194" s="1"/>
      <c r="DC194" s="1"/>
      <c r="DD194" s="1"/>
      <c r="DE194" s="1"/>
      <c r="DF194" s="1"/>
      <c r="DG194" s="1" t="str">
        <f>IF(D194="","",行动模拟!B200)</f>
        <v/>
      </c>
      <c r="DH194" s="1" t="str">
        <f>IF(L194="END_TURN","回合结束",IF(D194="","",IF(INDEX(回合状态!$C$7:$C$17,MATCH(DG194,回合状态!$A$7:$A$17,0))="洞穿","洞穿",IF(OR(L194="J_COUNTER",L194="BOSS_ACTION",L194="BOSS_CONSERVATIVE"),"敌方",IF(AND(L194="37_FOLLOW",DG194=DG193,DH193="敌方"),"敌方",IF(INDEX(回合状态!$C$7:$C$17,MATCH(DG194,回合状态!$A$7:$A$17,0))="普通","出牌",INDEX(回合状态!$C$7:$C$17,MATCH(DG194,回合状态!$A$7:$A$17,0))))))))</f>
        <v/>
      </c>
      <c r="DI194" s="1">
        <f t="shared" si="171"/>
        <v>0</v>
      </c>
      <c r="DJ194" s="1">
        <f>IF(D194="",0,MIN(Boss参数!$B$25,IF(OR(AND(DH194="敌方",OR(DH193&lt;&gt;"敌方",DG194&lt;&gt;DG193)),AND(L194="END_TURN",DH194&lt;&gt;"洞穿"),AND(DG194&lt;&gt;DG193,DH193&lt;&gt;"洞穿",L193&lt;&gt;"END_TURN",COUNTIFS($DG$3:DG193,DG193,$DH$3:DH193,"敌方")=0)),EW194,DN193)))</f>
        <v>0</v>
      </c>
      <c r="DK194" s="1">
        <f>IF(D194="",0,MIN(Boss参数!$B$25,IF(OR(AND(DH194="敌方",OR(DH193&lt;&gt;"敌方",DG194&lt;&gt;DG193)),AND(L194="END_TURN",DH194&lt;&gt;"洞穿"),AND(DG194&lt;&gt;DG193,DH193&lt;&gt;"洞穿",L193&lt;&gt;"END_TURN",COUNTIFS($DG$3:DG193,DG193,$DH$3:DH193,"敌方")=0)),EW194,DO193)))</f>
        <v>0</v>
      </c>
      <c r="DL194" s="1">
        <f>IF(D194="",0,MIN(Boss参数!$B$25,IF(OR(AND(DH194="敌方",OR(DH193&lt;&gt;"敌方",DG194&lt;&gt;DG193)),AND(L194="END_TURN",DH194&lt;&gt;"洞穿"),AND(DG194&lt;&gt;DG193,DH193&lt;&gt;"洞穿",L193&lt;&gt;"END_TURN",COUNTIFS($DG$3:DG193,DG193,$DH$3:DH193,"敌方")=0)),EW194,DP193)))</f>
        <v>0</v>
      </c>
      <c r="DM194" s="1">
        <f>IF(D194="",0,MIN(Boss参数!$B$25,IF(OR(AND(DH194="敌方",OR(DH193&lt;&gt;"敌方",DG194&lt;&gt;DG193)),AND(L194="END_TURN",DH194&lt;&gt;"洞穿"),AND(DG194&lt;&gt;DG193,DH193&lt;&gt;"洞穿",L193&lt;&gt;"END_TURN",COUNTIFS($DG$3:DG193,DG193,$DH$3:DH193,"敌方")=0)),EW194,DQ193)))</f>
        <v>0</v>
      </c>
      <c r="DN194" s="1">
        <f>MAX(0,MIN(Boss参数!$B$25,DJ194+DR194)-IF(E194="红弩箭",2*DR194,0))</f>
        <v>0</v>
      </c>
      <c r="DO194" s="1">
        <f>MAX(0,MIN(Boss参数!$B$25,DK194+DR194)-IF(E194="37",2*DR194,0))</f>
        <v>0</v>
      </c>
      <c r="DP194" s="1">
        <f>MAX(0,MIN(Boss参数!$B$25,DL194+DR194)-IF(E194="小瑞安侬",2*DR194,0))</f>
        <v>0</v>
      </c>
      <c r="DQ194" s="1">
        <f>MAX(0,MIN(Boss参数!$B$25,DM194+DR194)-IF(E194="J",2*DR194,0))</f>
        <v>0</v>
      </c>
      <c r="DR194" s="1">
        <f t="shared" si="172"/>
        <v>0</v>
      </c>
      <c r="DS194" s="1">
        <f t="shared" si="173"/>
        <v>0</v>
      </c>
      <c r="DT194" s="1">
        <f>IF(OR(E194="",E194="系统"),0,IF(OR(AND(DS194=1,Boss参数!$B$32=1),L194="RHI_BERRY",OR(AND(INDEX(角色面板!$B$18:$B$21,MATCH(E194,角色面板!$A$18:$A$21,0))="星",Boss参数!$B$4="岩"),AND(INDEX(角色面板!$B$18:$B$21,MATCH(E194,角色面板!$A$18:$A$21,0))="岩",Boss参数!$B$4="兽"),AND(INDEX(角色面板!$B$18:$B$21,MATCH(E194,角色面板!$A$18:$A$21,0))="兽",Boss参数!$B$4="木"),AND(INDEX(角色面板!$B$18:$B$21,MATCH(E194,角色面板!$A$18:$A$21,0))="木",Boss参数!$B$4="星"),AND(INDEX(角色面板!$B$18:$B$21,MATCH(E194,角色面板!$A$18:$A$21,0))="智",Boss参数!$B$4="灵"),AND(INDEX(角色面板!$B$18:$B$21,MATCH(E194,角色面板!$A$18:$A$21,0))="灵",Boss参数!$B$4="智"))),1,0))</f>
        <v>0</v>
      </c>
      <c r="DU194" s="1">
        <f>IF(D194="",0,INDEX(回合状态!$E$7:$E$17,MATCH(DG194,回合状态!$A$7:$A$17,0))+IF(AND(DH194="敌方",OR(INDEX(回合状态!$C$7:$C$17,MATCH(DG194,回合状态!$A$7:$A$17,0))="普通",INDEX(回合状态!$C$7:$C$17,MATCH(DG194,回合状态!$A$7:$A$17,0))="额外")),0.05,0))</f>
        <v>0</v>
      </c>
      <c r="DV194" s="1">
        <f>MAX(Boss参数!$B$28,1+IF(AND(E194="37",AC194&gt;0,BH194&gt;0),Boss参数!$B$42,0)-DI194*Boss参数!$B$24+EA194-ER194)</f>
        <v>9.9999999999999978E-2</v>
      </c>
      <c r="DW194" s="1">
        <f>MIN(IF(Boss参数!$B$77=1,Boss参数!$B$63*Boss参数!$B$62,Boss参数!$B$61*Boss参数!$B$62),ROUNDDOWN(BQ194*(1-ES194),0))</f>
        <v>0</v>
      </c>
      <c r="DX194" s="1">
        <f>MIN(IF(Boss参数!$B$77=1,Boss参数!$B$63*Boss参数!$B$62,Boss参数!$B$61*Boss参数!$B$62),ROUNDDOWN(BR194*(1-ES194),0))</f>
        <v>0</v>
      </c>
      <c r="DY194" s="1">
        <f t="shared" si="205"/>
        <v>250</v>
      </c>
      <c r="DZ194" s="1">
        <f>IF(L194="RHI_ULT",MIN(Boss参数!$B$48,ROUNDDOWN(AY194*Boss参数!$B$47,0)),DY194)</f>
        <v>250</v>
      </c>
      <c r="EA194" s="1">
        <v>0</v>
      </c>
      <c r="EB194" s="1">
        <f t="shared" si="174"/>
        <v>0</v>
      </c>
      <c r="EC194" s="1">
        <f>SUMIFS($EB$3:EB194,$B$3:B194,"&gt;="&amp;MAX(1,B194-2),$B$3:B194,"&lt;="&amp;B194)*Boss参数!$B$51</f>
        <v>0</v>
      </c>
      <c r="ED194" s="1">
        <f>IF(D194="",EG193,IF(AND(DG194&lt;&gt;DG193,DH194&lt;&gt;"洞穿"),MIN(Boss参数!$B$55,EG193+2),EG193))</f>
        <v>0</v>
      </c>
      <c r="EE194" s="1">
        <f t="shared" si="175"/>
        <v>0</v>
      </c>
      <c r="EF194" s="1">
        <f>IF(AND(OR(L194="END_TURN",AND(DH194="敌方",OR(DH193&lt;&gt;"敌方",DG194&lt;&gt;DG193))),SUMIFS($EF$3:EF193,$DG$3:DG193,DG194)=0),MIN(1,MAX(0,ED194-EE194)),0)</f>
        <v>0</v>
      </c>
      <c r="EG194" s="1">
        <f t="shared" si="176"/>
        <v>0</v>
      </c>
      <c r="EH194" s="1">
        <f>Boss参数!$B$53-IF(Y194=1,Boss参数!$B$54,0)</f>
        <v>0</v>
      </c>
      <c r="EI194" s="1">
        <f t="shared" si="177"/>
        <v>0.15</v>
      </c>
      <c r="EJ194" s="1">
        <f t="shared" si="178"/>
        <v>0.15</v>
      </c>
      <c r="EK194" s="1" t="e">
        <f t="shared" si="179"/>
        <v>#VALUE!</v>
      </c>
      <c r="EL194" s="1">
        <f t="shared" si="206"/>
        <v>0</v>
      </c>
      <c r="EM194" s="1">
        <f>IF(AND(DG194&lt;&gt;DG193,DH194="洞穿"),0,IF(L194="ENTER_INSIGHT",Boss参数!$B$57,EO193))</f>
        <v>0</v>
      </c>
      <c r="EN194" s="1">
        <f>IF(AND(Y194=1,H194="洞知",EM194&gt;0),Boss参数!$B$56,0)</f>
        <v>0</v>
      </c>
      <c r="EO194" s="1">
        <f t="shared" si="180"/>
        <v>0</v>
      </c>
      <c r="EP194" s="1">
        <f t="shared" si="207"/>
        <v>23210479</v>
      </c>
      <c r="EQ194" s="1">
        <f>ROUNDDOWN(EP194/Boss参数!$B$62,0)</f>
        <v>232</v>
      </c>
      <c r="ER194" s="1">
        <f>IF(EQ194&gt;=Boss参数!$B$66,Boss参数!$B$69,IF(EQ194&gt;=Boss参数!$B$65,Boss参数!$B$68,IF(EQ194&gt;=Boss参数!$B$64,Boss参数!$B$67,0)))</f>
        <v>0.9</v>
      </c>
      <c r="ES194" s="1">
        <f>MIN(1,IF(EQ194&gt;=Boss参数!$B$66,Boss参数!$B$72+ROUNDDOWN((EQ194-Boss参数!$B$66)/Boss参数!$B$73,0)*Boss参数!$B$74,IF(EQ194&gt;=Boss参数!$B$65,Boss参数!$B$71,IF(EQ194&gt;=Boss参数!$B$64,Boss参数!$B$70,0))))</f>
        <v>0.65</v>
      </c>
      <c r="ET194" s="1">
        <f>MIN(Boss参数!$B$61*Boss参数!$B$62,EP194+IF(AND(Boss参数!$B$60=1,ISNUMBER(验证表!H200)),验证表!H200,EU194))</f>
        <v>23210479</v>
      </c>
      <c r="EU194" s="1">
        <f>IF(D194="",0,IF(验证表!G200="是",BV194,IF(验证表!G200="否",BU194,BW194)))</f>
        <v>0</v>
      </c>
      <c r="EV194" s="1">
        <f>IF(EQ194&gt;=Boss参数!$B$66,2,IF(EQ194&gt;=Boss参数!$B$65,1,0))</f>
        <v>2</v>
      </c>
      <c r="EW194" s="1">
        <f t="shared" si="181"/>
        <v>3</v>
      </c>
      <c r="EX194" s="1">
        <f>IF(D194="",0,INDEX(回合状态!$D$7:$D$17,MATCH(DG194,回合状态!$A$7:$A$17,0)))</f>
        <v>0</v>
      </c>
      <c r="EY194" s="1">
        <f>IF(OR(L194="RHI_ATTACK",L194="RHI_BUFF"),1,IF(L194="RHI_ULT",Boss参数!$B$52,0))</f>
        <v>0</v>
      </c>
      <c r="EZ194" s="1">
        <f>MIN(6,SUMIFS($EY$3:EY194,$EX$3:EX194,"&gt;="&amp;MAX(1,EX194-Boss参数!$B$87+1),$EX$3:EX194,"&lt;="&amp;EX194))</f>
        <v>0</v>
      </c>
      <c r="FA194" s="1">
        <f t="shared" si="208"/>
        <v>0</v>
      </c>
      <c r="FB194" s="17">
        <f>IF(L194="BOSS_CONSERVATIVE",B194+Boss参数!$B$91,FB193)</f>
        <v>7</v>
      </c>
      <c r="FC194" s="17">
        <f t="shared" si="209"/>
        <v>0</v>
      </c>
      <c r="FD194" s="17">
        <f>IF(D194="",FD193,FD193+IF(AND(DG194&lt;&gt;DG193,INDEX(回合状态!$C$7:$C$17,MATCH(DG194,回合状态!$A$7:$A$17,0))&lt;&gt;"洞穿"),1,0))</f>
        <v>8</v>
      </c>
      <c r="FE194" s="17">
        <f>IF(D194="",0,IF(AND(OR(L194="END_TURN",DH194="敌方"),INDEX(回合状态!$C$7:$C$17,MATCH(DG194,回合状态!$A$7:$A$17,0))&lt;&gt;"洞穿",SUMIFS($FE$3:FE193,$DG$3:DG193,DG194)=0),1,0))</f>
        <v>0</v>
      </c>
    </row>
    <row r="195" spans="1:161" ht="84.95" customHeight="1">
      <c r="A195" s="1" t="str">
        <f>行动模拟!A201</f>
        <v/>
      </c>
      <c r="B195" s="1">
        <f>IF(D195="",0,INDEX(回合状态!$B$7:$B$17,MATCH(DG195,回合状态!$A$7:$A$17,0)))</f>
        <v>0</v>
      </c>
      <c r="C195" s="1">
        <f>行动模拟!C201</f>
        <v>0</v>
      </c>
      <c r="D195" s="1" t="str">
        <f>IF(行动模拟!D201="","",行动模拟!D201)</f>
        <v/>
      </c>
      <c r="E195" s="1" t="str">
        <f>IF($D195="","",IFERROR(INDEX(技能数据库!$B$4:$B$38,MATCH($D195,技能数据库!$A$4:$A$38,0)),""))</f>
        <v/>
      </c>
      <c r="F195" s="1" t="str">
        <f>IF($D195="","",IFERROR(INDEX(技能数据库!$C$4:$C$38,MATCH($D195,技能数据库!$A$4:$A$38,0)),""))</f>
        <v/>
      </c>
      <c r="G195" s="1" t="str">
        <f>IF($D195="","",IFERROR(INDEX(技能数据库!$D$4:$D$38,MATCH($D195,技能数据库!$A$4:$A$38,0)),""))</f>
        <v/>
      </c>
      <c r="H195" s="1" t="str">
        <f>IF($D195="","",IFERROR(INDEX(技能数据库!$E$4:$E$38,MATCH($D195,技能数据库!$A$4:$A$38,0)),""))</f>
        <v/>
      </c>
      <c r="I195" s="1" t="str">
        <f>IF($D195="","",IFERROR(INDEX(技能数据库!$F$4:$F$38,MATCH($D195,技能数据库!$A$4:$A$38,0)),""))</f>
        <v/>
      </c>
      <c r="J195" s="1" t="str">
        <f>IF($D195="","",IFERROR(INDEX(技能数据库!$G$4:$G$38,MATCH($D195,技能数据库!$A$4:$A$38,0)),""))</f>
        <v/>
      </c>
      <c r="K195" s="1" t="str">
        <f>IF($D195="","",IFERROR(INDEX(技能数据库!$H$4:$H$38,MATCH($D195,技能数据库!$A$4:$A$38,0)),""))</f>
        <v/>
      </c>
      <c r="L195" s="1" t="str">
        <f>IF($D195="","",IFERROR(INDEX(技能数据库!$I$4:$I$38,MATCH($D195,技能数据库!$A$4:$A$38,0)),""))</f>
        <v/>
      </c>
      <c r="M195" s="1">
        <v>1</v>
      </c>
      <c r="N195" s="1"/>
      <c r="O195" s="1"/>
      <c r="P195" s="1"/>
      <c r="Q195" s="1">
        <f t="shared" ref="Q195:Q242" si="210">EN195</f>
        <v>0</v>
      </c>
      <c r="R195" s="1">
        <v>0</v>
      </c>
      <c r="S195" s="1">
        <v>0</v>
      </c>
      <c r="T195" s="1">
        <f>行动模拟!I201</f>
        <v>0</v>
      </c>
      <c r="U195" s="1">
        <f>IF(FD195&lt;&gt;FD194,IF(BY194=1,IF(MIN(10,CA194+IF(AND(DG195&lt;&gt;DG194,DH194&lt;&gt;"洞穿",SUMIFS($FE$3:FE194,$DG$3:DG194,DG194)=0,BY194=1),3,0))&gt;=10,2,1),IF(BY194=2,IF(BZ194&lt;=1,0,2),0)),BY194)</f>
        <v>2</v>
      </c>
      <c r="V195" s="1">
        <f>IF(FD195&lt;&gt;FD194,IF(BY194=1,IF(MIN(10,CA194+IF(AND(DG195&lt;&gt;DG194,DH194&lt;&gt;"洞穿",SUMIFS($FE$3:FE194,$DG$3:DG194,DG194)=0,BY194=1),3,0))&gt;=10,2,0),IF(BY194=2,MAX(0,BZ194-1),0)),BZ194)</f>
        <v>1</v>
      </c>
      <c r="W195" s="1">
        <f>IF(AND(FD195&lt;&gt;FD194,BY194=2,BZ194&lt;=1),0,MIN(10,CA194+IF(AND(DG195&lt;&gt;DG194,DH194&lt;&gt;"洞穿",SUMIFS($FE$3:FE194,$DG$3:DG194,DG194)=0,BY194=1),3,0)))</f>
        <v>10</v>
      </c>
      <c r="X195" s="1">
        <f t="shared" si="182"/>
        <v>13</v>
      </c>
      <c r="Y195" s="1">
        <f t="shared" si="183"/>
        <v>0</v>
      </c>
      <c r="Z195" s="1">
        <f t="shared" si="184"/>
        <v>0</v>
      </c>
      <c r="AA195" s="1">
        <f t="shared" si="185"/>
        <v>0</v>
      </c>
      <c r="AB195" s="1">
        <f t="shared" si="186"/>
        <v>10</v>
      </c>
      <c r="AC195" s="1">
        <f t="shared" si="187"/>
        <v>1</v>
      </c>
      <c r="AD195" s="1">
        <f t="shared" si="188"/>
        <v>35</v>
      </c>
      <c r="AE195" s="1">
        <f>IF(D195="",0,IF(DG195&lt;&gt;DG194,IFERROR(INDEX(回合状态!$F$7:$F$17,MATCH(DG195,回合状态!$A$7:$A$17,0)),0),CI194))</f>
        <v>0</v>
      </c>
      <c r="AF195" s="1">
        <f t="shared" si="189"/>
        <v>0.875</v>
      </c>
      <c r="AG195" s="1">
        <f t="shared" si="190"/>
        <v>9</v>
      </c>
      <c r="AH195" s="1">
        <f t="shared" si="191"/>
        <v>9</v>
      </c>
      <c r="AI195" s="1">
        <f t="shared" si="192"/>
        <v>8</v>
      </c>
      <c r="AJ195" s="1">
        <f t="shared" si="193"/>
        <v>9</v>
      </c>
      <c r="AK195" s="1">
        <f t="shared" si="194"/>
        <v>8</v>
      </c>
      <c r="AL195" s="1">
        <f t="shared" si="195"/>
        <v>3</v>
      </c>
      <c r="AM195" s="1">
        <f t="shared" si="196"/>
        <v>30</v>
      </c>
      <c r="AN195" s="1">
        <f t="shared" si="197"/>
        <v>9</v>
      </c>
      <c r="AO195" s="1">
        <f t="shared" si="198"/>
        <v>0</v>
      </c>
      <c r="AP195" s="1" t="e">
        <f t="shared" si="199"/>
        <v>#VALUE!</v>
      </c>
      <c r="AQ195" s="1" t="e">
        <f t="shared" si="200"/>
        <v>#VALUE!</v>
      </c>
      <c r="AR195" s="1">
        <f t="shared" si="201"/>
        <v>0.3</v>
      </c>
      <c r="AS195" s="1">
        <f t="shared" si="202"/>
        <v>9</v>
      </c>
      <c r="AT195" s="1">
        <f t="shared" si="203"/>
        <v>0.3</v>
      </c>
      <c r="AU195" s="1">
        <f t="shared" si="204"/>
        <v>9</v>
      </c>
      <c r="AV195" s="1">
        <f>MIN(5,SUMIFS($EL$3:EL195,$B$3:B195,"&gt;="&amp;MAX(1,B195-2),$B$3:B195,"&lt;="&amp;B195)+EC195)</f>
        <v>0</v>
      </c>
      <c r="AW195" s="1">
        <f>MIN(6,SUMIFS($EY$3:EY194,$EX$3:EX194,"&gt;="&amp;MAX(1,EX195-Boss参数!$B$87+1),$EX$3:EX194,"&lt;="&amp;EX195))</f>
        <v>0</v>
      </c>
      <c r="AX195" s="1">
        <f>MIN(4,COUNTIFS($B$3:$B$194,"&gt;="&amp;MAX(1,$B195-2),$B$3:$B$194,"&lt;="&amp;$B195,$L$3:$L$194,"37_FOLLOW"))</f>
        <v>0</v>
      </c>
      <c r="AY195" s="1" t="str">
        <f>IF($E195="","",IF($E195="系统",0,ROUNDDOWN(INDEX(角色面板!$C$4:$C$7,MATCH($E195,角色面板!$A$4:$A$7,0))*(1+INDEX(角色面板!$C$11:$C$14,MATCH($E195,角色面板!$A$11:$A$14,0))+IF($E195="小瑞安侬",MAX(IF($B195&lt;=$AQ195,$AP195,0),IF(AND($L195="RHI_ATTACK",$EE195&gt;0),0.11+0.01*$G195,0)),0)+IF($E195="J",$AD195*Boss参数!$B$18,0))+IF(FD195&lt;=$AN195,MIN(Boss参数!$B$21,ROUNDDOWN(角色面板!$C$19*Boss参数!$B$20,0)),0)+IF(AND($B195&lt;=$AK195,$E195&lt;&gt;"小瑞安侬"),$DY195,0),0)))</f>
        <v/>
      </c>
      <c r="AZ195" s="1" t="str">
        <f>IF($E195="","",MAX(0,MIN(1,IFERROR(INDEX(角色面板!$G$18:$G$21,MATCH($E195,角色面板!$A$18:$A$21,0)),0)-FC195*Boss参数!$B$89-Boss参数!$E$4)))</f>
        <v/>
      </c>
      <c r="BA195" s="1" t="str">
        <f>IF(E195="","",(IF($E195="","",IF($E195="红弩箭",Boss参数!$B$80,IF($E195="J",Boss参数!$B$81,IFERROR(INDEX(角色面板!$H$18:$H$21,MATCH($E195,角色面板!$A$18:$A$21,0)),0)))+IF($B195&lt;=$AI195,Boss参数!$B$13,0)+MIN(30,$AM195)*Boss参数!$B$17+IF(AND($L195="LILYA_ULT",$X195&gt;=6),1,0)+IF(AND($Y195=1,$L195="LILYA_INSIGHT"),IF(MOD($AA195+1,3)=0,Boss参数!$B$83,Boss参数!$B$82),IF(AND($Y195=1,$L195="LILYA_FINISH"),Boss参数!$B$84,0))))-FC195*Boss参数!$B$90)</f>
        <v/>
      </c>
      <c r="BB195" s="1" t="str">
        <f>IF($E195="","",IFERROR(INDEX(角色面板!$M$18:$M$21,MATCH($E195,角色面板!$A$18:$A$21,0)),0)+$AW195*Boss参数!$B$12+IF($B195&lt;=$AG195,$AF195,0)+$EI195+IF($L195="LILYA_DIVE",IF($U195=1,IF($G195=1,0.3,IF($G195=2,0.4,0.5)),IF($U195=2,IF($G195=1,0.6,IF($G195=2,0.8,1)),0)),0)+$R195+IF(AND($E195="J",OR($L195="J_COUNTER",$L195="J_HARD")),Boss参数!$B$79,0)+IF(AND(OR(L195="J_COUNTER",L195="J_HARD"),FA195&gt;=Boss参数!$B$59),FA195*Boss参数!$B$40,0))</f>
        <v/>
      </c>
      <c r="BC195" s="1" t="e">
        <f>IF($E195="","",IFERROR(INDEX(角色面板!$K$18:$K$21,MATCH($E195,角色面板!$A$18:$A$21,0)),0)+IF($B195&lt;=$AH195,Boss参数!$B$46,0)+IF($E195="红弩箭",IF($U195=1,0.6,IF($U195=2,1.2,0))+$W195*0.06,0))-DI195*Boss参数!$B$23</f>
        <v>#VALUE!</v>
      </c>
      <c r="BD195" s="1" t="e">
        <f>IF($E195="","",IFERROR(INDEX(角色面板!$L$18:$L$21,MATCH($E195,角色面板!$A$18:$A$21,0)),0)+IF($B195&lt;=$AH195,Boss参数!$B$46,0)+IF($E195="J",$AL195*Boss参数!$B$16,0)+IF($E195="红弩箭",$X195*0.025,0)+IF(AND($L195="LILYA_ULT",$X195&gt;=6),1,0))-DI195*Boss参数!$B$23</f>
        <v>#VALUE!</v>
      </c>
      <c r="BE195" s="1" t="str">
        <f>IF($E195="","",IF($H195="洞知",IF($E195="红弩箭",$AO195*Boss参数!$B$15,0)+$AX195*Boss参数!$B$14,0))</f>
        <v/>
      </c>
      <c r="BF195" s="1">
        <f t="shared" ref="BF195:BF242" si="211">IF(AND($L195="LILYA_ULT",$X195&gt;=6),0.2,0)</f>
        <v>0</v>
      </c>
      <c r="BG195" s="1">
        <f>IF($D195="",0,IF(AND($L195&lt;&gt;"LILYA_DIVE",$L195&lt;&gt;"LILYA_ULT",$L195&lt;&gt;"LILYA_INSIGHT",$L195&lt;&gt;"LILYA_FINISH",$L195&lt;&gt;"37_FOLLOW",$L195&lt;&gt;"RHI_ATTACK",$L195&lt;&gt;"RHI_BERRY",$L195&lt;&gt;"J_COUNTER",$L195&lt;&gt;"J_ULT"),$J195,0)+IF($L195="LILYA_DIVE",$J195+IF($U195=1,IF($G195=1,6,IF($G195=2,12,18)),IF($U195=2,IF($G195=1,12,IF($G195=2,24,36)),0)),0)+IF($L195="LILYA_ULT",$J195+IF($X195&gt;=6,18,0),0)+IF($L195="LILYA_INSIGHT",IF($Y195=1,IF(MOD($AA195+1,3)=0,32,15),0),0)+IF($L195="LILYA_FINISH",IF($Y195=1,50+2.5*$Z195,0),0)+IF($L195="37_FOLLOW",$J195,0)+IF($L195="RHI_ATTACK",$J195*IF($B195&lt;=$AJ195,2,1),0)+IF($L195="RHI_BERRY",15+1.5*$AV195,0)+IF($L195="J_COUNTER",$J195+$AD195*Boss参数!$B$39,0)+IF($L195="J_ULT",$J195+Boss参数!$B$45*MAX(0,$AE195+$AD195-Boss参数!$I$4),0)+$S195)</f>
        <v>0</v>
      </c>
      <c r="BH195" s="1">
        <f t="shared" ref="BH195:BH242" si="212">IF(D195="",0,K195)</f>
        <v>0</v>
      </c>
      <c r="BI195" s="1" t="str">
        <f>IF(E195="","",IF(DT195=1,1+Boss参数!$B$8+AV195*Boss参数!$B$19,1))</f>
        <v/>
      </c>
      <c r="BJ195" s="1">
        <f>IF($I195="现实",Boss参数!$C$4,IF($I195="精神",Boss参数!$D$4,0))</f>
        <v>0</v>
      </c>
      <c r="BK195" s="1" t="str">
        <f>IF($E195="","",MAX($AY195*Boss参数!$B$9,$AY195-$BJ195*(1-$BF195)))</f>
        <v/>
      </c>
      <c r="BL195" s="1">
        <f>MAX(0,Boss参数!$F$4+IF(DT195=0,Boss参数!$B$27,0)-EJ195)</f>
        <v>1.25</v>
      </c>
      <c r="BM195" s="1">
        <f>Boss参数!$G$4+DU195-IF(Y195=1,Boss参数!$B$11,0)</f>
        <v>0.4</v>
      </c>
      <c r="BN195" s="1" t="str">
        <f>IF($E195="","",MAX(Boss参数!$B$10,1+IFERROR(INDEX(角色面板!$I$18:$I$21,MATCH($E195,角色面板!$A$18:$A$21,0)),0)+$BB195+Boss参数!$H$4-$BM195))</f>
        <v/>
      </c>
      <c r="BO195" s="1" t="str">
        <f>IF(E195="","",IF(OR(L195="J_COUNTER",L195="J_HARD"),MAX(0,1+INDEX(角色面板!$K$18:$K$21,MATCH(E195,角色面板!$A$18:$A$21,0))-DI195*Boss参数!$B$23+IF(OR(Boss参数!$B$43=1,L195="J_HARD"),IF(B195&lt;=AH195,Boss参数!$B$46,0),0)),MAX(0,IF(OR(H195="术法",L195="RHI_BERRY",AND(L195="37_FOLLOW",Boss参数!$B$31=1)),1+BC195,IF(H195="仪式",1+BD195,IF(H195="洞知",EK195,1))))))</f>
        <v/>
      </c>
      <c r="BP195" s="1" t="str">
        <f t="shared" ref="BP195:BP242" si="213">IF($E195="","",MAX(1.1,$BA195-$BL195))</f>
        <v/>
      </c>
      <c r="BQ195" s="1">
        <f t="shared" ref="BQ195:BQ242" si="214">IF($BG195=0,0,$BK195*$BG195*$BN195*$BO195*$BI195)</f>
        <v>0</v>
      </c>
      <c r="BR195" s="1">
        <f t="shared" ref="BR195:BR242" si="215">IF($BG195=0,0,$BQ195*$BP195)</f>
        <v>0</v>
      </c>
      <c r="BS195" s="1">
        <f>IF(BH195=0,0,ROUNDDOWN(AY195*BH195,0)*DV195*IF(Boss参数!$B$29=1,BN195,1)*IF(Boss参数!$B$33=1,BO195,1)*IF(Boss参数!$B$76=1,1-ES195,1))</f>
        <v>0</v>
      </c>
      <c r="BT195" s="1">
        <f t="shared" ref="BT195:BT242" si="216">IF($BH195=0,0,$BS195*IF($E195="37",$BP195,1))</f>
        <v>0</v>
      </c>
      <c r="BU195" s="1">
        <f>IF(D195="",0,MIN(IF(Boss参数!$B$77=1,Boss参数!$B$63*Boss参数!$B$62,Boss参数!$B$61*Boss参数!$B$62),DW195+ROUNDDOWN(BS195,0)+ROUNDDOWN(DW195*Q195,0)))</f>
        <v>0</v>
      </c>
      <c r="BV195" s="1">
        <f>IF(D195="",0,MIN(IF(Boss参数!$B$77=1,Boss参数!$B$63*Boss参数!$B$62,Boss参数!$B$61*Boss参数!$B$62),DX195+ROUNDDOWN(BT195,0)+ROUNDDOWN(DX195*Q195,0)))</f>
        <v>0</v>
      </c>
      <c r="BW195" s="1">
        <f t="shared" ref="BW195:BW242" si="217">IF($D195="",0,ROUNDDOWN($BU195*(1-$AZ195)+$BV195*$AZ195,0))</f>
        <v>0</v>
      </c>
      <c r="BX195" s="1" t="str">
        <f t="shared" ref="BX195:BX242" si="218">IF($D195="","",IF(AND($L195="37_FOLLOW",$AB195&lt;5),"检查：37灵光不足5",IF(AND($L195="LILYA_INSIGHT",$Y195=0),"检查：未进入弱点洞穿",IF(AND($L195="LILYA_FINISH",$Y195=0),"检查：未进入弱点洞穿",""))))</f>
        <v/>
      </c>
      <c r="BY195" s="1">
        <f t="shared" ref="BY195:BY242" si="219">IF($L195="LILYA_COBRA",IF($U195=0,1,$U195),$U195)</f>
        <v>2</v>
      </c>
      <c r="BZ195" s="1">
        <f t="shared" ref="BZ195:BZ242" si="220">$V195</f>
        <v>1</v>
      </c>
      <c r="CA195" s="1">
        <f>MIN(10,W195+IF(AND(L195="LILYA_COBRA",COUNTIF($L$3:L195,"LILYA_COBRA")=1),5,0)+IF(AND(L195="LILYA_DIVE",U195=1,COUNTIFS($DG$3:DG195,DG195,$L$3:L195,"LILYA_DIVE")=1),2,0)+IF(AND(FE195=1,U195=1),3,0))</f>
        <v>10</v>
      </c>
      <c r="CB195" s="1">
        <f>MIN(20,MAX(0,X195+IF(L195="LILYA_COBRA",IF(COUNTIF($L$3:L195,"LILYA_COBRA")=1,6,IF(U195=1,MAX(1,G195),IF(U195=2,2*MAX(1,G195),0))),0)+IF(AND(Y195=1,E195="红弩箭",L195&lt;&gt;"ENTER_INSIGHT"),1,0)-IF(AND(L195="LILYA_ULT",X195&gt;=6),6,0)))</f>
        <v>13</v>
      </c>
      <c r="CC195" s="1">
        <f t="shared" ref="CC195:CC242" si="221">IF($L195="ENTER_INSIGHT",1,IF($L195="LILYA_FINISH",0,$Y195))</f>
        <v>0</v>
      </c>
      <c r="CD195" s="1">
        <f t="shared" ref="CD195:CD242" si="222">IF(OR($L195="ENTER_INSIGHT",$L195="LILYA_FINISH"),0,IF(AND($Y195=1,$D195&lt;&gt;"",$E195&lt;&gt;"系统"),$Z195+1,$Z195))</f>
        <v>0</v>
      </c>
      <c r="CE195" s="1">
        <f t="shared" ref="CE195:CE242" si="223">IF(OR($L195="ENTER_INSIGHT",$L195="LILYA_FINISH"),0,IF($L195="LILYA_INSIGHT",$AA195+1,$AA195))</f>
        <v>0</v>
      </c>
      <c r="CF195" s="1">
        <f t="shared" ref="CF195:CF242" si="224">IF(OR($D195="",$E195="系统"),$AB195,IF($L195="37_FOLLOW",MAX(0,$AB195-5),MIN(10,$AB195+1+IF($L195="37_ULT",2,0))))</f>
        <v>10</v>
      </c>
      <c r="CG195" s="1">
        <f t="shared" ref="CG195:CG242" si="225">MAX(0,$AC195-IF(AND($E195="37",$BH195&gt;0,$AC195&gt;0),1,0)+IF($L195="37_ULT",2,0)+IF($L195="37_TRIANGLE",IF($G195=3,2,1),0))</f>
        <v>1</v>
      </c>
      <c r="CH195" s="1">
        <f>MIN(35,AD195+IF(L195="J_HARD",6,0)+IF(L195="J_COUNTER",Boss参数!$B$30,0))</f>
        <v>35</v>
      </c>
      <c r="CI195" s="1">
        <f>MIN(Boss参数!$I$4,AE195+IF(L195="J_HARD",6,0)+IF(L195="J_ULT",AD195,0)+IF(L195="J_COUNTER",Boss参数!$B$30,0))</f>
        <v>0</v>
      </c>
      <c r="CJ195" s="1">
        <f>IF(L195="J_ULT",AD195*Boss参数!$B$41,IF(B195&lt;=AG195,AF195,0))</f>
        <v>0.875</v>
      </c>
      <c r="CK195" s="1">
        <f t="shared" ref="CK195:CK242" si="226">IF(L195="J_ULT",B195+2,AG195)</f>
        <v>9</v>
      </c>
      <c r="CL195" s="1">
        <f t="shared" ref="CL195:CL242" si="227">IF($L195="RHI_BUFF",$B195+2,$AH195)</f>
        <v>9</v>
      </c>
      <c r="CM195" s="1">
        <f t="shared" ref="CM195:CM242" si="228">IF($L195="RHI_ULT",$B195+2,$AI195)</f>
        <v>8</v>
      </c>
      <c r="CN195" s="1">
        <f t="shared" ref="CN195:CN242" si="229">IF($L195="RHI_ULT",$B195+3,$AJ195)</f>
        <v>9</v>
      </c>
      <c r="CO195" s="1">
        <f t="shared" ref="CO195:CO242" si="230">IF($L195="RHI_ULT",$B195+2,$AK195)</f>
        <v>8</v>
      </c>
      <c r="CP195" s="1">
        <f t="shared" ref="CP195:CP242" si="231">MIN(3,$AL195+IF(OR($L195="J_COUNTER",$L195="J_HARD"),1,0))</f>
        <v>3</v>
      </c>
      <c r="CQ195" s="1">
        <f t="shared" ref="CQ195:CQ242" si="232">MIN(30,$AM195+IF($H195="仪式",5,0))</f>
        <v>30</v>
      </c>
      <c r="CR195" s="1">
        <f t="shared" ref="CR195:CR242" si="233">IF(L195="37_ULT",FD195+1,AN195)</f>
        <v>9</v>
      </c>
      <c r="CS195" s="1">
        <f t="shared" ref="CS195:CS242" si="234">IF(OR(L195="ENTER_INSIGHT",L195="LILYA_FINISH"),0,IF(AND(Y195=1,H195="洞知"),AO195+1,AO195))</f>
        <v>0</v>
      </c>
      <c r="CT195" s="1" t="e">
        <f t="shared" ref="CT195:CT242" si="235">IF(AND($L195="RHI_ATTACK",$EE195&gt;0),MAX(IF($B195&lt;=$AQ195,$AP195,0),0.11+0.01*$G195),IF($B195&lt;=$AQ195,$AP195,0))</f>
        <v>#VALUE!</v>
      </c>
      <c r="CU195" s="1" t="e">
        <f t="shared" ref="CU195:CU242" si="236">IF(AND($L195="RHI_ATTACK",$EE195&gt;0,0.11+0.01*$G195&gt;=IF($B195&lt;=$AQ195,$AP195,0)),$B195+2,$AQ195)</f>
        <v>#VALUE!</v>
      </c>
      <c r="CV195" s="1">
        <f t="shared" ref="CV195:CV242" si="237">IF(AND($L195="RHI_ATTACK",$B195&lt;=$AJ195),0.15+MIN(0.15,$AV195*0.03),IF($B195&lt;=$AS195,$AR195,0))</f>
        <v>0.3</v>
      </c>
      <c r="CW195" s="1">
        <f t="shared" ref="CW195:CW242" si="238">IF(AND($L195="RHI_ATTACK",$B195&lt;=$AJ195),$B195+2,$AS195)</f>
        <v>9</v>
      </c>
      <c r="CX195" s="1">
        <f t="shared" ref="CX195:CX242" si="239">IF(AND($L195="RHI_BUFF",$B195&lt;=$AJ195),0.15+MIN(0.15,$AV195*0.03),IF($B195&lt;=$AU195,$AT195,0))</f>
        <v>0.3</v>
      </c>
      <c r="CY195" s="1">
        <f t="shared" ref="CY195:CY242" si="240">IF(AND($L195="RHI_BUFF",$B195&lt;=$AJ195),$B195+2,$AU195)</f>
        <v>9</v>
      </c>
      <c r="CZ195" s="1"/>
      <c r="DA195" s="1"/>
      <c r="DB195" s="1"/>
      <c r="DC195" s="1"/>
      <c r="DD195" s="1"/>
      <c r="DE195" s="1"/>
      <c r="DF195" s="1"/>
      <c r="DG195" s="1" t="str">
        <f>IF(D195="","",行动模拟!B201)</f>
        <v/>
      </c>
      <c r="DH195" s="1" t="str">
        <f>IF(L195="END_TURN","回合结束",IF(D195="","",IF(INDEX(回合状态!$C$7:$C$17,MATCH(DG195,回合状态!$A$7:$A$17,0))="洞穿","洞穿",IF(OR(L195="J_COUNTER",L195="BOSS_ACTION",L195="BOSS_CONSERVATIVE"),"敌方",IF(AND(L195="37_FOLLOW",DG195=DG194,DH194="敌方"),"敌方",IF(INDEX(回合状态!$C$7:$C$17,MATCH(DG195,回合状态!$A$7:$A$17,0))="普通","出牌",INDEX(回合状态!$C$7:$C$17,MATCH(DG195,回合状态!$A$7:$A$17,0))))))))</f>
        <v/>
      </c>
      <c r="DI195" s="1">
        <f t="shared" ref="DI195:DI242" si="241">IF(E195="红弩箭",DJ195,IF(E195="37",DK195,IF(E195="小瑞安侬",DL195,IF(E195="J",DM195,0))))</f>
        <v>0</v>
      </c>
      <c r="DJ195" s="1">
        <f>IF(D195="",0,MIN(Boss参数!$B$25,IF(OR(AND(DH195="敌方",OR(DH194&lt;&gt;"敌方",DG195&lt;&gt;DG194)),AND(L195="END_TURN",DH195&lt;&gt;"洞穿"),AND(DG195&lt;&gt;DG194,DH194&lt;&gt;"洞穿",L194&lt;&gt;"END_TURN",COUNTIFS($DG$3:DG194,DG194,$DH$3:DH194,"敌方")=0)),EW195,DN194)))</f>
        <v>0</v>
      </c>
      <c r="DK195" s="1">
        <f>IF(D195="",0,MIN(Boss参数!$B$25,IF(OR(AND(DH195="敌方",OR(DH194&lt;&gt;"敌方",DG195&lt;&gt;DG194)),AND(L195="END_TURN",DH195&lt;&gt;"洞穿"),AND(DG195&lt;&gt;DG194,DH194&lt;&gt;"洞穿",L194&lt;&gt;"END_TURN",COUNTIFS($DG$3:DG194,DG194,$DH$3:DH194,"敌方")=0)),EW195,DO194)))</f>
        <v>0</v>
      </c>
      <c r="DL195" s="1">
        <f>IF(D195="",0,MIN(Boss参数!$B$25,IF(OR(AND(DH195="敌方",OR(DH194&lt;&gt;"敌方",DG195&lt;&gt;DG194)),AND(L195="END_TURN",DH195&lt;&gt;"洞穿"),AND(DG195&lt;&gt;DG194,DH194&lt;&gt;"洞穿",L194&lt;&gt;"END_TURN",COUNTIFS($DG$3:DG194,DG194,$DH$3:DH194,"敌方")=0)),EW195,DP194)))</f>
        <v>0</v>
      </c>
      <c r="DM195" s="1">
        <f>IF(D195="",0,MIN(Boss参数!$B$25,IF(OR(AND(DH195="敌方",OR(DH194&lt;&gt;"敌方",DG195&lt;&gt;DG194)),AND(L195="END_TURN",DH195&lt;&gt;"洞穿"),AND(DG195&lt;&gt;DG194,DH194&lt;&gt;"洞穿",L194&lt;&gt;"END_TURN",COUNTIFS($DG$3:DG194,DG194,$DH$3:DH194,"敌方")=0)),EW195,DQ194)))</f>
        <v>0</v>
      </c>
      <c r="DN195" s="1">
        <f>MAX(0,MIN(Boss参数!$B$25,DJ195+DR195)-IF(E195="红弩箭",2*DR195,0))</f>
        <v>0</v>
      </c>
      <c r="DO195" s="1">
        <f>MAX(0,MIN(Boss参数!$B$25,DK195+DR195)-IF(E195="37",2*DR195,0))</f>
        <v>0</v>
      </c>
      <c r="DP195" s="1">
        <f>MAX(0,MIN(Boss参数!$B$25,DL195+DR195)-IF(E195="小瑞安侬",2*DR195,0))</f>
        <v>0</v>
      </c>
      <c r="DQ195" s="1">
        <f>MAX(0,MIN(Boss参数!$B$25,DM195+DR195)-IF(E195="J",2*DR195,0))</f>
        <v>0</v>
      </c>
      <c r="DR195" s="1">
        <f t="shared" ref="DR195:DR242" si="242">IF(AND(OR(J195&gt;0,K195&gt;0),DI195&gt;0),1,0)</f>
        <v>0</v>
      </c>
      <c r="DS195" s="1">
        <f t="shared" ref="DS195:DS242" si="243">IF(AND(OR(J195&gt;0,K195&gt;0),OR(H195="术法",H195="仪式",H195="洞知",H195="特殊")),1,0)</f>
        <v>0</v>
      </c>
      <c r="DT195" s="1">
        <f>IF(OR(E195="",E195="系统"),0,IF(OR(AND(DS195=1,Boss参数!$B$32=1),L195="RHI_BERRY",OR(AND(INDEX(角色面板!$B$18:$B$21,MATCH(E195,角色面板!$A$18:$A$21,0))="星",Boss参数!$B$4="岩"),AND(INDEX(角色面板!$B$18:$B$21,MATCH(E195,角色面板!$A$18:$A$21,0))="岩",Boss参数!$B$4="兽"),AND(INDEX(角色面板!$B$18:$B$21,MATCH(E195,角色面板!$A$18:$A$21,0))="兽",Boss参数!$B$4="木"),AND(INDEX(角色面板!$B$18:$B$21,MATCH(E195,角色面板!$A$18:$A$21,0))="木",Boss参数!$B$4="星"),AND(INDEX(角色面板!$B$18:$B$21,MATCH(E195,角色面板!$A$18:$A$21,0))="智",Boss参数!$B$4="灵"),AND(INDEX(角色面板!$B$18:$B$21,MATCH(E195,角色面板!$A$18:$A$21,0))="灵",Boss参数!$B$4="智"))),1,0))</f>
        <v>0</v>
      </c>
      <c r="DU195" s="1">
        <f>IF(D195="",0,INDEX(回合状态!$E$7:$E$17,MATCH(DG195,回合状态!$A$7:$A$17,0))+IF(AND(DH195="敌方",OR(INDEX(回合状态!$C$7:$C$17,MATCH(DG195,回合状态!$A$7:$A$17,0))="普通",INDEX(回合状态!$C$7:$C$17,MATCH(DG195,回合状态!$A$7:$A$17,0))="额外")),0.05,0))</f>
        <v>0</v>
      </c>
      <c r="DV195" s="1">
        <f>MAX(Boss参数!$B$28,1+IF(AND(E195="37",AC195&gt;0,BH195&gt;0),Boss参数!$B$42,0)-DI195*Boss参数!$B$24+EA195-ER195)</f>
        <v>9.9999999999999978E-2</v>
      </c>
      <c r="DW195" s="1">
        <f>MIN(IF(Boss参数!$B$77=1,Boss参数!$B$63*Boss参数!$B$62,Boss参数!$B$61*Boss参数!$B$62),ROUNDDOWN(BQ195*(1-ES195),0))</f>
        <v>0</v>
      </c>
      <c r="DX195" s="1">
        <f>MIN(IF(Boss参数!$B$77=1,Boss参数!$B$63*Boss参数!$B$62,Boss参数!$B$61*Boss参数!$B$62),ROUNDDOWN(BR195*(1-ES195),0))</f>
        <v>0</v>
      </c>
      <c r="DY195" s="1">
        <f t="shared" si="205"/>
        <v>250</v>
      </c>
      <c r="DZ195" s="1">
        <f>IF(L195="RHI_ULT",MIN(Boss参数!$B$48,ROUNDDOWN(AY195*Boss参数!$B$47,0)),DY195)</f>
        <v>250</v>
      </c>
      <c r="EA195" s="1">
        <v>0</v>
      </c>
      <c r="EB195" s="1">
        <f t="shared" ref="EB195:EB242" si="244">EE195+EF195</f>
        <v>0</v>
      </c>
      <c r="EC195" s="1">
        <f>SUMIFS($EB$3:EB195,$B$3:B195,"&gt;="&amp;MAX(1,B195-2),$B$3:B195,"&lt;="&amp;B195)*Boss参数!$B$51</f>
        <v>0</v>
      </c>
      <c r="ED195" s="1">
        <f>IF(D195="",EG194,IF(AND(DG195&lt;&gt;DG194,DH195&lt;&gt;"洞穿"),MIN(Boss参数!$B$55,EG194+2),EG194))</f>
        <v>0</v>
      </c>
      <c r="EE195" s="1">
        <f t="shared" ref="EE195:EE242" si="245">IF(OR(L195="RHI_ATTACK",L195="RHI_BUFF"),MIN(1,ED195),0)</f>
        <v>0</v>
      </c>
      <c r="EF195" s="1">
        <f>IF(AND(OR(L195="END_TURN",AND(DH195="敌方",OR(DH194&lt;&gt;"敌方",DG195&lt;&gt;DG194))),SUMIFS($EF$3:EF194,$DG$3:DG194,DG195)=0),MIN(1,MAX(0,ED195-EE195)),0)</f>
        <v>0</v>
      </c>
      <c r="EG195" s="1">
        <f t="shared" ref="EG195:EG242" si="246">MAX(0,ED195-EE195-EF195)</f>
        <v>0</v>
      </c>
      <c r="EH195" s="1">
        <f>Boss参数!$B$53-IF(Y195=1,Boss参数!$B$54,0)</f>
        <v>0</v>
      </c>
      <c r="EI195" s="1">
        <f t="shared" ref="EI195:EI242" si="247">IF(B195&lt;=AU195,0.15+MIN(0.15,AV195*0.03),0)</f>
        <v>0.15</v>
      </c>
      <c r="EJ195" s="1">
        <f t="shared" ref="EJ195:EJ242" si="248">IF(B195&lt;=AS195,0.15+MIN(0.15,AV195*0.03),0)</f>
        <v>0.15</v>
      </c>
      <c r="EK195" s="1" t="e">
        <f t="shared" ref="EK195:EK242" si="249">MAX(0,1+BE195-EH195)</f>
        <v>#VALUE!</v>
      </c>
      <c r="EL195" s="1">
        <f t="shared" si="206"/>
        <v>0</v>
      </c>
      <c r="EM195" s="1">
        <f>IF(AND(DG195&lt;&gt;DG194,DH195="洞穿"),0,IF(L195="ENTER_INSIGHT",Boss参数!$B$57,EO194))</f>
        <v>0</v>
      </c>
      <c r="EN195" s="1">
        <f>IF(AND(Y195=1,H195="洞知",EM195&gt;0),Boss参数!$B$56,0)</f>
        <v>0</v>
      </c>
      <c r="EO195" s="1">
        <f t="shared" ref="EO195:EO242" si="250">MAX(0,EM195-IF(AND(Y195=1,H195="洞知",Q195&gt;0),1,0))+IF(AND(Y195=1,L195="37_INSIGHT"),1,0)</f>
        <v>0</v>
      </c>
      <c r="EP195" s="1">
        <f t="shared" si="207"/>
        <v>23210479</v>
      </c>
      <c r="EQ195" s="1">
        <f>ROUNDDOWN(EP195/Boss参数!$B$62,0)</f>
        <v>232</v>
      </c>
      <c r="ER195" s="1">
        <f>IF(EQ195&gt;=Boss参数!$B$66,Boss参数!$B$69,IF(EQ195&gt;=Boss参数!$B$65,Boss参数!$B$68,IF(EQ195&gt;=Boss参数!$B$64,Boss参数!$B$67,0)))</f>
        <v>0.9</v>
      </c>
      <c r="ES195" s="1">
        <f>MIN(1,IF(EQ195&gt;=Boss参数!$B$66,Boss参数!$B$72+ROUNDDOWN((EQ195-Boss参数!$B$66)/Boss参数!$B$73,0)*Boss参数!$B$74,IF(EQ195&gt;=Boss参数!$B$65,Boss参数!$B$71,IF(EQ195&gt;=Boss参数!$B$64,Boss参数!$B$70,0))))</f>
        <v>0.65</v>
      </c>
      <c r="ET195" s="1">
        <f>MIN(Boss参数!$B$61*Boss参数!$B$62,EP195+IF(AND(Boss参数!$B$60=1,ISNUMBER(验证表!H201)),验证表!H201,EU195))</f>
        <v>23210479</v>
      </c>
      <c r="EU195" s="1">
        <f>IF(D195="",0,IF(验证表!G201="是",BV195,IF(验证表!G201="否",BU195,BW195)))</f>
        <v>0</v>
      </c>
      <c r="EV195" s="1">
        <f>IF(EQ195&gt;=Boss参数!$B$66,2,IF(EQ195&gt;=Boss参数!$B$65,1,0))</f>
        <v>2</v>
      </c>
      <c r="EW195" s="1">
        <f t="shared" ref="EW195:EW242" si="251">1+EV195</f>
        <v>3</v>
      </c>
      <c r="EX195" s="1">
        <f>IF(D195="",0,INDEX(回合状态!$D$7:$D$17,MATCH(DG195,回合状态!$A$7:$A$17,0)))</f>
        <v>0</v>
      </c>
      <c r="EY195" s="1">
        <f>IF(OR(L195="RHI_ATTACK",L195="RHI_BUFF"),1,IF(L195="RHI_ULT",Boss参数!$B$52,0))</f>
        <v>0</v>
      </c>
      <c r="EZ195" s="1">
        <f>MIN(6,SUMIFS($EY$3:EY195,$EX$3:EX195,"&gt;="&amp;MAX(1,EX195-Boss参数!$B$87+1),$EX$3:EX195,"&lt;="&amp;EX195))</f>
        <v>0</v>
      </c>
      <c r="FA195" s="1">
        <f t="shared" si="208"/>
        <v>0</v>
      </c>
      <c r="FB195" s="17">
        <f>IF(L195="BOSS_CONSERVATIVE",B195+Boss参数!$B$91,FB194)</f>
        <v>7</v>
      </c>
      <c r="FC195" s="17">
        <f t="shared" si="209"/>
        <v>0</v>
      </c>
      <c r="FD195" s="17">
        <f>IF(D195="",FD194,FD194+IF(AND(DG195&lt;&gt;DG194,INDEX(回合状态!$C$7:$C$17,MATCH(DG195,回合状态!$A$7:$A$17,0))&lt;&gt;"洞穿"),1,0))</f>
        <v>8</v>
      </c>
      <c r="FE195" s="17">
        <f>IF(D195="",0,IF(AND(OR(L195="END_TURN",DH195="敌方"),INDEX(回合状态!$C$7:$C$17,MATCH(DG195,回合状态!$A$7:$A$17,0))&lt;&gt;"洞穿",SUMIFS($FE$3:FE194,$DG$3:DG194,DG195)=0),1,0))</f>
        <v>0</v>
      </c>
    </row>
    <row r="196" spans="1:161" ht="84.95" customHeight="1">
      <c r="A196" s="1" t="str">
        <f>行动模拟!A202</f>
        <v/>
      </c>
      <c r="B196" s="1">
        <f>IF(D196="",0,INDEX(回合状态!$B$7:$B$17,MATCH(DG196,回合状态!$A$7:$A$17,0)))</f>
        <v>0</v>
      </c>
      <c r="C196" s="1">
        <f>行动模拟!C202</f>
        <v>0</v>
      </c>
      <c r="D196" s="1" t="str">
        <f>IF(行动模拟!D202="","",行动模拟!D202)</f>
        <v/>
      </c>
      <c r="E196" s="1" t="str">
        <f>IF($D196="","",IFERROR(INDEX(技能数据库!$B$4:$B$38,MATCH($D196,技能数据库!$A$4:$A$38,0)),""))</f>
        <v/>
      </c>
      <c r="F196" s="1" t="str">
        <f>IF($D196="","",IFERROR(INDEX(技能数据库!$C$4:$C$38,MATCH($D196,技能数据库!$A$4:$A$38,0)),""))</f>
        <v/>
      </c>
      <c r="G196" s="1" t="str">
        <f>IF($D196="","",IFERROR(INDEX(技能数据库!$D$4:$D$38,MATCH($D196,技能数据库!$A$4:$A$38,0)),""))</f>
        <v/>
      </c>
      <c r="H196" s="1" t="str">
        <f>IF($D196="","",IFERROR(INDEX(技能数据库!$E$4:$E$38,MATCH($D196,技能数据库!$A$4:$A$38,0)),""))</f>
        <v/>
      </c>
      <c r="I196" s="1" t="str">
        <f>IF($D196="","",IFERROR(INDEX(技能数据库!$F$4:$F$38,MATCH($D196,技能数据库!$A$4:$A$38,0)),""))</f>
        <v/>
      </c>
      <c r="J196" s="1" t="str">
        <f>IF($D196="","",IFERROR(INDEX(技能数据库!$G$4:$G$38,MATCH($D196,技能数据库!$A$4:$A$38,0)),""))</f>
        <v/>
      </c>
      <c r="K196" s="1" t="str">
        <f>IF($D196="","",IFERROR(INDEX(技能数据库!$H$4:$H$38,MATCH($D196,技能数据库!$A$4:$A$38,0)),""))</f>
        <v/>
      </c>
      <c r="L196" s="1" t="str">
        <f>IF($D196="","",IFERROR(INDEX(技能数据库!$I$4:$I$38,MATCH($D196,技能数据库!$A$4:$A$38,0)),""))</f>
        <v/>
      </c>
      <c r="M196" s="1">
        <v>1</v>
      </c>
      <c r="N196" s="1"/>
      <c r="O196" s="1"/>
      <c r="P196" s="1"/>
      <c r="Q196" s="1">
        <f t="shared" si="210"/>
        <v>0</v>
      </c>
      <c r="R196" s="1">
        <v>0</v>
      </c>
      <c r="S196" s="1">
        <v>0</v>
      </c>
      <c r="T196" s="1">
        <f>行动模拟!I202</f>
        <v>0</v>
      </c>
      <c r="U196" s="1">
        <f>IF(FD196&lt;&gt;FD195,IF(BY195=1,IF(MIN(10,CA195+IF(AND(DG196&lt;&gt;DG195,DH195&lt;&gt;"洞穿",SUMIFS($FE$3:FE195,$DG$3:DG195,DG195)=0,BY195=1),3,0))&gt;=10,2,1),IF(BY195=2,IF(BZ195&lt;=1,0,2),0)),BY195)</f>
        <v>2</v>
      </c>
      <c r="V196" s="1">
        <f>IF(FD196&lt;&gt;FD195,IF(BY195=1,IF(MIN(10,CA195+IF(AND(DG196&lt;&gt;DG195,DH195&lt;&gt;"洞穿",SUMIFS($FE$3:FE195,$DG$3:DG195,DG195)=0,BY195=1),3,0))&gt;=10,2,0),IF(BY195=2,MAX(0,BZ195-1),0)),BZ195)</f>
        <v>1</v>
      </c>
      <c r="W196" s="1">
        <f>IF(AND(FD196&lt;&gt;FD195,BY195=2,BZ195&lt;=1),0,MIN(10,CA195+IF(AND(DG196&lt;&gt;DG195,DH195&lt;&gt;"洞穿",SUMIFS($FE$3:FE195,$DG$3:DG195,DG195)=0,BY195=1),3,0)))</f>
        <v>10</v>
      </c>
      <c r="X196" s="1">
        <f t="shared" ref="X196:X242" si="252">$CB195</f>
        <v>13</v>
      </c>
      <c r="Y196" s="1">
        <f t="shared" ref="Y196:Y242" si="253">IF(AND(DG196&lt;&gt;DG195,DH196="洞穿"),1,$CC195)</f>
        <v>0</v>
      </c>
      <c r="Z196" s="1">
        <f t="shared" ref="Z196:Z242" si="254">IF(AND(DG196&lt;&gt;DG195,DH196="洞穿"),0,$CD195)</f>
        <v>0</v>
      </c>
      <c r="AA196" s="1">
        <f t="shared" ref="AA196:AA242" si="255">IF(AND(DG196&lt;&gt;DG195,DH196="洞穿"),0,$CE195)</f>
        <v>0</v>
      </c>
      <c r="AB196" s="1">
        <f t="shared" ref="AB196:AB242" si="256">$CF195</f>
        <v>10</v>
      </c>
      <c r="AC196" s="1">
        <f t="shared" ref="AC196:AC242" si="257">$CG195</f>
        <v>1</v>
      </c>
      <c r="AD196" s="1">
        <f t="shared" ref="AD196:AD242" si="258">CH195</f>
        <v>35</v>
      </c>
      <c r="AE196" s="1">
        <f>IF(D196="",0,IF(DG196&lt;&gt;DG195,IFERROR(INDEX(回合状态!$F$7:$F$17,MATCH(DG196,回合状态!$A$7:$A$17,0)),0),CI195))</f>
        <v>0</v>
      </c>
      <c r="AF196" s="1">
        <f t="shared" ref="AF196:AF242" si="259">$CJ195</f>
        <v>0.875</v>
      </c>
      <c r="AG196" s="1">
        <f t="shared" ref="AG196:AG242" si="260">$CK195</f>
        <v>9</v>
      </c>
      <c r="AH196" s="1">
        <f t="shared" ref="AH196:AH242" si="261">$CL195</f>
        <v>9</v>
      </c>
      <c r="AI196" s="1">
        <f t="shared" ref="AI196:AI242" si="262">$CM195</f>
        <v>8</v>
      </c>
      <c r="AJ196" s="1">
        <f t="shared" ref="AJ196:AJ242" si="263">$CN195</f>
        <v>9</v>
      </c>
      <c r="AK196" s="1">
        <f t="shared" ref="AK196:AK242" si="264">$CO195</f>
        <v>8</v>
      </c>
      <c r="AL196" s="1">
        <f t="shared" ref="AL196:AL242" si="265">$CP195</f>
        <v>3</v>
      </c>
      <c r="AM196" s="1">
        <f t="shared" ref="AM196:AM242" si="266">$CQ195</f>
        <v>30</v>
      </c>
      <c r="AN196" s="1">
        <f t="shared" ref="AN196:AN242" si="267">CR195</f>
        <v>9</v>
      </c>
      <c r="AO196" s="1">
        <f t="shared" ref="AO196:AO242" si="268">$CS195</f>
        <v>0</v>
      </c>
      <c r="AP196" s="1" t="e">
        <f t="shared" ref="AP196:AP242" si="269">$CT195</f>
        <v>#VALUE!</v>
      </c>
      <c r="AQ196" s="1" t="e">
        <f t="shared" ref="AQ196:AQ242" si="270">$CU195</f>
        <v>#VALUE!</v>
      </c>
      <c r="AR196" s="1">
        <f t="shared" ref="AR196:AR242" si="271">$CV195</f>
        <v>0.3</v>
      </c>
      <c r="AS196" s="1">
        <f t="shared" ref="AS196:AS242" si="272">$CW195</f>
        <v>9</v>
      </c>
      <c r="AT196" s="1">
        <f t="shared" ref="AT196:AT242" si="273">$CX195</f>
        <v>0.3</v>
      </c>
      <c r="AU196" s="1">
        <f t="shared" ref="AU196:AU242" si="274">$CY195</f>
        <v>9</v>
      </c>
      <c r="AV196" s="1">
        <f>MIN(5,SUMIFS($EL$3:EL196,$B$3:B196,"&gt;="&amp;MAX(1,B196-2),$B$3:B196,"&lt;="&amp;B196)+EC196)</f>
        <v>0</v>
      </c>
      <c r="AW196" s="1">
        <f>MIN(6,SUMIFS($EY$3:EY195,$EX$3:EX195,"&gt;="&amp;MAX(1,EX196-Boss参数!$B$87+1),$EX$3:EX195,"&lt;="&amp;EX196))</f>
        <v>0</v>
      </c>
      <c r="AX196" s="1">
        <f>MIN(4,COUNTIFS($B$3:$B$195,"&gt;="&amp;MAX(1,$B196-2),$B$3:$B$195,"&lt;="&amp;$B196,$L$3:$L$195,"37_FOLLOW"))</f>
        <v>0</v>
      </c>
      <c r="AY196" s="1" t="str">
        <f>IF($E196="","",IF($E196="系统",0,ROUNDDOWN(INDEX(角色面板!$C$4:$C$7,MATCH($E196,角色面板!$A$4:$A$7,0))*(1+INDEX(角色面板!$C$11:$C$14,MATCH($E196,角色面板!$A$11:$A$14,0))+IF($E196="小瑞安侬",MAX(IF($B196&lt;=$AQ196,$AP196,0),IF(AND($L196="RHI_ATTACK",$EE196&gt;0),0.11+0.01*$G196,0)),0)+IF($E196="J",$AD196*Boss参数!$B$18,0))+IF(FD196&lt;=$AN196,MIN(Boss参数!$B$21,ROUNDDOWN(角色面板!$C$19*Boss参数!$B$20,0)),0)+IF(AND($B196&lt;=$AK196,$E196&lt;&gt;"小瑞安侬"),$DY196,0),0)))</f>
        <v/>
      </c>
      <c r="AZ196" s="1" t="str">
        <f>IF($E196="","",MAX(0,MIN(1,IFERROR(INDEX(角色面板!$G$18:$G$21,MATCH($E196,角色面板!$A$18:$A$21,0)),0)-FC196*Boss参数!$B$89-Boss参数!$E$4)))</f>
        <v/>
      </c>
      <c r="BA196" s="1" t="str">
        <f>IF(E196="","",(IF($E196="","",IF($E196="红弩箭",Boss参数!$B$80,IF($E196="J",Boss参数!$B$81,IFERROR(INDEX(角色面板!$H$18:$H$21,MATCH($E196,角色面板!$A$18:$A$21,0)),0)))+IF($B196&lt;=$AI196,Boss参数!$B$13,0)+MIN(30,$AM196)*Boss参数!$B$17+IF(AND($L196="LILYA_ULT",$X196&gt;=6),1,0)+IF(AND($Y196=1,$L196="LILYA_INSIGHT"),IF(MOD($AA196+1,3)=0,Boss参数!$B$83,Boss参数!$B$82),IF(AND($Y196=1,$L196="LILYA_FINISH"),Boss参数!$B$84,0))))-FC196*Boss参数!$B$90)</f>
        <v/>
      </c>
      <c r="BB196" s="1" t="str">
        <f>IF($E196="","",IFERROR(INDEX(角色面板!$M$18:$M$21,MATCH($E196,角色面板!$A$18:$A$21,0)),0)+$AW196*Boss参数!$B$12+IF($B196&lt;=$AG196,$AF196,0)+$EI196+IF($L196="LILYA_DIVE",IF($U196=1,IF($G196=1,0.3,IF($G196=2,0.4,0.5)),IF($U196=2,IF($G196=1,0.6,IF($G196=2,0.8,1)),0)),0)+$R196+IF(AND($E196="J",OR($L196="J_COUNTER",$L196="J_HARD")),Boss参数!$B$79,0)+IF(AND(OR(L196="J_COUNTER",L196="J_HARD"),FA196&gt;=Boss参数!$B$59),FA196*Boss参数!$B$40,0))</f>
        <v/>
      </c>
      <c r="BC196" s="1" t="e">
        <f>IF($E196="","",IFERROR(INDEX(角色面板!$K$18:$K$21,MATCH($E196,角色面板!$A$18:$A$21,0)),0)+IF($B196&lt;=$AH196,Boss参数!$B$46,0)+IF($E196="红弩箭",IF($U196=1,0.6,IF($U196=2,1.2,0))+$W196*0.06,0))-DI196*Boss参数!$B$23</f>
        <v>#VALUE!</v>
      </c>
      <c r="BD196" s="1" t="e">
        <f>IF($E196="","",IFERROR(INDEX(角色面板!$L$18:$L$21,MATCH($E196,角色面板!$A$18:$A$21,0)),0)+IF($B196&lt;=$AH196,Boss参数!$B$46,0)+IF($E196="J",$AL196*Boss参数!$B$16,0)+IF($E196="红弩箭",$X196*0.025,0)+IF(AND($L196="LILYA_ULT",$X196&gt;=6),1,0))-DI196*Boss参数!$B$23</f>
        <v>#VALUE!</v>
      </c>
      <c r="BE196" s="1" t="str">
        <f>IF($E196="","",IF($H196="洞知",IF($E196="红弩箭",$AO196*Boss参数!$B$15,0)+$AX196*Boss参数!$B$14,0))</f>
        <v/>
      </c>
      <c r="BF196" s="1">
        <f t="shared" si="211"/>
        <v>0</v>
      </c>
      <c r="BG196" s="1">
        <f>IF($D196="",0,IF(AND($L196&lt;&gt;"LILYA_DIVE",$L196&lt;&gt;"LILYA_ULT",$L196&lt;&gt;"LILYA_INSIGHT",$L196&lt;&gt;"LILYA_FINISH",$L196&lt;&gt;"37_FOLLOW",$L196&lt;&gt;"RHI_ATTACK",$L196&lt;&gt;"RHI_BERRY",$L196&lt;&gt;"J_COUNTER",$L196&lt;&gt;"J_ULT"),$J196,0)+IF($L196="LILYA_DIVE",$J196+IF($U196=1,IF($G196=1,6,IF($G196=2,12,18)),IF($U196=2,IF($G196=1,12,IF($G196=2,24,36)),0)),0)+IF($L196="LILYA_ULT",$J196+IF($X196&gt;=6,18,0),0)+IF($L196="LILYA_INSIGHT",IF($Y196=1,IF(MOD($AA196+1,3)=0,32,15),0),0)+IF($L196="LILYA_FINISH",IF($Y196=1,50+2.5*$Z196,0),0)+IF($L196="37_FOLLOW",$J196,0)+IF($L196="RHI_ATTACK",$J196*IF($B196&lt;=$AJ196,2,1),0)+IF($L196="RHI_BERRY",15+1.5*$AV196,0)+IF($L196="J_COUNTER",$J196+$AD196*Boss参数!$B$39,0)+IF($L196="J_ULT",$J196+Boss参数!$B$45*MAX(0,$AE196+$AD196-Boss参数!$I$4),0)+$S196)</f>
        <v>0</v>
      </c>
      <c r="BH196" s="1">
        <f t="shared" si="212"/>
        <v>0</v>
      </c>
      <c r="BI196" s="1" t="str">
        <f>IF(E196="","",IF(DT196=1,1+Boss参数!$B$8+AV196*Boss参数!$B$19,1))</f>
        <v/>
      </c>
      <c r="BJ196" s="1">
        <f>IF($I196="现实",Boss参数!$C$4,IF($I196="精神",Boss参数!$D$4,0))</f>
        <v>0</v>
      </c>
      <c r="BK196" s="1" t="str">
        <f>IF($E196="","",MAX($AY196*Boss参数!$B$9,$AY196-$BJ196*(1-$BF196)))</f>
        <v/>
      </c>
      <c r="BL196" s="1">
        <f>MAX(0,Boss参数!$F$4+IF(DT196=0,Boss参数!$B$27,0)-EJ196)</f>
        <v>1.25</v>
      </c>
      <c r="BM196" s="1">
        <f>Boss参数!$G$4+DU196-IF(Y196=1,Boss参数!$B$11,0)</f>
        <v>0.4</v>
      </c>
      <c r="BN196" s="1" t="str">
        <f>IF($E196="","",MAX(Boss参数!$B$10,1+IFERROR(INDEX(角色面板!$I$18:$I$21,MATCH($E196,角色面板!$A$18:$A$21,0)),0)+$BB196+Boss参数!$H$4-$BM196))</f>
        <v/>
      </c>
      <c r="BO196" s="1" t="str">
        <f>IF(E196="","",IF(OR(L196="J_COUNTER",L196="J_HARD"),MAX(0,1+INDEX(角色面板!$K$18:$K$21,MATCH(E196,角色面板!$A$18:$A$21,0))-DI196*Boss参数!$B$23+IF(OR(Boss参数!$B$43=1,L196="J_HARD"),IF(B196&lt;=AH196,Boss参数!$B$46,0),0)),MAX(0,IF(OR(H196="术法",L196="RHI_BERRY",AND(L196="37_FOLLOW",Boss参数!$B$31=1)),1+BC196,IF(H196="仪式",1+BD196,IF(H196="洞知",EK196,1))))))</f>
        <v/>
      </c>
      <c r="BP196" s="1" t="str">
        <f t="shared" si="213"/>
        <v/>
      </c>
      <c r="BQ196" s="1">
        <f t="shared" si="214"/>
        <v>0</v>
      </c>
      <c r="BR196" s="1">
        <f t="shared" si="215"/>
        <v>0</v>
      </c>
      <c r="BS196" s="1">
        <f>IF(BH196=0,0,ROUNDDOWN(AY196*BH196,0)*DV196*IF(Boss参数!$B$29=1,BN196,1)*IF(Boss参数!$B$33=1,BO196,1)*IF(Boss参数!$B$76=1,1-ES196,1))</f>
        <v>0</v>
      </c>
      <c r="BT196" s="1">
        <f t="shared" si="216"/>
        <v>0</v>
      </c>
      <c r="BU196" s="1">
        <f>IF(D196="",0,MIN(IF(Boss参数!$B$77=1,Boss参数!$B$63*Boss参数!$B$62,Boss参数!$B$61*Boss参数!$B$62),DW196+ROUNDDOWN(BS196,0)+ROUNDDOWN(DW196*Q196,0)))</f>
        <v>0</v>
      </c>
      <c r="BV196" s="1">
        <f>IF(D196="",0,MIN(IF(Boss参数!$B$77=1,Boss参数!$B$63*Boss参数!$B$62,Boss参数!$B$61*Boss参数!$B$62),DX196+ROUNDDOWN(BT196,0)+ROUNDDOWN(DX196*Q196,0)))</f>
        <v>0</v>
      </c>
      <c r="BW196" s="1">
        <f t="shared" si="217"/>
        <v>0</v>
      </c>
      <c r="BX196" s="1" t="str">
        <f t="shared" si="218"/>
        <v/>
      </c>
      <c r="BY196" s="1">
        <f t="shared" si="219"/>
        <v>2</v>
      </c>
      <c r="BZ196" s="1">
        <f t="shared" si="220"/>
        <v>1</v>
      </c>
      <c r="CA196" s="1">
        <f>MIN(10,W196+IF(AND(L196="LILYA_COBRA",COUNTIF($L$3:L196,"LILYA_COBRA")=1),5,0)+IF(AND(L196="LILYA_DIVE",U196=1,COUNTIFS($DG$3:DG196,DG196,$L$3:L196,"LILYA_DIVE")=1),2,0)+IF(AND(FE196=1,U196=1),3,0))</f>
        <v>10</v>
      </c>
      <c r="CB196" s="1">
        <f>MIN(20,MAX(0,X196+IF(L196="LILYA_COBRA",IF(COUNTIF($L$3:L196,"LILYA_COBRA")=1,6,IF(U196=1,MAX(1,G196),IF(U196=2,2*MAX(1,G196),0))),0)+IF(AND(Y196=1,E196="红弩箭",L196&lt;&gt;"ENTER_INSIGHT"),1,0)-IF(AND(L196="LILYA_ULT",X196&gt;=6),6,0)))</f>
        <v>13</v>
      </c>
      <c r="CC196" s="1">
        <f t="shared" si="221"/>
        <v>0</v>
      </c>
      <c r="CD196" s="1">
        <f t="shared" si="222"/>
        <v>0</v>
      </c>
      <c r="CE196" s="1">
        <f t="shared" si="223"/>
        <v>0</v>
      </c>
      <c r="CF196" s="1">
        <f t="shared" si="224"/>
        <v>10</v>
      </c>
      <c r="CG196" s="1">
        <f t="shared" si="225"/>
        <v>1</v>
      </c>
      <c r="CH196" s="1">
        <f>MIN(35,AD196+IF(L196="J_HARD",6,0)+IF(L196="J_COUNTER",Boss参数!$B$30,0))</f>
        <v>35</v>
      </c>
      <c r="CI196" s="1">
        <f>MIN(Boss参数!$I$4,AE196+IF(L196="J_HARD",6,0)+IF(L196="J_ULT",AD196,0)+IF(L196="J_COUNTER",Boss参数!$B$30,0))</f>
        <v>0</v>
      </c>
      <c r="CJ196" s="1">
        <f>IF(L196="J_ULT",AD196*Boss参数!$B$41,IF(B196&lt;=AG196,AF196,0))</f>
        <v>0.875</v>
      </c>
      <c r="CK196" s="1">
        <f t="shared" si="226"/>
        <v>9</v>
      </c>
      <c r="CL196" s="1">
        <f t="shared" si="227"/>
        <v>9</v>
      </c>
      <c r="CM196" s="1">
        <f t="shared" si="228"/>
        <v>8</v>
      </c>
      <c r="CN196" s="1">
        <f t="shared" si="229"/>
        <v>9</v>
      </c>
      <c r="CO196" s="1">
        <f t="shared" si="230"/>
        <v>8</v>
      </c>
      <c r="CP196" s="1">
        <f t="shared" si="231"/>
        <v>3</v>
      </c>
      <c r="CQ196" s="1">
        <f t="shared" si="232"/>
        <v>30</v>
      </c>
      <c r="CR196" s="1">
        <f t="shared" si="233"/>
        <v>9</v>
      </c>
      <c r="CS196" s="1">
        <f t="shared" si="234"/>
        <v>0</v>
      </c>
      <c r="CT196" s="1" t="e">
        <f t="shared" si="235"/>
        <v>#VALUE!</v>
      </c>
      <c r="CU196" s="1" t="e">
        <f t="shared" si="236"/>
        <v>#VALUE!</v>
      </c>
      <c r="CV196" s="1">
        <f t="shared" si="237"/>
        <v>0.3</v>
      </c>
      <c r="CW196" s="1">
        <f t="shared" si="238"/>
        <v>9</v>
      </c>
      <c r="CX196" s="1">
        <f t="shared" si="239"/>
        <v>0.3</v>
      </c>
      <c r="CY196" s="1">
        <f t="shared" si="240"/>
        <v>9</v>
      </c>
      <c r="CZ196" s="1"/>
      <c r="DA196" s="1"/>
      <c r="DB196" s="1"/>
      <c r="DC196" s="1"/>
      <c r="DD196" s="1"/>
      <c r="DE196" s="1"/>
      <c r="DF196" s="1"/>
      <c r="DG196" s="1" t="str">
        <f>IF(D196="","",行动模拟!B202)</f>
        <v/>
      </c>
      <c r="DH196" s="1" t="str">
        <f>IF(L196="END_TURN","回合结束",IF(D196="","",IF(INDEX(回合状态!$C$7:$C$17,MATCH(DG196,回合状态!$A$7:$A$17,0))="洞穿","洞穿",IF(OR(L196="J_COUNTER",L196="BOSS_ACTION",L196="BOSS_CONSERVATIVE"),"敌方",IF(AND(L196="37_FOLLOW",DG196=DG195,DH195="敌方"),"敌方",IF(INDEX(回合状态!$C$7:$C$17,MATCH(DG196,回合状态!$A$7:$A$17,0))="普通","出牌",INDEX(回合状态!$C$7:$C$17,MATCH(DG196,回合状态!$A$7:$A$17,0))))))))</f>
        <v/>
      </c>
      <c r="DI196" s="1">
        <f t="shared" si="241"/>
        <v>0</v>
      </c>
      <c r="DJ196" s="1">
        <f>IF(D196="",0,MIN(Boss参数!$B$25,IF(OR(AND(DH196="敌方",OR(DH195&lt;&gt;"敌方",DG196&lt;&gt;DG195)),AND(L196="END_TURN",DH196&lt;&gt;"洞穿"),AND(DG196&lt;&gt;DG195,DH195&lt;&gt;"洞穿",L195&lt;&gt;"END_TURN",COUNTIFS($DG$3:DG195,DG195,$DH$3:DH195,"敌方")=0)),EW196,DN195)))</f>
        <v>0</v>
      </c>
      <c r="DK196" s="1">
        <f>IF(D196="",0,MIN(Boss参数!$B$25,IF(OR(AND(DH196="敌方",OR(DH195&lt;&gt;"敌方",DG196&lt;&gt;DG195)),AND(L196="END_TURN",DH196&lt;&gt;"洞穿"),AND(DG196&lt;&gt;DG195,DH195&lt;&gt;"洞穿",L195&lt;&gt;"END_TURN",COUNTIFS($DG$3:DG195,DG195,$DH$3:DH195,"敌方")=0)),EW196,DO195)))</f>
        <v>0</v>
      </c>
      <c r="DL196" s="1">
        <f>IF(D196="",0,MIN(Boss参数!$B$25,IF(OR(AND(DH196="敌方",OR(DH195&lt;&gt;"敌方",DG196&lt;&gt;DG195)),AND(L196="END_TURN",DH196&lt;&gt;"洞穿"),AND(DG196&lt;&gt;DG195,DH195&lt;&gt;"洞穿",L195&lt;&gt;"END_TURN",COUNTIFS($DG$3:DG195,DG195,$DH$3:DH195,"敌方")=0)),EW196,DP195)))</f>
        <v>0</v>
      </c>
      <c r="DM196" s="1">
        <f>IF(D196="",0,MIN(Boss参数!$B$25,IF(OR(AND(DH196="敌方",OR(DH195&lt;&gt;"敌方",DG196&lt;&gt;DG195)),AND(L196="END_TURN",DH196&lt;&gt;"洞穿"),AND(DG196&lt;&gt;DG195,DH195&lt;&gt;"洞穿",L195&lt;&gt;"END_TURN",COUNTIFS($DG$3:DG195,DG195,$DH$3:DH195,"敌方")=0)),EW196,DQ195)))</f>
        <v>0</v>
      </c>
      <c r="DN196" s="1">
        <f>MAX(0,MIN(Boss参数!$B$25,DJ196+DR196)-IF(E196="红弩箭",2*DR196,0))</f>
        <v>0</v>
      </c>
      <c r="DO196" s="1">
        <f>MAX(0,MIN(Boss参数!$B$25,DK196+DR196)-IF(E196="37",2*DR196,0))</f>
        <v>0</v>
      </c>
      <c r="DP196" s="1">
        <f>MAX(0,MIN(Boss参数!$B$25,DL196+DR196)-IF(E196="小瑞安侬",2*DR196,0))</f>
        <v>0</v>
      </c>
      <c r="DQ196" s="1">
        <f>MAX(0,MIN(Boss参数!$B$25,DM196+DR196)-IF(E196="J",2*DR196,0))</f>
        <v>0</v>
      </c>
      <c r="DR196" s="1">
        <f t="shared" si="242"/>
        <v>0</v>
      </c>
      <c r="DS196" s="1">
        <f t="shared" si="243"/>
        <v>0</v>
      </c>
      <c r="DT196" s="1">
        <f>IF(OR(E196="",E196="系统"),0,IF(OR(AND(DS196=1,Boss参数!$B$32=1),L196="RHI_BERRY",OR(AND(INDEX(角色面板!$B$18:$B$21,MATCH(E196,角色面板!$A$18:$A$21,0))="星",Boss参数!$B$4="岩"),AND(INDEX(角色面板!$B$18:$B$21,MATCH(E196,角色面板!$A$18:$A$21,0))="岩",Boss参数!$B$4="兽"),AND(INDEX(角色面板!$B$18:$B$21,MATCH(E196,角色面板!$A$18:$A$21,0))="兽",Boss参数!$B$4="木"),AND(INDEX(角色面板!$B$18:$B$21,MATCH(E196,角色面板!$A$18:$A$21,0))="木",Boss参数!$B$4="星"),AND(INDEX(角色面板!$B$18:$B$21,MATCH(E196,角色面板!$A$18:$A$21,0))="智",Boss参数!$B$4="灵"),AND(INDEX(角色面板!$B$18:$B$21,MATCH(E196,角色面板!$A$18:$A$21,0))="灵",Boss参数!$B$4="智"))),1,0))</f>
        <v>0</v>
      </c>
      <c r="DU196" s="1">
        <f>IF(D196="",0,INDEX(回合状态!$E$7:$E$17,MATCH(DG196,回合状态!$A$7:$A$17,0))+IF(AND(DH196="敌方",OR(INDEX(回合状态!$C$7:$C$17,MATCH(DG196,回合状态!$A$7:$A$17,0))="普通",INDEX(回合状态!$C$7:$C$17,MATCH(DG196,回合状态!$A$7:$A$17,0))="额外")),0.05,0))</f>
        <v>0</v>
      </c>
      <c r="DV196" s="1">
        <f>MAX(Boss参数!$B$28,1+IF(AND(E196="37",AC196&gt;0,BH196&gt;0),Boss参数!$B$42,0)-DI196*Boss参数!$B$24+EA196-ER196)</f>
        <v>9.9999999999999978E-2</v>
      </c>
      <c r="DW196" s="1">
        <f>MIN(IF(Boss参数!$B$77=1,Boss参数!$B$63*Boss参数!$B$62,Boss参数!$B$61*Boss参数!$B$62),ROUNDDOWN(BQ196*(1-ES196),0))</f>
        <v>0</v>
      </c>
      <c r="DX196" s="1">
        <f>MIN(IF(Boss参数!$B$77=1,Boss参数!$B$63*Boss参数!$B$62,Boss参数!$B$61*Boss参数!$B$62),ROUNDDOWN(BR196*(1-ES196),0))</f>
        <v>0</v>
      </c>
      <c r="DY196" s="1">
        <f t="shared" ref="DY196:DY242" si="275">DZ195</f>
        <v>250</v>
      </c>
      <c r="DZ196" s="1">
        <f>IF(L196="RHI_ULT",MIN(Boss参数!$B$48,ROUNDDOWN(AY196*Boss参数!$B$47,0)),DY196)</f>
        <v>250</v>
      </c>
      <c r="EA196" s="1">
        <v>0</v>
      </c>
      <c r="EB196" s="1">
        <f t="shared" si="244"/>
        <v>0</v>
      </c>
      <c r="EC196" s="1">
        <f>SUMIFS($EB$3:EB196,$B$3:B196,"&gt;="&amp;MAX(1,B196-2),$B$3:B196,"&lt;="&amp;B196)*Boss参数!$B$51</f>
        <v>0</v>
      </c>
      <c r="ED196" s="1">
        <f>IF(D196="",EG195,IF(AND(DG196&lt;&gt;DG195,DH196&lt;&gt;"洞穿"),MIN(Boss参数!$B$55,EG195+2),EG195))</f>
        <v>0</v>
      </c>
      <c r="EE196" s="1">
        <f t="shared" si="245"/>
        <v>0</v>
      </c>
      <c r="EF196" s="1">
        <f>IF(AND(OR(L196="END_TURN",AND(DH196="敌方",OR(DH195&lt;&gt;"敌方",DG196&lt;&gt;DG195))),SUMIFS($EF$3:EF195,$DG$3:DG195,DG196)=0),MIN(1,MAX(0,ED196-EE196)),0)</f>
        <v>0</v>
      </c>
      <c r="EG196" s="1">
        <f t="shared" si="246"/>
        <v>0</v>
      </c>
      <c r="EH196" s="1">
        <f>Boss参数!$B$53-IF(Y196=1,Boss参数!$B$54,0)</f>
        <v>0</v>
      </c>
      <c r="EI196" s="1">
        <f t="shared" si="247"/>
        <v>0.15</v>
      </c>
      <c r="EJ196" s="1">
        <f t="shared" si="248"/>
        <v>0.15</v>
      </c>
      <c r="EK196" s="1" t="e">
        <f t="shared" si="249"/>
        <v>#VALUE!</v>
      </c>
      <c r="EL196" s="1">
        <f t="shared" ref="EL196:EL242" si="276">IF(AND(D196&lt;&gt;"",DG196&lt;&gt;DG195,DH196&lt;&gt;"洞穿"),1,0)</f>
        <v>0</v>
      </c>
      <c r="EM196" s="1">
        <f>IF(AND(DG196&lt;&gt;DG195,DH196="洞穿"),0,IF(L196="ENTER_INSIGHT",Boss参数!$B$57,EO195))</f>
        <v>0</v>
      </c>
      <c r="EN196" s="1">
        <f>IF(AND(Y196=1,H196="洞知",EM196&gt;0),Boss参数!$B$56,0)</f>
        <v>0</v>
      </c>
      <c r="EO196" s="1">
        <f t="shared" si="250"/>
        <v>0</v>
      </c>
      <c r="EP196" s="1">
        <f t="shared" ref="EP196:EP242" si="277">ET195</f>
        <v>23210479</v>
      </c>
      <c r="EQ196" s="1">
        <f>ROUNDDOWN(EP196/Boss参数!$B$62,0)</f>
        <v>232</v>
      </c>
      <c r="ER196" s="1">
        <f>IF(EQ196&gt;=Boss参数!$B$66,Boss参数!$B$69,IF(EQ196&gt;=Boss参数!$B$65,Boss参数!$B$68,IF(EQ196&gt;=Boss参数!$B$64,Boss参数!$B$67,0)))</f>
        <v>0.9</v>
      </c>
      <c r="ES196" s="1">
        <f>MIN(1,IF(EQ196&gt;=Boss参数!$B$66,Boss参数!$B$72+ROUNDDOWN((EQ196-Boss参数!$B$66)/Boss参数!$B$73,0)*Boss参数!$B$74,IF(EQ196&gt;=Boss参数!$B$65,Boss参数!$B$71,IF(EQ196&gt;=Boss参数!$B$64,Boss参数!$B$70,0))))</f>
        <v>0.65</v>
      </c>
      <c r="ET196" s="1">
        <f>MIN(Boss参数!$B$61*Boss参数!$B$62,EP196+IF(AND(Boss参数!$B$60=1,ISNUMBER(验证表!H202)),验证表!H202,EU196))</f>
        <v>23210479</v>
      </c>
      <c r="EU196" s="1">
        <f>IF(D196="",0,IF(验证表!G202="是",BV196,IF(验证表!G202="否",BU196,BW196)))</f>
        <v>0</v>
      </c>
      <c r="EV196" s="1">
        <f>IF(EQ196&gt;=Boss参数!$B$66,2,IF(EQ196&gt;=Boss参数!$B$65,1,0))</f>
        <v>2</v>
      </c>
      <c r="EW196" s="1">
        <f t="shared" si="251"/>
        <v>3</v>
      </c>
      <c r="EX196" s="1">
        <f>IF(D196="",0,INDEX(回合状态!$D$7:$D$17,MATCH(DG196,回合状态!$A$7:$A$17,0)))</f>
        <v>0</v>
      </c>
      <c r="EY196" s="1">
        <f>IF(OR(L196="RHI_ATTACK",L196="RHI_BUFF"),1,IF(L196="RHI_ULT",Boss参数!$B$52,0))</f>
        <v>0</v>
      </c>
      <c r="EZ196" s="1">
        <f>MIN(6,SUMIFS($EY$3:EY196,$EX$3:EX196,"&gt;="&amp;MAX(1,EX196-Boss参数!$B$87+1),$EX$3:EX196,"&lt;="&amp;EX196))</f>
        <v>0</v>
      </c>
      <c r="FA196" s="1">
        <f t="shared" ref="FA196:FA242" si="278">IF(D196="",0,IF(DG196&lt;&gt;DG195,AD196,FA195))</f>
        <v>0</v>
      </c>
      <c r="FB196" s="17">
        <f>IF(L196="BOSS_CONSERVATIVE",B196+Boss参数!$B$91,FB195)</f>
        <v>7</v>
      </c>
      <c r="FC196" s="17">
        <f t="shared" ref="FC196:FC242" si="279">IF(AND(D196&lt;&gt;"",B196&lt;=FB195,FB195&gt;0,OR(L196="J_COUNTER",L196="37_FOLLOW",L196="RHI_BERRY")),1,0)</f>
        <v>0</v>
      </c>
      <c r="FD196" s="17">
        <f>IF(D196="",FD195,FD195+IF(AND(DG196&lt;&gt;DG195,INDEX(回合状态!$C$7:$C$17,MATCH(DG196,回合状态!$A$7:$A$17,0))&lt;&gt;"洞穿"),1,0))</f>
        <v>8</v>
      </c>
      <c r="FE196" s="17">
        <f>IF(D196="",0,IF(AND(OR(L196="END_TURN",DH196="敌方"),INDEX(回合状态!$C$7:$C$17,MATCH(DG196,回合状态!$A$7:$A$17,0))&lt;&gt;"洞穿",SUMIFS($FE$3:FE195,$DG$3:DG195,DG196)=0),1,0))</f>
        <v>0</v>
      </c>
    </row>
    <row r="197" spans="1:161" ht="84.95" customHeight="1">
      <c r="A197" s="1" t="str">
        <f>行动模拟!A203</f>
        <v/>
      </c>
      <c r="B197" s="1">
        <f>IF(D197="",0,INDEX(回合状态!$B$7:$B$17,MATCH(DG197,回合状态!$A$7:$A$17,0)))</f>
        <v>0</v>
      </c>
      <c r="C197" s="1">
        <f>行动模拟!C203</f>
        <v>0</v>
      </c>
      <c r="D197" s="1" t="str">
        <f>IF(行动模拟!D203="","",行动模拟!D203)</f>
        <v/>
      </c>
      <c r="E197" s="1" t="str">
        <f>IF($D197="","",IFERROR(INDEX(技能数据库!$B$4:$B$38,MATCH($D197,技能数据库!$A$4:$A$38,0)),""))</f>
        <v/>
      </c>
      <c r="F197" s="1" t="str">
        <f>IF($D197="","",IFERROR(INDEX(技能数据库!$C$4:$C$38,MATCH($D197,技能数据库!$A$4:$A$38,0)),""))</f>
        <v/>
      </c>
      <c r="G197" s="1" t="str">
        <f>IF($D197="","",IFERROR(INDEX(技能数据库!$D$4:$D$38,MATCH($D197,技能数据库!$A$4:$A$38,0)),""))</f>
        <v/>
      </c>
      <c r="H197" s="1" t="str">
        <f>IF($D197="","",IFERROR(INDEX(技能数据库!$E$4:$E$38,MATCH($D197,技能数据库!$A$4:$A$38,0)),""))</f>
        <v/>
      </c>
      <c r="I197" s="1" t="str">
        <f>IF($D197="","",IFERROR(INDEX(技能数据库!$F$4:$F$38,MATCH($D197,技能数据库!$A$4:$A$38,0)),""))</f>
        <v/>
      </c>
      <c r="J197" s="1" t="str">
        <f>IF($D197="","",IFERROR(INDEX(技能数据库!$G$4:$G$38,MATCH($D197,技能数据库!$A$4:$A$38,0)),""))</f>
        <v/>
      </c>
      <c r="K197" s="1" t="str">
        <f>IF($D197="","",IFERROR(INDEX(技能数据库!$H$4:$H$38,MATCH($D197,技能数据库!$A$4:$A$38,0)),""))</f>
        <v/>
      </c>
      <c r="L197" s="1" t="str">
        <f>IF($D197="","",IFERROR(INDEX(技能数据库!$I$4:$I$38,MATCH($D197,技能数据库!$A$4:$A$38,0)),""))</f>
        <v/>
      </c>
      <c r="M197" s="1">
        <v>1</v>
      </c>
      <c r="N197" s="1"/>
      <c r="O197" s="1"/>
      <c r="P197" s="1"/>
      <c r="Q197" s="1">
        <f t="shared" si="210"/>
        <v>0</v>
      </c>
      <c r="R197" s="1">
        <v>0</v>
      </c>
      <c r="S197" s="1">
        <v>0</v>
      </c>
      <c r="T197" s="1">
        <f>行动模拟!I203</f>
        <v>0</v>
      </c>
      <c r="U197" s="1">
        <f>IF(FD197&lt;&gt;FD196,IF(BY196=1,IF(MIN(10,CA196+IF(AND(DG197&lt;&gt;DG196,DH196&lt;&gt;"洞穿",SUMIFS($FE$3:FE196,$DG$3:DG196,DG196)=0,BY196=1),3,0))&gt;=10,2,1),IF(BY196=2,IF(BZ196&lt;=1,0,2),0)),BY196)</f>
        <v>2</v>
      </c>
      <c r="V197" s="1">
        <f>IF(FD197&lt;&gt;FD196,IF(BY196=1,IF(MIN(10,CA196+IF(AND(DG197&lt;&gt;DG196,DH196&lt;&gt;"洞穿",SUMIFS($FE$3:FE196,$DG$3:DG196,DG196)=0,BY196=1),3,0))&gt;=10,2,0),IF(BY196=2,MAX(0,BZ196-1),0)),BZ196)</f>
        <v>1</v>
      </c>
      <c r="W197" s="1">
        <f>IF(AND(FD197&lt;&gt;FD196,BY196=2,BZ196&lt;=1),0,MIN(10,CA196+IF(AND(DG197&lt;&gt;DG196,DH196&lt;&gt;"洞穿",SUMIFS($FE$3:FE196,$DG$3:DG196,DG196)=0,BY196=1),3,0)))</f>
        <v>10</v>
      </c>
      <c r="X197" s="1">
        <f t="shared" si="252"/>
        <v>13</v>
      </c>
      <c r="Y197" s="1">
        <f t="shared" si="253"/>
        <v>0</v>
      </c>
      <c r="Z197" s="1">
        <f t="shared" si="254"/>
        <v>0</v>
      </c>
      <c r="AA197" s="1">
        <f t="shared" si="255"/>
        <v>0</v>
      </c>
      <c r="AB197" s="1">
        <f t="shared" si="256"/>
        <v>10</v>
      </c>
      <c r="AC197" s="1">
        <f t="shared" si="257"/>
        <v>1</v>
      </c>
      <c r="AD197" s="1">
        <f t="shared" si="258"/>
        <v>35</v>
      </c>
      <c r="AE197" s="1">
        <f>IF(D197="",0,IF(DG197&lt;&gt;DG196,IFERROR(INDEX(回合状态!$F$7:$F$17,MATCH(DG197,回合状态!$A$7:$A$17,0)),0),CI196))</f>
        <v>0</v>
      </c>
      <c r="AF197" s="1">
        <f t="shared" si="259"/>
        <v>0.875</v>
      </c>
      <c r="AG197" s="1">
        <f t="shared" si="260"/>
        <v>9</v>
      </c>
      <c r="AH197" s="1">
        <f t="shared" si="261"/>
        <v>9</v>
      </c>
      <c r="AI197" s="1">
        <f t="shared" si="262"/>
        <v>8</v>
      </c>
      <c r="AJ197" s="1">
        <f t="shared" si="263"/>
        <v>9</v>
      </c>
      <c r="AK197" s="1">
        <f t="shared" si="264"/>
        <v>8</v>
      </c>
      <c r="AL197" s="1">
        <f t="shared" si="265"/>
        <v>3</v>
      </c>
      <c r="AM197" s="1">
        <f t="shared" si="266"/>
        <v>30</v>
      </c>
      <c r="AN197" s="1">
        <f t="shared" si="267"/>
        <v>9</v>
      </c>
      <c r="AO197" s="1">
        <f t="shared" si="268"/>
        <v>0</v>
      </c>
      <c r="AP197" s="1" t="e">
        <f t="shared" si="269"/>
        <v>#VALUE!</v>
      </c>
      <c r="AQ197" s="1" t="e">
        <f t="shared" si="270"/>
        <v>#VALUE!</v>
      </c>
      <c r="AR197" s="1">
        <f t="shared" si="271"/>
        <v>0.3</v>
      </c>
      <c r="AS197" s="1">
        <f t="shared" si="272"/>
        <v>9</v>
      </c>
      <c r="AT197" s="1">
        <f t="shared" si="273"/>
        <v>0.3</v>
      </c>
      <c r="AU197" s="1">
        <f t="shared" si="274"/>
        <v>9</v>
      </c>
      <c r="AV197" s="1">
        <f>MIN(5,SUMIFS($EL$3:EL197,$B$3:B197,"&gt;="&amp;MAX(1,B197-2),$B$3:B197,"&lt;="&amp;B197)+EC197)</f>
        <v>0</v>
      </c>
      <c r="AW197" s="1">
        <f>MIN(6,SUMIFS($EY$3:EY196,$EX$3:EX196,"&gt;="&amp;MAX(1,EX197-Boss参数!$B$87+1),$EX$3:EX196,"&lt;="&amp;EX197))</f>
        <v>0</v>
      </c>
      <c r="AX197" s="1">
        <f>MIN(4,COUNTIFS($B$3:$B$196,"&gt;="&amp;MAX(1,$B197-2),$B$3:$B$196,"&lt;="&amp;$B197,$L$3:$L$196,"37_FOLLOW"))</f>
        <v>0</v>
      </c>
      <c r="AY197" s="1" t="str">
        <f>IF($E197="","",IF($E197="系统",0,ROUNDDOWN(INDEX(角色面板!$C$4:$C$7,MATCH($E197,角色面板!$A$4:$A$7,0))*(1+INDEX(角色面板!$C$11:$C$14,MATCH($E197,角色面板!$A$11:$A$14,0))+IF($E197="小瑞安侬",MAX(IF($B197&lt;=$AQ197,$AP197,0),IF(AND($L197="RHI_ATTACK",$EE197&gt;0),0.11+0.01*$G197,0)),0)+IF($E197="J",$AD197*Boss参数!$B$18,0))+IF(FD197&lt;=$AN197,MIN(Boss参数!$B$21,ROUNDDOWN(角色面板!$C$19*Boss参数!$B$20,0)),0)+IF(AND($B197&lt;=$AK197,$E197&lt;&gt;"小瑞安侬"),$DY197,0),0)))</f>
        <v/>
      </c>
      <c r="AZ197" s="1" t="str">
        <f>IF($E197="","",MAX(0,MIN(1,IFERROR(INDEX(角色面板!$G$18:$G$21,MATCH($E197,角色面板!$A$18:$A$21,0)),0)-FC197*Boss参数!$B$89-Boss参数!$E$4)))</f>
        <v/>
      </c>
      <c r="BA197" s="1" t="str">
        <f>IF(E197="","",(IF($E197="","",IF($E197="红弩箭",Boss参数!$B$80,IF($E197="J",Boss参数!$B$81,IFERROR(INDEX(角色面板!$H$18:$H$21,MATCH($E197,角色面板!$A$18:$A$21,0)),0)))+IF($B197&lt;=$AI197,Boss参数!$B$13,0)+MIN(30,$AM197)*Boss参数!$B$17+IF(AND($L197="LILYA_ULT",$X197&gt;=6),1,0)+IF(AND($Y197=1,$L197="LILYA_INSIGHT"),IF(MOD($AA197+1,3)=0,Boss参数!$B$83,Boss参数!$B$82),IF(AND($Y197=1,$L197="LILYA_FINISH"),Boss参数!$B$84,0))))-FC197*Boss参数!$B$90)</f>
        <v/>
      </c>
      <c r="BB197" s="1" t="str">
        <f>IF($E197="","",IFERROR(INDEX(角色面板!$M$18:$M$21,MATCH($E197,角色面板!$A$18:$A$21,0)),0)+$AW197*Boss参数!$B$12+IF($B197&lt;=$AG197,$AF197,0)+$EI197+IF($L197="LILYA_DIVE",IF($U197=1,IF($G197=1,0.3,IF($G197=2,0.4,0.5)),IF($U197=2,IF($G197=1,0.6,IF($G197=2,0.8,1)),0)),0)+$R197+IF(AND($E197="J",OR($L197="J_COUNTER",$L197="J_HARD")),Boss参数!$B$79,0)+IF(AND(OR(L197="J_COUNTER",L197="J_HARD"),FA197&gt;=Boss参数!$B$59),FA197*Boss参数!$B$40,0))</f>
        <v/>
      </c>
      <c r="BC197" s="1" t="e">
        <f>IF($E197="","",IFERROR(INDEX(角色面板!$K$18:$K$21,MATCH($E197,角色面板!$A$18:$A$21,0)),0)+IF($B197&lt;=$AH197,Boss参数!$B$46,0)+IF($E197="红弩箭",IF($U197=1,0.6,IF($U197=2,1.2,0))+$W197*0.06,0))-DI197*Boss参数!$B$23</f>
        <v>#VALUE!</v>
      </c>
      <c r="BD197" s="1" t="e">
        <f>IF($E197="","",IFERROR(INDEX(角色面板!$L$18:$L$21,MATCH($E197,角色面板!$A$18:$A$21,0)),0)+IF($B197&lt;=$AH197,Boss参数!$B$46,0)+IF($E197="J",$AL197*Boss参数!$B$16,0)+IF($E197="红弩箭",$X197*0.025,0)+IF(AND($L197="LILYA_ULT",$X197&gt;=6),1,0))-DI197*Boss参数!$B$23</f>
        <v>#VALUE!</v>
      </c>
      <c r="BE197" s="1" t="str">
        <f>IF($E197="","",IF($H197="洞知",IF($E197="红弩箭",$AO197*Boss参数!$B$15,0)+$AX197*Boss参数!$B$14,0))</f>
        <v/>
      </c>
      <c r="BF197" s="1">
        <f t="shared" si="211"/>
        <v>0</v>
      </c>
      <c r="BG197" s="1">
        <f>IF($D197="",0,IF(AND($L197&lt;&gt;"LILYA_DIVE",$L197&lt;&gt;"LILYA_ULT",$L197&lt;&gt;"LILYA_INSIGHT",$L197&lt;&gt;"LILYA_FINISH",$L197&lt;&gt;"37_FOLLOW",$L197&lt;&gt;"RHI_ATTACK",$L197&lt;&gt;"RHI_BERRY",$L197&lt;&gt;"J_COUNTER",$L197&lt;&gt;"J_ULT"),$J197,0)+IF($L197="LILYA_DIVE",$J197+IF($U197=1,IF($G197=1,6,IF($G197=2,12,18)),IF($U197=2,IF($G197=1,12,IF($G197=2,24,36)),0)),0)+IF($L197="LILYA_ULT",$J197+IF($X197&gt;=6,18,0),0)+IF($L197="LILYA_INSIGHT",IF($Y197=1,IF(MOD($AA197+1,3)=0,32,15),0),0)+IF($L197="LILYA_FINISH",IF($Y197=1,50+2.5*$Z197,0),0)+IF($L197="37_FOLLOW",$J197,0)+IF($L197="RHI_ATTACK",$J197*IF($B197&lt;=$AJ197,2,1),0)+IF($L197="RHI_BERRY",15+1.5*$AV197,0)+IF($L197="J_COUNTER",$J197+$AD197*Boss参数!$B$39,0)+IF($L197="J_ULT",$J197+Boss参数!$B$45*MAX(0,$AE197+$AD197-Boss参数!$I$4),0)+$S197)</f>
        <v>0</v>
      </c>
      <c r="BH197" s="1">
        <f t="shared" si="212"/>
        <v>0</v>
      </c>
      <c r="BI197" s="1" t="str">
        <f>IF(E197="","",IF(DT197=1,1+Boss参数!$B$8+AV197*Boss参数!$B$19,1))</f>
        <v/>
      </c>
      <c r="BJ197" s="1">
        <f>IF($I197="现实",Boss参数!$C$4,IF($I197="精神",Boss参数!$D$4,0))</f>
        <v>0</v>
      </c>
      <c r="BK197" s="1" t="str">
        <f>IF($E197="","",MAX($AY197*Boss参数!$B$9,$AY197-$BJ197*(1-$BF197)))</f>
        <v/>
      </c>
      <c r="BL197" s="1">
        <f>MAX(0,Boss参数!$F$4+IF(DT197=0,Boss参数!$B$27,0)-EJ197)</f>
        <v>1.25</v>
      </c>
      <c r="BM197" s="1">
        <f>Boss参数!$G$4+DU197-IF(Y197=1,Boss参数!$B$11,0)</f>
        <v>0.4</v>
      </c>
      <c r="BN197" s="1" t="str">
        <f>IF($E197="","",MAX(Boss参数!$B$10,1+IFERROR(INDEX(角色面板!$I$18:$I$21,MATCH($E197,角色面板!$A$18:$A$21,0)),0)+$BB197+Boss参数!$H$4-$BM197))</f>
        <v/>
      </c>
      <c r="BO197" s="1" t="str">
        <f>IF(E197="","",IF(OR(L197="J_COUNTER",L197="J_HARD"),MAX(0,1+INDEX(角色面板!$K$18:$K$21,MATCH(E197,角色面板!$A$18:$A$21,0))-DI197*Boss参数!$B$23+IF(OR(Boss参数!$B$43=1,L197="J_HARD"),IF(B197&lt;=AH197,Boss参数!$B$46,0),0)),MAX(0,IF(OR(H197="术法",L197="RHI_BERRY",AND(L197="37_FOLLOW",Boss参数!$B$31=1)),1+BC197,IF(H197="仪式",1+BD197,IF(H197="洞知",EK197,1))))))</f>
        <v/>
      </c>
      <c r="BP197" s="1" t="str">
        <f t="shared" si="213"/>
        <v/>
      </c>
      <c r="BQ197" s="1">
        <f t="shared" si="214"/>
        <v>0</v>
      </c>
      <c r="BR197" s="1">
        <f t="shared" si="215"/>
        <v>0</v>
      </c>
      <c r="BS197" s="1">
        <f>IF(BH197=0,0,ROUNDDOWN(AY197*BH197,0)*DV197*IF(Boss参数!$B$29=1,BN197,1)*IF(Boss参数!$B$33=1,BO197,1)*IF(Boss参数!$B$76=1,1-ES197,1))</f>
        <v>0</v>
      </c>
      <c r="BT197" s="1">
        <f t="shared" si="216"/>
        <v>0</v>
      </c>
      <c r="BU197" s="1">
        <f>IF(D197="",0,MIN(IF(Boss参数!$B$77=1,Boss参数!$B$63*Boss参数!$B$62,Boss参数!$B$61*Boss参数!$B$62),DW197+ROUNDDOWN(BS197,0)+ROUNDDOWN(DW197*Q197,0)))</f>
        <v>0</v>
      </c>
      <c r="BV197" s="1">
        <f>IF(D197="",0,MIN(IF(Boss参数!$B$77=1,Boss参数!$B$63*Boss参数!$B$62,Boss参数!$B$61*Boss参数!$B$62),DX197+ROUNDDOWN(BT197,0)+ROUNDDOWN(DX197*Q197,0)))</f>
        <v>0</v>
      </c>
      <c r="BW197" s="1">
        <f t="shared" si="217"/>
        <v>0</v>
      </c>
      <c r="BX197" s="1" t="str">
        <f t="shared" si="218"/>
        <v/>
      </c>
      <c r="BY197" s="1">
        <f t="shared" si="219"/>
        <v>2</v>
      </c>
      <c r="BZ197" s="1">
        <f t="shared" si="220"/>
        <v>1</v>
      </c>
      <c r="CA197" s="1">
        <f>MIN(10,W197+IF(AND(L197="LILYA_COBRA",COUNTIF($L$3:L197,"LILYA_COBRA")=1),5,0)+IF(AND(L197="LILYA_DIVE",U197=1,COUNTIFS($DG$3:DG197,DG197,$L$3:L197,"LILYA_DIVE")=1),2,0)+IF(AND(FE197=1,U197=1),3,0))</f>
        <v>10</v>
      </c>
      <c r="CB197" s="1">
        <f>MIN(20,MAX(0,X197+IF(L197="LILYA_COBRA",IF(COUNTIF($L$3:L197,"LILYA_COBRA")=1,6,IF(U197=1,MAX(1,G197),IF(U197=2,2*MAX(1,G197),0))),0)+IF(AND(Y197=1,E197="红弩箭",L197&lt;&gt;"ENTER_INSIGHT"),1,0)-IF(AND(L197="LILYA_ULT",X197&gt;=6),6,0)))</f>
        <v>13</v>
      </c>
      <c r="CC197" s="1">
        <f t="shared" si="221"/>
        <v>0</v>
      </c>
      <c r="CD197" s="1">
        <f t="shared" si="222"/>
        <v>0</v>
      </c>
      <c r="CE197" s="1">
        <f t="shared" si="223"/>
        <v>0</v>
      </c>
      <c r="CF197" s="1">
        <f t="shared" si="224"/>
        <v>10</v>
      </c>
      <c r="CG197" s="1">
        <f t="shared" si="225"/>
        <v>1</v>
      </c>
      <c r="CH197" s="1">
        <f>MIN(35,AD197+IF(L197="J_HARD",6,0)+IF(L197="J_COUNTER",Boss参数!$B$30,0))</f>
        <v>35</v>
      </c>
      <c r="CI197" s="1">
        <f>MIN(Boss参数!$I$4,AE197+IF(L197="J_HARD",6,0)+IF(L197="J_ULT",AD197,0)+IF(L197="J_COUNTER",Boss参数!$B$30,0))</f>
        <v>0</v>
      </c>
      <c r="CJ197" s="1">
        <f>IF(L197="J_ULT",AD197*Boss参数!$B$41,IF(B197&lt;=AG197,AF197,0))</f>
        <v>0.875</v>
      </c>
      <c r="CK197" s="1">
        <f t="shared" si="226"/>
        <v>9</v>
      </c>
      <c r="CL197" s="1">
        <f t="shared" si="227"/>
        <v>9</v>
      </c>
      <c r="CM197" s="1">
        <f t="shared" si="228"/>
        <v>8</v>
      </c>
      <c r="CN197" s="1">
        <f t="shared" si="229"/>
        <v>9</v>
      </c>
      <c r="CO197" s="1">
        <f t="shared" si="230"/>
        <v>8</v>
      </c>
      <c r="CP197" s="1">
        <f t="shared" si="231"/>
        <v>3</v>
      </c>
      <c r="CQ197" s="1">
        <f t="shared" si="232"/>
        <v>30</v>
      </c>
      <c r="CR197" s="1">
        <f t="shared" si="233"/>
        <v>9</v>
      </c>
      <c r="CS197" s="1">
        <f t="shared" si="234"/>
        <v>0</v>
      </c>
      <c r="CT197" s="1" t="e">
        <f t="shared" si="235"/>
        <v>#VALUE!</v>
      </c>
      <c r="CU197" s="1" t="e">
        <f t="shared" si="236"/>
        <v>#VALUE!</v>
      </c>
      <c r="CV197" s="1">
        <f t="shared" si="237"/>
        <v>0.3</v>
      </c>
      <c r="CW197" s="1">
        <f t="shared" si="238"/>
        <v>9</v>
      </c>
      <c r="CX197" s="1">
        <f t="shared" si="239"/>
        <v>0.3</v>
      </c>
      <c r="CY197" s="1">
        <f t="shared" si="240"/>
        <v>9</v>
      </c>
      <c r="CZ197" s="1"/>
      <c r="DA197" s="1"/>
      <c r="DB197" s="1"/>
      <c r="DC197" s="1"/>
      <c r="DD197" s="1"/>
      <c r="DE197" s="1"/>
      <c r="DF197" s="1"/>
      <c r="DG197" s="1" t="str">
        <f>IF(D197="","",行动模拟!B203)</f>
        <v/>
      </c>
      <c r="DH197" s="1" t="str">
        <f>IF(L197="END_TURN","回合结束",IF(D197="","",IF(INDEX(回合状态!$C$7:$C$17,MATCH(DG197,回合状态!$A$7:$A$17,0))="洞穿","洞穿",IF(OR(L197="J_COUNTER",L197="BOSS_ACTION",L197="BOSS_CONSERVATIVE"),"敌方",IF(AND(L197="37_FOLLOW",DG197=DG196,DH196="敌方"),"敌方",IF(INDEX(回合状态!$C$7:$C$17,MATCH(DG197,回合状态!$A$7:$A$17,0))="普通","出牌",INDEX(回合状态!$C$7:$C$17,MATCH(DG197,回合状态!$A$7:$A$17,0))))))))</f>
        <v/>
      </c>
      <c r="DI197" s="1">
        <f t="shared" si="241"/>
        <v>0</v>
      </c>
      <c r="DJ197" s="1">
        <f>IF(D197="",0,MIN(Boss参数!$B$25,IF(OR(AND(DH197="敌方",OR(DH196&lt;&gt;"敌方",DG197&lt;&gt;DG196)),AND(L197="END_TURN",DH197&lt;&gt;"洞穿"),AND(DG197&lt;&gt;DG196,DH196&lt;&gt;"洞穿",L196&lt;&gt;"END_TURN",COUNTIFS($DG$3:DG196,DG196,$DH$3:DH196,"敌方")=0)),EW197,DN196)))</f>
        <v>0</v>
      </c>
      <c r="DK197" s="1">
        <f>IF(D197="",0,MIN(Boss参数!$B$25,IF(OR(AND(DH197="敌方",OR(DH196&lt;&gt;"敌方",DG197&lt;&gt;DG196)),AND(L197="END_TURN",DH197&lt;&gt;"洞穿"),AND(DG197&lt;&gt;DG196,DH196&lt;&gt;"洞穿",L196&lt;&gt;"END_TURN",COUNTIFS($DG$3:DG196,DG196,$DH$3:DH196,"敌方")=0)),EW197,DO196)))</f>
        <v>0</v>
      </c>
      <c r="DL197" s="1">
        <f>IF(D197="",0,MIN(Boss参数!$B$25,IF(OR(AND(DH197="敌方",OR(DH196&lt;&gt;"敌方",DG197&lt;&gt;DG196)),AND(L197="END_TURN",DH197&lt;&gt;"洞穿"),AND(DG197&lt;&gt;DG196,DH196&lt;&gt;"洞穿",L196&lt;&gt;"END_TURN",COUNTIFS($DG$3:DG196,DG196,$DH$3:DH196,"敌方")=0)),EW197,DP196)))</f>
        <v>0</v>
      </c>
      <c r="DM197" s="1">
        <f>IF(D197="",0,MIN(Boss参数!$B$25,IF(OR(AND(DH197="敌方",OR(DH196&lt;&gt;"敌方",DG197&lt;&gt;DG196)),AND(L197="END_TURN",DH197&lt;&gt;"洞穿"),AND(DG197&lt;&gt;DG196,DH196&lt;&gt;"洞穿",L196&lt;&gt;"END_TURN",COUNTIFS($DG$3:DG196,DG196,$DH$3:DH196,"敌方")=0)),EW197,DQ196)))</f>
        <v>0</v>
      </c>
      <c r="DN197" s="1">
        <f>MAX(0,MIN(Boss参数!$B$25,DJ197+DR197)-IF(E197="红弩箭",2*DR197,0))</f>
        <v>0</v>
      </c>
      <c r="DO197" s="1">
        <f>MAX(0,MIN(Boss参数!$B$25,DK197+DR197)-IF(E197="37",2*DR197,0))</f>
        <v>0</v>
      </c>
      <c r="DP197" s="1">
        <f>MAX(0,MIN(Boss参数!$B$25,DL197+DR197)-IF(E197="小瑞安侬",2*DR197,0))</f>
        <v>0</v>
      </c>
      <c r="DQ197" s="1">
        <f>MAX(0,MIN(Boss参数!$B$25,DM197+DR197)-IF(E197="J",2*DR197,0))</f>
        <v>0</v>
      </c>
      <c r="DR197" s="1">
        <f t="shared" si="242"/>
        <v>0</v>
      </c>
      <c r="DS197" s="1">
        <f t="shared" si="243"/>
        <v>0</v>
      </c>
      <c r="DT197" s="1">
        <f>IF(OR(E197="",E197="系统"),0,IF(OR(AND(DS197=1,Boss参数!$B$32=1),L197="RHI_BERRY",OR(AND(INDEX(角色面板!$B$18:$B$21,MATCH(E197,角色面板!$A$18:$A$21,0))="星",Boss参数!$B$4="岩"),AND(INDEX(角色面板!$B$18:$B$21,MATCH(E197,角色面板!$A$18:$A$21,0))="岩",Boss参数!$B$4="兽"),AND(INDEX(角色面板!$B$18:$B$21,MATCH(E197,角色面板!$A$18:$A$21,0))="兽",Boss参数!$B$4="木"),AND(INDEX(角色面板!$B$18:$B$21,MATCH(E197,角色面板!$A$18:$A$21,0))="木",Boss参数!$B$4="星"),AND(INDEX(角色面板!$B$18:$B$21,MATCH(E197,角色面板!$A$18:$A$21,0))="智",Boss参数!$B$4="灵"),AND(INDEX(角色面板!$B$18:$B$21,MATCH(E197,角色面板!$A$18:$A$21,0))="灵",Boss参数!$B$4="智"))),1,0))</f>
        <v>0</v>
      </c>
      <c r="DU197" s="1">
        <f>IF(D197="",0,INDEX(回合状态!$E$7:$E$17,MATCH(DG197,回合状态!$A$7:$A$17,0))+IF(AND(DH197="敌方",OR(INDEX(回合状态!$C$7:$C$17,MATCH(DG197,回合状态!$A$7:$A$17,0))="普通",INDEX(回合状态!$C$7:$C$17,MATCH(DG197,回合状态!$A$7:$A$17,0))="额外")),0.05,0))</f>
        <v>0</v>
      </c>
      <c r="DV197" s="1">
        <f>MAX(Boss参数!$B$28,1+IF(AND(E197="37",AC197&gt;0,BH197&gt;0),Boss参数!$B$42,0)-DI197*Boss参数!$B$24+EA197-ER197)</f>
        <v>9.9999999999999978E-2</v>
      </c>
      <c r="DW197" s="1">
        <f>MIN(IF(Boss参数!$B$77=1,Boss参数!$B$63*Boss参数!$B$62,Boss参数!$B$61*Boss参数!$B$62),ROUNDDOWN(BQ197*(1-ES197),0))</f>
        <v>0</v>
      </c>
      <c r="DX197" s="1">
        <f>MIN(IF(Boss参数!$B$77=1,Boss参数!$B$63*Boss参数!$B$62,Boss参数!$B$61*Boss参数!$B$62),ROUNDDOWN(BR197*(1-ES197),0))</f>
        <v>0</v>
      </c>
      <c r="DY197" s="1">
        <f t="shared" si="275"/>
        <v>250</v>
      </c>
      <c r="DZ197" s="1">
        <f>IF(L197="RHI_ULT",MIN(Boss参数!$B$48,ROUNDDOWN(AY197*Boss参数!$B$47,0)),DY197)</f>
        <v>250</v>
      </c>
      <c r="EA197" s="1">
        <v>0</v>
      </c>
      <c r="EB197" s="1">
        <f t="shared" si="244"/>
        <v>0</v>
      </c>
      <c r="EC197" s="1">
        <f>SUMIFS($EB$3:EB197,$B$3:B197,"&gt;="&amp;MAX(1,B197-2),$B$3:B197,"&lt;="&amp;B197)*Boss参数!$B$51</f>
        <v>0</v>
      </c>
      <c r="ED197" s="1">
        <f>IF(D197="",EG196,IF(AND(DG197&lt;&gt;DG196,DH197&lt;&gt;"洞穿"),MIN(Boss参数!$B$55,EG196+2),EG196))</f>
        <v>0</v>
      </c>
      <c r="EE197" s="1">
        <f t="shared" si="245"/>
        <v>0</v>
      </c>
      <c r="EF197" s="1">
        <f>IF(AND(OR(L197="END_TURN",AND(DH197="敌方",OR(DH196&lt;&gt;"敌方",DG197&lt;&gt;DG196))),SUMIFS($EF$3:EF196,$DG$3:DG196,DG197)=0),MIN(1,MAX(0,ED197-EE197)),0)</f>
        <v>0</v>
      </c>
      <c r="EG197" s="1">
        <f t="shared" si="246"/>
        <v>0</v>
      </c>
      <c r="EH197" s="1">
        <f>Boss参数!$B$53-IF(Y197=1,Boss参数!$B$54,0)</f>
        <v>0</v>
      </c>
      <c r="EI197" s="1">
        <f t="shared" si="247"/>
        <v>0.15</v>
      </c>
      <c r="EJ197" s="1">
        <f t="shared" si="248"/>
        <v>0.15</v>
      </c>
      <c r="EK197" s="1" t="e">
        <f t="shared" si="249"/>
        <v>#VALUE!</v>
      </c>
      <c r="EL197" s="1">
        <f t="shared" si="276"/>
        <v>0</v>
      </c>
      <c r="EM197" s="1">
        <f>IF(AND(DG197&lt;&gt;DG196,DH197="洞穿"),0,IF(L197="ENTER_INSIGHT",Boss参数!$B$57,EO196))</f>
        <v>0</v>
      </c>
      <c r="EN197" s="1">
        <f>IF(AND(Y197=1,H197="洞知",EM197&gt;0),Boss参数!$B$56,0)</f>
        <v>0</v>
      </c>
      <c r="EO197" s="1">
        <f t="shared" si="250"/>
        <v>0</v>
      </c>
      <c r="EP197" s="1">
        <f t="shared" si="277"/>
        <v>23210479</v>
      </c>
      <c r="EQ197" s="1">
        <f>ROUNDDOWN(EP197/Boss参数!$B$62,0)</f>
        <v>232</v>
      </c>
      <c r="ER197" s="1">
        <f>IF(EQ197&gt;=Boss参数!$B$66,Boss参数!$B$69,IF(EQ197&gt;=Boss参数!$B$65,Boss参数!$B$68,IF(EQ197&gt;=Boss参数!$B$64,Boss参数!$B$67,0)))</f>
        <v>0.9</v>
      </c>
      <c r="ES197" s="1">
        <f>MIN(1,IF(EQ197&gt;=Boss参数!$B$66,Boss参数!$B$72+ROUNDDOWN((EQ197-Boss参数!$B$66)/Boss参数!$B$73,0)*Boss参数!$B$74,IF(EQ197&gt;=Boss参数!$B$65,Boss参数!$B$71,IF(EQ197&gt;=Boss参数!$B$64,Boss参数!$B$70,0))))</f>
        <v>0.65</v>
      </c>
      <c r="ET197" s="1">
        <f>MIN(Boss参数!$B$61*Boss参数!$B$62,EP197+IF(AND(Boss参数!$B$60=1,ISNUMBER(验证表!H203)),验证表!H203,EU197))</f>
        <v>23210479</v>
      </c>
      <c r="EU197" s="1">
        <f>IF(D197="",0,IF(验证表!G203="是",BV197,IF(验证表!G203="否",BU197,BW197)))</f>
        <v>0</v>
      </c>
      <c r="EV197" s="1">
        <f>IF(EQ197&gt;=Boss参数!$B$66,2,IF(EQ197&gt;=Boss参数!$B$65,1,0))</f>
        <v>2</v>
      </c>
      <c r="EW197" s="1">
        <f t="shared" si="251"/>
        <v>3</v>
      </c>
      <c r="EX197" s="1">
        <f>IF(D197="",0,INDEX(回合状态!$D$7:$D$17,MATCH(DG197,回合状态!$A$7:$A$17,0)))</f>
        <v>0</v>
      </c>
      <c r="EY197" s="1">
        <f>IF(OR(L197="RHI_ATTACK",L197="RHI_BUFF"),1,IF(L197="RHI_ULT",Boss参数!$B$52,0))</f>
        <v>0</v>
      </c>
      <c r="EZ197" s="1">
        <f>MIN(6,SUMIFS($EY$3:EY197,$EX$3:EX197,"&gt;="&amp;MAX(1,EX197-Boss参数!$B$87+1),$EX$3:EX197,"&lt;="&amp;EX197))</f>
        <v>0</v>
      </c>
      <c r="FA197" s="1">
        <f t="shared" si="278"/>
        <v>0</v>
      </c>
      <c r="FB197" s="17">
        <f>IF(L197="BOSS_CONSERVATIVE",B197+Boss参数!$B$91,FB196)</f>
        <v>7</v>
      </c>
      <c r="FC197" s="17">
        <f t="shared" si="279"/>
        <v>0</v>
      </c>
      <c r="FD197" s="17">
        <f>IF(D197="",FD196,FD196+IF(AND(DG197&lt;&gt;DG196,INDEX(回合状态!$C$7:$C$17,MATCH(DG197,回合状态!$A$7:$A$17,0))&lt;&gt;"洞穿"),1,0))</f>
        <v>8</v>
      </c>
      <c r="FE197" s="17">
        <f>IF(D197="",0,IF(AND(OR(L197="END_TURN",DH197="敌方"),INDEX(回合状态!$C$7:$C$17,MATCH(DG197,回合状态!$A$7:$A$17,0))&lt;&gt;"洞穿",SUMIFS($FE$3:FE196,$DG$3:DG196,DG197)=0),1,0))</f>
        <v>0</v>
      </c>
    </row>
    <row r="198" spans="1:161" ht="84.95" customHeight="1">
      <c r="A198" s="1" t="str">
        <f>行动模拟!A204</f>
        <v/>
      </c>
      <c r="B198" s="1">
        <f>IF(D198="",0,INDEX(回合状态!$B$7:$B$17,MATCH(DG198,回合状态!$A$7:$A$17,0)))</f>
        <v>0</v>
      </c>
      <c r="C198" s="1">
        <f>行动模拟!C204</f>
        <v>0</v>
      </c>
      <c r="D198" s="1" t="str">
        <f>IF(行动模拟!D204="","",行动模拟!D204)</f>
        <v/>
      </c>
      <c r="E198" s="1" t="str">
        <f>IF($D198="","",IFERROR(INDEX(技能数据库!$B$4:$B$38,MATCH($D198,技能数据库!$A$4:$A$38,0)),""))</f>
        <v/>
      </c>
      <c r="F198" s="1" t="str">
        <f>IF($D198="","",IFERROR(INDEX(技能数据库!$C$4:$C$38,MATCH($D198,技能数据库!$A$4:$A$38,0)),""))</f>
        <v/>
      </c>
      <c r="G198" s="1" t="str">
        <f>IF($D198="","",IFERROR(INDEX(技能数据库!$D$4:$D$38,MATCH($D198,技能数据库!$A$4:$A$38,0)),""))</f>
        <v/>
      </c>
      <c r="H198" s="1" t="str">
        <f>IF($D198="","",IFERROR(INDEX(技能数据库!$E$4:$E$38,MATCH($D198,技能数据库!$A$4:$A$38,0)),""))</f>
        <v/>
      </c>
      <c r="I198" s="1" t="str">
        <f>IF($D198="","",IFERROR(INDEX(技能数据库!$F$4:$F$38,MATCH($D198,技能数据库!$A$4:$A$38,0)),""))</f>
        <v/>
      </c>
      <c r="J198" s="1" t="str">
        <f>IF($D198="","",IFERROR(INDEX(技能数据库!$G$4:$G$38,MATCH($D198,技能数据库!$A$4:$A$38,0)),""))</f>
        <v/>
      </c>
      <c r="K198" s="1" t="str">
        <f>IF($D198="","",IFERROR(INDEX(技能数据库!$H$4:$H$38,MATCH($D198,技能数据库!$A$4:$A$38,0)),""))</f>
        <v/>
      </c>
      <c r="L198" s="1" t="str">
        <f>IF($D198="","",IFERROR(INDEX(技能数据库!$I$4:$I$38,MATCH($D198,技能数据库!$A$4:$A$38,0)),""))</f>
        <v/>
      </c>
      <c r="M198" s="1">
        <v>1</v>
      </c>
      <c r="N198" s="1"/>
      <c r="O198" s="1"/>
      <c r="P198" s="1"/>
      <c r="Q198" s="1">
        <f t="shared" si="210"/>
        <v>0</v>
      </c>
      <c r="R198" s="1">
        <v>0</v>
      </c>
      <c r="S198" s="1">
        <v>0</v>
      </c>
      <c r="T198" s="1">
        <f>行动模拟!I204</f>
        <v>0</v>
      </c>
      <c r="U198" s="1">
        <f>IF(FD198&lt;&gt;FD197,IF(BY197=1,IF(MIN(10,CA197+IF(AND(DG198&lt;&gt;DG197,DH197&lt;&gt;"洞穿",SUMIFS($FE$3:FE197,$DG$3:DG197,DG197)=0,BY197=1),3,0))&gt;=10,2,1),IF(BY197=2,IF(BZ197&lt;=1,0,2),0)),BY197)</f>
        <v>2</v>
      </c>
      <c r="V198" s="1">
        <f>IF(FD198&lt;&gt;FD197,IF(BY197=1,IF(MIN(10,CA197+IF(AND(DG198&lt;&gt;DG197,DH197&lt;&gt;"洞穿",SUMIFS($FE$3:FE197,$DG$3:DG197,DG197)=0,BY197=1),3,0))&gt;=10,2,0),IF(BY197=2,MAX(0,BZ197-1),0)),BZ197)</f>
        <v>1</v>
      </c>
      <c r="W198" s="1">
        <f>IF(AND(FD198&lt;&gt;FD197,BY197=2,BZ197&lt;=1),0,MIN(10,CA197+IF(AND(DG198&lt;&gt;DG197,DH197&lt;&gt;"洞穿",SUMIFS($FE$3:FE197,$DG$3:DG197,DG197)=0,BY197=1),3,0)))</f>
        <v>10</v>
      </c>
      <c r="X198" s="1">
        <f t="shared" si="252"/>
        <v>13</v>
      </c>
      <c r="Y198" s="1">
        <f t="shared" si="253"/>
        <v>0</v>
      </c>
      <c r="Z198" s="1">
        <f t="shared" si="254"/>
        <v>0</v>
      </c>
      <c r="AA198" s="1">
        <f t="shared" si="255"/>
        <v>0</v>
      </c>
      <c r="AB198" s="1">
        <f t="shared" si="256"/>
        <v>10</v>
      </c>
      <c r="AC198" s="1">
        <f t="shared" si="257"/>
        <v>1</v>
      </c>
      <c r="AD198" s="1">
        <f t="shared" si="258"/>
        <v>35</v>
      </c>
      <c r="AE198" s="1">
        <f>IF(D198="",0,IF(DG198&lt;&gt;DG197,IFERROR(INDEX(回合状态!$F$7:$F$17,MATCH(DG198,回合状态!$A$7:$A$17,0)),0),CI197))</f>
        <v>0</v>
      </c>
      <c r="AF198" s="1">
        <f t="shared" si="259"/>
        <v>0.875</v>
      </c>
      <c r="AG198" s="1">
        <f t="shared" si="260"/>
        <v>9</v>
      </c>
      <c r="AH198" s="1">
        <f t="shared" si="261"/>
        <v>9</v>
      </c>
      <c r="AI198" s="1">
        <f t="shared" si="262"/>
        <v>8</v>
      </c>
      <c r="AJ198" s="1">
        <f t="shared" si="263"/>
        <v>9</v>
      </c>
      <c r="AK198" s="1">
        <f t="shared" si="264"/>
        <v>8</v>
      </c>
      <c r="AL198" s="1">
        <f t="shared" si="265"/>
        <v>3</v>
      </c>
      <c r="AM198" s="1">
        <f t="shared" si="266"/>
        <v>30</v>
      </c>
      <c r="AN198" s="1">
        <f t="shared" si="267"/>
        <v>9</v>
      </c>
      <c r="AO198" s="1">
        <f t="shared" si="268"/>
        <v>0</v>
      </c>
      <c r="AP198" s="1" t="e">
        <f t="shared" si="269"/>
        <v>#VALUE!</v>
      </c>
      <c r="AQ198" s="1" t="e">
        <f t="shared" si="270"/>
        <v>#VALUE!</v>
      </c>
      <c r="AR198" s="1">
        <f t="shared" si="271"/>
        <v>0.3</v>
      </c>
      <c r="AS198" s="1">
        <f t="shared" si="272"/>
        <v>9</v>
      </c>
      <c r="AT198" s="1">
        <f t="shared" si="273"/>
        <v>0.3</v>
      </c>
      <c r="AU198" s="1">
        <f t="shared" si="274"/>
        <v>9</v>
      </c>
      <c r="AV198" s="1">
        <f>MIN(5,SUMIFS($EL$3:EL198,$B$3:B198,"&gt;="&amp;MAX(1,B198-2),$B$3:B198,"&lt;="&amp;B198)+EC198)</f>
        <v>0</v>
      </c>
      <c r="AW198" s="1">
        <f>MIN(6,SUMIFS($EY$3:EY197,$EX$3:EX197,"&gt;="&amp;MAX(1,EX198-Boss参数!$B$87+1),$EX$3:EX197,"&lt;="&amp;EX198))</f>
        <v>0</v>
      </c>
      <c r="AX198" s="1">
        <f>MIN(4,COUNTIFS($B$3:$B$197,"&gt;="&amp;MAX(1,$B198-2),$B$3:$B$197,"&lt;="&amp;$B198,$L$3:$L$197,"37_FOLLOW"))</f>
        <v>0</v>
      </c>
      <c r="AY198" s="1" t="str">
        <f>IF($E198="","",IF($E198="系统",0,ROUNDDOWN(INDEX(角色面板!$C$4:$C$7,MATCH($E198,角色面板!$A$4:$A$7,0))*(1+INDEX(角色面板!$C$11:$C$14,MATCH($E198,角色面板!$A$11:$A$14,0))+IF($E198="小瑞安侬",MAX(IF($B198&lt;=$AQ198,$AP198,0),IF(AND($L198="RHI_ATTACK",$EE198&gt;0),0.11+0.01*$G198,0)),0)+IF($E198="J",$AD198*Boss参数!$B$18,0))+IF(FD198&lt;=$AN198,MIN(Boss参数!$B$21,ROUNDDOWN(角色面板!$C$19*Boss参数!$B$20,0)),0)+IF(AND($B198&lt;=$AK198,$E198&lt;&gt;"小瑞安侬"),$DY198,0),0)))</f>
        <v/>
      </c>
      <c r="AZ198" s="1" t="str">
        <f>IF($E198="","",MAX(0,MIN(1,IFERROR(INDEX(角色面板!$G$18:$G$21,MATCH($E198,角色面板!$A$18:$A$21,0)),0)-FC198*Boss参数!$B$89-Boss参数!$E$4)))</f>
        <v/>
      </c>
      <c r="BA198" s="1" t="str">
        <f>IF(E198="","",(IF($E198="","",IF($E198="红弩箭",Boss参数!$B$80,IF($E198="J",Boss参数!$B$81,IFERROR(INDEX(角色面板!$H$18:$H$21,MATCH($E198,角色面板!$A$18:$A$21,0)),0)))+IF($B198&lt;=$AI198,Boss参数!$B$13,0)+MIN(30,$AM198)*Boss参数!$B$17+IF(AND($L198="LILYA_ULT",$X198&gt;=6),1,0)+IF(AND($Y198=1,$L198="LILYA_INSIGHT"),IF(MOD($AA198+1,3)=0,Boss参数!$B$83,Boss参数!$B$82),IF(AND($Y198=1,$L198="LILYA_FINISH"),Boss参数!$B$84,0))))-FC198*Boss参数!$B$90)</f>
        <v/>
      </c>
      <c r="BB198" s="1" t="str">
        <f>IF($E198="","",IFERROR(INDEX(角色面板!$M$18:$M$21,MATCH($E198,角色面板!$A$18:$A$21,0)),0)+$AW198*Boss参数!$B$12+IF($B198&lt;=$AG198,$AF198,0)+$EI198+IF($L198="LILYA_DIVE",IF($U198=1,IF($G198=1,0.3,IF($G198=2,0.4,0.5)),IF($U198=2,IF($G198=1,0.6,IF($G198=2,0.8,1)),0)),0)+$R198+IF(AND($E198="J",OR($L198="J_COUNTER",$L198="J_HARD")),Boss参数!$B$79,0)+IF(AND(OR(L198="J_COUNTER",L198="J_HARD"),FA198&gt;=Boss参数!$B$59),FA198*Boss参数!$B$40,0))</f>
        <v/>
      </c>
      <c r="BC198" s="1" t="e">
        <f>IF($E198="","",IFERROR(INDEX(角色面板!$K$18:$K$21,MATCH($E198,角色面板!$A$18:$A$21,0)),0)+IF($B198&lt;=$AH198,Boss参数!$B$46,0)+IF($E198="红弩箭",IF($U198=1,0.6,IF($U198=2,1.2,0))+$W198*0.06,0))-DI198*Boss参数!$B$23</f>
        <v>#VALUE!</v>
      </c>
      <c r="BD198" s="1" t="e">
        <f>IF($E198="","",IFERROR(INDEX(角色面板!$L$18:$L$21,MATCH($E198,角色面板!$A$18:$A$21,0)),0)+IF($B198&lt;=$AH198,Boss参数!$B$46,0)+IF($E198="J",$AL198*Boss参数!$B$16,0)+IF($E198="红弩箭",$X198*0.025,0)+IF(AND($L198="LILYA_ULT",$X198&gt;=6),1,0))-DI198*Boss参数!$B$23</f>
        <v>#VALUE!</v>
      </c>
      <c r="BE198" s="1" t="str">
        <f>IF($E198="","",IF($H198="洞知",IF($E198="红弩箭",$AO198*Boss参数!$B$15,0)+$AX198*Boss参数!$B$14,0))</f>
        <v/>
      </c>
      <c r="BF198" s="1">
        <f t="shared" si="211"/>
        <v>0</v>
      </c>
      <c r="BG198" s="1">
        <f>IF($D198="",0,IF(AND($L198&lt;&gt;"LILYA_DIVE",$L198&lt;&gt;"LILYA_ULT",$L198&lt;&gt;"LILYA_INSIGHT",$L198&lt;&gt;"LILYA_FINISH",$L198&lt;&gt;"37_FOLLOW",$L198&lt;&gt;"RHI_ATTACK",$L198&lt;&gt;"RHI_BERRY",$L198&lt;&gt;"J_COUNTER",$L198&lt;&gt;"J_ULT"),$J198,0)+IF($L198="LILYA_DIVE",$J198+IF($U198=1,IF($G198=1,6,IF($G198=2,12,18)),IF($U198=2,IF($G198=1,12,IF($G198=2,24,36)),0)),0)+IF($L198="LILYA_ULT",$J198+IF($X198&gt;=6,18,0),0)+IF($L198="LILYA_INSIGHT",IF($Y198=1,IF(MOD($AA198+1,3)=0,32,15),0),0)+IF($L198="LILYA_FINISH",IF($Y198=1,50+2.5*$Z198,0),0)+IF($L198="37_FOLLOW",$J198,0)+IF($L198="RHI_ATTACK",$J198*IF($B198&lt;=$AJ198,2,1),0)+IF($L198="RHI_BERRY",15+1.5*$AV198,0)+IF($L198="J_COUNTER",$J198+$AD198*Boss参数!$B$39,0)+IF($L198="J_ULT",$J198+Boss参数!$B$45*MAX(0,$AE198+$AD198-Boss参数!$I$4),0)+$S198)</f>
        <v>0</v>
      </c>
      <c r="BH198" s="1">
        <f t="shared" si="212"/>
        <v>0</v>
      </c>
      <c r="BI198" s="1" t="str">
        <f>IF(E198="","",IF(DT198=1,1+Boss参数!$B$8+AV198*Boss参数!$B$19,1))</f>
        <v/>
      </c>
      <c r="BJ198" s="1">
        <f>IF($I198="现实",Boss参数!$C$4,IF($I198="精神",Boss参数!$D$4,0))</f>
        <v>0</v>
      </c>
      <c r="BK198" s="1" t="str">
        <f>IF($E198="","",MAX($AY198*Boss参数!$B$9,$AY198-$BJ198*(1-$BF198)))</f>
        <v/>
      </c>
      <c r="BL198" s="1">
        <f>MAX(0,Boss参数!$F$4+IF(DT198=0,Boss参数!$B$27,0)-EJ198)</f>
        <v>1.25</v>
      </c>
      <c r="BM198" s="1">
        <f>Boss参数!$G$4+DU198-IF(Y198=1,Boss参数!$B$11,0)</f>
        <v>0.4</v>
      </c>
      <c r="BN198" s="1" t="str">
        <f>IF($E198="","",MAX(Boss参数!$B$10,1+IFERROR(INDEX(角色面板!$I$18:$I$21,MATCH($E198,角色面板!$A$18:$A$21,0)),0)+$BB198+Boss参数!$H$4-$BM198))</f>
        <v/>
      </c>
      <c r="BO198" s="1" t="str">
        <f>IF(E198="","",IF(OR(L198="J_COUNTER",L198="J_HARD"),MAX(0,1+INDEX(角色面板!$K$18:$K$21,MATCH(E198,角色面板!$A$18:$A$21,0))-DI198*Boss参数!$B$23+IF(OR(Boss参数!$B$43=1,L198="J_HARD"),IF(B198&lt;=AH198,Boss参数!$B$46,0),0)),MAX(0,IF(OR(H198="术法",L198="RHI_BERRY",AND(L198="37_FOLLOW",Boss参数!$B$31=1)),1+BC198,IF(H198="仪式",1+BD198,IF(H198="洞知",EK198,1))))))</f>
        <v/>
      </c>
      <c r="BP198" s="1" t="str">
        <f t="shared" si="213"/>
        <v/>
      </c>
      <c r="BQ198" s="1">
        <f t="shared" si="214"/>
        <v>0</v>
      </c>
      <c r="BR198" s="1">
        <f t="shared" si="215"/>
        <v>0</v>
      </c>
      <c r="BS198" s="1">
        <f>IF(BH198=0,0,ROUNDDOWN(AY198*BH198,0)*DV198*IF(Boss参数!$B$29=1,BN198,1)*IF(Boss参数!$B$33=1,BO198,1)*IF(Boss参数!$B$76=1,1-ES198,1))</f>
        <v>0</v>
      </c>
      <c r="BT198" s="1">
        <f t="shared" si="216"/>
        <v>0</v>
      </c>
      <c r="BU198" s="1">
        <f>IF(D198="",0,MIN(IF(Boss参数!$B$77=1,Boss参数!$B$63*Boss参数!$B$62,Boss参数!$B$61*Boss参数!$B$62),DW198+ROUNDDOWN(BS198,0)+ROUNDDOWN(DW198*Q198,0)))</f>
        <v>0</v>
      </c>
      <c r="BV198" s="1">
        <f>IF(D198="",0,MIN(IF(Boss参数!$B$77=1,Boss参数!$B$63*Boss参数!$B$62,Boss参数!$B$61*Boss参数!$B$62),DX198+ROUNDDOWN(BT198,0)+ROUNDDOWN(DX198*Q198,0)))</f>
        <v>0</v>
      </c>
      <c r="BW198" s="1">
        <f t="shared" si="217"/>
        <v>0</v>
      </c>
      <c r="BX198" s="1" t="str">
        <f t="shared" si="218"/>
        <v/>
      </c>
      <c r="BY198" s="1">
        <f t="shared" si="219"/>
        <v>2</v>
      </c>
      <c r="BZ198" s="1">
        <f t="shared" si="220"/>
        <v>1</v>
      </c>
      <c r="CA198" s="1">
        <f>MIN(10,W198+IF(AND(L198="LILYA_COBRA",COUNTIF($L$3:L198,"LILYA_COBRA")=1),5,0)+IF(AND(L198="LILYA_DIVE",U198=1,COUNTIFS($DG$3:DG198,DG198,$L$3:L198,"LILYA_DIVE")=1),2,0)+IF(AND(FE198=1,U198=1),3,0))</f>
        <v>10</v>
      </c>
      <c r="CB198" s="1">
        <f>MIN(20,MAX(0,X198+IF(L198="LILYA_COBRA",IF(COUNTIF($L$3:L198,"LILYA_COBRA")=1,6,IF(U198=1,MAX(1,G198),IF(U198=2,2*MAX(1,G198),0))),0)+IF(AND(Y198=1,E198="红弩箭",L198&lt;&gt;"ENTER_INSIGHT"),1,0)-IF(AND(L198="LILYA_ULT",X198&gt;=6),6,0)))</f>
        <v>13</v>
      </c>
      <c r="CC198" s="1">
        <f t="shared" si="221"/>
        <v>0</v>
      </c>
      <c r="CD198" s="1">
        <f t="shared" si="222"/>
        <v>0</v>
      </c>
      <c r="CE198" s="1">
        <f t="shared" si="223"/>
        <v>0</v>
      </c>
      <c r="CF198" s="1">
        <f t="shared" si="224"/>
        <v>10</v>
      </c>
      <c r="CG198" s="1">
        <f t="shared" si="225"/>
        <v>1</v>
      </c>
      <c r="CH198" s="1">
        <f>MIN(35,AD198+IF(L198="J_HARD",6,0)+IF(L198="J_COUNTER",Boss参数!$B$30,0))</f>
        <v>35</v>
      </c>
      <c r="CI198" s="1">
        <f>MIN(Boss参数!$I$4,AE198+IF(L198="J_HARD",6,0)+IF(L198="J_ULT",AD198,0)+IF(L198="J_COUNTER",Boss参数!$B$30,0))</f>
        <v>0</v>
      </c>
      <c r="CJ198" s="1">
        <f>IF(L198="J_ULT",AD198*Boss参数!$B$41,IF(B198&lt;=AG198,AF198,0))</f>
        <v>0.875</v>
      </c>
      <c r="CK198" s="1">
        <f t="shared" si="226"/>
        <v>9</v>
      </c>
      <c r="CL198" s="1">
        <f t="shared" si="227"/>
        <v>9</v>
      </c>
      <c r="CM198" s="1">
        <f t="shared" si="228"/>
        <v>8</v>
      </c>
      <c r="CN198" s="1">
        <f t="shared" si="229"/>
        <v>9</v>
      </c>
      <c r="CO198" s="1">
        <f t="shared" si="230"/>
        <v>8</v>
      </c>
      <c r="CP198" s="1">
        <f t="shared" si="231"/>
        <v>3</v>
      </c>
      <c r="CQ198" s="1">
        <f t="shared" si="232"/>
        <v>30</v>
      </c>
      <c r="CR198" s="1">
        <f t="shared" si="233"/>
        <v>9</v>
      </c>
      <c r="CS198" s="1">
        <f t="shared" si="234"/>
        <v>0</v>
      </c>
      <c r="CT198" s="1" t="e">
        <f t="shared" si="235"/>
        <v>#VALUE!</v>
      </c>
      <c r="CU198" s="1" t="e">
        <f t="shared" si="236"/>
        <v>#VALUE!</v>
      </c>
      <c r="CV198" s="1">
        <f t="shared" si="237"/>
        <v>0.3</v>
      </c>
      <c r="CW198" s="1">
        <f t="shared" si="238"/>
        <v>9</v>
      </c>
      <c r="CX198" s="1">
        <f t="shared" si="239"/>
        <v>0.3</v>
      </c>
      <c r="CY198" s="1">
        <f t="shared" si="240"/>
        <v>9</v>
      </c>
      <c r="CZ198" s="1"/>
      <c r="DA198" s="1"/>
      <c r="DB198" s="1"/>
      <c r="DC198" s="1"/>
      <c r="DD198" s="1"/>
      <c r="DE198" s="1"/>
      <c r="DF198" s="1"/>
      <c r="DG198" s="1" t="str">
        <f>IF(D198="","",行动模拟!B204)</f>
        <v/>
      </c>
      <c r="DH198" s="1" t="str">
        <f>IF(L198="END_TURN","回合结束",IF(D198="","",IF(INDEX(回合状态!$C$7:$C$17,MATCH(DG198,回合状态!$A$7:$A$17,0))="洞穿","洞穿",IF(OR(L198="J_COUNTER",L198="BOSS_ACTION",L198="BOSS_CONSERVATIVE"),"敌方",IF(AND(L198="37_FOLLOW",DG198=DG197,DH197="敌方"),"敌方",IF(INDEX(回合状态!$C$7:$C$17,MATCH(DG198,回合状态!$A$7:$A$17,0))="普通","出牌",INDEX(回合状态!$C$7:$C$17,MATCH(DG198,回合状态!$A$7:$A$17,0))))))))</f>
        <v/>
      </c>
      <c r="DI198" s="1">
        <f t="shared" si="241"/>
        <v>0</v>
      </c>
      <c r="DJ198" s="1">
        <f>IF(D198="",0,MIN(Boss参数!$B$25,IF(OR(AND(DH198="敌方",OR(DH197&lt;&gt;"敌方",DG198&lt;&gt;DG197)),AND(L198="END_TURN",DH198&lt;&gt;"洞穿"),AND(DG198&lt;&gt;DG197,DH197&lt;&gt;"洞穿",L197&lt;&gt;"END_TURN",COUNTIFS($DG$3:DG197,DG197,$DH$3:DH197,"敌方")=0)),EW198,DN197)))</f>
        <v>0</v>
      </c>
      <c r="DK198" s="1">
        <f>IF(D198="",0,MIN(Boss参数!$B$25,IF(OR(AND(DH198="敌方",OR(DH197&lt;&gt;"敌方",DG198&lt;&gt;DG197)),AND(L198="END_TURN",DH198&lt;&gt;"洞穿"),AND(DG198&lt;&gt;DG197,DH197&lt;&gt;"洞穿",L197&lt;&gt;"END_TURN",COUNTIFS($DG$3:DG197,DG197,$DH$3:DH197,"敌方")=0)),EW198,DO197)))</f>
        <v>0</v>
      </c>
      <c r="DL198" s="1">
        <f>IF(D198="",0,MIN(Boss参数!$B$25,IF(OR(AND(DH198="敌方",OR(DH197&lt;&gt;"敌方",DG198&lt;&gt;DG197)),AND(L198="END_TURN",DH198&lt;&gt;"洞穿"),AND(DG198&lt;&gt;DG197,DH197&lt;&gt;"洞穿",L197&lt;&gt;"END_TURN",COUNTIFS($DG$3:DG197,DG197,$DH$3:DH197,"敌方")=0)),EW198,DP197)))</f>
        <v>0</v>
      </c>
      <c r="DM198" s="1">
        <f>IF(D198="",0,MIN(Boss参数!$B$25,IF(OR(AND(DH198="敌方",OR(DH197&lt;&gt;"敌方",DG198&lt;&gt;DG197)),AND(L198="END_TURN",DH198&lt;&gt;"洞穿"),AND(DG198&lt;&gt;DG197,DH197&lt;&gt;"洞穿",L197&lt;&gt;"END_TURN",COUNTIFS($DG$3:DG197,DG197,$DH$3:DH197,"敌方")=0)),EW198,DQ197)))</f>
        <v>0</v>
      </c>
      <c r="DN198" s="1">
        <f>MAX(0,MIN(Boss参数!$B$25,DJ198+DR198)-IF(E198="红弩箭",2*DR198,0))</f>
        <v>0</v>
      </c>
      <c r="DO198" s="1">
        <f>MAX(0,MIN(Boss参数!$B$25,DK198+DR198)-IF(E198="37",2*DR198,0))</f>
        <v>0</v>
      </c>
      <c r="DP198" s="1">
        <f>MAX(0,MIN(Boss参数!$B$25,DL198+DR198)-IF(E198="小瑞安侬",2*DR198,0))</f>
        <v>0</v>
      </c>
      <c r="DQ198" s="1">
        <f>MAX(0,MIN(Boss参数!$B$25,DM198+DR198)-IF(E198="J",2*DR198,0))</f>
        <v>0</v>
      </c>
      <c r="DR198" s="1">
        <f t="shared" si="242"/>
        <v>0</v>
      </c>
      <c r="DS198" s="1">
        <f t="shared" si="243"/>
        <v>0</v>
      </c>
      <c r="DT198" s="1">
        <f>IF(OR(E198="",E198="系统"),0,IF(OR(AND(DS198=1,Boss参数!$B$32=1),L198="RHI_BERRY",OR(AND(INDEX(角色面板!$B$18:$B$21,MATCH(E198,角色面板!$A$18:$A$21,0))="星",Boss参数!$B$4="岩"),AND(INDEX(角色面板!$B$18:$B$21,MATCH(E198,角色面板!$A$18:$A$21,0))="岩",Boss参数!$B$4="兽"),AND(INDEX(角色面板!$B$18:$B$21,MATCH(E198,角色面板!$A$18:$A$21,0))="兽",Boss参数!$B$4="木"),AND(INDEX(角色面板!$B$18:$B$21,MATCH(E198,角色面板!$A$18:$A$21,0))="木",Boss参数!$B$4="星"),AND(INDEX(角色面板!$B$18:$B$21,MATCH(E198,角色面板!$A$18:$A$21,0))="智",Boss参数!$B$4="灵"),AND(INDEX(角色面板!$B$18:$B$21,MATCH(E198,角色面板!$A$18:$A$21,0))="灵",Boss参数!$B$4="智"))),1,0))</f>
        <v>0</v>
      </c>
      <c r="DU198" s="1">
        <f>IF(D198="",0,INDEX(回合状态!$E$7:$E$17,MATCH(DG198,回合状态!$A$7:$A$17,0))+IF(AND(DH198="敌方",OR(INDEX(回合状态!$C$7:$C$17,MATCH(DG198,回合状态!$A$7:$A$17,0))="普通",INDEX(回合状态!$C$7:$C$17,MATCH(DG198,回合状态!$A$7:$A$17,0))="额外")),0.05,0))</f>
        <v>0</v>
      </c>
      <c r="DV198" s="1">
        <f>MAX(Boss参数!$B$28,1+IF(AND(E198="37",AC198&gt;0,BH198&gt;0),Boss参数!$B$42,0)-DI198*Boss参数!$B$24+EA198-ER198)</f>
        <v>9.9999999999999978E-2</v>
      </c>
      <c r="DW198" s="1">
        <f>MIN(IF(Boss参数!$B$77=1,Boss参数!$B$63*Boss参数!$B$62,Boss参数!$B$61*Boss参数!$B$62),ROUNDDOWN(BQ198*(1-ES198),0))</f>
        <v>0</v>
      </c>
      <c r="DX198" s="1">
        <f>MIN(IF(Boss参数!$B$77=1,Boss参数!$B$63*Boss参数!$B$62,Boss参数!$B$61*Boss参数!$B$62),ROUNDDOWN(BR198*(1-ES198),0))</f>
        <v>0</v>
      </c>
      <c r="DY198" s="1">
        <f t="shared" si="275"/>
        <v>250</v>
      </c>
      <c r="DZ198" s="1">
        <f>IF(L198="RHI_ULT",MIN(Boss参数!$B$48,ROUNDDOWN(AY198*Boss参数!$B$47,0)),DY198)</f>
        <v>250</v>
      </c>
      <c r="EA198" s="1">
        <v>0</v>
      </c>
      <c r="EB198" s="1">
        <f t="shared" si="244"/>
        <v>0</v>
      </c>
      <c r="EC198" s="1">
        <f>SUMIFS($EB$3:EB198,$B$3:B198,"&gt;="&amp;MAX(1,B198-2),$B$3:B198,"&lt;="&amp;B198)*Boss参数!$B$51</f>
        <v>0</v>
      </c>
      <c r="ED198" s="1">
        <f>IF(D198="",EG197,IF(AND(DG198&lt;&gt;DG197,DH198&lt;&gt;"洞穿"),MIN(Boss参数!$B$55,EG197+2),EG197))</f>
        <v>0</v>
      </c>
      <c r="EE198" s="1">
        <f t="shared" si="245"/>
        <v>0</v>
      </c>
      <c r="EF198" s="1">
        <f>IF(AND(OR(L198="END_TURN",AND(DH198="敌方",OR(DH197&lt;&gt;"敌方",DG198&lt;&gt;DG197))),SUMIFS($EF$3:EF197,$DG$3:DG197,DG198)=0),MIN(1,MAX(0,ED198-EE198)),0)</f>
        <v>0</v>
      </c>
      <c r="EG198" s="1">
        <f t="shared" si="246"/>
        <v>0</v>
      </c>
      <c r="EH198" s="1">
        <f>Boss参数!$B$53-IF(Y198=1,Boss参数!$B$54,0)</f>
        <v>0</v>
      </c>
      <c r="EI198" s="1">
        <f t="shared" si="247"/>
        <v>0.15</v>
      </c>
      <c r="EJ198" s="1">
        <f t="shared" si="248"/>
        <v>0.15</v>
      </c>
      <c r="EK198" s="1" t="e">
        <f t="shared" si="249"/>
        <v>#VALUE!</v>
      </c>
      <c r="EL198" s="1">
        <f t="shared" si="276"/>
        <v>0</v>
      </c>
      <c r="EM198" s="1">
        <f>IF(AND(DG198&lt;&gt;DG197,DH198="洞穿"),0,IF(L198="ENTER_INSIGHT",Boss参数!$B$57,EO197))</f>
        <v>0</v>
      </c>
      <c r="EN198" s="1">
        <f>IF(AND(Y198=1,H198="洞知",EM198&gt;0),Boss参数!$B$56,0)</f>
        <v>0</v>
      </c>
      <c r="EO198" s="1">
        <f t="shared" si="250"/>
        <v>0</v>
      </c>
      <c r="EP198" s="1">
        <f t="shared" si="277"/>
        <v>23210479</v>
      </c>
      <c r="EQ198" s="1">
        <f>ROUNDDOWN(EP198/Boss参数!$B$62,0)</f>
        <v>232</v>
      </c>
      <c r="ER198" s="1">
        <f>IF(EQ198&gt;=Boss参数!$B$66,Boss参数!$B$69,IF(EQ198&gt;=Boss参数!$B$65,Boss参数!$B$68,IF(EQ198&gt;=Boss参数!$B$64,Boss参数!$B$67,0)))</f>
        <v>0.9</v>
      </c>
      <c r="ES198" s="1">
        <f>MIN(1,IF(EQ198&gt;=Boss参数!$B$66,Boss参数!$B$72+ROUNDDOWN((EQ198-Boss参数!$B$66)/Boss参数!$B$73,0)*Boss参数!$B$74,IF(EQ198&gt;=Boss参数!$B$65,Boss参数!$B$71,IF(EQ198&gt;=Boss参数!$B$64,Boss参数!$B$70,0))))</f>
        <v>0.65</v>
      </c>
      <c r="ET198" s="1">
        <f>MIN(Boss参数!$B$61*Boss参数!$B$62,EP198+IF(AND(Boss参数!$B$60=1,ISNUMBER(验证表!H204)),验证表!H204,EU198))</f>
        <v>23210479</v>
      </c>
      <c r="EU198" s="1">
        <f>IF(D198="",0,IF(验证表!G204="是",BV198,IF(验证表!G204="否",BU198,BW198)))</f>
        <v>0</v>
      </c>
      <c r="EV198" s="1">
        <f>IF(EQ198&gt;=Boss参数!$B$66,2,IF(EQ198&gt;=Boss参数!$B$65,1,0))</f>
        <v>2</v>
      </c>
      <c r="EW198" s="1">
        <f t="shared" si="251"/>
        <v>3</v>
      </c>
      <c r="EX198" s="1">
        <f>IF(D198="",0,INDEX(回合状态!$D$7:$D$17,MATCH(DG198,回合状态!$A$7:$A$17,0)))</f>
        <v>0</v>
      </c>
      <c r="EY198" s="1">
        <f>IF(OR(L198="RHI_ATTACK",L198="RHI_BUFF"),1,IF(L198="RHI_ULT",Boss参数!$B$52,0))</f>
        <v>0</v>
      </c>
      <c r="EZ198" s="1">
        <f>MIN(6,SUMIFS($EY$3:EY198,$EX$3:EX198,"&gt;="&amp;MAX(1,EX198-Boss参数!$B$87+1),$EX$3:EX198,"&lt;="&amp;EX198))</f>
        <v>0</v>
      </c>
      <c r="FA198" s="1">
        <f t="shared" si="278"/>
        <v>0</v>
      </c>
      <c r="FB198" s="17">
        <f>IF(L198="BOSS_CONSERVATIVE",B198+Boss参数!$B$91,FB197)</f>
        <v>7</v>
      </c>
      <c r="FC198" s="17">
        <f t="shared" si="279"/>
        <v>0</v>
      </c>
      <c r="FD198" s="17">
        <f>IF(D198="",FD197,FD197+IF(AND(DG198&lt;&gt;DG197,INDEX(回合状态!$C$7:$C$17,MATCH(DG198,回合状态!$A$7:$A$17,0))&lt;&gt;"洞穿"),1,0))</f>
        <v>8</v>
      </c>
      <c r="FE198" s="17">
        <f>IF(D198="",0,IF(AND(OR(L198="END_TURN",DH198="敌方"),INDEX(回合状态!$C$7:$C$17,MATCH(DG198,回合状态!$A$7:$A$17,0))&lt;&gt;"洞穿",SUMIFS($FE$3:FE197,$DG$3:DG197,DG198)=0),1,0))</f>
        <v>0</v>
      </c>
    </row>
    <row r="199" spans="1:161" ht="84.95" customHeight="1">
      <c r="A199" s="1" t="str">
        <f>行动模拟!A205</f>
        <v/>
      </c>
      <c r="B199" s="1">
        <f>IF(D199="",0,INDEX(回合状态!$B$7:$B$17,MATCH(DG199,回合状态!$A$7:$A$17,0)))</f>
        <v>0</v>
      </c>
      <c r="C199" s="1">
        <f>行动模拟!C205</f>
        <v>0</v>
      </c>
      <c r="D199" s="1" t="str">
        <f>IF(行动模拟!D205="","",行动模拟!D205)</f>
        <v/>
      </c>
      <c r="E199" s="1" t="str">
        <f>IF($D199="","",IFERROR(INDEX(技能数据库!$B$4:$B$38,MATCH($D199,技能数据库!$A$4:$A$38,0)),""))</f>
        <v/>
      </c>
      <c r="F199" s="1" t="str">
        <f>IF($D199="","",IFERROR(INDEX(技能数据库!$C$4:$C$38,MATCH($D199,技能数据库!$A$4:$A$38,0)),""))</f>
        <v/>
      </c>
      <c r="G199" s="1" t="str">
        <f>IF($D199="","",IFERROR(INDEX(技能数据库!$D$4:$D$38,MATCH($D199,技能数据库!$A$4:$A$38,0)),""))</f>
        <v/>
      </c>
      <c r="H199" s="1" t="str">
        <f>IF($D199="","",IFERROR(INDEX(技能数据库!$E$4:$E$38,MATCH($D199,技能数据库!$A$4:$A$38,0)),""))</f>
        <v/>
      </c>
      <c r="I199" s="1" t="str">
        <f>IF($D199="","",IFERROR(INDEX(技能数据库!$F$4:$F$38,MATCH($D199,技能数据库!$A$4:$A$38,0)),""))</f>
        <v/>
      </c>
      <c r="J199" s="1" t="str">
        <f>IF($D199="","",IFERROR(INDEX(技能数据库!$G$4:$G$38,MATCH($D199,技能数据库!$A$4:$A$38,0)),""))</f>
        <v/>
      </c>
      <c r="K199" s="1" t="str">
        <f>IF($D199="","",IFERROR(INDEX(技能数据库!$H$4:$H$38,MATCH($D199,技能数据库!$A$4:$A$38,0)),""))</f>
        <v/>
      </c>
      <c r="L199" s="1" t="str">
        <f>IF($D199="","",IFERROR(INDEX(技能数据库!$I$4:$I$38,MATCH($D199,技能数据库!$A$4:$A$38,0)),""))</f>
        <v/>
      </c>
      <c r="M199" s="1">
        <v>1</v>
      </c>
      <c r="N199" s="1"/>
      <c r="O199" s="1"/>
      <c r="P199" s="1"/>
      <c r="Q199" s="1">
        <f t="shared" si="210"/>
        <v>0</v>
      </c>
      <c r="R199" s="1">
        <v>0</v>
      </c>
      <c r="S199" s="1">
        <v>0</v>
      </c>
      <c r="T199" s="1">
        <f>行动模拟!I205</f>
        <v>0</v>
      </c>
      <c r="U199" s="1">
        <f>IF(FD199&lt;&gt;FD198,IF(BY198=1,IF(MIN(10,CA198+IF(AND(DG199&lt;&gt;DG198,DH198&lt;&gt;"洞穿",SUMIFS($FE$3:FE198,$DG$3:DG198,DG198)=0,BY198=1),3,0))&gt;=10,2,1),IF(BY198=2,IF(BZ198&lt;=1,0,2),0)),BY198)</f>
        <v>2</v>
      </c>
      <c r="V199" s="1">
        <f>IF(FD199&lt;&gt;FD198,IF(BY198=1,IF(MIN(10,CA198+IF(AND(DG199&lt;&gt;DG198,DH198&lt;&gt;"洞穿",SUMIFS($FE$3:FE198,$DG$3:DG198,DG198)=0,BY198=1),3,0))&gt;=10,2,0),IF(BY198=2,MAX(0,BZ198-1),0)),BZ198)</f>
        <v>1</v>
      </c>
      <c r="W199" s="1">
        <f>IF(AND(FD199&lt;&gt;FD198,BY198=2,BZ198&lt;=1),0,MIN(10,CA198+IF(AND(DG199&lt;&gt;DG198,DH198&lt;&gt;"洞穿",SUMIFS($FE$3:FE198,$DG$3:DG198,DG198)=0,BY198=1),3,0)))</f>
        <v>10</v>
      </c>
      <c r="X199" s="1">
        <f t="shared" si="252"/>
        <v>13</v>
      </c>
      <c r="Y199" s="1">
        <f t="shared" si="253"/>
        <v>0</v>
      </c>
      <c r="Z199" s="1">
        <f t="shared" si="254"/>
        <v>0</v>
      </c>
      <c r="AA199" s="1">
        <f t="shared" si="255"/>
        <v>0</v>
      </c>
      <c r="AB199" s="1">
        <f t="shared" si="256"/>
        <v>10</v>
      </c>
      <c r="AC199" s="1">
        <f t="shared" si="257"/>
        <v>1</v>
      </c>
      <c r="AD199" s="1">
        <f t="shared" si="258"/>
        <v>35</v>
      </c>
      <c r="AE199" s="1">
        <f>IF(D199="",0,IF(DG199&lt;&gt;DG198,IFERROR(INDEX(回合状态!$F$7:$F$17,MATCH(DG199,回合状态!$A$7:$A$17,0)),0),CI198))</f>
        <v>0</v>
      </c>
      <c r="AF199" s="1">
        <f t="shared" si="259"/>
        <v>0.875</v>
      </c>
      <c r="AG199" s="1">
        <f t="shared" si="260"/>
        <v>9</v>
      </c>
      <c r="AH199" s="1">
        <f t="shared" si="261"/>
        <v>9</v>
      </c>
      <c r="AI199" s="1">
        <f t="shared" si="262"/>
        <v>8</v>
      </c>
      <c r="AJ199" s="1">
        <f t="shared" si="263"/>
        <v>9</v>
      </c>
      <c r="AK199" s="1">
        <f t="shared" si="264"/>
        <v>8</v>
      </c>
      <c r="AL199" s="1">
        <f t="shared" si="265"/>
        <v>3</v>
      </c>
      <c r="AM199" s="1">
        <f t="shared" si="266"/>
        <v>30</v>
      </c>
      <c r="AN199" s="1">
        <f t="shared" si="267"/>
        <v>9</v>
      </c>
      <c r="AO199" s="1">
        <f t="shared" si="268"/>
        <v>0</v>
      </c>
      <c r="AP199" s="1" t="e">
        <f t="shared" si="269"/>
        <v>#VALUE!</v>
      </c>
      <c r="AQ199" s="1" t="e">
        <f t="shared" si="270"/>
        <v>#VALUE!</v>
      </c>
      <c r="AR199" s="1">
        <f t="shared" si="271"/>
        <v>0.3</v>
      </c>
      <c r="AS199" s="1">
        <f t="shared" si="272"/>
        <v>9</v>
      </c>
      <c r="AT199" s="1">
        <f t="shared" si="273"/>
        <v>0.3</v>
      </c>
      <c r="AU199" s="1">
        <f t="shared" si="274"/>
        <v>9</v>
      </c>
      <c r="AV199" s="1">
        <f>MIN(5,SUMIFS($EL$3:EL199,$B$3:B199,"&gt;="&amp;MAX(1,B199-2),$B$3:B199,"&lt;="&amp;B199)+EC199)</f>
        <v>0</v>
      </c>
      <c r="AW199" s="1">
        <f>MIN(6,SUMIFS($EY$3:EY198,$EX$3:EX198,"&gt;="&amp;MAX(1,EX199-Boss参数!$B$87+1),$EX$3:EX198,"&lt;="&amp;EX199))</f>
        <v>0</v>
      </c>
      <c r="AX199" s="1">
        <f>MIN(4,COUNTIFS($B$3:$B$198,"&gt;="&amp;MAX(1,$B199-2),$B$3:$B$198,"&lt;="&amp;$B199,$L$3:$L$198,"37_FOLLOW"))</f>
        <v>0</v>
      </c>
      <c r="AY199" s="1" t="str">
        <f>IF($E199="","",IF($E199="系统",0,ROUNDDOWN(INDEX(角色面板!$C$4:$C$7,MATCH($E199,角色面板!$A$4:$A$7,0))*(1+INDEX(角色面板!$C$11:$C$14,MATCH($E199,角色面板!$A$11:$A$14,0))+IF($E199="小瑞安侬",MAX(IF($B199&lt;=$AQ199,$AP199,0),IF(AND($L199="RHI_ATTACK",$EE199&gt;0),0.11+0.01*$G199,0)),0)+IF($E199="J",$AD199*Boss参数!$B$18,0))+IF(FD199&lt;=$AN199,MIN(Boss参数!$B$21,ROUNDDOWN(角色面板!$C$19*Boss参数!$B$20,0)),0)+IF(AND($B199&lt;=$AK199,$E199&lt;&gt;"小瑞安侬"),$DY199,0),0)))</f>
        <v/>
      </c>
      <c r="AZ199" s="1" t="str">
        <f>IF($E199="","",MAX(0,MIN(1,IFERROR(INDEX(角色面板!$G$18:$G$21,MATCH($E199,角色面板!$A$18:$A$21,0)),0)-FC199*Boss参数!$B$89-Boss参数!$E$4)))</f>
        <v/>
      </c>
      <c r="BA199" s="1" t="str">
        <f>IF(E199="","",(IF($E199="","",IF($E199="红弩箭",Boss参数!$B$80,IF($E199="J",Boss参数!$B$81,IFERROR(INDEX(角色面板!$H$18:$H$21,MATCH($E199,角色面板!$A$18:$A$21,0)),0)))+IF($B199&lt;=$AI199,Boss参数!$B$13,0)+MIN(30,$AM199)*Boss参数!$B$17+IF(AND($L199="LILYA_ULT",$X199&gt;=6),1,0)+IF(AND($Y199=1,$L199="LILYA_INSIGHT"),IF(MOD($AA199+1,3)=0,Boss参数!$B$83,Boss参数!$B$82),IF(AND($Y199=1,$L199="LILYA_FINISH"),Boss参数!$B$84,0))))-FC199*Boss参数!$B$90)</f>
        <v/>
      </c>
      <c r="BB199" s="1" t="str">
        <f>IF($E199="","",IFERROR(INDEX(角色面板!$M$18:$M$21,MATCH($E199,角色面板!$A$18:$A$21,0)),0)+$AW199*Boss参数!$B$12+IF($B199&lt;=$AG199,$AF199,0)+$EI199+IF($L199="LILYA_DIVE",IF($U199=1,IF($G199=1,0.3,IF($G199=2,0.4,0.5)),IF($U199=2,IF($G199=1,0.6,IF($G199=2,0.8,1)),0)),0)+$R199+IF(AND($E199="J",OR($L199="J_COUNTER",$L199="J_HARD")),Boss参数!$B$79,0)+IF(AND(OR(L199="J_COUNTER",L199="J_HARD"),FA199&gt;=Boss参数!$B$59),FA199*Boss参数!$B$40,0))</f>
        <v/>
      </c>
      <c r="BC199" s="1" t="e">
        <f>IF($E199="","",IFERROR(INDEX(角色面板!$K$18:$K$21,MATCH($E199,角色面板!$A$18:$A$21,0)),0)+IF($B199&lt;=$AH199,Boss参数!$B$46,0)+IF($E199="红弩箭",IF($U199=1,0.6,IF($U199=2,1.2,0))+$W199*0.06,0))-DI199*Boss参数!$B$23</f>
        <v>#VALUE!</v>
      </c>
      <c r="BD199" s="1" t="e">
        <f>IF($E199="","",IFERROR(INDEX(角色面板!$L$18:$L$21,MATCH($E199,角色面板!$A$18:$A$21,0)),0)+IF($B199&lt;=$AH199,Boss参数!$B$46,0)+IF($E199="J",$AL199*Boss参数!$B$16,0)+IF($E199="红弩箭",$X199*0.025,0)+IF(AND($L199="LILYA_ULT",$X199&gt;=6),1,0))-DI199*Boss参数!$B$23</f>
        <v>#VALUE!</v>
      </c>
      <c r="BE199" s="1" t="str">
        <f>IF($E199="","",IF($H199="洞知",IF($E199="红弩箭",$AO199*Boss参数!$B$15,0)+$AX199*Boss参数!$B$14,0))</f>
        <v/>
      </c>
      <c r="BF199" s="1">
        <f t="shared" si="211"/>
        <v>0</v>
      </c>
      <c r="BG199" s="1">
        <f>IF($D199="",0,IF(AND($L199&lt;&gt;"LILYA_DIVE",$L199&lt;&gt;"LILYA_ULT",$L199&lt;&gt;"LILYA_INSIGHT",$L199&lt;&gt;"LILYA_FINISH",$L199&lt;&gt;"37_FOLLOW",$L199&lt;&gt;"RHI_ATTACK",$L199&lt;&gt;"RHI_BERRY",$L199&lt;&gt;"J_COUNTER",$L199&lt;&gt;"J_ULT"),$J199,0)+IF($L199="LILYA_DIVE",$J199+IF($U199=1,IF($G199=1,6,IF($G199=2,12,18)),IF($U199=2,IF($G199=1,12,IF($G199=2,24,36)),0)),0)+IF($L199="LILYA_ULT",$J199+IF($X199&gt;=6,18,0),0)+IF($L199="LILYA_INSIGHT",IF($Y199=1,IF(MOD($AA199+1,3)=0,32,15),0),0)+IF($L199="LILYA_FINISH",IF($Y199=1,50+2.5*$Z199,0),0)+IF($L199="37_FOLLOW",$J199,0)+IF($L199="RHI_ATTACK",$J199*IF($B199&lt;=$AJ199,2,1),0)+IF($L199="RHI_BERRY",15+1.5*$AV199,0)+IF($L199="J_COUNTER",$J199+$AD199*Boss参数!$B$39,0)+IF($L199="J_ULT",$J199+Boss参数!$B$45*MAX(0,$AE199+$AD199-Boss参数!$I$4),0)+$S199)</f>
        <v>0</v>
      </c>
      <c r="BH199" s="1">
        <f t="shared" si="212"/>
        <v>0</v>
      </c>
      <c r="BI199" s="1" t="str">
        <f>IF(E199="","",IF(DT199=1,1+Boss参数!$B$8+AV199*Boss参数!$B$19,1))</f>
        <v/>
      </c>
      <c r="BJ199" s="1">
        <f>IF($I199="现实",Boss参数!$C$4,IF($I199="精神",Boss参数!$D$4,0))</f>
        <v>0</v>
      </c>
      <c r="BK199" s="1" t="str">
        <f>IF($E199="","",MAX($AY199*Boss参数!$B$9,$AY199-$BJ199*(1-$BF199)))</f>
        <v/>
      </c>
      <c r="BL199" s="1">
        <f>MAX(0,Boss参数!$F$4+IF(DT199=0,Boss参数!$B$27,0)-EJ199)</f>
        <v>1.25</v>
      </c>
      <c r="BM199" s="1">
        <f>Boss参数!$G$4+DU199-IF(Y199=1,Boss参数!$B$11,0)</f>
        <v>0.4</v>
      </c>
      <c r="BN199" s="1" t="str">
        <f>IF($E199="","",MAX(Boss参数!$B$10,1+IFERROR(INDEX(角色面板!$I$18:$I$21,MATCH($E199,角色面板!$A$18:$A$21,0)),0)+$BB199+Boss参数!$H$4-$BM199))</f>
        <v/>
      </c>
      <c r="BO199" s="1" t="str">
        <f>IF(E199="","",IF(OR(L199="J_COUNTER",L199="J_HARD"),MAX(0,1+INDEX(角色面板!$K$18:$K$21,MATCH(E199,角色面板!$A$18:$A$21,0))-DI199*Boss参数!$B$23+IF(OR(Boss参数!$B$43=1,L199="J_HARD"),IF(B199&lt;=AH199,Boss参数!$B$46,0),0)),MAX(0,IF(OR(H199="术法",L199="RHI_BERRY",AND(L199="37_FOLLOW",Boss参数!$B$31=1)),1+BC199,IF(H199="仪式",1+BD199,IF(H199="洞知",EK199,1))))))</f>
        <v/>
      </c>
      <c r="BP199" s="1" t="str">
        <f t="shared" si="213"/>
        <v/>
      </c>
      <c r="BQ199" s="1">
        <f t="shared" si="214"/>
        <v>0</v>
      </c>
      <c r="BR199" s="1">
        <f t="shared" si="215"/>
        <v>0</v>
      </c>
      <c r="BS199" s="1">
        <f>IF(BH199=0,0,ROUNDDOWN(AY199*BH199,0)*DV199*IF(Boss参数!$B$29=1,BN199,1)*IF(Boss参数!$B$33=1,BO199,1)*IF(Boss参数!$B$76=1,1-ES199,1))</f>
        <v>0</v>
      </c>
      <c r="BT199" s="1">
        <f t="shared" si="216"/>
        <v>0</v>
      </c>
      <c r="BU199" s="1">
        <f>IF(D199="",0,MIN(IF(Boss参数!$B$77=1,Boss参数!$B$63*Boss参数!$B$62,Boss参数!$B$61*Boss参数!$B$62),DW199+ROUNDDOWN(BS199,0)+ROUNDDOWN(DW199*Q199,0)))</f>
        <v>0</v>
      </c>
      <c r="BV199" s="1">
        <f>IF(D199="",0,MIN(IF(Boss参数!$B$77=1,Boss参数!$B$63*Boss参数!$B$62,Boss参数!$B$61*Boss参数!$B$62),DX199+ROUNDDOWN(BT199,0)+ROUNDDOWN(DX199*Q199,0)))</f>
        <v>0</v>
      </c>
      <c r="BW199" s="1">
        <f t="shared" si="217"/>
        <v>0</v>
      </c>
      <c r="BX199" s="1" t="str">
        <f t="shared" si="218"/>
        <v/>
      </c>
      <c r="BY199" s="1">
        <f t="shared" si="219"/>
        <v>2</v>
      </c>
      <c r="BZ199" s="1">
        <f t="shared" si="220"/>
        <v>1</v>
      </c>
      <c r="CA199" s="1">
        <f>MIN(10,W199+IF(AND(L199="LILYA_COBRA",COUNTIF($L$3:L199,"LILYA_COBRA")=1),5,0)+IF(AND(L199="LILYA_DIVE",U199=1,COUNTIFS($DG$3:DG199,DG199,$L$3:L199,"LILYA_DIVE")=1),2,0)+IF(AND(FE199=1,U199=1),3,0))</f>
        <v>10</v>
      </c>
      <c r="CB199" s="1">
        <f>MIN(20,MAX(0,X199+IF(L199="LILYA_COBRA",IF(COUNTIF($L$3:L199,"LILYA_COBRA")=1,6,IF(U199=1,MAX(1,G199),IF(U199=2,2*MAX(1,G199),0))),0)+IF(AND(Y199=1,E199="红弩箭",L199&lt;&gt;"ENTER_INSIGHT"),1,0)-IF(AND(L199="LILYA_ULT",X199&gt;=6),6,0)))</f>
        <v>13</v>
      </c>
      <c r="CC199" s="1">
        <f t="shared" si="221"/>
        <v>0</v>
      </c>
      <c r="CD199" s="1">
        <f t="shared" si="222"/>
        <v>0</v>
      </c>
      <c r="CE199" s="1">
        <f t="shared" si="223"/>
        <v>0</v>
      </c>
      <c r="CF199" s="1">
        <f t="shared" si="224"/>
        <v>10</v>
      </c>
      <c r="CG199" s="1">
        <f t="shared" si="225"/>
        <v>1</v>
      </c>
      <c r="CH199" s="1">
        <f>MIN(35,AD199+IF(L199="J_HARD",6,0)+IF(L199="J_COUNTER",Boss参数!$B$30,0))</f>
        <v>35</v>
      </c>
      <c r="CI199" s="1">
        <f>MIN(Boss参数!$I$4,AE199+IF(L199="J_HARD",6,0)+IF(L199="J_ULT",AD199,0)+IF(L199="J_COUNTER",Boss参数!$B$30,0))</f>
        <v>0</v>
      </c>
      <c r="CJ199" s="1">
        <f>IF(L199="J_ULT",AD199*Boss参数!$B$41,IF(B199&lt;=AG199,AF199,0))</f>
        <v>0.875</v>
      </c>
      <c r="CK199" s="1">
        <f t="shared" si="226"/>
        <v>9</v>
      </c>
      <c r="CL199" s="1">
        <f t="shared" si="227"/>
        <v>9</v>
      </c>
      <c r="CM199" s="1">
        <f t="shared" si="228"/>
        <v>8</v>
      </c>
      <c r="CN199" s="1">
        <f t="shared" si="229"/>
        <v>9</v>
      </c>
      <c r="CO199" s="1">
        <f t="shared" si="230"/>
        <v>8</v>
      </c>
      <c r="CP199" s="1">
        <f t="shared" si="231"/>
        <v>3</v>
      </c>
      <c r="CQ199" s="1">
        <f t="shared" si="232"/>
        <v>30</v>
      </c>
      <c r="CR199" s="1">
        <f t="shared" si="233"/>
        <v>9</v>
      </c>
      <c r="CS199" s="1">
        <f t="shared" si="234"/>
        <v>0</v>
      </c>
      <c r="CT199" s="1" t="e">
        <f t="shared" si="235"/>
        <v>#VALUE!</v>
      </c>
      <c r="CU199" s="1" t="e">
        <f t="shared" si="236"/>
        <v>#VALUE!</v>
      </c>
      <c r="CV199" s="1">
        <f t="shared" si="237"/>
        <v>0.3</v>
      </c>
      <c r="CW199" s="1">
        <f t="shared" si="238"/>
        <v>9</v>
      </c>
      <c r="CX199" s="1">
        <f t="shared" si="239"/>
        <v>0.3</v>
      </c>
      <c r="CY199" s="1">
        <f t="shared" si="240"/>
        <v>9</v>
      </c>
      <c r="CZ199" s="1"/>
      <c r="DA199" s="1"/>
      <c r="DB199" s="1"/>
      <c r="DC199" s="1"/>
      <c r="DD199" s="1"/>
      <c r="DE199" s="1"/>
      <c r="DF199" s="1"/>
      <c r="DG199" s="1" t="str">
        <f>IF(D199="","",行动模拟!B205)</f>
        <v/>
      </c>
      <c r="DH199" s="1" t="str">
        <f>IF(L199="END_TURN","回合结束",IF(D199="","",IF(INDEX(回合状态!$C$7:$C$17,MATCH(DG199,回合状态!$A$7:$A$17,0))="洞穿","洞穿",IF(OR(L199="J_COUNTER",L199="BOSS_ACTION",L199="BOSS_CONSERVATIVE"),"敌方",IF(AND(L199="37_FOLLOW",DG199=DG198,DH198="敌方"),"敌方",IF(INDEX(回合状态!$C$7:$C$17,MATCH(DG199,回合状态!$A$7:$A$17,0))="普通","出牌",INDEX(回合状态!$C$7:$C$17,MATCH(DG199,回合状态!$A$7:$A$17,0))))))))</f>
        <v/>
      </c>
      <c r="DI199" s="1">
        <f t="shared" si="241"/>
        <v>0</v>
      </c>
      <c r="DJ199" s="1">
        <f>IF(D199="",0,MIN(Boss参数!$B$25,IF(OR(AND(DH199="敌方",OR(DH198&lt;&gt;"敌方",DG199&lt;&gt;DG198)),AND(L199="END_TURN",DH199&lt;&gt;"洞穿"),AND(DG199&lt;&gt;DG198,DH198&lt;&gt;"洞穿",L198&lt;&gt;"END_TURN",COUNTIFS($DG$3:DG198,DG198,$DH$3:DH198,"敌方")=0)),EW199,DN198)))</f>
        <v>0</v>
      </c>
      <c r="DK199" s="1">
        <f>IF(D199="",0,MIN(Boss参数!$B$25,IF(OR(AND(DH199="敌方",OR(DH198&lt;&gt;"敌方",DG199&lt;&gt;DG198)),AND(L199="END_TURN",DH199&lt;&gt;"洞穿"),AND(DG199&lt;&gt;DG198,DH198&lt;&gt;"洞穿",L198&lt;&gt;"END_TURN",COUNTIFS($DG$3:DG198,DG198,$DH$3:DH198,"敌方")=0)),EW199,DO198)))</f>
        <v>0</v>
      </c>
      <c r="DL199" s="1">
        <f>IF(D199="",0,MIN(Boss参数!$B$25,IF(OR(AND(DH199="敌方",OR(DH198&lt;&gt;"敌方",DG199&lt;&gt;DG198)),AND(L199="END_TURN",DH199&lt;&gt;"洞穿"),AND(DG199&lt;&gt;DG198,DH198&lt;&gt;"洞穿",L198&lt;&gt;"END_TURN",COUNTIFS($DG$3:DG198,DG198,$DH$3:DH198,"敌方")=0)),EW199,DP198)))</f>
        <v>0</v>
      </c>
      <c r="DM199" s="1">
        <f>IF(D199="",0,MIN(Boss参数!$B$25,IF(OR(AND(DH199="敌方",OR(DH198&lt;&gt;"敌方",DG199&lt;&gt;DG198)),AND(L199="END_TURN",DH199&lt;&gt;"洞穿"),AND(DG199&lt;&gt;DG198,DH198&lt;&gt;"洞穿",L198&lt;&gt;"END_TURN",COUNTIFS($DG$3:DG198,DG198,$DH$3:DH198,"敌方")=0)),EW199,DQ198)))</f>
        <v>0</v>
      </c>
      <c r="DN199" s="1">
        <f>MAX(0,MIN(Boss参数!$B$25,DJ199+DR199)-IF(E199="红弩箭",2*DR199,0))</f>
        <v>0</v>
      </c>
      <c r="DO199" s="1">
        <f>MAX(0,MIN(Boss参数!$B$25,DK199+DR199)-IF(E199="37",2*DR199,0))</f>
        <v>0</v>
      </c>
      <c r="DP199" s="1">
        <f>MAX(0,MIN(Boss参数!$B$25,DL199+DR199)-IF(E199="小瑞安侬",2*DR199,0))</f>
        <v>0</v>
      </c>
      <c r="DQ199" s="1">
        <f>MAX(0,MIN(Boss参数!$B$25,DM199+DR199)-IF(E199="J",2*DR199,0))</f>
        <v>0</v>
      </c>
      <c r="DR199" s="1">
        <f t="shared" si="242"/>
        <v>0</v>
      </c>
      <c r="DS199" s="1">
        <f t="shared" si="243"/>
        <v>0</v>
      </c>
      <c r="DT199" s="1">
        <f>IF(OR(E199="",E199="系统"),0,IF(OR(AND(DS199=1,Boss参数!$B$32=1),L199="RHI_BERRY",OR(AND(INDEX(角色面板!$B$18:$B$21,MATCH(E199,角色面板!$A$18:$A$21,0))="星",Boss参数!$B$4="岩"),AND(INDEX(角色面板!$B$18:$B$21,MATCH(E199,角色面板!$A$18:$A$21,0))="岩",Boss参数!$B$4="兽"),AND(INDEX(角色面板!$B$18:$B$21,MATCH(E199,角色面板!$A$18:$A$21,0))="兽",Boss参数!$B$4="木"),AND(INDEX(角色面板!$B$18:$B$21,MATCH(E199,角色面板!$A$18:$A$21,0))="木",Boss参数!$B$4="星"),AND(INDEX(角色面板!$B$18:$B$21,MATCH(E199,角色面板!$A$18:$A$21,0))="智",Boss参数!$B$4="灵"),AND(INDEX(角色面板!$B$18:$B$21,MATCH(E199,角色面板!$A$18:$A$21,0))="灵",Boss参数!$B$4="智"))),1,0))</f>
        <v>0</v>
      </c>
      <c r="DU199" s="1">
        <f>IF(D199="",0,INDEX(回合状态!$E$7:$E$17,MATCH(DG199,回合状态!$A$7:$A$17,0))+IF(AND(DH199="敌方",OR(INDEX(回合状态!$C$7:$C$17,MATCH(DG199,回合状态!$A$7:$A$17,0))="普通",INDEX(回合状态!$C$7:$C$17,MATCH(DG199,回合状态!$A$7:$A$17,0))="额外")),0.05,0))</f>
        <v>0</v>
      </c>
      <c r="DV199" s="1">
        <f>MAX(Boss参数!$B$28,1+IF(AND(E199="37",AC199&gt;0,BH199&gt;0),Boss参数!$B$42,0)-DI199*Boss参数!$B$24+EA199-ER199)</f>
        <v>9.9999999999999978E-2</v>
      </c>
      <c r="DW199" s="1">
        <f>MIN(IF(Boss参数!$B$77=1,Boss参数!$B$63*Boss参数!$B$62,Boss参数!$B$61*Boss参数!$B$62),ROUNDDOWN(BQ199*(1-ES199),0))</f>
        <v>0</v>
      </c>
      <c r="DX199" s="1">
        <f>MIN(IF(Boss参数!$B$77=1,Boss参数!$B$63*Boss参数!$B$62,Boss参数!$B$61*Boss参数!$B$62),ROUNDDOWN(BR199*(1-ES199),0))</f>
        <v>0</v>
      </c>
      <c r="DY199" s="1">
        <f t="shared" si="275"/>
        <v>250</v>
      </c>
      <c r="DZ199" s="1">
        <f>IF(L199="RHI_ULT",MIN(Boss参数!$B$48,ROUNDDOWN(AY199*Boss参数!$B$47,0)),DY199)</f>
        <v>250</v>
      </c>
      <c r="EA199" s="1">
        <v>0</v>
      </c>
      <c r="EB199" s="1">
        <f t="shared" si="244"/>
        <v>0</v>
      </c>
      <c r="EC199" s="1">
        <f>SUMIFS($EB$3:EB199,$B$3:B199,"&gt;="&amp;MAX(1,B199-2),$B$3:B199,"&lt;="&amp;B199)*Boss参数!$B$51</f>
        <v>0</v>
      </c>
      <c r="ED199" s="1">
        <f>IF(D199="",EG198,IF(AND(DG199&lt;&gt;DG198,DH199&lt;&gt;"洞穿"),MIN(Boss参数!$B$55,EG198+2),EG198))</f>
        <v>0</v>
      </c>
      <c r="EE199" s="1">
        <f t="shared" si="245"/>
        <v>0</v>
      </c>
      <c r="EF199" s="1">
        <f>IF(AND(OR(L199="END_TURN",AND(DH199="敌方",OR(DH198&lt;&gt;"敌方",DG199&lt;&gt;DG198))),SUMIFS($EF$3:EF198,$DG$3:DG198,DG199)=0),MIN(1,MAX(0,ED199-EE199)),0)</f>
        <v>0</v>
      </c>
      <c r="EG199" s="1">
        <f t="shared" si="246"/>
        <v>0</v>
      </c>
      <c r="EH199" s="1">
        <f>Boss参数!$B$53-IF(Y199=1,Boss参数!$B$54,0)</f>
        <v>0</v>
      </c>
      <c r="EI199" s="1">
        <f t="shared" si="247"/>
        <v>0.15</v>
      </c>
      <c r="EJ199" s="1">
        <f t="shared" si="248"/>
        <v>0.15</v>
      </c>
      <c r="EK199" s="1" t="e">
        <f t="shared" si="249"/>
        <v>#VALUE!</v>
      </c>
      <c r="EL199" s="1">
        <f t="shared" si="276"/>
        <v>0</v>
      </c>
      <c r="EM199" s="1">
        <f>IF(AND(DG199&lt;&gt;DG198,DH199="洞穿"),0,IF(L199="ENTER_INSIGHT",Boss参数!$B$57,EO198))</f>
        <v>0</v>
      </c>
      <c r="EN199" s="1">
        <f>IF(AND(Y199=1,H199="洞知",EM199&gt;0),Boss参数!$B$56,0)</f>
        <v>0</v>
      </c>
      <c r="EO199" s="1">
        <f t="shared" si="250"/>
        <v>0</v>
      </c>
      <c r="EP199" s="1">
        <f t="shared" si="277"/>
        <v>23210479</v>
      </c>
      <c r="EQ199" s="1">
        <f>ROUNDDOWN(EP199/Boss参数!$B$62,0)</f>
        <v>232</v>
      </c>
      <c r="ER199" s="1">
        <f>IF(EQ199&gt;=Boss参数!$B$66,Boss参数!$B$69,IF(EQ199&gt;=Boss参数!$B$65,Boss参数!$B$68,IF(EQ199&gt;=Boss参数!$B$64,Boss参数!$B$67,0)))</f>
        <v>0.9</v>
      </c>
      <c r="ES199" s="1">
        <f>MIN(1,IF(EQ199&gt;=Boss参数!$B$66,Boss参数!$B$72+ROUNDDOWN((EQ199-Boss参数!$B$66)/Boss参数!$B$73,0)*Boss参数!$B$74,IF(EQ199&gt;=Boss参数!$B$65,Boss参数!$B$71,IF(EQ199&gt;=Boss参数!$B$64,Boss参数!$B$70,0))))</f>
        <v>0.65</v>
      </c>
      <c r="ET199" s="1">
        <f>MIN(Boss参数!$B$61*Boss参数!$B$62,EP199+IF(AND(Boss参数!$B$60=1,ISNUMBER(验证表!H205)),验证表!H205,EU199))</f>
        <v>23210479</v>
      </c>
      <c r="EU199" s="1">
        <f>IF(D199="",0,IF(验证表!G205="是",BV199,IF(验证表!G205="否",BU199,BW199)))</f>
        <v>0</v>
      </c>
      <c r="EV199" s="1">
        <f>IF(EQ199&gt;=Boss参数!$B$66,2,IF(EQ199&gt;=Boss参数!$B$65,1,0))</f>
        <v>2</v>
      </c>
      <c r="EW199" s="1">
        <f t="shared" si="251"/>
        <v>3</v>
      </c>
      <c r="EX199" s="1">
        <f>IF(D199="",0,INDEX(回合状态!$D$7:$D$17,MATCH(DG199,回合状态!$A$7:$A$17,0)))</f>
        <v>0</v>
      </c>
      <c r="EY199" s="1">
        <f>IF(OR(L199="RHI_ATTACK",L199="RHI_BUFF"),1,IF(L199="RHI_ULT",Boss参数!$B$52,0))</f>
        <v>0</v>
      </c>
      <c r="EZ199" s="1">
        <f>MIN(6,SUMIFS($EY$3:EY199,$EX$3:EX199,"&gt;="&amp;MAX(1,EX199-Boss参数!$B$87+1),$EX$3:EX199,"&lt;="&amp;EX199))</f>
        <v>0</v>
      </c>
      <c r="FA199" s="1">
        <f t="shared" si="278"/>
        <v>0</v>
      </c>
      <c r="FB199" s="17">
        <f>IF(L199="BOSS_CONSERVATIVE",B199+Boss参数!$B$91,FB198)</f>
        <v>7</v>
      </c>
      <c r="FC199" s="17">
        <f t="shared" si="279"/>
        <v>0</v>
      </c>
      <c r="FD199" s="17">
        <f>IF(D199="",FD198,FD198+IF(AND(DG199&lt;&gt;DG198,INDEX(回合状态!$C$7:$C$17,MATCH(DG199,回合状态!$A$7:$A$17,0))&lt;&gt;"洞穿"),1,0))</f>
        <v>8</v>
      </c>
      <c r="FE199" s="17">
        <f>IF(D199="",0,IF(AND(OR(L199="END_TURN",DH199="敌方"),INDEX(回合状态!$C$7:$C$17,MATCH(DG199,回合状态!$A$7:$A$17,0))&lt;&gt;"洞穿",SUMIFS($FE$3:FE198,$DG$3:DG198,DG199)=0),1,0))</f>
        <v>0</v>
      </c>
    </row>
    <row r="200" spans="1:161" ht="84.95" customHeight="1">
      <c r="A200" s="1" t="str">
        <f>行动模拟!A206</f>
        <v/>
      </c>
      <c r="B200" s="1">
        <f>IF(D200="",0,INDEX(回合状态!$B$7:$B$17,MATCH(DG200,回合状态!$A$7:$A$17,0)))</f>
        <v>0</v>
      </c>
      <c r="C200" s="1">
        <f>行动模拟!C206</f>
        <v>0</v>
      </c>
      <c r="D200" s="1" t="str">
        <f>IF(行动模拟!D206="","",行动模拟!D206)</f>
        <v/>
      </c>
      <c r="E200" s="1" t="str">
        <f>IF($D200="","",IFERROR(INDEX(技能数据库!$B$4:$B$38,MATCH($D200,技能数据库!$A$4:$A$38,0)),""))</f>
        <v/>
      </c>
      <c r="F200" s="1" t="str">
        <f>IF($D200="","",IFERROR(INDEX(技能数据库!$C$4:$C$38,MATCH($D200,技能数据库!$A$4:$A$38,0)),""))</f>
        <v/>
      </c>
      <c r="G200" s="1" t="str">
        <f>IF($D200="","",IFERROR(INDEX(技能数据库!$D$4:$D$38,MATCH($D200,技能数据库!$A$4:$A$38,0)),""))</f>
        <v/>
      </c>
      <c r="H200" s="1" t="str">
        <f>IF($D200="","",IFERROR(INDEX(技能数据库!$E$4:$E$38,MATCH($D200,技能数据库!$A$4:$A$38,0)),""))</f>
        <v/>
      </c>
      <c r="I200" s="1" t="str">
        <f>IF($D200="","",IFERROR(INDEX(技能数据库!$F$4:$F$38,MATCH($D200,技能数据库!$A$4:$A$38,0)),""))</f>
        <v/>
      </c>
      <c r="J200" s="1" t="str">
        <f>IF($D200="","",IFERROR(INDEX(技能数据库!$G$4:$G$38,MATCH($D200,技能数据库!$A$4:$A$38,0)),""))</f>
        <v/>
      </c>
      <c r="K200" s="1" t="str">
        <f>IF($D200="","",IFERROR(INDEX(技能数据库!$H$4:$H$38,MATCH($D200,技能数据库!$A$4:$A$38,0)),""))</f>
        <v/>
      </c>
      <c r="L200" s="1" t="str">
        <f>IF($D200="","",IFERROR(INDEX(技能数据库!$I$4:$I$38,MATCH($D200,技能数据库!$A$4:$A$38,0)),""))</f>
        <v/>
      </c>
      <c r="M200" s="1">
        <v>1</v>
      </c>
      <c r="N200" s="1"/>
      <c r="O200" s="1"/>
      <c r="P200" s="1"/>
      <c r="Q200" s="1">
        <f t="shared" si="210"/>
        <v>0</v>
      </c>
      <c r="R200" s="1">
        <v>0</v>
      </c>
      <c r="S200" s="1">
        <v>0</v>
      </c>
      <c r="T200" s="1">
        <f>行动模拟!I206</f>
        <v>0</v>
      </c>
      <c r="U200" s="1">
        <f>IF(FD200&lt;&gt;FD199,IF(BY199=1,IF(MIN(10,CA199+IF(AND(DG200&lt;&gt;DG199,DH199&lt;&gt;"洞穿",SUMIFS($FE$3:FE199,$DG$3:DG199,DG199)=0,BY199=1),3,0))&gt;=10,2,1),IF(BY199=2,IF(BZ199&lt;=1,0,2),0)),BY199)</f>
        <v>2</v>
      </c>
      <c r="V200" s="1">
        <f>IF(FD200&lt;&gt;FD199,IF(BY199=1,IF(MIN(10,CA199+IF(AND(DG200&lt;&gt;DG199,DH199&lt;&gt;"洞穿",SUMIFS($FE$3:FE199,$DG$3:DG199,DG199)=0,BY199=1),3,0))&gt;=10,2,0),IF(BY199=2,MAX(0,BZ199-1),0)),BZ199)</f>
        <v>1</v>
      </c>
      <c r="W200" s="1">
        <f>IF(AND(FD200&lt;&gt;FD199,BY199=2,BZ199&lt;=1),0,MIN(10,CA199+IF(AND(DG200&lt;&gt;DG199,DH199&lt;&gt;"洞穿",SUMIFS($FE$3:FE199,$DG$3:DG199,DG199)=0,BY199=1),3,0)))</f>
        <v>10</v>
      </c>
      <c r="X200" s="1">
        <f t="shared" si="252"/>
        <v>13</v>
      </c>
      <c r="Y200" s="1">
        <f t="shared" si="253"/>
        <v>0</v>
      </c>
      <c r="Z200" s="1">
        <f t="shared" si="254"/>
        <v>0</v>
      </c>
      <c r="AA200" s="1">
        <f t="shared" si="255"/>
        <v>0</v>
      </c>
      <c r="AB200" s="1">
        <f t="shared" si="256"/>
        <v>10</v>
      </c>
      <c r="AC200" s="1">
        <f t="shared" si="257"/>
        <v>1</v>
      </c>
      <c r="AD200" s="1">
        <f t="shared" si="258"/>
        <v>35</v>
      </c>
      <c r="AE200" s="1">
        <f>IF(D200="",0,IF(DG200&lt;&gt;DG199,IFERROR(INDEX(回合状态!$F$7:$F$17,MATCH(DG200,回合状态!$A$7:$A$17,0)),0),CI199))</f>
        <v>0</v>
      </c>
      <c r="AF200" s="1">
        <f t="shared" si="259"/>
        <v>0.875</v>
      </c>
      <c r="AG200" s="1">
        <f t="shared" si="260"/>
        <v>9</v>
      </c>
      <c r="AH200" s="1">
        <f t="shared" si="261"/>
        <v>9</v>
      </c>
      <c r="AI200" s="1">
        <f t="shared" si="262"/>
        <v>8</v>
      </c>
      <c r="AJ200" s="1">
        <f t="shared" si="263"/>
        <v>9</v>
      </c>
      <c r="AK200" s="1">
        <f t="shared" si="264"/>
        <v>8</v>
      </c>
      <c r="AL200" s="1">
        <f t="shared" si="265"/>
        <v>3</v>
      </c>
      <c r="AM200" s="1">
        <f t="shared" si="266"/>
        <v>30</v>
      </c>
      <c r="AN200" s="1">
        <f t="shared" si="267"/>
        <v>9</v>
      </c>
      <c r="AO200" s="1">
        <f t="shared" si="268"/>
        <v>0</v>
      </c>
      <c r="AP200" s="1" t="e">
        <f t="shared" si="269"/>
        <v>#VALUE!</v>
      </c>
      <c r="AQ200" s="1" t="e">
        <f t="shared" si="270"/>
        <v>#VALUE!</v>
      </c>
      <c r="AR200" s="1">
        <f t="shared" si="271"/>
        <v>0.3</v>
      </c>
      <c r="AS200" s="1">
        <f t="shared" si="272"/>
        <v>9</v>
      </c>
      <c r="AT200" s="1">
        <f t="shared" si="273"/>
        <v>0.3</v>
      </c>
      <c r="AU200" s="1">
        <f t="shared" si="274"/>
        <v>9</v>
      </c>
      <c r="AV200" s="1">
        <f>MIN(5,SUMIFS($EL$3:EL200,$B$3:B200,"&gt;="&amp;MAX(1,B200-2),$B$3:B200,"&lt;="&amp;B200)+EC200)</f>
        <v>0</v>
      </c>
      <c r="AW200" s="1">
        <f>MIN(6,SUMIFS($EY$3:EY199,$EX$3:EX199,"&gt;="&amp;MAX(1,EX200-Boss参数!$B$87+1),$EX$3:EX199,"&lt;="&amp;EX200))</f>
        <v>0</v>
      </c>
      <c r="AX200" s="1">
        <f>MIN(4,COUNTIFS($B$3:$B$199,"&gt;="&amp;MAX(1,$B200-2),$B$3:$B$199,"&lt;="&amp;$B200,$L$3:$L$199,"37_FOLLOW"))</f>
        <v>0</v>
      </c>
      <c r="AY200" s="1" t="str">
        <f>IF($E200="","",IF($E200="系统",0,ROUNDDOWN(INDEX(角色面板!$C$4:$C$7,MATCH($E200,角色面板!$A$4:$A$7,0))*(1+INDEX(角色面板!$C$11:$C$14,MATCH($E200,角色面板!$A$11:$A$14,0))+IF($E200="小瑞安侬",MAX(IF($B200&lt;=$AQ200,$AP200,0),IF(AND($L200="RHI_ATTACK",$EE200&gt;0),0.11+0.01*$G200,0)),0)+IF($E200="J",$AD200*Boss参数!$B$18,0))+IF(FD200&lt;=$AN200,MIN(Boss参数!$B$21,ROUNDDOWN(角色面板!$C$19*Boss参数!$B$20,0)),0)+IF(AND($B200&lt;=$AK200,$E200&lt;&gt;"小瑞安侬"),$DY200,0),0)))</f>
        <v/>
      </c>
      <c r="AZ200" s="1" t="str">
        <f>IF($E200="","",MAX(0,MIN(1,IFERROR(INDEX(角色面板!$G$18:$G$21,MATCH($E200,角色面板!$A$18:$A$21,0)),0)-FC200*Boss参数!$B$89-Boss参数!$E$4)))</f>
        <v/>
      </c>
      <c r="BA200" s="1" t="str">
        <f>IF(E200="","",(IF($E200="","",IF($E200="红弩箭",Boss参数!$B$80,IF($E200="J",Boss参数!$B$81,IFERROR(INDEX(角色面板!$H$18:$H$21,MATCH($E200,角色面板!$A$18:$A$21,0)),0)))+IF($B200&lt;=$AI200,Boss参数!$B$13,0)+MIN(30,$AM200)*Boss参数!$B$17+IF(AND($L200="LILYA_ULT",$X200&gt;=6),1,0)+IF(AND($Y200=1,$L200="LILYA_INSIGHT"),IF(MOD($AA200+1,3)=0,Boss参数!$B$83,Boss参数!$B$82),IF(AND($Y200=1,$L200="LILYA_FINISH"),Boss参数!$B$84,0))))-FC200*Boss参数!$B$90)</f>
        <v/>
      </c>
      <c r="BB200" s="1" t="str">
        <f>IF($E200="","",IFERROR(INDEX(角色面板!$M$18:$M$21,MATCH($E200,角色面板!$A$18:$A$21,0)),0)+$AW200*Boss参数!$B$12+IF($B200&lt;=$AG200,$AF200,0)+$EI200+IF($L200="LILYA_DIVE",IF($U200=1,IF($G200=1,0.3,IF($G200=2,0.4,0.5)),IF($U200=2,IF($G200=1,0.6,IF($G200=2,0.8,1)),0)),0)+$R200+IF(AND($E200="J",OR($L200="J_COUNTER",$L200="J_HARD")),Boss参数!$B$79,0)+IF(AND(OR(L200="J_COUNTER",L200="J_HARD"),FA200&gt;=Boss参数!$B$59),FA200*Boss参数!$B$40,0))</f>
        <v/>
      </c>
      <c r="BC200" s="1" t="e">
        <f>IF($E200="","",IFERROR(INDEX(角色面板!$K$18:$K$21,MATCH($E200,角色面板!$A$18:$A$21,0)),0)+IF($B200&lt;=$AH200,Boss参数!$B$46,0)+IF($E200="红弩箭",IF($U200=1,0.6,IF($U200=2,1.2,0))+$W200*0.06,0))-DI200*Boss参数!$B$23</f>
        <v>#VALUE!</v>
      </c>
      <c r="BD200" s="1" t="e">
        <f>IF($E200="","",IFERROR(INDEX(角色面板!$L$18:$L$21,MATCH($E200,角色面板!$A$18:$A$21,0)),0)+IF($B200&lt;=$AH200,Boss参数!$B$46,0)+IF($E200="J",$AL200*Boss参数!$B$16,0)+IF($E200="红弩箭",$X200*0.025,0)+IF(AND($L200="LILYA_ULT",$X200&gt;=6),1,0))-DI200*Boss参数!$B$23</f>
        <v>#VALUE!</v>
      </c>
      <c r="BE200" s="1" t="str">
        <f>IF($E200="","",IF($H200="洞知",IF($E200="红弩箭",$AO200*Boss参数!$B$15,0)+$AX200*Boss参数!$B$14,0))</f>
        <v/>
      </c>
      <c r="BF200" s="1">
        <f t="shared" si="211"/>
        <v>0</v>
      </c>
      <c r="BG200" s="1">
        <f>IF($D200="",0,IF(AND($L200&lt;&gt;"LILYA_DIVE",$L200&lt;&gt;"LILYA_ULT",$L200&lt;&gt;"LILYA_INSIGHT",$L200&lt;&gt;"LILYA_FINISH",$L200&lt;&gt;"37_FOLLOW",$L200&lt;&gt;"RHI_ATTACK",$L200&lt;&gt;"RHI_BERRY",$L200&lt;&gt;"J_COUNTER",$L200&lt;&gt;"J_ULT"),$J200,0)+IF($L200="LILYA_DIVE",$J200+IF($U200=1,IF($G200=1,6,IF($G200=2,12,18)),IF($U200=2,IF($G200=1,12,IF($G200=2,24,36)),0)),0)+IF($L200="LILYA_ULT",$J200+IF($X200&gt;=6,18,0),0)+IF($L200="LILYA_INSIGHT",IF($Y200=1,IF(MOD($AA200+1,3)=0,32,15),0),0)+IF($L200="LILYA_FINISH",IF($Y200=1,50+2.5*$Z200,0),0)+IF($L200="37_FOLLOW",$J200,0)+IF($L200="RHI_ATTACK",$J200*IF($B200&lt;=$AJ200,2,1),0)+IF($L200="RHI_BERRY",15+1.5*$AV200,0)+IF($L200="J_COUNTER",$J200+$AD200*Boss参数!$B$39,0)+IF($L200="J_ULT",$J200+Boss参数!$B$45*MAX(0,$AE200+$AD200-Boss参数!$I$4),0)+$S200)</f>
        <v>0</v>
      </c>
      <c r="BH200" s="1">
        <f t="shared" si="212"/>
        <v>0</v>
      </c>
      <c r="BI200" s="1" t="str">
        <f>IF(E200="","",IF(DT200=1,1+Boss参数!$B$8+AV200*Boss参数!$B$19,1))</f>
        <v/>
      </c>
      <c r="BJ200" s="1">
        <f>IF($I200="现实",Boss参数!$C$4,IF($I200="精神",Boss参数!$D$4,0))</f>
        <v>0</v>
      </c>
      <c r="BK200" s="1" t="str">
        <f>IF($E200="","",MAX($AY200*Boss参数!$B$9,$AY200-$BJ200*(1-$BF200)))</f>
        <v/>
      </c>
      <c r="BL200" s="1">
        <f>MAX(0,Boss参数!$F$4+IF(DT200=0,Boss参数!$B$27,0)-EJ200)</f>
        <v>1.25</v>
      </c>
      <c r="BM200" s="1">
        <f>Boss参数!$G$4+DU200-IF(Y200=1,Boss参数!$B$11,0)</f>
        <v>0.4</v>
      </c>
      <c r="BN200" s="1" t="str">
        <f>IF($E200="","",MAX(Boss参数!$B$10,1+IFERROR(INDEX(角色面板!$I$18:$I$21,MATCH($E200,角色面板!$A$18:$A$21,0)),0)+$BB200+Boss参数!$H$4-$BM200))</f>
        <v/>
      </c>
      <c r="BO200" s="1" t="str">
        <f>IF(E200="","",IF(OR(L200="J_COUNTER",L200="J_HARD"),MAX(0,1+INDEX(角色面板!$K$18:$K$21,MATCH(E200,角色面板!$A$18:$A$21,0))-DI200*Boss参数!$B$23+IF(OR(Boss参数!$B$43=1,L200="J_HARD"),IF(B200&lt;=AH200,Boss参数!$B$46,0),0)),MAX(0,IF(OR(H200="术法",L200="RHI_BERRY",AND(L200="37_FOLLOW",Boss参数!$B$31=1)),1+BC200,IF(H200="仪式",1+BD200,IF(H200="洞知",EK200,1))))))</f>
        <v/>
      </c>
      <c r="BP200" s="1" t="str">
        <f t="shared" si="213"/>
        <v/>
      </c>
      <c r="BQ200" s="1">
        <f t="shared" si="214"/>
        <v>0</v>
      </c>
      <c r="BR200" s="1">
        <f t="shared" si="215"/>
        <v>0</v>
      </c>
      <c r="BS200" s="1">
        <f>IF(BH200=0,0,ROUNDDOWN(AY200*BH200,0)*DV200*IF(Boss参数!$B$29=1,BN200,1)*IF(Boss参数!$B$33=1,BO200,1)*IF(Boss参数!$B$76=1,1-ES200,1))</f>
        <v>0</v>
      </c>
      <c r="BT200" s="1">
        <f t="shared" si="216"/>
        <v>0</v>
      </c>
      <c r="BU200" s="1">
        <f>IF(D200="",0,MIN(IF(Boss参数!$B$77=1,Boss参数!$B$63*Boss参数!$B$62,Boss参数!$B$61*Boss参数!$B$62),DW200+ROUNDDOWN(BS200,0)+ROUNDDOWN(DW200*Q200,0)))</f>
        <v>0</v>
      </c>
      <c r="BV200" s="1">
        <f>IF(D200="",0,MIN(IF(Boss参数!$B$77=1,Boss参数!$B$63*Boss参数!$B$62,Boss参数!$B$61*Boss参数!$B$62),DX200+ROUNDDOWN(BT200,0)+ROUNDDOWN(DX200*Q200,0)))</f>
        <v>0</v>
      </c>
      <c r="BW200" s="1">
        <f t="shared" si="217"/>
        <v>0</v>
      </c>
      <c r="BX200" s="1" t="str">
        <f t="shared" si="218"/>
        <v/>
      </c>
      <c r="BY200" s="1">
        <f t="shared" si="219"/>
        <v>2</v>
      </c>
      <c r="BZ200" s="1">
        <f t="shared" si="220"/>
        <v>1</v>
      </c>
      <c r="CA200" s="1">
        <f>MIN(10,W200+IF(AND(L200="LILYA_COBRA",COUNTIF($L$3:L200,"LILYA_COBRA")=1),5,0)+IF(AND(L200="LILYA_DIVE",U200=1,COUNTIFS($DG$3:DG200,DG200,$L$3:L200,"LILYA_DIVE")=1),2,0)+IF(AND(FE200=1,U200=1),3,0))</f>
        <v>10</v>
      </c>
      <c r="CB200" s="1">
        <f>MIN(20,MAX(0,X200+IF(L200="LILYA_COBRA",IF(COUNTIF($L$3:L200,"LILYA_COBRA")=1,6,IF(U200=1,MAX(1,G200),IF(U200=2,2*MAX(1,G200),0))),0)+IF(AND(Y200=1,E200="红弩箭",L200&lt;&gt;"ENTER_INSIGHT"),1,0)-IF(AND(L200="LILYA_ULT",X200&gt;=6),6,0)))</f>
        <v>13</v>
      </c>
      <c r="CC200" s="1">
        <f t="shared" si="221"/>
        <v>0</v>
      </c>
      <c r="CD200" s="1">
        <f t="shared" si="222"/>
        <v>0</v>
      </c>
      <c r="CE200" s="1">
        <f t="shared" si="223"/>
        <v>0</v>
      </c>
      <c r="CF200" s="1">
        <f t="shared" si="224"/>
        <v>10</v>
      </c>
      <c r="CG200" s="1">
        <f t="shared" si="225"/>
        <v>1</v>
      </c>
      <c r="CH200" s="1">
        <f>MIN(35,AD200+IF(L200="J_HARD",6,0)+IF(L200="J_COUNTER",Boss参数!$B$30,0))</f>
        <v>35</v>
      </c>
      <c r="CI200" s="1">
        <f>MIN(Boss参数!$I$4,AE200+IF(L200="J_HARD",6,0)+IF(L200="J_ULT",AD200,0)+IF(L200="J_COUNTER",Boss参数!$B$30,0))</f>
        <v>0</v>
      </c>
      <c r="CJ200" s="1">
        <f>IF(L200="J_ULT",AD200*Boss参数!$B$41,IF(B200&lt;=AG200,AF200,0))</f>
        <v>0.875</v>
      </c>
      <c r="CK200" s="1">
        <f t="shared" si="226"/>
        <v>9</v>
      </c>
      <c r="CL200" s="1">
        <f t="shared" si="227"/>
        <v>9</v>
      </c>
      <c r="CM200" s="1">
        <f t="shared" si="228"/>
        <v>8</v>
      </c>
      <c r="CN200" s="1">
        <f t="shared" si="229"/>
        <v>9</v>
      </c>
      <c r="CO200" s="1">
        <f t="shared" si="230"/>
        <v>8</v>
      </c>
      <c r="CP200" s="1">
        <f t="shared" si="231"/>
        <v>3</v>
      </c>
      <c r="CQ200" s="1">
        <f t="shared" si="232"/>
        <v>30</v>
      </c>
      <c r="CR200" s="1">
        <f t="shared" si="233"/>
        <v>9</v>
      </c>
      <c r="CS200" s="1">
        <f t="shared" si="234"/>
        <v>0</v>
      </c>
      <c r="CT200" s="1" t="e">
        <f t="shared" si="235"/>
        <v>#VALUE!</v>
      </c>
      <c r="CU200" s="1" t="e">
        <f t="shared" si="236"/>
        <v>#VALUE!</v>
      </c>
      <c r="CV200" s="1">
        <f t="shared" si="237"/>
        <v>0.3</v>
      </c>
      <c r="CW200" s="1">
        <f t="shared" si="238"/>
        <v>9</v>
      </c>
      <c r="CX200" s="1">
        <f t="shared" si="239"/>
        <v>0.3</v>
      </c>
      <c r="CY200" s="1">
        <f t="shared" si="240"/>
        <v>9</v>
      </c>
      <c r="CZ200" s="1"/>
      <c r="DA200" s="1"/>
      <c r="DB200" s="1"/>
      <c r="DC200" s="1"/>
      <c r="DD200" s="1"/>
      <c r="DE200" s="1"/>
      <c r="DF200" s="1"/>
      <c r="DG200" s="1" t="str">
        <f>IF(D200="","",行动模拟!B206)</f>
        <v/>
      </c>
      <c r="DH200" s="1" t="str">
        <f>IF(L200="END_TURN","回合结束",IF(D200="","",IF(INDEX(回合状态!$C$7:$C$17,MATCH(DG200,回合状态!$A$7:$A$17,0))="洞穿","洞穿",IF(OR(L200="J_COUNTER",L200="BOSS_ACTION",L200="BOSS_CONSERVATIVE"),"敌方",IF(AND(L200="37_FOLLOW",DG200=DG199,DH199="敌方"),"敌方",IF(INDEX(回合状态!$C$7:$C$17,MATCH(DG200,回合状态!$A$7:$A$17,0))="普通","出牌",INDEX(回合状态!$C$7:$C$17,MATCH(DG200,回合状态!$A$7:$A$17,0))))))))</f>
        <v/>
      </c>
      <c r="DI200" s="1">
        <f t="shared" si="241"/>
        <v>0</v>
      </c>
      <c r="DJ200" s="1">
        <f>IF(D200="",0,MIN(Boss参数!$B$25,IF(OR(AND(DH200="敌方",OR(DH199&lt;&gt;"敌方",DG200&lt;&gt;DG199)),AND(L200="END_TURN",DH200&lt;&gt;"洞穿"),AND(DG200&lt;&gt;DG199,DH199&lt;&gt;"洞穿",L199&lt;&gt;"END_TURN",COUNTIFS($DG$3:DG199,DG199,$DH$3:DH199,"敌方")=0)),EW200,DN199)))</f>
        <v>0</v>
      </c>
      <c r="DK200" s="1">
        <f>IF(D200="",0,MIN(Boss参数!$B$25,IF(OR(AND(DH200="敌方",OR(DH199&lt;&gt;"敌方",DG200&lt;&gt;DG199)),AND(L200="END_TURN",DH200&lt;&gt;"洞穿"),AND(DG200&lt;&gt;DG199,DH199&lt;&gt;"洞穿",L199&lt;&gt;"END_TURN",COUNTIFS($DG$3:DG199,DG199,$DH$3:DH199,"敌方")=0)),EW200,DO199)))</f>
        <v>0</v>
      </c>
      <c r="DL200" s="1">
        <f>IF(D200="",0,MIN(Boss参数!$B$25,IF(OR(AND(DH200="敌方",OR(DH199&lt;&gt;"敌方",DG200&lt;&gt;DG199)),AND(L200="END_TURN",DH200&lt;&gt;"洞穿"),AND(DG200&lt;&gt;DG199,DH199&lt;&gt;"洞穿",L199&lt;&gt;"END_TURN",COUNTIFS($DG$3:DG199,DG199,$DH$3:DH199,"敌方")=0)),EW200,DP199)))</f>
        <v>0</v>
      </c>
      <c r="DM200" s="1">
        <f>IF(D200="",0,MIN(Boss参数!$B$25,IF(OR(AND(DH200="敌方",OR(DH199&lt;&gt;"敌方",DG200&lt;&gt;DG199)),AND(L200="END_TURN",DH200&lt;&gt;"洞穿"),AND(DG200&lt;&gt;DG199,DH199&lt;&gt;"洞穿",L199&lt;&gt;"END_TURN",COUNTIFS($DG$3:DG199,DG199,$DH$3:DH199,"敌方")=0)),EW200,DQ199)))</f>
        <v>0</v>
      </c>
      <c r="DN200" s="1">
        <f>MAX(0,MIN(Boss参数!$B$25,DJ200+DR200)-IF(E200="红弩箭",2*DR200,0))</f>
        <v>0</v>
      </c>
      <c r="DO200" s="1">
        <f>MAX(0,MIN(Boss参数!$B$25,DK200+DR200)-IF(E200="37",2*DR200,0))</f>
        <v>0</v>
      </c>
      <c r="DP200" s="1">
        <f>MAX(0,MIN(Boss参数!$B$25,DL200+DR200)-IF(E200="小瑞安侬",2*DR200,0))</f>
        <v>0</v>
      </c>
      <c r="DQ200" s="1">
        <f>MAX(0,MIN(Boss参数!$B$25,DM200+DR200)-IF(E200="J",2*DR200,0))</f>
        <v>0</v>
      </c>
      <c r="DR200" s="1">
        <f t="shared" si="242"/>
        <v>0</v>
      </c>
      <c r="DS200" s="1">
        <f t="shared" si="243"/>
        <v>0</v>
      </c>
      <c r="DT200" s="1">
        <f>IF(OR(E200="",E200="系统"),0,IF(OR(AND(DS200=1,Boss参数!$B$32=1),L200="RHI_BERRY",OR(AND(INDEX(角色面板!$B$18:$B$21,MATCH(E200,角色面板!$A$18:$A$21,0))="星",Boss参数!$B$4="岩"),AND(INDEX(角色面板!$B$18:$B$21,MATCH(E200,角色面板!$A$18:$A$21,0))="岩",Boss参数!$B$4="兽"),AND(INDEX(角色面板!$B$18:$B$21,MATCH(E200,角色面板!$A$18:$A$21,0))="兽",Boss参数!$B$4="木"),AND(INDEX(角色面板!$B$18:$B$21,MATCH(E200,角色面板!$A$18:$A$21,0))="木",Boss参数!$B$4="星"),AND(INDEX(角色面板!$B$18:$B$21,MATCH(E200,角色面板!$A$18:$A$21,0))="智",Boss参数!$B$4="灵"),AND(INDEX(角色面板!$B$18:$B$21,MATCH(E200,角色面板!$A$18:$A$21,0))="灵",Boss参数!$B$4="智"))),1,0))</f>
        <v>0</v>
      </c>
      <c r="DU200" s="1">
        <f>IF(D200="",0,INDEX(回合状态!$E$7:$E$17,MATCH(DG200,回合状态!$A$7:$A$17,0))+IF(AND(DH200="敌方",OR(INDEX(回合状态!$C$7:$C$17,MATCH(DG200,回合状态!$A$7:$A$17,0))="普通",INDEX(回合状态!$C$7:$C$17,MATCH(DG200,回合状态!$A$7:$A$17,0))="额外")),0.05,0))</f>
        <v>0</v>
      </c>
      <c r="DV200" s="1">
        <f>MAX(Boss参数!$B$28,1+IF(AND(E200="37",AC200&gt;0,BH200&gt;0),Boss参数!$B$42,0)-DI200*Boss参数!$B$24+EA200-ER200)</f>
        <v>9.9999999999999978E-2</v>
      </c>
      <c r="DW200" s="1">
        <f>MIN(IF(Boss参数!$B$77=1,Boss参数!$B$63*Boss参数!$B$62,Boss参数!$B$61*Boss参数!$B$62),ROUNDDOWN(BQ200*(1-ES200),0))</f>
        <v>0</v>
      </c>
      <c r="DX200" s="1">
        <f>MIN(IF(Boss参数!$B$77=1,Boss参数!$B$63*Boss参数!$B$62,Boss参数!$B$61*Boss参数!$B$62),ROUNDDOWN(BR200*(1-ES200),0))</f>
        <v>0</v>
      </c>
      <c r="DY200" s="1">
        <f t="shared" si="275"/>
        <v>250</v>
      </c>
      <c r="DZ200" s="1">
        <f>IF(L200="RHI_ULT",MIN(Boss参数!$B$48,ROUNDDOWN(AY200*Boss参数!$B$47,0)),DY200)</f>
        <v>250</v>
      </c>
      <c r="EA200" s="1">
        <v>0</v>
      </c>
      <c r="EB200" s="1">
        <f t="shared" si="244"/>
        <v>0</v>
      </c>
      <c r="EC200" s="1">
        <f>SUMIFS($EB$3:EB200,$B$3:B200,"&gt;="&amp;MAX(1,B200-2),$B$3:B200,"&lt;="&amp;B200)*Boss参数!$B$51</f>
        <v>0</v>
      </c>
      <c r="ED200" s="1">
        <f>IF(D200="",EG199,IF(AND(DG200&lt;&gt;DG199,DH200&lt;&gt;"洞穿"),MIN(Boss参数!$B$55,EG199+2),EG199))</f>
        <v>0</v>
      </c>
      <c r="EE200" s="1">
        <f t="shared" si="245"/>
        <v>0</v>
      </c>
      <c r="EF200" s="1">
        <f>IF(AND(OR(L200="END_TURN",AND(DH200="敌方",OR(DH199&lt;&gt;"敌方",DG200&lt;&gt;DG199))),SUMIFS($EF$3:EF199,$DG$3:DG199,DG200)=0),MIN(1,MAX(0,ED200-EE200)),0)</f>
        <v>0</v>
      </c>
      <c r="EG200" s="1">
        <f t="shared" si="246"/>
        <v>0</v>
      </c>
      <c r="EH200" s="1">
        <f>Boss参数!$B$53-IF(Y200=1,Boss参数!$B$54,0)</f>
        <v>0</v>
      </c>
      <c r="EI200" s="1">
        <f t="shared" si="247"/>
        <v>0.15</v>
      </c>
      <c r="EJ200" s="1">
        <f t="shared" si="248"/>
        <v>0.15</v>
      </c>
      <c r="EK200" s="1" t="e">
        <f t="shared" si="249"/>
        <v>#VALUE!</v>
      </c>
      <c r="EL200" s="1">
        <f t="shared" si="276"/>
        <v>0</v>
      </c>
      <c r="EM200" s="1">
        <f>IF(AND(DG200&lt;&gt;DG199,DH200="洞穿"),0,IF(L200="ENTER_INSIGHT",Boss参数!$B$57,EO199))</f>
        <v>0</v>
      </c>
      <c r="EN200" s="1">
        <f>IF(AND(Y200=1,H200="洞知",EM200&gt;0),Boss参数!$B$56,0)</f>
        <v>0</v>
      </c>
      <c r="EO200" s="1">
        <f t="shared" si="250"/>
        <v>0</v>
      </c>
      <c r="EP200" s="1">
        <f t="shared" si="277"/>
        <v>23210479</v>
      </c>
      <c r="EQ200" s="1">
        <f>ROUNDDOWN(EP200/Boss参数!$B$62,0)</f>
        <v>232</v>
      </c>
      <c r="ER200" s="1">
        <f>IF(EQ200&gt;=Boss参数!$B$66,Boss参数!$B$69,IF(EQ200&gt;=Boss参数!$B$65,Boss参数!$B$68,IF(EQ200&gt;=Boss参数!$B$64,Boss参数!$B$67,0)))</f>
        <v>0.9</v>
      </c>
      <c r="ES200" s="1">
        <f>MIN(1,IF(EQ200&gt;=Boss参数!$B$66,Boss参数!$B$72+ROUNDDOWN((EQ200-Boss参数!$B$66)/Boss参数!$B$73,0)*Boss参数!$B$74,IF(EQ200&gt;=Boss参数!$B$65,Boss参数!$B$71,IF(EQ200&gt;=Boss参数!$B$64,Boss参数!$B$70,0))))</f>
        <v>0.65</v>
      </c>
      <c r="ET200" s="1">
        <f>MIN(Boss参数!$B$61*Boss参数!$B$62,EP200+IF(AND(Boss参数!$B$60=1,ISNUMBER(验证表!H206)),验证表!H206,EU200))</f>
        <v>23210479</v>
      </c>
      <c r="EU200" s="1">
        <f>IF(D200="",0,IF(验证表!G206="是",BV200,IF(验证表!G206="否",BU200,BW200)))</f>
        <v>0</v>
      </c>
      <c r="EV200" s="1">
        <f>IF(EQ200&gt;=Boss参数!$B$66,2,IF(EQ200&gt;=Boss参数!$B$65,1,0))</f>
        <v>2</v>
      </c>
      <c r="EW200" s="1">
        <f t="shared" si="251"/>
        <v>3</v>
      </c>
      <c r="EX200" s="1">
        <f>IF(D200="",0,INDEX(回合状态!$D$7:$D$17,MATCH(DG200,回合状态!$A$7:$A$17,0)))</f>
        <v>0</v>
      </c>
      <c r="EY200" s="1">
        <f>IF(OR(L200="RHI_ATTACK",L200="RHI_BUFF"),1,IF(L200="RHI_ULT",Boss参数!$B$52,0))</f>
        <v>0</v>
      </c>
      <c r="EZ200" s="1">
        <f>MIN(6,SUMIFS($EY$3:EY200,$EX$3:EX200,"&gt;="&amp;MAX(1,EX200-Boss参数!$B$87+1),$EX$3:EX200,"&lt;="&amp;EX200))</f>
        <v>0</v>
      </c>
      <c r="FA200" s="1">
        <f t="shared" si="278"/>
        <v>0</v>
      </c>
      <c r="FB200" s="17">
        <f>IF(L200="BOSS_CONSERVATIVE",B200+Boss参数!$B$91,FB199)</f>
        <v>7</v>
      </c>
      <c r="FC200" s="17">
        <f t="shared" si="279"/>
        <v>0</v>
      </c>
      <c r="FD200" s="17">
        <f>IF(D200="",FD199,FD199+IF(AND(DG200&lt;&gt;DG199,INDEX(回合状态!$C$7:$C$17,MATCH(DG200,回合状态!$A$7:$A$17,0))&lt;&gt;"洞穿"),1,0))</f>
        <v>8</v>
      </c>
      <c r="FE200" s="17">
        <f>IF(D200="",0,IF(AND(OR(L200="END_TURN",DH200="敌方"),INDEX(回合状态!$C$7:$C$17,MATCH(DG200,回合状态!$A$7:$A$17,0))&lt;&gt;"洞穿",SUMIFS($FE$3:FE199,$DG$3:DG199,DG200)=0),1,0))</f>
        <v>0</v>
      </c>
    </row>
    <row r="201" spans="1:161" ht="84.95" customHeight="1">
      <c r="A201" s="1" t="str">
        <f>行动模拟!A207</f>
        <v/>
      </c>
      <c r="B201" s="1">
        <f>IF(D201="",0,INDEX(回合状态!$B$7:$B$17,MATCH(DG201,回合状态!$A$7:$A$17,0)))</f>
        <v>0</v>
      </c>
      <c r="C201" s="1">
        <f>行动模拟!C207</f>
        <v>0</v>
      </c>
      <c r="D201" s="1" t="str">
        <f>IF(行动模拟!D207="","",行动模拟!D207)</f>
        <v/>
      </c>
      <c r="E201" s="1" t="str">
        <f>IF($D201="","",IFERROR(INDEX(技能数据库!$B$4:$B$38,MATCH($D201,技能数据库!$A$4:$A$38,0)),""))</f>
        <v/>
      </c>
      <c r="F201" s="1" t="str">
        <f>IF($D201="","",IFERROR(INDEX(技能数据库!$C$4:$C$38,MATCH($D201,技能数据库!$A$4:$A$38,0)),""))</f>
        <v/>
      </c>
      <c r="G201" s="1" t="str">
        <f>IF($D201="","",IFERROR(INDEX(技能数据库!$D$4:$D$38,MATCH($D201,技能数据库!$A$4:$A$38,0)),""))</f>
        <v/>
      </c>
      <c r="H201" s="1" t="str">
        <f>IF($D201="","",IFERROR(INDEX(技能数据库!$E$4:$E$38,MATCH($D201,技能数据库!$A$4:$A$38,0)),""))</f>
        <v/>
      </c>
      <c r="I201" s="1" t="str">
        <f>IF($D201="","",IFERROR(INDEX(技能数据库!$F$4:$F$38,MATCH($D201,技能数据库!$A$4:$A$38,0)),""))</f>
        <v/>
      </c>
      <c r="J201" s="1" t="str">
        <f>IF($D201="","",IFERROR(INDEX(技能数据库!$G$4:$G$38,MATCH($D201,技能数据库!$A$4:$A$38,0)),""))</f>
        <v/>
      </c>
      <c r="K201" s="1" t="str">
        <f>IF($D201="","",IFERROR(INDEX(技能数据库!$H$4:$H$38,MATCH($D201,技能数据库!$A$4:$A$38,0)),""))</f>
        <v/>
      </c>
      <c r="L201" s="1" t="str">
        <f>IF($D201="","",IFERROR(INDEX(技能数据库!$I$4:$I$38,MATCH($D201,技能数据库!$A$4:$A$38,0)),""))</f>
        <v/>
      </c>
      <c r="M201" s="1">
        <v>1</v>
      </c>
      <c r="N201" s="1"/>
      <c r="O201" s="1"/>
      <c r="P201" s="1"/>
      <c r="Q201" s="1">
        <f t="shared" si="210"/>
        <v>0</v>
      </c>
      <c r="R201" s="1">
        <v>0</v>
      </c>
      <c r="S201" s="1">
        <v>0</v>
      </c>
      <c r="T201" s="1">
        <f>行动模拟!I207</f>
        <v>0</v>
      </c>
      <c r="U201" s="1">
        <f>IF(FD201&lt;&gt;FD200,IF(BY200=1,IF(MIN(10,CA200+IF(AND(DG201&lt;&gt;DG200,DH200&lt;&gt;"洞穿",SUMIFS($FE$3:FE200,$DG$3:DG200,DG200)=0,BY200=1),3,0))&gt;=10,2,1),IF(BY200=2,IF(BZ200&lt;=1,0,2),0)),BY200)</f>
        <v>2</v>
      </c>
      <c r="V201" s="1">
        <f>IF(FD201&lt;&gt;FD200,IF(BY200=1,IF(MIN(10,CA200+IF(AND(DG201&lt;&gt;DG200,DH200&lt;&gt;"洞穿",SUMIFS($FE$3:FE200,$DG$3:DG200,DG200)=0,BY200=1),3,0))&gt;=10,2,0),IF(BY200=2,MAX(0,BZ200-1),0)),BZ200)</f>
        <v>1</v>
      </c>
      <c r="W201" s="1">
        <f>IF(AND(FD201&lt;&gt;FD200,BY200=2,BZ200&lt;=1),0,MIN(10,CA200+IF(AND(DG201&lt;&gt;DG200,DH200&lt;&gt;"洞穿",SUMIFS($FE$3:FE200,$DG$3:DG200,DG200)=0,BY200=1),3,0)))</f>
        <v>10</v>
      </c>
      <c r="X201" s="1">
        <f t="shared" si="252"/>
        <v>13</v>
      </c>
      <c r="Y201" s="1">
        <f t="shared" si="253"/>
        <v>0</v>
      </c>
      <c r="Z201" s="1">
        <f t="shared" si="254"/>
        <v>0</v>
      </c>
      <c r="AA201" s="1">
        <f t="shared" si="255"/>
        <v>0</v>
      </c>
      <c r="AB201" s="1">
        <f t="shared" si="256"/>
        <v>10</v>
      </c>
      <c r="AC201" s="1">
        <f t="shared" si="257"/>
        <v>1</v>
      </c>
      <c r="AD201" s="1">
        <f t="shared" si="258"/>
        <v>35</v>
      </c>
      <c r="AE201" s="1">
        <f>IF(D201="",0,IF(DG201&lt;&gt;DG200,IFERROR(INDEX(回合状态!$F$7:$F$17,MATCH(DG201,回合状态!$A$7:$A$17,0)),0),CI200))</f>
        <v>0</v>
      </c>
      <c r="AF201" s="1">
        <f t="shared" si="259"/>
        <v>0.875</v>
      </c>
      <c r="AG201" s="1">
        <f t="shared" si="260"/>
        <v>9</v>
      </c>
      <c r="AH201" s="1">
        <f t="shared" si="261"/>
        <v>9</v>
      </c>
      <c r="AI201" s="1">
        <f t="shared" si="262"/>
        <v>8</v>
      </c>
      <c r="AJ201" s="1">
        <f t="shared" si="263"/>
        <v>9</v>
      </c>
      <c r="AK201" s="1">
        <f t="shared" si="264"/>
        <v>8</v>
      </c>
      <c r="AL201" s="1">
        <f t="shared" si="265"/>
        <v>3</v>
      </c>
      <c r="AM201" s="1">
        <f t="shared" si="266"/>
        <v>30</v>
      </c>
      <c r="AN201" s="1">
        <f t="shared" si="267"/>
        <v>9</v>
      </c>
      <c r="AO201" s="1">
        <f t="shared" si="268"/>
        <v>0</v>
      </c>
      <c r="AP201" s="1" t="e">
        <f t="shared" si="269"/>
        <v>#VALUE!</v>
      </c>
      <c r="AQ201" s="1" t="e">
        <f t="shared" si="270"/>
        <v>#VALUE!</v>
      </c>
      <c r="AR201" s="1">
        <f t="shared" si="271"/>
        <v>0.3</v>
      </c>
      <c r="AS201" s="1">
        <f t="shared" si="272"/>
        <v>9</v>
      </c>
      <c r="AT201" s="1">
        <f t="shared" si="273"/>
        <v>0.3</v>
      </c>
      <c r="AU201" s="1">
        <f t="shared" si="274"/>
        <v>9</v>
      </c>
      <c r="AV201" s="1">
        <f>MIN(5,SUMIFS($EL$3:EL201,$B$3:B201,"&gt;="&amp;MAX(1,B201-2),$B$3:B201,"&lt;="&amp;B201)+EC201)</f>
        <v>0</v>
      </c>
      <c r="AW201" s="1">
        <f>MIN(6,SUMIFS($EY$3:EY200,$EX$3:EX200,"&gt;="&amp;MAX(1,EX201-Boss参数!$B$87+1),$EX$3:EX200,"&lt;="&amp;EX201))</f>
        <v>0</v>
      </c>
      <c r="AX201" s="1">
        <f>MIN(4,COUNTIFS($B$3:$B$200,"&gt;="&amp;MAX(1,$B201-2),$B$3:$B$200,"&lt;="&amp;$B201,$L$3:$L$200,"37_FOLLOW"))</f>
        <v>0</v>
      </c>
      <c r="AY201" s="1" t="str">
        <f>IF($E201="","",IF($E201="系统",0,ROUNDDOWN(INDEX(角色面板!$C$4:$C$7,MATCH($E201,角色面板!$A$4:$A$7,0))*(1+INDEX(角色面板!$C$11:$C$14,MATCH($E201,角色面板!$A$11:$A$14,0))+IF($E201="小瑞安侬",MAX(IF($B201&lt;=$AQ201,$AP201,0),IF(AND($L201="RHI_ATTACK",$EE201&gt;0),0.11+0.01*$G201,0)),0)+IF($E201="J",$AD201*Boss参数!$B$18,0))+IF(FD201&lt;=$AN201,MIN(Boss参数!$B$21,ROUNDDOWN(角色面板!$C$19*Boss参数!$B$20,0)),0)+IF(AND($B201&lt;=$AK201,$E201&lt;&gt;"小瑞安侬"),$DY201,0),0)))</f>
        <v/>
      </c>
      <c r="AZ201" s="1" t="str">
        <f>IF($E201="","",MAX(0,MIN(1,IFERROR(INDEX(角色面板!$G$18:$G$21,MATCH($E201,角色面板!$A$18:$A$21,0)),0)-FC201*Boss参数!$B$89-Boss参数!$E$4)))</f>
        <v/>
      </c>
      <c r="BA201" s="1" t="str">
        <f>IF(E201="","",(IF($E201="","",IF($E201="红弩箭",Boss参数!$B$80,IF($E201="J",Boss参数!$B$81,IFERROR(INDEX(角色面板!$H$18:$H$21,MATCH($E201,角色面板!$A$18:$A$21,0)),0)))+IF($B201&lt;=$AI201,Boss参数!$B$13,0)+MIN(30,$AM201)*Boss参数!$B$17+IF(AND($L201="LILYA_ULT",$X201&gt;=6),1,0)+IF(AND($Y201=1,$L201="LILYA_INSIGHT"),IF(MOD($AA201+1,3)=0,Boss参数!$B$83,Boss参数!$B$82),IF(AND($Y201=1,$L201="LILYA_FINISH"),Boss参数!$B$84,0))))-FC201*Boss参数!$B$90)</f>
        <v/>
      </c>
      <c r="BB201" s="1" t="str">
        <f>IF($E201="","",IFERROR(INDEX(角色面板!$M$18:$M$21,MATCH($E201,角色面板!$A$18:$A$21,0)),0)+$AW201*Boss参数!$B$12+IF($B201&lt;=$AG201,$AF201,0)+$EI201+IF($L201="LILYA_DIVE",IF($U201=1,IF($G201=1,0.3,IF($G201=2,0.4,0.5)),IF($U201=2,IF($G201=1,0.6,IF($G201=2,0.8,1)),0)),0)+$R201+IF(AND($E201="J",OR($L201="J_COUNTER",$L201="J_HARD")),Boss参数!$B$79,0)+IF(AND(OR(L201="J_COUNTER",L201="J_HARD"),FA201&gt;=Boss参数!$B$59),FA201*Boss参数!$B$40,0))</f>
        <v/>
      </c>
      <c r="BC201" s="1" t="e">
        <f>IF($E201="","",IFERROR(INDEX(角色面板!$K$18:$K$21,MATCH($E201,角色面板!$A$18:$A$21,0)),0)+IF($B201&lt;=$AH201,Boss参数!$B$46,0)+IF($E201="红弩箭",IF($U201=1,0.6,IF($U201=2,1.2,0))+$W201*0.06,0))-DI201*Boss参数!$B$23</f>
        <v>#VALUE!</v>
      </c>
      <c r="BD201" s="1" t="e">
        <f>IF($E201="","",IFERROR(INDEX(角色面板!$L$18:$L$21,MATCH($E201,角色面板!$A$18:$A$21,0)),0)+IF($B201&lt;=$AH201,Boss参数!$B$46,0)+IF($E201="J",$AL201*Boss参数!$B$16,0)+IF($E201="红弩箭",$X201*0.025,0)+IF(AND($L201="LILYA_ULT",$X201&gt;=6),1,0))-DI201*Boss参数!$B$23</f>
        <v>#VALUE!</v>
      </c>
      <c r="BE201" s="1" t="str">
        <f>IF($E201="","",IF($H201="洞知",IF($E201="红弩箭",$AO201*Boss参数!$B$15,0)+$AX201*Boss参数!$B$14,0))</f>
        <v/>
      </c>
      <c r="BF201" s="1">
        <f t="shared" si="211"/>
        <v>0</v>
      </c>
      <c r="BG201" s="1">
        <f>IF($D201="",0,IF(AND($L201&lt;&gt;"LILYA_DIVE",$L201&lt;&gt;"LILYA_ULT",$L201&lt;&gt;"LILYA_INSIGHT",$L201&lt;&gt;"LILYA_FINISH",$L201&lt;&gt;"37_FOLLOW",$L201&lt;&gt;"RHI_ATTACK",$L201&lt;&gt;"RHI_BERRY",$L201&lt;&gt;"J_COUNTER",$L201&lt;&gt;"J_ULT"),$J201,0)+IF($L201="LILYA_DIVE",$J201+IF($U201=1,IF($G201=1,6,IF($G201=2,12,18)),IF($U201=2,IF($G201=1,12,IF($G201=2,24,36)),0)),0)+IF($L201="LILYA_ULT",$J201+IF($X201&gt;=6,18,0),0)+IF($L201="LILYA_INSIGHT",IF($Y201=1,IF(MOD($AA201+1,3)=0,32,15),0),0)+IF($L201="LILYA_FINISH",IF($Y201=1,50+2.5*$Z201,0),0)+IF($L201="37_FOLLOW",$J201,0)+IF($L201="RHI_ATTACK",$J201*IF($B201&lt;=$AJ201,2,1),0)+IF($L201="RHI_BERRY",15+1.5*$AV201,0)+IF($L201="J_COUNTER",$J201+$AD201*Boss参数!$B$39,0)+IF($L201="J_ULT",$J201+Boss参数!$B$45*MAX(0,$AE201+$AD201-Boss参数!$I$4),0)+$S201)</f>
        <v>0</v>
      </c>
      <c r="BH201" s="1">
        <f t="shared" si="212"/>
        <v>0</v>
      </c>
      <c r="BI201" s="1" t="str">
        <f>IF(E201="","",IF(DT201=1,1+Boss参数!$B$8+AV201*Boss参数!$B$19,1))</f>
        <v/>
      </c>
      <c r="BJ201" s="1">
        <f>IF($I201="现实",Boss参数!$C$4,IF($I201="精神",Boss参数!$D$4,0))</f>
        <v>0</v>
      </c>
      <c r="BK201" s="1" t="str">
        <f>IF($E201="","",MAX($AY201*Boss参数!$B$9,$AY201-$BJ201*(1-$BF201)))</f>
        <v/>
      </c>
      <c r="BL201" s="1">
        <f>MAX(0,Boss参数!$F$4+IF(DT201=0,Boss参数!$B$27,0)-EJ201)</f>
        <v>1.25</v>
      </c>
      <c r="BM201" s="1">
        <f>Boss参数!$G$4+DU201-IF(Y201=1,Boss参数!$B$11,0)</f>
        <v>0.4</v>
      </c>
      <c r="BN201" s="1" t="str">
        <f>IF($E201="","",MAX(Boss参数!$B$10,1+IFERROR(INDEX(角色面板!$I$18:$I$21,MATCH($E201,角色面板!$A$18:$A$21,0)),0)+$BB201+Boss参数!$H$4-$BM201))</f>
        <v/>
      </c>
      <c r="BO201" s="1" t="str">
        <f>IF(E201="","",IF(OR(L201="J_COUNTER",L201="J_HARD"),MAX(0,1+INDEX(角色面板!$K$18:$K$21,MATCH(E201,角色面板!$A$18:$A$21,0))-DI201*Boss参数!$B$23+IF(OR(Boss参数!$B$43=1,L201="J_HARD"),IF(B201&lt;=AH201,Boss参数!$B$46,0),0)),MAX(0,IF(OR(H201="术法",L201="RHI_BERRY",AND(L201="37_FOLLOW",Boss参数!$B$31=1)),1+BC201,IF(H201="仪式",1+BD201,IF(H201="洞知",EK201,1))))))</f>
        <v/>
      </c>
      <c r="BP201" s="1" t="str">
        <f t="shared" si="213"/>
        <v/>
      </c>
      <c r="BQ201" s="1">
        <f t="shared" si="214"/>
        <v>0</v>
      </c>
      <c r="BR201" s="1">
        <f t="shared" si="215"/>
        <v>0</v>
      </c>
      <c r="BS201" s="1">
        <f>IF(BH201=0,0,ROUNDDOWN(AY201*BH201,0)*DV201*IF(Boss参数!$B$29=1,BN201,1)*IF(Boss参数!$B$33=1,BO201,1)*IF(Boss参数!$B$76=1,1-ES201,1))</f>
        <v>0</v>
      </c>
      <c r="BT201" s="1">
        <f t="shared" si="216"/>
        <v>0</v>
      </c>
      <c r="BU201" s="1">
        <f>IF(D201="",0,MIN(IF(Boss参数!$B$77=1,Boss参数!$B$63*Boss参数!$B$62,Boss参数!$B$61*Boss参数!$B$62),DW201+ROUNDDOWN(BS201,0)+ROUNDDOWN(DW201*Q201,0)))</f>
        <v>0</v>
      </c>
      <c r="BV201" s="1">
        <f>IF(D201="",0,MIN(IF(Boss参数!$B$77=1,Boss参数!$B$63*Boss参数!$B$62,Boss参数!$B$61*Boss参数!$B$62),DX201+ROUNDDOWN(BT201,0)+ROUNDDOWN(DX201*Q201,0)))</f>
        <v>0</v>
      </c>
      <c r="BW201" s="1">
        <f t="shared" si="217"/>
        <v>0</v>
      </c>
      <c r="BX201" s="1" t="str">
        <f t="shared" si="218"/>
        <v/>
      </c>
      <c r="BY201" s="1">
        <f t="shared" si="219"/>
        <v>2</v>
      </c>
      <c r="BZ201" s="1">
        <f t="shared" si="220"/>
        <v>1</v>
      </c>
      <c r="CA201" s="1">
        <f>MIN(10,W201+IF(AND(L201="LILYA_COBRA",COUNTIF($L$3:L201,"LILYA_COBRA")=1),5,0)+IF(AND(L201="LILYA_DIVE",U201=1,COUNTIFS($DG$3:DG201,DG201,$L$3:L201,"LILYA_DIVE")=1),2,0)+IF(AND(FE201=1,U201=1),3,0))</f>
        <v>10</v>
      </c>
      <c r="CB201" s="1">
        <f>MIN(20,MAX(0,X201+IF(L201="LILYA_COBRA",IF(COUNTIF($L$3:L201,"LILYA_COBRA")=1,6,IF(U201=1,MAX(1,G201),IF(U201=2,2*MAX(1,G201),0))),0)+IF(AND(Y201=1,E201="红弩箭",L201&lt;&gt;"ENTER_INSIGHT"),1,0)-IF(AND(L201="LILYA_ULT",X201&gt;=6),6,0)))</f>
        <v>13</v>
      </c>
      <c r="CC201" s="1">
        <f t="shared" si="221"/>
        <v>0</v>
      </c>
      <c r="CD201" s="1">
        <f t="shared" si="222"/>
        <v>0</v>
      </c>
      <c r="CE201" s="1">
        <f t="shared" si="223"/>
        <v>0</v>
      </c>
      <c r="CF201" s="1">
        <f t="shared" si="224"/>
        <v>10</v>
      </c>
      <c r="CG201" s="1">
        <f t="shared" si="225"/>
        <v>1</v>
      </c>
      <c r="CH201" s="1">
        <f>MIN(35,AD201+IF(L201="J_HARD",6,0)+IF(L201="J_COUNTER",Boss参数!$B$30,0))</f>
        <v>35</v>
      </c>
      <c r="CI201" s="1">
        <f>MIN(Boss参数!$I$4,AE201+IF(L201="J_HARD",6,0)+IF(L201="J_ULT",AD201,0)+IF(L201="J_COUNTER",Boss参数!$B$30,0))</f>
        <v>0</v>
      </c>
      <c r="CJ201" s="1">
        <f>IF(L201="J_ULT",AD201*Boss参数!$B$41,IF(B201&lt;=AG201,AF201,0))</f>
        <v>0.875</v>
      </c>
      <c r="CK201" s="1">
        <f t="shared" si="226"/>
        <v>9</v>
      </c>
      <c r="CL201" s="1">
        <f t="shared" si="227"/>
        <v>9</v>
      </c>
      <c r="CM201" s="1">
        <f t="shared" si="228"/>
        <v>8</v>
      </c>
      <c r="CN201" s="1">
        <f t="shared" si="229"/>
        <v>9</v>
      </c>
      <c r="CO201" s="1">
        <f t="shared" si="230"/>
        <v>8</v>
      </c>
      <c r="CP201" s="1">
        <f t="shared" si="231"/>
        <v>3</v>
      </c>
      <c r="CQ201" s="1">
        <f t="shared" si="232"/>
        <v>30</v>
      </c>
      <c r="CR201" s="1">
        <f t="shared" si="233"/>
        <v>9</v>
      </c>
      <c r="CS201" s="1">
        <f t="shared" si="234"/>
        <v>0</v>
      </c>
      <c r="CT201" s="1" t="e">
        <f t="shared" si="235"/>
        <v>#VALUE!</v>
      </c>
      <c r="CU201" s="1" t="e">
        <f t="shared" si="236"/>
        <v>#VALUE!</v>
      </c>
      <c r="CV201" s="1">
        <f t="shared" si="237"/>
        <v>0.3</v>
      </c>
      <c r="CW201" s="1">
        <f t="shared" si="238"/>
        <v>9</v>
      </c>
      <c r="CX201" s="1">
        <f t="shared" si="239"/>
        <v>0.3</v>
      </c>
      <c r="CY201" s="1">
        <f t="shared" si="240"/>
        <v>9</v>
      </c>
      <c r="CZ201" s="1"/>
      <c r="DA201" s="1"/>
      <c r="DB201" s="1"/>
      <c r="DC201" s="1"/>
      <c r="DD201" s="1"/>
      <c r="DE201" s="1"/>
      <c r="DF201" s="1"/>
      <c r="DG201" s="1" t="str">
        <f>IF(D201="","",行动模拟!B207)</f>
        <v/>
      </c>
      <c r="DH201" s="1" t="str">
        <f>IF(L201="END_TURN","回合结束",IF(D201="","",IF(INDEX(回合状态!$C$7:$C$17,MATCH(DG201,回合状态!$A$7:$A$17,0))="洞穿","洞穿",IF(OR(L201="J_COUNTER",L201="BOSS_ACTION",L201="BOSS_CONSERVATIVE"),"敌方",IF(AND(L201="37_FOLLOW",DG201=DG200,DH200="敌方"),"敌方",IF(INDEX(回合状态!$C$7:$C$17,MATCH(DG201,回合状态!$A$7:$A$17,0))="普通","出牌",INDEX(回合状态!$C$7:$C$17,MATCH(DG201,回合状态!$A$7:$A$17,0))))))))</f>
        <v/>
      </c>
      <c r="DI201" s="1">
        <f t="shared" si="241"/>
        <v>0</v>
      </c>
      <c r="DJ201" s="1">
        <f>IF(D201="",0,MIN(Boss参数!$B$25,IF(OR(AND(DH201="敌方",OR(DH200&lt;&gt;"敌方",DG201&lt;&gt;DG200)),AND(L201="END_TURN",DH201&lt;&gt;"洞穿"),AND(DG201&lt;&gt;DG200,DH200&lt;&gt;"洞穿",L200&lt;&gt;"END_TURN",COUNTIFS($DG$3:DG200,DG200,$DH$3:DH200,"敌方")=0)),EW201,DN200)))</f>
        <v>0</v>
      </c>
      <c r="DK201" s="1">
        <f>IF(D201="",0,MIN(Boss参数!$B$25,IF(OR(AND(DH201="敌方",OR(DH200&lt;&gt;"敌方",DG201&lt;&gt;DG200)),AND(L201="END_TURN",DH201&lt;&gt;"洞穿"),AND(DG201&lt;&gt;DG200,DH200&lt;&gt;"洞穿",L200&lt;&gt;"END_TURN",COUNTIFS($DG$3:DG200,DG200,$DH$3:DH200,"敌方")=0)),EW201,DO200)))</f>
        <v>0</v>
      </c>
      <c r="DL201" s="1">
        <f>IF(D201="",0,MIN(Boss参数!$B$25,IF(OR(AND(DH201="敌方",OR(DH200&lt;&gt;"敌方",DG201&lt;&gt;DG200)),AND(L201="END_TURN",DH201&lt;&gt;"洞穿"),AND(DG201&lt;&gt;DG200,DH200&lt;&gt;"洞穿",L200&lt;&gt;"END_TURN",COUNTIFS($DG$3:DG200,DG200,$DH$3:DH200,"敌方")=0)),EW201,DP200)))</f>
        <v>0</v>
      </c>
      <c r="DM201" s="1">
        <f>IF(D201="",0,MIN(Boss参数!$B$25,IF(OR(AND(DH201="敌方",OR(DH200&lt;&gt;"敌方",DG201&lt;&gt;DG200)),AND(L201="END_TURN",DH201&lt;&gt;"洞穿"),AND(DG201&lt;&gt;DG200,DH200&lt;&gt;"洞穿",L200&lt;&gt;"END_TURN",COUNTIFS($DG$3:DG200,DG200,$DH$3:DH200,"敌方")=0)),EW201,DQ200)))</f>
        <v>0</v>
      </c>
      <c r="DN201" s="1">
        <f>MAX(0,MIN(Boss参数!$B$25,DJ201+DR201)-IF(E201="红弩箭",2*DR201,0))</f>
        <v>0</v>
      </c>
      <c r="DO201" s="1">
        <f>MAX(0,MIN(Boss参数!$B$25,DK201+DR201)-IF(E201="37",2*DR201,0))</f>
        <v>0</v>
      </c>
      <c r="DP201" s="1">
        <f>MAX(0,MIN(Boss参数!$B$25,DL201+DR201)-IF(E201="小瑞安侬",2*DR201,0))</f>
        <v>0</v>
      </c>
      <c r="DQ201" s="1">
        <f>MAX(0,MIN(Boss参数!$B$25,DM201+DR201)-IF(E201="J",2*DR201,0))</f>
        <v>0</v>
      </c>
      <c r="DR201" s="1">
        <f t="shared" si="242"/>
        <v>0</v>
      </c>
      <c r="DS201" s="1">
        <f t="shared" si="243"/>
        <v>0</v>
      </c>
      <c r="DT201" s="1">
        <f>IF(OR(E201="",E201="系统"),0,IF(OR(AND(DS201=1,Boss参数!$B$32=1),L201="RHI_BERRY",OR(AND(INDEX(角色面板!$B$18:$B$21,MATCH(E201,角色面板!$A$18:$A$21,0))="星",Boss参数!$B$4="岩"),AND(INDEX(角色面板!$B$18:$B$21,MATCH(E201,角色面板!$A$18:$A$21,0))="岩",Boss参数!$B$4="兽"),AND(INDEX(角色面板!$B$18:$B$21,MATCH(E201,角色面板!$A$18:$A$21,0))="兽",Boss参数!$B$4="木"),AND(INDEX(角色面板!$B$18:$B$21,MATCH(E201,角色面板!$A$18:$A$21,0))="木",Boss参数!$B$4="星"),AND(INDEX(角色面板!$B$18:$B$21,MATCH(E201,角色面板!$A$18:$A$21,0))="智",Boss参数!$B$4="灵"),AND(INDEX(角色面板!$B$18:$B$21,MATCH(E201,角色面板!$A$18:$A$21,0))="灵",Boss参数!$B$4="智"))),1,0))</f>
        <v>0</v>
      </c>
      <c r="DU201" s="1">
        <f>IF(D201="",0,INDEX(回合状态!$E$7:$E$17,MATCH(DG201,回合状态!$A$7:$A$17,0))+IF(AND(DH201="敌方",OR(INDEX(回合状态!$C$7:$C$17,MATCH(DG201,回合状态!$A$7:$A$17,0))="普通",INDEX(回合状态!$C$7:$C$17,MATCH(DG201,回合状态!$A$7:$A$17,0))="额外")),0.05,0))</f>
        <v>0</v>
      </c>
      <c r="DV201" s="1">
        <f>MAX(Boss参数!$B$28,1+IF(AND(E201="37",AC201&gt;0,BH201&gt;0),Boss参数!$B$42,0)-DI201*Boss参数!$B$24+EA201-ER201)</f>
        <v>9.9999999999999978E-2</v>
      </c>
      <c r="DW201" s="1">
        <f>MIN(IF(Boss参数!$B$77=1,Boss参数!$B$63*Boss参数!$B$62,Boss参数!$B$61*Boss参数!$B$62),ROUNDDOWN(BQ201*(1-ES201),0))</f>
        <v>0</v>
      </c>
      <c r="DX201" s="1">
        <f>MIN(IF(Boss参数!$B$77=1,Boss参数!$B$63*Boss参数!$B$62,Boss参数!$B$61*Boss参数!$B$62),ROUNDDOWN(BR201*(1-ES201),0))</f>
        <v>0</v>
      </c>
      <c r="DY201" s="1">
        <f t="shared" si="275"/>
        <v>250</v>
      </c>
      <c r="DZ201" s="1">
        <f>IF(L201="RHI_ULT",MIN(Boss参数!$B$48,ROUNDDOWN(AY201*Boss参数!$B$47,0)),DY201)</f>
        <v>250</v>
      </c>
      <c r="EA201" s="1">
        <v>0</v>
      </c>
      <c r="EB201" s="1">
        <f t="shared" si="244"/>
        <v>0</v>
      </c>
      <c r="EC201" s="1">
        <f>SUMIFS($EB$3:EB201,$B$3:B201,"&gt;="&amp;MAX(1,B201-2),$B$3:B201,"&lt;="&amp;B201)*Boss参数!$B$51</f>
        <v>0</v>
      </c>
      <c r="ED201" s="1">
        <f>IF(D201="",EG200,IF(AND(DG201&lt;&gt;DG200,DH201&lt;&gt;"洞穿"),MIN(Boss参数!$B$55,EG200+2),EG200))</f>
        <v>0</v>
      </c>
      <c r="EE201" s="1">
        <f t="shared" si="245"/>
        <v>0</v>
      </c>
      <c r="EF201" s="1">
        <f>IF(AND(OR(L201="END_TURN",AND(DH201="敌方",OR(DH200&lt;&gt;"敌方",DG201&lt;&gt;DG200))),SUMIFS($EF$3:EF200,$DG$3:DG200,DG201)=0),MIN(1,MAX(0,ED201-EE201)),0)</f>
        <v>0</v>
      </c>
      <c r="EG201" s="1">
        <f t="shared" si="246"/>
        <v>0</v>
      </c>
      <c r="EH201" s="1">
        <f>Boss参数!$B$53-IF(Y201=1,Boss参数!$B$54,0)</f>
        <v>0</v>
      </c>
      <c r="EI201" s="1">
        <f t="shared" si="247"/>
        <v>0.15</v>
      </c>
      <c r="EJ201" s="1">
        <f t="shared" si="248"/>
        <v>0.15</v>
      </c>
      <c r="EK201" s="1" t="e">
        <f t="shared" si="249"/>
        <v>#VALUE!</v>
      </c>
      <c r="EL201" s="1">
        <f t="shared" si="276"/>
        <v>0</v>
      </c>
      <c r="EM201" s="1">
        <f>IF(AND(DG201&lt;&gt;DG200,DH201="洞穿"),0,IF(L201="ENTER_INSIGHT",Boss参数!$B$57,EO200))</f>
        <v>0</v>
      </c>
      <c r="EN201" s="1">
        <f>IF(AND(Y201=1,H201="洞知",EM201&gt;0),Boss参数!$B$56,0)</f>
        <v>0</v>
      </c>
      <c r="EO201" s="1">
        <f t="shared" si="250"/>
        <v>0</v>
      </c>
      <c r="EP201" s="1">
        <f t="shared" si="277"/>
        <v>23210479</v>
      </c>
      <c r="EQ201" s="1">
        <f>ROUNDDOWN(EP201/Boss参数!$B$62,0)</f>
        <v>232</v>
      </c>
      <c r="ER201" s="1">
        <f>IF(EQ201&gt;=Boss参数!$B$66,Boss参数!$B$69,IF(EQ201&gt;=Boss参数!$B$65,Boss参数!$B$68,IF(EQ201&gt;=Boss参数!$B$64,Boss参数!$B$67,0)))</f>
        <v>0.9</v>
      </c>
      <c r="ES201" s="1">
        <f>MIN(1,IF(EQ201&gt;=Boss参数!$B$66,Boss参数!$B$72+ROUNDDOWN((EQ201-Boss参数!$B$66)/Boss参数!$B$73,0)*Boss参数!$B$74,IF(EQ201&gt;=Boss参数!$B$65,Boss参数!$B$71,IF(EQ201&gt;=Boss参数!$B$64,Boss参数!$B$70,0))))</f>
        <v>0.65</v>
      </c>
      <c r="ET201" s="1">
        <f>MIN(Boss参数!$B$61*Boss参数!$B$62,EP201+IF(AND(Boss参数!$B$60=1,ISNUMBER(验证表!H207)),验证表!H207,EU201))</f>
        <v>23210479</v>
      </c>
      <c r="EU201" s="1">
        <f>IF(D201="",0,IF(验证表!G207="是",BV201,IF(验证表!G207="否",BU201,BW201)))</f>
        <v>0</v>
      </c>
      <c r="EV201" s="1">
        <f>IF(EQ201&gt;=Boss参数!$B$66,2,IF(EQ201&gt;=Boss参数!$B$65,1,0))</f>
        <v>2</v>
      </c>
      <c r="EW201" s="1">
        <f t="shared" si="251"/>
        <v>3</v>
      </c>
      <c r="EX201" s="1">
        <f>IF(D201="",0,INDEX(回合状态!$D$7:$D$17,MATCH(DG201,回合状态!$A$7:$A$17,0)))</f>
        <v>0</v>
      </c>
      <c r="EY201" s="1">
        <f>IF(OR(L201="RHI_ATTACK",L201="RHI_BUFF"),1,IF(L201="RHI_ULT",Boss参数!$B$52,0))</f>
        <v>0</v>
      </c>
      <c r="EZ201" s="1">
        <f>MIN(6,SUMIFS($EY$3:EY201,$EX$3:EX201,"&gt;="&amp;MAX(1,EX201-Boss参数!$B$87+1),$EX$3:EX201,"&lt;="&amp;EX201))</f>
        <v>0</v>
      </c>
      <c r="FA201" s="1">
        <f t="shared" si="278"/>
        <v>0</v>
      </c>
      <c r="FB201" s="17">
        <f>IF(L201="BOSS_CONSERVATIVE",B201+Boss参数!$B$91,FB200)</f>
        <v>7</v>
      </c>
      <c r="FC201" s="17">
        <f t="shared" si="279"/>
        <v>0</v>
      </c>
      <c r="FD201" s="17">
        <f>IF(D201="",FD200,FD200+IF(AND(DG201&lt;&gt;DG200,INDEX(回合状态!$C$7:$C$17,MATCH(DG201,回合状态!$A$7:$A$17,0))&lt;&gt;"洞穿"),1,0))</f>
        <v>8</v>
      </c>
      <c r="FE201" s="17">
        <f>IF(D201="",0,IF(AND(OR(L201="END_TURN",DH201="敌方"),INDEX(回合状态!$C$7:$C$17,MATCH(DG201,回合状态!$A$7:$A$17,0))&lt;&gt;"洞穿",SUMIFS($FE$3:FE200,$DG$3:DG200,DG201)=0),1,0))</f>
        <v>0</v>
      </c>
    </row>
    <row r="202" spans="1:161" ht="84.95" customHeight="1">
      <c r="A202" s="1" t="str">
        <f>行动模拟!A208</f>
        <v/>
      </c>
      <c r="B202" s="1">
        <f>IF(D202="",0,INDEX(回合状态!$B$7:$B$17,MATCH(DG202,回合状态!$A$7:$A$17,0)))</f>
        <v>0</v>
      </c>
      <c r="C202" s="1">
        <f>行动模拟!C208</f>
        <v>0</v>
      </c>
      <c r="D202" s="1" t="str">
        <f>IF(行动模拟!D208="","",行动模拟!D208)</f>
        <v/>
      </c>
      <c r="E202" s="1" t="str">
        <f>IF($D202="","",IFERROR(INDEX(技能数据库!$B$4:$B$38,MATCH($D202,技能数据库!$A$4:$A$38,0)),""))</f>
        <v/>
      </c>
      <c r="F202" s="1" t="str">
        <f>IF($D202="","",IFERROR(INDEX(技能数据库!$C$4:$C$38,MATCH($D202,技能数据库!$A$4:$A$38,0)),""))</f>
        <v/>
      </c>
      <c r="G202" s="1" t="str">
        <f>IF($D202="","",IFERROR(INDEX(技能数据库!$D$4:$D$38,MATCH($D202,技能数据库!$A$4:$A$38,0)),""))</f>
        <v/>
      </c>
      <c r="H202" s="1" t="str">
        <f>IF($D202="","",IFERROR(INDEX(技能数据库!$E$4:$E$38,MATCH($D202,技能数据库!$A$4:$A$38,0)),""))</f>
        <v/>
      </c>
      <c r="I202" s="1" t="str">
        <f>IF($D202="","",IFERROR(INDEX(技能数据库!$F$4:$F$38,MATCH($D202,技能数据库!$A$4:$A$38,0)),""))</f>
        <v/>
      </c>
      <c r="J202" s="1" t="str">
        <f>IF($D202="","",IFERROR(INDEX(技能数据库!$G$4:$G$38,MATCH($D202,技能数据库!$A$4:$A$38,0)),""))</f>
        <v/>
      </c>
      <c r="K202" s="1" t="str">
        <f>IF($D202="","",IFERROR(INDEX(技能数据库!$H$4:$H$38,MATCH($D202,技能数据库!$A$4:$A$38,0)),""))</f>
        <v/>
      </c>
      <c r="L202" s="1" t="str">
        <f>IF($D202="","",IFERROR(INDEX(技能数据库!$I$4:$I$38,MATCH($D202,技能数据库!$A$4:$A$38,0)),""))</f>
        <v/>
      </c>
      <c r="M202" s="1">
        <v>1</v>
      </c>
      <c r="N202" s="1"/>
      <c r="O202" s="1"/>
      <c r="P202" s="1"/>
      <c r="Q202" s="1">
        <f t="shared" si="210"/>
        <v>0</v>
      </c>
      <c r="R202" s="1">
        <v>0</v>
      </c>
      <c r="S202" s="1">
        <v>0</v>
      </c>
      <c r="T202" s="1">
        <f>行动模拟!I208</f>
        <v>0</v>
      </c>
      <c r="U202" s="1">
        <f>IF(FD202&lt;&gt;FD201,IF(BY201=1,IF(MIN(10,CA201+IF(AND(DG202&lt;&gt;DG201,DH201&lt;&gt;"洞穿",SUMIFS($FE$3:FE201,$DG$3:DG201,DG201)=0,BY201=1),3,0))&gt;=10,2,1),IF(BY201=2,IF(BZ201&lt;=1,0,2),0)),BY201)</f>
        <v>2</v>
      </c>
      <c r="V202" s="1">
        <f>IF(FD202&lt;&gt;FD201,IF(BY201=1,IF(MIN(10,CA201+IF(AND(DG202&lt;&gt;DG201,DH201&lt;&gt;"洞穿",SUMIFS($FE$3:FE201,$DG$3:DG201,DG201)=0,BY201=1),3,0))&gt;=10,2,0),IF(BY201=2,MAX(0,BZ201-1),0)),BZ201)</f>
        <v>1</v>
      </c>
      <c r="W202" s="1">
        <f>IF(AND(FD202&lt;&gt;FD201,BY201=2,BZ201&lt;=1),0,MIN(10,CA201+IF(AND(DG202&lt;&gt;DG201,DH201&lt;&gt;"洞穿",SUMIFS($FE$3:FE201,$DG$3:DG201,DG201)=0,BY201=1),3,0)))</f>
        <v>10</v>
      </c>
      <c r="X202" s="1">
        <f t="shared" si="252"/>
        <v>13</v>
      </c>
      <c r="Y202" s="1">
        <f t="shared" si="253"/>
        <v>0</v>
      </c>
      <c r="Z202" s="1">
        <f t="shared" si="254"/>
        <v>0</v>
      </c>
      <c r="AA202" s="1">
        <f t="shared" si="255"/>
        <v>0</v>
      </c>
      <c r="AB202" s="1">
        <f t="shared" si="256"/>
        <v>10</v>
      </c>
      <c r="AC202" s="1">
        <f t="shared" si="257"/>
        <v>1</v>
      </c>
      <c r="AD202" s="1">
        <f t="shared" si="258"/>
        <v>35</v>
      </c>
      <c r="AE202" s="1">
        <f>IF(D202="",0,IF(DG202&lt;&gt;DG201,IFERROR(INDEX(回合状态!$F$7:$F$17,MATCH(DG202,回合状态!$A$7:$A$17,0)),0),CI201))</f>
        <v>0</v>
      </c>
      <c r="AF202" s="1">
        <f t="shared" si="259"/>
        <v>0.875</v>
      </c>
      <c r="AG202" s="1">
        <f t="shared" si="260"/>
        <v>9</v>
      </c>
      <c r="AH202" s="1">
        <f t="shared" si="261"/>
        <v>9</v>
      </c>
      <c r="AI202" s="1">
        <f t="shared" si="262"/>
        <v>8</v>
      </c>
      <c r="AJ202" s="1">
        <f t="shared" si="263"/>
        <v>9</v>
      </c>
      <c r="AK202" s="1">
        <f t="shared" si="264"/>
        <v>8</v>
      </c>
      <c r="AL202" s="1">
        <f t="shared" si="265"/>
        <v>3</v>
      </c>
      <c r="AM202" s="1">
        <f t="shared" si="266"/>
        <v>30</v>
      </c>
      <c r="AN202" s="1">
        <f t="shared" si="267"/>
        <v>9</v>
      </c>
      <c r="AO202" s="1">
        <f t="shared" si="268"/>
        <v>0</v>
      </c>
      <c r="AP202" s="1" t="e">
        <f t="shared" si="269"/>
        <v>#VALUE!</v>
      </c>
      <c r="AQ202" s="1" t="e">
        <f t="shared" si="270"/>
        <v>#VALUE!</v>
      </c>
      <c r="AR202" s="1">
        <f t="shared" si="271"/>
        <v>0.3</v>
      </c>
      <c r="AS202" s="1">
        <f t="shared" si="272"/>
        <v>9</v>
      </c>
      <c r="AT202" s="1">
        <f t="shared" si="273"/>
        <v>0.3</v>
      </c>
      <c r="AU202" s="1">
        <f t="shared" si="274"/>
        <v>9</v>
      </c>
      <c r="AV202" s="1">
        <f>MIN(5,SUMIFS($EL$3:EL202,$B$3:B202,"&gt;="&amp;MAX(1,B202-2),$B$3:B202,"&lt;="&amp;B202)+EC202)</f>
        <v>0</v>
      </c>
      <c r="AW202" s="1">
        <f>MIN(6,SUMIFS($EY$3:EY201,$EX$3:EX201,"&gt;="&amp;MAX(1,EX202-Boss参数!$B$87+1),$EX$3:EX201,"&lt;="&amp;EX202))</f>
        <v>0</v>
      </c>
      <c r="AX202" s="1">
        <f>MIN(4,COUNTIFS($B$3:$B$201,"&gt;="&amp;MAX(1,$B202-2),$B$3:$B$201,"&lt;="&amp;$B202,$L$3:$L$201,"37_FOLLOW"))</f>
        <v>0</v>
      </c>
      <c r="AY202" s="1" t="str">
        <f>IF($E202="","",IF($E202="系统",0,ROUNDDOWN(INDEX(角色面板!$C$4:$C$7,MATCH($E202,角色面板!$A$4:$A$7,0))*(1+INDEX(角色面板!$C$11:$C$14,MATCH($E202,角色面板!$A$11:$A$14,0))+IF($E202="小瑞安侬",MAX(IF($B202&lt;=$AQ202,$AP202,0),IF(AND($L202="RHI_ATTACK",$EE202&gt;0),0.11+0.01*$G202,0)),0)+IF($E202="J",$AD202*Boss参数!$B$18,0))+IF(FD202&lt;=$AN202,MIN(Boss参数!$B$21,ROUNDDOWN(角色面板!$C$19*Boss参数!$B$20,0)),0)+IF(AND($B202&lt;=$AK202,$E202&lt;&gt;"小瑞安侬"),$DY202,0),0)))</f>
        <v/>
      </c>
      <c r="AZ202" s="1" t="str">
        <f>IF($E202="","",MAX(0,MIN(1,IFERROR(INDEX(角色面板!$G$18:$G$21,MATCH($E202,角色面板!$A$18:$A$21,0)),0)-FC202*Boss参数!$B$89-Boss参数!$E$4)))</f>
        <v/>
      </c>
      <c r="BA202" s="1" t="str">
        <f>IF(E202="","",(IF($E202="","",IF($E202="红弩箭",Boss参数!$B$80,IF($E202="J",Boss参数!$B$81,IFERROR(INDEX(角色面板!$H$18:$H$21,MATCH($E202,角色面板!$A$18:$A$21,0)),0)))+IF($B202&lt;=$AI202,Boss参数!$B$13,0)+MIN(30,$AM202)*Boss参数!$B$17+IF(AND($L202="LILYA_ULT",$X202&gt;=6),1,0)+IF(AND($Y202=1,$L202="LILYA_INSIGHT"),IF(MOD($AA202+1,3)=0,Boss参数!$B$83,Boss参数!$B$82),IF(AND($Y202=1,$L202="LILYA_FINISH"),Boss参数!$B$84,0))))-FC202*Boss参数!$B$90)</f>
        <v/>
      </c>
      <c r="BB202" s="1" t="str">
        <f>IF($E202="","",IFERROR(INDEX(角色面板!$M$18:$M$21,MATCH($E202,角色面板!$A$18:$A$21,0)),0)+$AW202*Boss参数!$B$12+IF($B202&lt;=$AG202,$AF202,0)+$EI202+IF($L202="LILYA_DIVE",IF($U202=1,IF($G202=1,0.3,IF($G202=2,0.4,0.5)),IF($U202=2,IF($G202=1,0.6,IF($G202=2,0.8,1)),0)),0)+$R202+IF(AND($E202="J",OR($L202="J_COUNTER",$L202="J_HARD")),Boss参数!$B$79,0)+IF(AND(OR(L202="J_COUNTER",L202="J_HARD"),FA202&gt;=Boss参数!$B$59),FA202*Boss参数!$B$40,0))</f>
        <v/>
      </c>
      <c r="BC202" s="1" t="e">
        <f>IF($E202="","",IFERROR(INDEX(角色面板!$K$18:$K$21,MATCH($E202,角色面板!$A$18:$A$21,0)),0)+IF($B202&lt;=$AH202,Boss参数!$B$46,0)+IF($E202="红弩箭",IF($U202=1,0.6,IF($U202=2,1.2,0))+$W202*0.06,0))-DI202*Boss参数!$B$23</f>
        <v>#VALUE!</v>
      </c>
      <c r="BD202" s="1" t="e">
        <f>IF($E202="","",IFERROR(INDEX(角色面板!$L$18:$L$21,MATCH($E202,角色面板!$A$18:$A$21,0)),0)+IF($B202&lt;=$AH202,Boss参数!$B$46,0)+IF($E202="J",$AL202*Boss参数!$B$16,0)+IF($E202="红弩箭",$X202*0.025,0)+IF(AND($L202="LILYA_ULT",$X202&gt;=6),1,0))-DI202*Boss参数!$B$23</f>
        <v>#VALUE!</v>
      </c>
      <c r="BE202" s="1" t="str">
        <f>IF($E202="","",IF($H202="洞知",IF($E202="红弩箭",$AO202*Boss参数!$B$15,0)+$AX202*Boss参数!$B$14,0))</f>
        <v/>
      </c>
      <c r="BF202" s="1">
        <f t="shared" si="211"/>
        <v>0</v>
      </c>
      <c r="BG202" s="1">
        <f>IF($D202="",0,IF(AND($L202&lt;&gt;"LILYA_DIVE",$L202&lt;&gt;"LILYA_ULT",$L202&lt;&gt;"LILYA_INSIGHT",$L202&lt;&gt;"LILYA_FINISH",$L202&lt;&gt;"37_FOLLOW",$L202&lt;&gt;"RHI_ATTACK",$L202&lt;&gt;"RHI_BERRY",$L202&lt;&gt;"J_COUNTER",$L202&lt;&gt;"J_ULT"),$J202,0)+IF($L202="LILYA_DIVE",$J202+IF($U202=1,IF($G202=1,6,IF($G202=2,12,18)),IF($U202=2,IF($G202=1,12,IF($G202=2,24,36)),0)),0)+IF($L202="LILYA_ULT",$J202+IF($X202&gt;=6,18,0),0)+IF($L202="LILYA_INSIGHT",IF($Y202=1,IF(MOD($AA202+1,3)=0,32,15),0),0)+IF($L202="LILYA_FINISH",IF($Y202=1,50+2.5*$Z202,0),0)+IF($L202="37_FOLLOW",$J202,0)+IF($L202="RHI_ATTACK",$J202*IF($B202&lt;=$AJ202,2,1),0)+IF($L202="RHI_BERRY",15+1.5*$AV202,0)+IF($L202="J_COUNTER",$J202+$AD202*Boss参数!$B$39,0)+IF($L202="J_ULT",$J202+Boss参数!$B$45*MAX(0,$AE202+$AD202-Boss参数!$I$4),0)+$S202)</f>
        <v>0</v>
      </c>
      <c r="BH202" s="1">
        <f t="shared" si="212"/>
        <v>0</v>
      </c>
      <c r="BI202" s="1" t="str">
        <f>IF(E202="","",IF(DT202=1,1+Boss参数!$B$8+AV202*Boss参数!$B$19,1))</f>
        <v/>
      </c>
      <c r="BJ202" s="1">
        <f>IF($I202="现实",Boss参数!$C$4,IF($I202="精神",Boss参数!$D$4,0))</f>
        <v>0</v>
      </c>
      <c r="BK202" s="1" t="str">
        <f>IF($E202="","",MAX($AY202*Boss参数!$B$9,$AY202-$BJ202*(1-$BF202)))</f>
        <v/>
      </c>
      <c r="BL202" s="1">
        <f>MAX(0,Boss参数!$F$4+IF(DT202=0,Boss参数!$B$27,0)-EJ202)</f>
        <v>1.25</v>
      </c>
      <c r="BM202" s="1">
        <f>Boss参数!$G$4+DU202-IF(Y202=1,Boss参数!$B$11,0)</f>
        <v>0.4</v>
      </c>
      <c r="BN202" s="1" t="str">
        <f>IF($E202="","",MAX(Boss参数!$B$10,1+IFERROR(INDEX(角色面板!$I$18:$I$21,MATCH($E202,角色面板!$A$18:$A$21,0)),0)+$BB202+Boss参数!$H$4-$BM202))</f>
        <v/>
      </c>
      <c r="BO202" s="1" t="str">
        <f>IF(E202="","",IF(OR(L202="J_COUNTER",L202="J_HARD"),MAX(0,1+INDEX(角色面板!$K$18:$K$21,MATCH(E202,角色面板!$A$18:$A$21,0))-DI202*Boss参数!$B$23+IF(OR(Boss参数!$B$43=1,L202="J_HARD"),IF(B202&lt;=AH202,Boss参数!$B$46,0),0)),MAX(0,IF(OR(H202="术法",L202="RHI_BERRY",AND(L202="37_FOLLOW",Boss参数!$B$31=1)),1+BC202,IF(H202="仪式",1+BD202,IF(H202="洞知",EK202,1))))))</f>
        <v/>
      </c>
      <c r="BP202" s="1" t="str">
        <f t="shared" si="213"/>
        <v/>
      </c>
      <c r="BQ202" s="1">
        <f t="shared" si="214"/>
        <v>0</v>
      </c>
      <c r="BR202" s="1">
        <f t="shared" si="215"/>
        <v>0</v>
      </c>
      <c r="BS202" s="1">
        <f>IF(BH202=0,0,ROUNDDOWN(AY202*BH202,0)*DV202*IF(Boss参数!$B$29=1,BN202,1)*IF(Boss参数!$B$33=1,BO202,1)*IF(Boss参数!$B$76=1,1-ES202,1))</f>
        <v>0</v>
      </c>
      <c r="BT202" s="1">
        <f t="shared" si="216"/>
        <v>0</v>
      </c>
      <c r="BU202" s="1">
        <f>IF(D202="",0,MIN(IF(Boss参数!$B$77=1,Boss参数!$B$63*Boss参数!$B$62,Boss参数!$B$61*Boss参数!$B$62),DW202+ROUNDDOWN(BS202,0)+ROUNDDOWN(DW202*Q202,0)))</f>
        <v>0</v>
      </c>
      <c r="BV202" s="1">
        <f>IF(D202="",0,MIN(IF(Boss参数!$B$77=1,Boss参数!$B$63*Boss参数!$B$62,Boss参数!$B$61*Boss参数!$B$62),DX202+ROUNDDOWN(BT202,0)+ROUNDDOWN(DX202*Q202,0)))</f>
        <v>0</v>
      </c>
      <c r="BW202" s="1">
        <f t="shared" si="217"/>
        <v>0</v>
      </c>
      <c r="BX202" s="1" t="str">
        <f t="shared" si="218"/>
        <v/>
      </c>
      <c r="BY202" s="1">
        <f t="shared" si="219"/>
        <v>2</v>
      </c>
      <c r="BZ202" s="1">
        <f t="shared" si="220"/>
        <v>1</v>
      </c>
      <c r="CA202" s="1">
        <f>MIN(10,W202+IF(AND(L202="LILYA_COBRA",COUNTIF($L$3:L202,"LILYA_COBRA")=1),5,0)+IF(AND(L202="LILYA_DIVE",U202=1,COUNTIFS($DG$3:DG202,DG202,$L$3:L202,"LILYA_DIVE")=1),2,0)+IF(AND(FE202=1,U202=1),3,0))</f>
        <v>10</v>
      </c>
      <c r="CB202" s="1">
        <f>MIN(20,MAX(0,X202+IF(L202="LILYA_COBRA",IF(COUNTIF($L$3:L202,"LILYA_COBRA")=1,6,IF(U202=1,MAX(1,G202),IF(U202=2,2*MAX(1,G202),0))),0)+IF(AND(Y202=1,E202="红弩箭",L202&lt;&gt;"ENTER_INSIGHT"),1,0)-IF(AND(L202="LILYA_ULT",X202&gt;=6),6,0)))</f>
        <v>13</v>
      </c>
      <c r="CC202" s="1">
        <f t="shared" si="221"/>
        <v>0</v>
      </c>
      <c r="CD202" s="1">
        <f t="shared" si="222"/>
        <v>0</v>
      </c>
      <c r="CE202" s="1">
        <f t="shared" si="223"/>
        <v>0</v>
      </c>
      <c r="CF202" s="1">
        <f t="shared" si="224"/>
        <v>10</v>
      </c>
      <c r="CG202" s="1">
        <f t="shared" si="225"/>
        <v>1</v>
      </c>
      <c r="CH202" s="1">
        <f>MIN(35,AD202+IF(L202="J_HARD",6,0)+IF(L202="J_COUNTER",Boss参数!$B$30,0))</f>
        <v>35</v>
      </c>
      <c r="CI202" s="1">
        <f>MIN(Boss参数!$I$4,AE202+IF(L202="J_HARD",6,0)+IF(L202="J_ULT",AD202,0)+IF(L202="J_COUNTER",Boss参数!$B$30,0))</f>
        <v>0</v>
      </c>
      <c r="CJ202" s="1">
        <f>IF(L202="J_ULT",AD202*Boss参数!$B$41,IF(B202&lt;=AG202,AF202,0))</f>
        <v>0.875</v>
      </c>
      <c r="CK202" s="1">
        <f t="shared" si="226"/>
        <v>9</v>
      </c>
      <c r="CL202" s="1">
        <f t="shared" si="227"/>
        <v>9</v>
      </c>
      <c r="CM202" s="1">
        <f t="shared" si="228"/>
        <v>8</v>
      </c>
      <c r="CN202" s="1">
        <f t="shared" si="229"/>
        <v>9</v>
      </c>
      <c r="CO202" s="1">
        <f t="shared" si="230"/>
        <v>8</v>
      </c>
      <c r="CP202" s="1">
        <f t="shared" si="231"/>
        <v>3</v>
      </c>
      <c r="CQ202" s="1">
        <f t="shared" si="232"/>
        <v>30</v>
      </c>
      <c r="CR202" s="1">
        <f t="shared" si="233"/>
        <v>9</v>
      </c>
      <c r="CS202" s="1">
        <f t="shared" si="234"/>
        <v>0</v>
      </c>
      <c r="CT202" s="1" t="e">
        <f t="shared" si="235"/>
        <v>#VALUE!</v>
      </c>
      <c r="CU202" s="1" t="e">
        <f t="shared" si="236"/>
        <v>#VALUE!</v>
      </c>
      <c r="CV202" s="1">
        <f t="shared" si="237"/>
        <v>0.3</v>
      </c>
      <c r="CW202" s="1">
        <f t="shared" si="238"/>
        <v>9</v>
      </c>
      <c r="CX202" s="1">
        <f t="shared" si="239"/>
        <v>0.3</v>
      </c>
      <c r="CY202" s="1">
        <f t="shared" si="240"/>
        <v>9</v>
      </c>
      <c r="CZ202" s="1"/>
      <c r="DA202" s="1"/>
      <c r="DB202" s="1"/>
      <c r="DC202" s="1"/>
      <c r="DD202" s="1"/>
      <c r="DE202" s="1"/>
      <c r="DF202" s="1"/>
      <c r="DG202" s="1" t="str">
        <f>IF(D202="","",行动模拟!B208)</f>
        <v/>
      </c>
      <c r="DH202" s="1" t="str">
        <f>IF(L202="END_TURN","回合结束",IF(D202="","",IF(INDEX(回合状态!$C$7:$C$17,MATCH(DG202,回合状态!$A$7:$A$17,0))="洞穿","洞穿",IF(OR(L202="J_COUNTER",L202="BOSS_ACTION",L202="BOSS_CONSERVATIVE"),"敌方",IF(AND(L202="37_FOLLOW",DG202=DG201,DH201="敌方"),"敌方",IF(INDEX(回合状态!$C$7:$C$17,MATCH(DG202,回合状态!$A$7:$A$17,0))="普通","出牌",INDEX(回合状态!$C$7:$C$17,MATCH(DG202,回合状态!$A$7:$A$17,0))))))))</f>
        <v/>
      </c>
      <c r="DI202" s="1">
        <f t="shared" si="241"/>
        <v>0</v>
      </c>
      <c r="DJ202" s="1">
        <f>IF(D202="",0,MIN(Boss参数!$B$25,IF(OR(AND(DH202="敌方",OR(DH201&lt;&gt;"敌方",DG202&lt;&gt;DG201)),AND(L202="END_TURN",DH202&lt;&gt;"洞穿"),AND(DG202&lt;&gt;DG201,DH201&lt;&gt;"洞穿",L201&lt;&gt;"END_TURN",COUNTIFS($DG$3:DG201,DG201,$DH$3:DH201,"敌方")=0)),EW202,DN201)))</f>
        <v>0</v>
      </c>
      <c r="DK202" s="1">
        <f>IF(D202="",0,MIN(Boss参数!$B$25,IF(OR(AND(DH202="敌方",OR(DH201&lt;&gt;"敌方",DG202&lt;&gt;DG201)),AND(L202="END_TURN",DH202&lt;&gt;"洞穿"),AND(DG202&lt;&gt;DG201,DH201&lt;&gt;"洞穿",L201&lt;&gt;"END_TURN",COUNTIFS($DG$3:DG201,DG201,$DH$3:DH201,"敌方")=0)),EW202,DO201)))</f>
        <v>0</v>
      </c>
      <c r="DL202" s="1">
        <f>IF(D202="",0,MIN(Boss参数!$B$25,IF(OR(AND(DH202="敌方",OR(DH201&lt;&gt;"敌方",DG202&lt;&gt;DG201)),AND(L202="END_TURN",DH202&lt;&gt;"洞穿"),AND(DG202&lt;&gt;DG201,DH201&lt;&gt;"洞穿",L201&lt;&gt;"END_TURN",COUNTIFS($DG$3:DG201,DG201,$DH$3:DH201,"敌方")=0)),EW202,DP201)))</f>
        <v>0</v>
      </c>
      <c r="DM202" s="1">
        <f>IF(D202="",0,MIN(Boss参数!$B$25,IF(OR(AND(DH202="敌方",OR(DH201&lt;&gt;"敌方",DG202&lt;&gt;DG201)),AND(L202="END_TURN",DH202&lt;&gt;"洞穿"),AND(DG202&lt;&gt;DG201,DH201&lt;&gt;"洞穿",L201&lt;&gt;"END_TURN",COUNTIFS($DG$3:DG201,DG201,$DH$3:DH201,"敌方")=0)),EW202,DQ201)))</f>
        <v>0</v>
      </c>
      <c r="DN202" s="1">
        <f>MAX(0,MIN(Boss参数!$B$25,DJ202+DR202)-IF(E202="红弩箭",2*DR202,0))</f>
        <v>0</v>
      </c>
      <c r="DO202" s="1">
        <f>MAX(0,MIN(Boss参数!$B$25,DK202+DR202)-IF(E202="37",2*DR202,0))</f>
        <v>0</v>
      </c>
      <c r="DP202" s="1">
        <f>MAX(0,MIN(Boss参数!$B$25,DL202+DR202)-IF(E202="小瑞安侬",2*DR202,0))</f>
        <v>0</v>
      </c>
      <c r="DQ202" s="1">
        <f>MAX(0,MIN(Boss参数!$B$25,DM202+DR202)-IF(E202="J",2*DR202,0))</f>
        <v>0</v>
      </c>
      <c r="DR202" s="1">
        <f t="shared" si="242"/>
        <v>0</v>
      </c>
      <c r="DS202" s="1">
        <f t="shared" si="243"/>
        <v>0</v>
      </c>
      <c r="DT202" s="1">
        <f>IF(OR(E202="",E202="系统"),0,IF(OR(AND(DS202=1,Boss参数!$B$32=1),L202="RHI_BERRY",OR(AND(INDEX(角色面板!$B$18:$B$21,MATCH(E202,角色面板!$A$18:$A$21,0))="星",Boss参数!$B$4="岩"),AND(INDEX(角色面板!$B$18:$B$21,MATCH(E202,角色面板!$A$18:$A$21,0))="岩",Boss参数!$B$4="兽"),AND(INDEX(角色面板!$B$18:$B$21,MATCH(E202,角色面板!$A$18:$A$21,0))="兽",Boss参数!$B$4="木"),AND(INDEX(角色面板!$B$18:$B$21,MATCH(E202,角色面板!$A$18:$A$21,0))="木",Boss参数!$B$4="星"),AND(INDEX(角色面板!$B$18:$B$21,MATCH(E202,角色面板!$A$18:$A$21,0))="智",Boss参数!$B$4="灵"),AND(INDEX(角色面板!$B$18:$B$21,MATCH(E202,角色面板!$A$18:$A$21,0))="灵",Boss参数!$B$4="智"))),1,0))</f>
        <v>0</v>
      </c>
      <c r="DU202" s="1">
        <f>IF(D202="",0,INDEX(回合状态!$E$7:$E$17,MATCH(DG202,回合状态!$A$7:$A$17,0))+IF(AND(DH202="敌方",OR(INDEX(回合状态!$C$7:$C$17,MATCH(DG202,回合状态!$A$7:$A$17,0))="普通",INDEX(回合状态!$C$7:$C$17,MATCH(DG202,回合状态!$A$7:$A$17,0))="额外")),0.05,0))</f>
        <v>0</v>
      </c>
      <c r="DV202" s="1">
        <f>MAX(Boss参数!$B$28,1+IF(AND(E202="37",AC202&gt;0,BH202&gt;0),Boss参数!$B$42,0)-DI202*Boss参数!$B$24+EA202-ER202)</f>
        <v>9.9999999999999978E-2</v>
      </c>
      <c r="DW202" s="1">
        <f>MIN(IF(Boss参数!$B$77=1,Boss参数!$B$63*Boss参数!$B$62,Boss参数!$B$61*Boss参数!$B$62),ROUNDDOWN(BQ202*(1-ES202),0))</f>
        <v>0</v>
      </c>
      <c r="DX202" s="1">
        <f>MIN(IF(Boss参数!$B$77=1,Boss参数!$B$63*Boss参数!$B$62,Boss参数!$B$61*Boss参数!$B$62),ROUNDDOWN(BR202*(1-ES202),0))</f>
        <v>0</v>
      </c>
      <c r="DY202" s="1">
        <f t="shared" si="275"/>
        <v>250</v>
      </c>
      <c r="DZ202" s="1">
        <f>IF(L202="RHI_ULT",MIN(Boss参数!$B$48,ROUNDDOWN(AY202*Boss参数!$B$47,0)),DY202)</f>
        <v>250</v>
      </c>
      <c r="EA202" s="1">
        <v>0</v>
      </c>
      <c r="EB202" s="1">
        <f t="shared" si="244"/>
        <v>0</v>
      </c>
      <c r="EC202" s="1">
        <f>SUMIFS($EB$3:EB202,$B$3:B202,"&gt;="&amp;MAX(1,B202-2),$B$3:B202,"&lt;="&amp;B202)*Boss参数!$B$51</f>
        <v>0</v>
      </c>
      <c r="ED202" s="1">
        <f>IF(D202="",EG201,IF(AND(DG202&lt;&gt;DG201,DH202&lt;&gt;"洞穿"),MIN(Boss参数!$B$55,EG201+2),EG201))</f>
        <v>0</v>
      </c>
      <c r="EE202" s="1">
        <f t="shared" si="245"/>
        <v>0</v>
      </c>
      <c r="EF202" s="1">
        <f>IF(AND(OR(L202="END_TURN",AND(DH202="敌方",OR(DH201&lt;&gt;"敌方",DG202&lt;&gt;DG201))),SUMIFS($EF$3:EF201,$DG$3:DG201,DG202)=0),MIN(1,MAX(0,ED202-EE202)),0)</f>
        <v>0</v>
      </c>
      <c r="EG202" s="1">
        <f t="shared" si="246"/>
        <v>0</v>
      </c>
      <c r="EH202" s="1">
        <f>Boss参数!$B$53-IF(Y202=1,Boss参数!$B$54,0)</f>
        <v>0</v>
      </c>
      <c r="EI202" s="1">
        <f t="shared" si="247"/>
        <v>0.15</v>
      </c>
      <c r="EJ202" s="1">
        <f t="shared" si="248"/>
        <v>0.15</v>
      </c>
      <c r="EK202" s="1" t="e">
        <f t="shared" si="249"/>
        <v>#VALUE!</v>
      </c>
      <c r="EL202" s="1">
        <f t="shared" si="276"/>
        <v>0</v>
      </c>
      <c r="EM202" s="1">
        <f>IF(AND(DG202&lt;&gt;DG201,DH202="洞穿"),0,IF(L202="ENTER_INSIGHT",Boss参数!$B$57,EO201))</f>
        <v>0</v>
      </c>
      <c r="EN202" s="1">
        <f>IF(AND(Y202=1,H202="洞知",EM202&gt;0),Boss参数!$B$56,0)</f>
        <v>0</v>
      </c>
      <c r="EO202" s="1">
        <f t="shared" si="250"/>
        <v>0</v>
      </c>
      <c r="EP202" s="1">
        <f t="shared" si="277"/>
        <v>23210479</v>
      </c>
      <c r="EQ202" s="1">
        <f>ROUNDDOWN(EP202/Boss参数!$B$62,0)</f>
        <v>232</v>
      </c>
      <c r="ER202" s="1">
        <f>IF(EQ202&gt;=Boss参数!$B$66,Boss参数!$B$69,IF(EQ202&gt;=Boss参数!$B$65,Boss参数!$B$68,IF(EQ202&gt;=Boss参数!$B$64,Boss参数!$B$67,0)))</f>
        <v>0.9</v>
      </c>
      <c r="ES202" s="1">
        <f>MIN(1,IF(EQ202&gt;=Boss参数!$B$66,Boss参数!$B$72+ROUNDDOWN((EQ202-Boss参数!$B$66)/Boss参数!$B$73,0)*Boss参数!$B$74,IF(EQ202&gt;=Boss参数!$B$65,Boss参数!$B$71,IF(EQ202&gt;=Boss参数!$B$64,Boss参数!$B$70,0))))</f>
        <v>0.65</v>
      </c>
      <c r="ET202" s="1">
        <f>MIN(Boss参数!$B$61*Boss参数!$B$62,EP202+IF(AND(Boss参数!$B$60=1,ISNUMBER(验证表!H208)),验证表!H208,EU202))</f>
        <v>23210479</v>
      </c>
      <c r="EU202" s="1">
        <f>IF(D202="",0,IF(验证表!G208="是",BV202,IF(验证表!G208="否",BU202,BW202)))</f>
        <v>0</v>
      </c>
      <c r="EV202" s="1">
        <f>IF(EQ202&gt;=Boss参数!$B$66,2,IF(EQ202&gt;=Boss参数!$B$65,1,0))</f>
        <v>2</v>
      </c>
      <c r="EW202" s="1">
        <f t="shared" si="251"/>
        <v>3</v>
      </c>
      <c r="EX202" s="1">
        <f>IF(D202="",0,INDEX(回合状态!$D$7:$D$17,MATCH(DG202,回合状态!$A$7:$A$17,0)))</f>
        <v>0</v>
      </c>
      <c r="EY202" s="1">
        <f>IF(OR(L202="RHI_ATTACK",L202="RHI_BUFF"),1,IF(L202="RHI_ULT",Boss参数!$B$52,0))</f>
        <v>0</v>
      </c>
      <c r="EZ202" s="1">
        <f>MIN(6,SUMIFS($EY$3:EY202,$EX$3:EX202,"&gt;="&amp;MAX(1,EX202-Boss参数!$B$87+1),$EX$3:EX202,"&lt;="&amp;EX202))</f>
        <v>0</v>
      </c>
      <c r="FA202" s="1">
        <f t="shared" si="278"/>
        <v>0</v>
      </c>
      <c r="FB202" s="17">
        <f>IF(L202="BOSS_CONSERVATIVE",B202+Boss参数!$B$91,FB201)</f>
        <v>7</v>
      </c>
      <c r="FC202" s="17">
        <f t="shared" si="279"/>
        <v>0</v>
      </c>
      <c r="FD202" s="17">
        <f>IF(D202="",FD201,FD201+IF(AND(DG202&lt;&gt;DG201,INDEX(回合状态!$C$7:$C$17,MATCH(DG202,回合状态!$A$7:$A$17,0))&lt;&gt;"洞穿"),1,0))</f>
        <v>8</v>
      </c>
      <c r="FE202" s="17">
        <f>IF(D202="",0,IF(AND(OR(L202="END_TURN",DH202="敌方"),INDEX(回合状态!$C$7:$C$17,MATCH(DG202,回合状态!$A$7:$A$17,0))&lt;&gt;"洞穿",SUMIFS($FE$3:FE201,$DG$3:DG201,DG202)=0),1,0))</f>
        <v>0</v>
      </c>
    </row>
    <row r="203" spans="1:161" ht="84.95" customHeight="1">
      <c r="A203" s="1" t="str">
        <f>行动模拟!A209</f>
        <v/>
      </c>
      <c r="B203" s="1">
        <f>IF(D203="",0,INDEX(回合状态!$B$7:$B$17,MATCH(DG203,回合状态!$A$7:$A$17,0)))</f>
        <v>0</v>
      </c>
      <c r="C203" s="1">
        <f>行动模拟!C209</f>
        <v>0</v>
      </c>
      <c r="D203" s="1" t="str">
        <f>IF(行动模拟!D209="","",行动模拟!D209)</f>
        <v/>
      </c>
      <c r="E203" s="1" t="str">
        <f>IF($D203="","",IFERROR(INDEX(技能数据库!$B$4:$B$38,MATCH($D203,技能数据库!$A$4:$A$38,0)),""))</f>
        <v/>
      </c>
      <c r="F203" s="1" t="str">
        <f>IF($D203="","",IFERROR(INDEX(技能数据库!$C$4:$C$38,MATCH($D203,技能数据库!$A$4:$A$38,0)),""))</f>
        <v/>
      </c>
      <c r="G203" s="1" t="str">
        <f>IF($D203="","",IFERROR(INDEX(技能数据库!$D$4:$D$38,MATCH($D203,技能数据库!$A$4:$A$38,0)),""))</f>
        <v/>
      </c>
      <c r="H203" s="1" t="str">
        <f>IF($D203="","",IFERROR(INDEX(技能数据库!$E$4:$E$38,MATCH($D203,技能数据库!$A$4:$A$38,0)),""))</f>
        <v/>
      </c>
      <c r="I203" s="1" t="str">
        <f>IF($D203="","",IFERROR(INDEX(技能数据库!$F$4:$F$38,MATCH($D203,技能数据库!$A$4:$A$38,0)),""))</f>
        <v/>
      </c>
      <c r="J203" s="1" t="str">
        <f>IF($D203="","",IFERROR(INDEX(技能数据库!$G$4:$G$38,MATCH($D203,技能数据库!$A$4:$A$38,0)),""))</f>
        <v/>
      </c>
      <c r="K203" s="1" t="str">
        <f>IF($D203="","",IFERROR(INDEX(技能数据库!$H$4:$H$38,MATCH($D203,技能数据库!$A$4:$A$38,0)),""))</f>
        <v/>
      </c>
      <c r="L203" s="1" t="str">
        <f>IF($D203="","",IFERROR(INDEX(技能数据库!$I$4:$I$38,MATCH($D203,技能数据库!$A$4:$A$38,0)),""))</f>
        <v/>
      </c>
      <c r="M203" s="1">
        <v>1</v>
      </c>
      <c r="N203" s="1"/>
      <c r="O203" s="1"/>
      <c r="P203" s="1"/>
      <c r="Q203" s="1">
        <f t="shared" si="210"/>
        <v>0</v>
      </c>
      <c r="R203" s="1">
        <v>0</v>
      </c>
      <c r="S203" s="1">
        <v>0</v>
      </c>
      <c r="T203" s="1">
        <f>行动模拟!I209</f>
        <v>0</v>
      </c>
      <c r="U203" s="1">
        <f>IF(FD203&lt;&gt;FD202,IF(BY202=1,IF(MIN(10,CA202+IF(AND(DG203&lt;&gt;DG202,DH202&lt;&gt;"洞穿",SUMIFS($FE$3:FE202,$DG$3:DG202,DG202)=0,BY202=1),3,0))&gt;=10,2,1),IF(BY202=2,IF(BZ202&lt;=1,0,2),0)),BY202)</f>
        <v>2</v>
      </c>
      <c r="V203" s="1">
        <f>IF(FD203&lt;&gt;FD202,IF(BY202=1,IF(MIN(10,CA202+IF(AND(DG203&lt;&gt;DG202,DH202&lt;&gt;"洞穿",SUMIFS($FE$3:FE202,$DG$3:DG202,DG202)=0,BY202=1),3,0))&gt;=10,2,0),IF(BY202=2,MAX(0,BZ202-1),0)),BZ202)</f>
        <v>1</v>
      </c>
      <c r="W203" s="1">
        <f>IF(AND(FD203&lt;&gt;FD202,BY202=2,BZ202&lt;=1),0,MIN(10,CA202+IF(AND(DG203&lt;&gt;DG202,DH202&lt;&gt;"洞穿",SUMIFS($FE$3:FE202,$DG$3:DG202,DG202)=0,BY202=1),3,0)))</f>
        <v>10</v>
      </c>
      <c r="X203" s="1">
        <f t="shared" si="252"/>
        <v>13</v>
      </c>
      <c r="Y203" s="1">
        <f t="shared" si="253"/>
        <v>0</v>
      </c>
      <c r="Z203" s="1">
        <f t="shared" si="254"/>
        <v>0</v>
      </c>
      <c r="AA203" s="1">
        <f t="shared" si="255"/>
        <v>0</v>
      </c>
      <c r="AB203" s="1">
        <f t="shared" si="256"/>
        <v>10</v>
      </c>
      <c r="AC203" s="1">
        <f t="shared" si="257"/>
        <v>1</v>
      </c>
      <c r="AD203" s="1">
        <f t="shared" si="258"/>
        <v>35</v>
      </c>
      <c r="AE203" s="1">
        <f>IF(D203="",0,IF(DG203&lt;&gt;DG202,IFERROR(INDEX(回合状态!$F$7:$F$17,MATCH(DG203,回合状态!$A$7:$A$17,0)),0),CI202))</f>
        <v>0</v>
      </c>
      <c r="AF203" s="1">
        <f t="shared" si="259"/>
        <v>0.875</v>
      </c>
      <c r="AG203" s="1">
        <f t="shared" si="260"/>
        <v>9</v>
      </c>
      <c r="AH203" s="1">
        <f t="shared" si="261"/>
        <v>9</v>
      </c>
      <c r="AI203" s="1">
        <f t="shared" si="262"/>
        <v>8</v>
      </c>
      <c r="AJ203" s="1">
        <f t="shared" si="263"/>
        <v>9</v>
      </c>
      <c r="AK203" s="1">
        <f t="shared" si="264"/>
        <v>8</v>
      </c>
      <c r="AL203" s="1">
        <f t="shared" si="265"/>
        <v>3</v>
      </c>
      <c r="AM203" s="1">
        <f t="shared" si="266"/>
        <v>30</v>
      </c>
      <c r="AN203" s="1">
        <f t="shared" si="267"/>
        <v>9</v>
      </c>
      <c r="AO203" s="1">
        <f t="shared" si="268"/>
        <v>0</v>
      </c>
      <c r="AP203" s="1" t="e">
        <f t="shared" si="269"/>
        <v>#VALUE!</v>
      </c>
      <c r="AQ203" s="1" t="e">
        <f t="shared" si="270"/>
        <v>#VALUE!</v>
      </c>
      <c r="AR203" s="1">
        <f t="shared" si="271"/>
        <v>0.3</v>
      </c>
      <c r="AS203" s="1">
        <f t="shared" si="272"/>
        <v>9</v>
      </c>
      <c r="AT203" s="1">
        <f t="shared" si="273"/>
        <v>0.3</v>
      </c>
      <c r="AU203" s="1">
        <f t="shared" si="274"/>
        <v>9</v>
      </c>
      <c r="AV203" s="1">
        <f>MIN(5,SUMIFS($EL$3:EL203,$B$3:B203,"&gt;="&amp;MAX(1,B203-2),$B$3:B203,"&lt;="&amp;B203)+EC203)</f>
        <v>0</v>
      </c>
      <c r="AW203" s="1">
        <f>MIN(6,SUMIFS($EY$3:EY202,$EX$3:EX202,"&gt;="&amp;MAX(1,EX203-Boss参数!$B$87+1),$EX$3:EX202,"&lt;="&amp;EX203))</f>
        <v>0</v>
      </c>
      <c r="AX203" s="1">
        <f>MIN(4,COUNTIFS($B$3:$B$202,"&gt;="&amp;MAX(1,$B203-2),$B$3:$B$202,"&lt;="&amp;$B203,$L$3:$L$202,"37_FOLLOW"))</f>
        <v>0</v>
      </c>
      <c r="AY203" s="1" t="str">
        <f>IF($E203="","",IF($E203="系统",0,ROUNDDOWN(INDEX(角色面板!$C$4:$C$7,MATCH($E203,角色面板!$A$4:$A$7,0))*(1+INDEX(角色面板!$C$11:$C$14,MATCH($E203,角色面板!$A$11:$A$14,0))+IF($E203="小瑞安侬",MAX(IF($B203&lt;=$AQ203,$AP203,0),IF(AND($L203="RHI_ATTACK",$EE203&gt;0),0.11+0.01*$G203,0)),0)+IF($E203="J",$AD203*Boss参数!$B$18,0))+IF(FD203&lt;=$AN203,MIN(Boss参数!$B$21,ROUNDDOWN(角色面板!$C$19*Boss参数!$B$20,0)),0)+IF(AND($B203&lt;=$AK203,$E203&lt;&gt;"小瑞安侬"),$DY203,0),0)))</f>
        <v/>
      </c>
      <c r="AZ203" s="1" t="str">
        <f>IF($E203="","",MAX(0,MIN(1,IFERROR(INDEX(角色面板!$G$18:$G$21,MATCH($E203,角色面板!$A$18:$A$21,0)),0)-FC203*Boss参数!$B$89-Boss参数!$E$4)))</f>
        <v/>
      </c>
      <c r="BA203" s="1" t="str">
        <f>IF(E203="","",(IF($E203="","",IF($E203="红弩箭",Boss参数!$B$80,IF($E203="J",Boss参数!$B$81,IFERROR(INDEX(角色面板!$H$18:$H$21,MATCH($E203,角色面板!$A$18:$A$21,0)),0)))+IF($B203&lt;=$AI203,Boss参数!$B$13,0)+MIN(30,$AM203)*Boss参数!$B$17+IF(AND($L203="LILYA_ULT",$X203&gt;=6),1,0)+IF(AND($Y203=1,$L203="LILYA_INSIGHT"),IF(MOD($AA203+1,3)=0,Boss参数!$B$83,Boss参数!$B$82),IF(AND($Y203=1,$L203="LILYA_FINISH"),Boss参数!$B$84,0))))-FC203*Boss参数!$B$90)</f>
        <v/>
      </c>
      <c r="BB203" s="1" t="str">
        <f>IF($E203="","",IFERROR(INDEX(角色面板!$M$18:$M$21,MATCH($E203,角色面板!$A$18:$A$21,0)),0)+$AW203*Boss参数!$B$12+IF($B203&lt;=$AG203,$AF203,0)+$EI203+IF($L203="LILYA_DIVE",IF($U203=1,IF($G203=1,0.3,IF($G203=2,0.4,0.5)),IF($U203=2,IF($G203=1,0.6,IF($G203=2,0.8,1)),0)),0)+$R203+IF(AND($E203="J",OR($L203="J_COUNTER",$L203="J_HARD")),Boss参数!$B$79,0)+IF(AND(OR(L203="J_COUNTER",L203="J_HARD"),FA203&gt;=Boss参数!$B$59),FA203*Boss参数!$B$40,0))</f>
        <v/>
      </c>
      <c r="BC203" s="1" t="e">
        <f>IF($E203="","",IFERROR(INDEX(角色面板!$K$18:$K$21,MATCH($E203,角色面板!$A$18:$A$21,0)),0)+IF($B203&lt;=$AH203,Boss参数!$B$46,0)+IF($E203="红弩箭",IF($U203=1,0.6,IF($U203=2,1.2,0))+$W203*0.06,0))-DI203*Boss参数!$B$23</f>
        <v>#VALUE!</v>
      </c>
      <c r="BD203" s="1" t="e">
        <f>IF($E203="","",IFERROR(INDEX(角色面板!$L$18:$L$21,MATCH($E203,角色面板!$A$18:$A$21,0)),0)+IF($B203&lt;=$AH203,Boss参数!$B$46,0)+IF($E203="J",$AL203*Boss参数!$B$16,0)+IF($E203="红弩箭",$X203*0.025,0)+IF(AND($L203="LILYA_ULT",$X203&gt;=6),1,0))-DI203*Boss参数!$B$23</f>
        <v>#VALUE!</v>
      </c>
      <c r="BE203" s="1" t="str">
        <f>IF($E203="","",IF($H203="洞知",IF($E203="红弩箭",$AO203*Boss参数!$B$15,0)+$AX203*Boss参数!$B$14,0))</f>
        <v/>
      </c>
      <c r="BF203" s="1">
        <f t="shared" si="211"/>
        <v>0</v>
      </c>
      <c r="BG203" s="1">
        <f>IF($D203="",0,IF(AND($L203&lt;&gt;"LILYA_DIVE",$L203&lt;&gt;"LILYA_ULT",$L203&lt;&gt;"LILYA_INSIGHT",$L203&lt;&gt;"LILYA_FINISH",$L203&lt;&gt;"37_FOLLOW",$L203&lt;&gt;"RHI_ATTACK",$L203&lt;&gt;"RHI_BERRY",$L203&lt;&gt;"J_COUNTER",$L203&lt;&gt;"J_ULT"),$J203,0)+IF($L203="LILYA_DIVE",$J203+IF($U203=1,IF($G203=1,6,IF($G203=2,12,18)),IF($U203=2,IF($G203=1,12,IF($G203=2,24,36)),0)),0)+IF($L203="LILYA_ULT",$J203+IF($X203&gt;=6,18,0),0)+IF($L203="LILYA_INSIGHT",IF($Y203=1,IF(MOD($AA203+1,3)=0,32,15),0),0)+IF($L203="LILYA_FINISH",IF($Y203=1,50+2.5*$Z203,0),0)+IF($L203="37_FOLLOW",$J203,0)+IF($L203="RHI_ATTACK",$J203*IF($B203&lt;=$AJ203,2,1),0)+IF($L203="RHI_BERRY",15+1.5*$AV203,0)+IF($L203="J_COUNTER",$J203+$AD203*Boss参数!$B$39,0)+IF($L203="J_ULT",$J203+Boss参数!$B$45*MAX(0,$AE203+$AD203-Boss参数!$I$4),0)+$S203)</f>
        <v>0</v>
      </c>
      <c r="BH203" s="1">
        <f t="shared" si="212"/>
        <v>0</v>
      </c>
      <c r="BI203" s="1" t="str">
        <f>IF(E203="","",IF(DT203=1,1+Boss参数!$B$8+AV203*Boss参数!$B$19,1))</f>
        <v/>
      </c>
      <c r="BJ203" s="1">
        <f>IF($I203="现实",Boss参数!$C$4,IF($I203="精神",Boss参数!$D$4,0))</f>
        <v>0</v>
      </c>
      <c r="BK203" s="1" t="str">
        <f>IF($E203="","",MAX($AY203*Boss参数!$B$9,$AY203-$BJ203*(1-$BF203)))</f>
        <v/>
      </c>
      <c r="BL203" s="1">
        <f>MAX(0,Boss参数!$F$4+IF(DT203=0,Boss参数!$B$27,0)-EJ203)</f>
        <v>1.25</v>
      </c>
      <c r="BM203" s="1">
        <f>Boss参数!$G$4+DU203-IF(Y203=1,Boss参数!$B$11,0)</f>
        <v>0.4</v>
      </c>
      <c r="BN203" s="1" t="str">
        <f>IF($E203="","",MAX(Boss参数!$B$10,1+IFERROR(INDEX(角色面板!$I$18:$I$21,MATCH($E203,角色面板!$A$18:$A$21,0)),0)+$BB203+Boss参数!$H$4-$BM203))</f>
        <v/>
      </c>
      <c r="BO203" s="1" t="str">
        <f>IF(E203="","",IF(OR(L203="J_COUNTER",L203="J_HARD"),MAX(0,1+INDEX(角色面板!$K$18:$K$21,MATCH(E203,角色面板!$A$18:$A$21,0))-DI203*Boss参数!$B$23+IF(OR(Boss参数!$B$43=1,L203="J_HARD"),IF(B203&lt;=AH203,Boss参数!$B$46,0),0)),MAX(0,IF(OR(H203="术法",L203="RHI_BERRY",AND(L203="37_FOLLOW",Boss参数!$B$31=1)),1+BC203,IF(H203="仪式",1+BD203,IF(H203="洞知",EK203,1))))))</f>
        <v/>
      </c>
      <c r="BP203" s="1" t="str">
        <f t="shared" si="213"/>
        <v/>
      </c>
      <c r="BQ203" s="1">
        <f t="shared" si="214"/>
        <v>0</v>
      </c>
      <c r="BR203" s="1">
        <f t="shared" si="215"/>
        <v>0</v>
      </c>
      <c r="BS203" s="1">
        <f>IF(BH203=0,0,ROUNDDOWN(AY203*BH203,0)*DV203*IF(Boss参数!$B$29=1,BN203,1)*IF(Boss参数!$B$33=1,BO203,1)*IF(Boss参数!$B$76=1,1-ES203,1))</f>
        <v>0</v>
      </c>
      <c r="BT203" s="1">
        <f t="shared" si="216"/>
        <v>0</v>
      </c>
      <c r="BU203" s="1">
        <f>IF(D203="",0,MIN(IF(Boss参数!$B$77=1,Boss参数!$B$63*Boss参数!$B$62,Boss参数!$B$61*Boss参数!$B$62),DW203+ROUNDDOWN(BS203,0)+ROUNDDOWN(DW203*Q203,0)))</f>
        <v>0</v>
      </c>
      <c r="BV203" s="1">
        <f>IF(D203="",0,MIN(IF(Boss参数!$B$77=1,Boss参数!$B$63*Boss参数!$B$62,Boss参数!$B$61*Boss参数!$B$62),DX203+ROUNDDOWN(BT203,0)+ROUNDDOWN(DX203*Q203,0)))</f>
        <v>0</v>
      </c>
      <c r="BW203" s="1">
        <f t="shared" si="217"/>
        <v>0</v>
      </c>
      <c r="BX203" s="1" t="str">
        <f t="shared" si="218"/>
        <v/>
      </c>
      <c r="BY203" s="1">
        <f t="shared" si="219"/>
        <v>2</v>
      </c>
      <c r="BZ203" s="1">
        <f t="shared" si="220"/>
        <v>1</v>
      </c>
      <c r="CA203" s="1">
        <f>MIN(10,W203+IF(AND(L203="LILYA_COBRA",COUNTIF($L$3:L203,"LILYA_COBRA")=1),5,0)+IF(AND(L203="LILYA_DIVE",U203=1,COUNTIFS($DG$3:DG203,DG203,$L$3:L203,"LILYA_DIVE")=1),2,0)+IF(AND(FE203=1,U203=1),3,0))</f>
        <v>10</v>
      </c>
      <c r="CB203" s="1">
        <f>MIN(20,MAX(0,X203+IF(L203="LILYA_COBRA",IF(COUNTIF($L$3:L203,"LILYA_COBRA")=1,6,IF(U203=1,MAX(1,G203),IF(U203=2,2*MAX(1,G203),0))),0)+IF(AND(Y203=1,E203="红弩箭",L203&lt;&gt;"ENTER_INSIGHT"),1,0)-IF(AND(L203="LILYA_ULT",X203&gt;=6),6,0)))</f>
        <v>13</v>
      </c>
      <c r="CC203" s="1">
        <f t="shared" si="221"/>
        <v>0</v>
      </c>
      <c r="CD203" s="1">
        <f t="shared" si="222"/>
        <v>0</v>
      </c>
      <c r="CE203" s="1">
        <f t="shared" si="223"/>
        <v>0</v>
      </c>
      <c r="CF203" s="1">
        <f t="shared" si="224"/>
        <v>10</v>
      </c>
      <c r="CG203" s="1">
        <f t="shared" si="225"/>
        <v>1</v>
      </c>
      <c r="CH203" s="1">
        <f>MIN(35,AD203+IF(L203="J_HARD",6,0)+IF(L203="J_COUNTER",Boss参数!$B$30,0))</f>
        <v>35</v>
      </c>
      <c r="CI203" s="1">
        <f>MIN(Boss参数!$I$4,AE203+IF(L203="J_HARD",6,0)+IF(L203="J_ULT",AD203,0)+IF(L203="J_COUNTER",Boss参数!$B$30,0))</f>
        <v>0</v>
      </c>
      <c r="CJ203" s="1">
        <f>IF(L203="J_ULT",AD203*Boss参数!$B$41,IF(B203&lt;=AG203,AF203,0))</f>
        <v>0.875</v>
      </c>
      <c r="CK203" s="1">
        <f t="shared" si="226"/>
        <v>9</v>
      </c>
      <c r="CL203" s="1">
        <f t="shared" si="227"/>
        <v>9</v>
      </c>
      <c r="CM203" s="1">
        <f t="shared" si="228"/>
        <v>8</v>
      </c>
      <c r="CN203" s="1">
        <f t="shared" si="229"/>
        <v>9</v>
      </c>
      <c r="CO203" s="1">
        <f t="shared" si="230"/>
        <v>8</v>
      </c>
      <c r="CP203" s="1">
        <f t="shared" si="231"/>
        <v>3</v>
      </c>
      <c r="CQ203" s="1">
        <f t="shared" si="232"/>
        <v>30</v>
      </c>
      <c r="CR203" s="1">
        <f t="shared" si="233"/>
        <v>9</v>
      </c>
      <c r="CS203" s="1">
        <f t="shared" si="234"/>
        <v>0</v>
      </c>
      <c r="CT203" s="1" t="e">
        <f t="shared" si="235"/>
        <v>#VALUE!</v>
      </c>
      <c r="CU203" s="1" t="e">
        <f t="shared" si="236"/>
        <v>#VALUE!</v>
      </c>
      <c r="CV203" s="1">
        <f t="shared" si="237"/>
        <v>0.3</v>
      </c>
      <c r="CW203" s="1">
        <f t="shared" si="238"/>
        <v>9</v>
      </c>
      <c r="CX203" s="1">
        <f t="shared" si="239"/>
        <v>0.3</v>
      </c>
      <c r="CY203" s="1">
        <f t="shared" si="240"/>
        <v>9</v>
      </c>
      <c r="CZ203" s="1"/>
      <c r="DA203" s="1"/>
      <c r="DB203" s="1"/>
      <c r="DC203" s="1"/>
      <c r="DD203" s="1"/>
      <c r="DE203" s="1"/>
      <c r="DF203" s="1"/>
      <c r="DG203" s="1" t="str">
        <f>IF(D203="","",行动模拟!B209)</f>
        <v/>
      </c>
      <c r="DH203" s="1" t="str">
        <f>IF(L203="END_TURN","回合结束",IF(D203="","",IF(INDEX(回合状态!$C$7:$C$17,MATCH(DG203,回合状态!$A$7:$A$17,0))="洞穿","洞穿",IF(OR(L203="J_COUNTER",L203="BOSS_ACTION",L203="BOSS_CONSERVATIVE"),"敌方",IF(AND(L203="37_FOLLOW",DG203=DG202,DH202="敌方"),"敌方",IF(INDEX(回合状态!$C$7:$C$17,MATCH(DG203,回合状态!$A$7:$A$17,0))="普通","出牌",INDEX(回合状态!$C$7:$C$17,MATCH(DG203,回合状态!$A$7:$A$17,0))))))))</f>
        <v/>
      </c>
      <c r="DI203" s="1">
        <f t="shared" si="241"/>
        <v>0</v>
      </c>
      <c r="DJ203" s="1">
        <f>IF(D203="",0,MIN(Boss参数!$B$25,IF(OR(AND(DH203="敌方",OR(DH202&lt;&gt;"敌方",DG203&lt;&gt;DG202)),AND(L203="END_TURN",DH203&lt;&gt;"洞穿"),AND(DG203&lt;&gt;DG202,DH202&lt;&gt;"洞穿",L202&lt;&gt;"END_TURN",COUNTIFS($DG$3:DG202,DG202,$DH$3:DH202,"敌方")=0)),EW203,DN202)))</f>
        <v>0</v>
      </c>
      <c r="DK203" s="1">
        <f>IF(D203="",0,MIN(Boss参数!$B$25,IF(OR(AND(DH203="敌方",OR(DH202&lt;&gt;"敌方",DG203&lt;&gt;DG202)),AND(L203="END_TURN",DH203&lt;&gt;"洞穿"),AND(DG203&lt;&gt;DG202,DH202&lt;&gt;"洞穿",L202&lt;&gt;"END_TURN",COUNTIFS($DG$3:DG202,DG202,$DH$3:DH202,"敌方")=0)),EW203,DO202)))</f>
        <v>0</v>
      </c>
      <c r="DL203" s="1">
        <f>IF(D203="",0,MIN(Boss参数!$B$25,IF(OR(AND(DH203="敌方",OR(DH202&lt;&gt;"敌方",DG203&lt;&gt;DG202)),AND(L203="END_TURN",DH203&lt;&gt;"洞穿"),AND(DG203&lt;&gt;DG202,DH202&lt;&gt;"洞穿",L202&lt;&gt;"END_TURN",COUNTIFS($DG$3:DG202,DG202,$DH$3:DH202,"敌方")=0)),EW203,DP202)))</f>
        <v>0</v>
      </c>
      <c r="DM203" s="1">
        <f>IF(D203="",0,MIN(Boss参数!$B$25,IF(OR(AND(DH203="敌方",OR(DH202&lt;&gt;"敌方",DG203&lt;&gt;DG202)),AND(L203="END_TURN",DH203&lt;&gt;"洞穿"),AND(DG203&lt;&gt;DG202,DH202&lt;&gt;"洞穿",L202&lt;&gt;"END_TURN",COUNTIFS($DG$3:DG202,DG202,$DH$3:DH202,"敌方")=0)),EW203,DQ202)))</f>
        <v>0</v>
      </c>
      <c r="DN203" s="1">
        <f>MAX(0,MIN(Boss参数!$B$25,DJ203+DR203)-IF(E203="红弩箭",2*DR203,0))</f>
        <v>0</v>
      </c>
      <c r="DO203" s="1">
        <f>MAX(0,MIN(Boss参数!$B$25,DK203+DR203)-IF(E203="37",2*DR203,0))</f>
        <v>0</v>
      </c>
      <c r="DP203" s="1">
        <f>MAX(0,MIN(Boss参数!$B$25,DL203+DR203)-IF(E203="小瑞安侬",2*DR203,0))</f>
        <v>0</v>
      </c>
      <c r="DQ203" s="1">
        <f>MAX(0,MIN(Boss参数!$B$25,DM203+DR203)-IF(E203="J",2*DR203,0))</f>
        <v>0</v>
      </c>
      <c r="DR203" s="1">
        <f t="shared" si="242"/>
        <v>0</v>
      </c>
      <c r="DS203" s="1">
        <f t="shared" si="243"/>
        <v>0</v>
      </c>
      <c r="DT203" s="1">
        <f>IF(OR(E203="",E203="系统"),0,IF(OR(AND(DS203=1,Boss参数!$B$32=1),L203="RHI_BERRY",OR(AND(INDEX(角色面板!$B$18:$B$21,MATCH(E203,角色面板!$A$18:$A$21,0))="星",Boss参数!$B$4="岩"),AND(INDEX(角色面板!$B$18:$B$21,MATCH(E203,角色面板!$A$18:$A$21,0))="岩",Boss参数!$B$4="兽"),AND(INDEX(角色面板!$B$18:$B$21,MATCH(E203,角色面板!$A$18:$A$21,0))="兽",Boss参数!$B$4="木"),AND(INDEX(角色面板!$B$18:$B$21,MATCH(E203,角色面板!$A$18:$A$21,0))="木",Boss参数!$B$4="星"),AND(INDEX(角色面板!$B$18:$B$21,MATCH(E203,角色面板!$A$18:$A$21,0))="智",Boss参数!$B$4="灵"),AND(INDEX(角色面板!$B$18:$B$21,MATCH(E203,角色面板!$A$18:$A$21,0))="灵",Boss参数!$B$4="智"))),1,0))</f>
        <v>0</v>
      </c>
      <c r="DU203" s="1">
        <f>IF(D203="",0,INDEX(回合状态!$E$7:$E$17,MATCH(DG203,回合状态!$A$7:$A$17,0))+IF(AND(DH203="敌方",OR(INDEX(回合状态!$C$7:$C$17,MATCH(DG203,回合状态!$A$7:$A$17,0))="普通",INDEX(回合状态!$C$7:$C$17,MATCH(DG203,回合状态!$A$7:$A$17,0))="额外")),0.05,0))</f>
        <v>0</v>
      </c>
      <c r="DV203" s="1">
        <f>MAX(Boss参数!$B$28,1+IF(AND(E203="37",AC203&gt;0,BH203&gt;0),Boss参数!$B$42,0)-DI203*Boss参数!$B$24+EA203-ER203)</f>
        <v>9.9999999999999978E-2</v>
      </c>
      <c r="DW203" s="1">
        <f>MIN(IF(Boss参数!$B$77=1,Boss参数!$B$63*Boss参数!$B$62,Boss参数!$B$61*Boss参数!$B$62),ROUNDDOWN(BQ203*(1-ES203),0))</f>
        <v>0</v>
      </c>
      <c r="DX203" s="1">
        <f>MIN(IF(Boss参数!$B$77=1,Boss参数!$B$63*Boss参数!$B$62,Boss参数!$B$61*Boss参数!$B$62),ROUNDDOWN(BR203*(1-ES203),0))</f>
        <v>0</v>
      </c>
      <c r="DY203" s="1">
        <f t="shared" si="275"/>
        <v>250</v>
      </c>
      <c r="DZ203" s="1">
        <f>IF(L203="RHI_ULT",MIN(Boss参数!$B$48,ROUNDDOWN(AY203*Boss参数!$B$47,0)),DY203)</f>
        <v>250</v>
      </c>
      <c r="EA203" s="1">
        <v>0</v>
      </c>
      <c r="EB203" s="1">
        <f t="shared" si="244"/>
        <v>0</v>
      </c>
      <c r="EC203" s="1">
        <f>SUMIFS($EB$3:EB203,$B$3:B203,"&gt;="&amp;MAX(1,B203-2),$B$3:B203,"&lt;="&amp;B203)*Boss参数!$B$51</f>
        <v>0</v>
      </c>
      <c r="ED203" s="1">
        <f>IF(D203="",EG202,IF(AND(DG203&lt;&gt;DG202,DH203&lt;&gt;"洞穿"),MIN(Boss参数!$B$55,EG202+2),EG202))</f>
        <v>0</v>
      </c>
      <c r="EE203" s="1">
        <f t="shared" si="245"/>
        <v>0</v>
      </c>
      <c r="EF203" s="1">
        <f>IF(AND(OR(L203="END_TURN",AND(DH203="敌方",OR(DH202&lt;&gt;"敌方",DG203&lt;&gt;DG202))),SUMIFS($EF$3:EF202,$DG$3:DG202,DG203)=0),MIN(1,MAX(0,ED203-EE203)),0)</f>
        <v>0</v>
      </c>
      <c r="EG203" s="1">
        <f t="shared" si="246"/>
        <v>0</v>
      </c>
      <c r="EH203" s="1">
        <f>Boss参数!$B$53-IF(Y203=1,Boss参数!$B$54,0)</f>
        <v>0</v>
      </c>
      <c r="EI203" s="1">
        <f t="shared" si="247"/>
        <v>0.15</v>
      </c>
      <c r="EJ203" s="1">
        <f t="shared" si="248"/>
        <v>0.15</v>
      </c>
      <c r="EK203" s="1" t="e">
        <f t="shared" si="249"/>
        <v>#VALUE!</v>
      </c>
      <c r="EL203" s="1">
        <f t="shared" si="276"/>
        <v>0</v>
      </c>
      <c r="EM203" s="1">
        <f>IF(AND(DG203&lt;&gt;DG202,DH203="洞穿"),0,IF(L203="ENTER_INSIGHT",Boss参数!$B$57,EO202))</f>
        <v>0</v>
      </c>
      <c r="EN203" s="1">
        <f>IF(AND(Y203=1,H203="洞知",EM203&gt;0),Boss参数!$B$56,0)</f>
        <v>0</v>
      </c>
      <c r="EO203" s="1">
        <f t="shared" si="250"/>
        <v>0</v>
      </c>
      <c r="EP203" s="1">
        <f t="shared" si="277"/>
        <v>23210479</v>
      </c>
      <c r="EQ203" s="1">
        <f>ROUNDDOWN(EP203/Boss参数!$B$62,0)</f>
        <v>232</v>
      </c>
      <c r="ER203" s="1">
        <f>IF(EQ203&gt;=Boss参数!$B$66,Boss参数!$B$69,IF(EQ203&gt;=Boss参数!$B$65,Boss参数!$B$68,IF(EQ203&gt;=Boss参数!$B$64,Boss参数!$B$67,0)))</f>
        <v>0.9</v>
      </c>
      <c r="ES203" s="1">
        <f>MIN(1,IF(EQ203&gt;=Boss参数!$B$66,Boss参数!$B$72+ROUNDDOWN((EQ203-Boss参数!$B$66)/Boss参数!$B$73,0)*Boss参数!$B$74,IF(EQ203&gt;=Boss参数!$B$65,Boss参数!$B$71,IF(EQ203&gt;=Boss参数!$B$64,Boss参数!$B$70,0))))</f>
        <v>0.65</v>
      </c>
      <c r="ET203" s="1">
        <f>MIN(Boss参数!$B$61*Boss参数!$B$62,EP203+IF(AND(Boss参数!$B$60=1,ISNUMBER(验证表!H209)),验证表!H209,EU203))</f>
        <v>23210479</v>
      </c>
      <c r="EU203" s="1">
        <f>IF(D203="",0,IF(验证表!G209="是",BV203,IF(验证表!G209="否",BU203,BW203)))</f>
        <v>0</v>
      </c>
      <c r="EV203" s="1">
        <f>IF(EQ203&gt;=Boss参数!$B$66,2,IF(EQ203&gt;=Boss参数!$B$65,1,0))</f>
        <v>2</v>
      </c>
      <c r="EW203" s="1">
        <f t="shared" si="251"/>
        <v>3</v>
      </c>
      <c r="EX203" s="1">
        <f>IF(D203="",0,INDEX(回合状态!$D$7:$D$17,MATCH(DG203,回合状态!$A$7:$A$17,0)))</f>
        <v>0</v>
      </c>
      <c r="EY203" s="1">
        <f>IF(OR(L203="RHI_ATTACK",L203="RHI_BUFF"),1,IF(L203="RHI_ULT",Boss参数!$B$52,0))</f>
        <v>0</v>
      </c>
      <c r="EZ203" s="1">
        <f>MIN(6,SUMIFS($EY$3:EY203,$EX$3:EX203,"&gt;="&amp;MAX(1,EX203-Boss参数!$B$87+1),$EX$3:EX203,"&lt;="&amp;EX203))</f>
        <v>0</v>
      </c>
      <c r="FA203" s="1">
        <f t="shared" si="278"/>
        <v>0</v>
      </c>
      <c r="FB203" s="17">
        <f>IF(L203="BOSS_CONSERVATIVE",B203+Boss参数!$B$91,FB202)</f>
        <v>7</v>
      </c>
      <c r="FC203" s="17">
        <f t="shared" si="279"/>
        <v>0</v>
      </c>
      <c r="FD203" s="17">
        <f>IF(D203="",FD202,FD202+IF(AND(DG203&lt;&gt;DG202,INDEX(回合状态!$C$7:$C$17,MATCH(DG203,回合状态!$A$7:$A$17,0))&lt;&gt;"洞穿"),1,0))</f>
        <v>8</v>
      </c>
      <c r="FE203" s="17">
        <f>IF(D203="",0,IF(AND(OR(L203="END_TURN",DH203="敌方"),INDEX(回合状态!$C$7:$C$17,MATCH(DG203,回合状态!$A$7:$A$17,0))&lt;&gt;"洞穿",SUMIFS($FE$3:FE202,$DG$3:DG202,DG203)=0),1,0))</f>
        <v>0</v>
      </c>
    </row>
    <row r="204" spans="1:161" ht="84.95" customHeight="1">
      <c r="A204" s="1" t="str">
        <f>行动模拟!A210</f>
        <v/>
      </c>
      <c r="B204" s="1">
        <f>IF(D204="",0,INDEX(回合状态!$B$7:$B$17,MATCH(DG204,回合状态!$A$7:$A$17,0)))</f>
        <v>0</v>
      </c>
      <c r="C204" s="1">
        <f>行动模拟!C210</f>
        <v>0</v>
      </c>
      <c r="D204" s="1" t="str">
        <f>IF(行动模拟!D210="","",行动模拟!D210)</f>
        <v/>
      </c>
      <c r="E204" s="1" t="str">
        <f>IF($D204="","",IFERROR(INDEX(技能数据库!$B$4:$B$38,MATCH($D204,技能数据库!$A$4:$A$38,0)),""))</f>
        <v/>
      </c>
      <c r="F204" s="1" t="str">
        <f>IF($D204="","",IFERROR(INDEX(技能数据库!$C$4:$C$38,MATCH($D204,技能数据库!$A$4:$A$38,0)),""))</f>
        <v/>
      </c>
      <c r="G204" s="1" t="str">
        <f>IF($D204="","",IFERROR(INDEX(技能数据库!$D$4:$D$38,MATCH($D204,技能数据库!$A$4:$A$38,0)),""))</f>
        <v/>
      </c>
      <c r="H204" s="1" t="str">
        <f>IF($D204="","",IFERROR(INDEX(技能数据库!$E$4:$E$38,MATCH($D204,技能数据库!$A$4:$A$38,0)),""))</f>
        <v/>
      </c>
      <c r="I204" s="1" t="str">
        <f>IF($D204="","",IFERROR(INDEX(技能数据库!$F$4:$F$38,MATCH($D204,技能数据库!$A$4:$A$38,0)),""))</f>
        <v/>
      </c>
      <c r="J204" s="1" t="str">
        <f>IF($D204="","",IFERROR(INDEX(技能数据库!$G$4:$G$38,MATCH($D204,技能数据库!$A$4:$A$38,0)),""))</f>
        <v/>
      </c>
      <c r="K204" s="1" t="str">
        <f>IF($D204="","",IFERROR(INDEX(技能数据库!$H$4:$H$38,MATCH($D204,技能数据库!$A$4:$A$38,0)),""))</f>
        <v/>
      </c>
      <c r="L204" s="1" t="str">
        <f>IF($D204="","",IFERROR(INDEX(技能数据库!$I$4:$I$38,MATCH($D204,技能数据库!$A$4:$A$38,0)),""))</f>
        <v/>
      </c>
      <c r="M204" s="1">
        <v>1</v>
      </c>
      <c r="N204" s="1"/>
      <c r="O204" s="1"/>
      <c r="P204" s="1"/>
      <c r="Q204" s="1">
        <f t="shared" si="210"/>
        <v>0</v>
      </c>
      <c r="R204" s="1">
        <v>0</v>
      </c>
      <c r="S204" s="1">
        <v>0</v>
      </c>
      <c r="T204" s="1">
        <f>行动模拟!I210</f>
        <v>0</v>
      </c>
      <c r="U204" s="1">
        <f>IF(FD204&lt;&gt;FD203,IF(BY203=1,IF(MIN(10,CA203+IF(AND(DG204&lt;&gt;DG203,DH203&lt;&gt;"洞穿",SUMIFS($FE$3:FE203,$DG$3:DG203,DG203)=0,BY203=1),3,0))&gt;=10,2,1),IF(BY203=2,IF(BZ203&lt;=1,0,2),0)),BY203)</f>
        <v>2</v>
      </c>
      <c r="V204" s="1">
        <f>IF(FD204&lt;&gt;FD203,IF(BY203=1,IF(MIN(10,CA203+IF(AND(DG204&lt;&gt;DG203,DH203&lt;&gt;"洞穿",SUMIFS($FE$3:FE203,$DG$3:DG203,DG203)=0,BY203=1),3,0))&gt;=10,2,0),IF(BY203=2,MAX(0,BZ203-1),0)),BZ203)</f>
        <v>1</v>
      </c>
      <c r="W204" s="1">
        <f>IF(AND(FD204&lt;&gt;FD203,BY203=2,BZ203&lt;=1),0,MIN(10,CA203+IF(AND(DG204&lt;&gt;DG203,DH203&lt;&gt;"洞穿",SUMIFS($FE$3:FE203,$DG$3:DG203,DG203)=0,BY203=1),3,0)))</f>
        <v>10</v>
      </c>
      <c r="X204" s="1">
        <f t="shared" si="252"/>
        <v>13</v>
      </c>
      <c r="Y204" s="1">
        <f t="shared" si="253"/>
        <v>0</v>
      </c>
      <c r="Z204" s="1">
        <f t="shared" si="254"/>
        <v>0</v>
      </c>
      <c r="AA204" s="1">
        <f t="shared" si="255"/>
        <v>0</v>
      </c>
      <c r="AB204" s="1">
        <f t="shared" si="256"/>
        <v>10</v>
      </c>
      <c r="AC204" s="1">
        <f t="shared" si="257"/>
        <v>1</v>
      </c>
      <c r="AD204" s="1">
        <f t="shared" si="258"/>
        <v>35</v>
      </c>
      <c r="AE204" s="1">
        <f>IF(D204="",0,IF(DG204&lt;&gt;DG203,IFERROR(INDEX(回合状态!$F$7:$F$17,MATCH(DG204,回合状态!$A$7:$A$17,0)),0),CI203))</f>
        <v>0</v>
      </c>
      <c r="AF204" s="1">
        <f t="shared" si="259"/>
        <v>0.875</v>
      </c>
      <c r="AG204" s="1">
        <f t="shared" si="260"/>
        <v>9</v>
      </c>
      <c r="AH204" s="1">
        <f t="shared" si="261"/>
        <v>9</v>
      </c>
      <c r="AI204" s="1">
        <f t="shared" si="262"/>
        <v>8</v>
      </c>
      <c r="AJ204" s="1">
        <f t="shared" si="263"/>
        <v>9</v>
      </c>
      <c r="AK204" s="1">
        <f t="shared" si="264"/>
        <v>8</v>
      </c>
      <c r="AL204" s="1">
        <f t="shared" si="265"/>
        <v>3</v>
      </c>
      <c r="AM204" s="1">
        <f t="shared" si="266"/>
        <v>30</v>
      </c>
      <c r="AN204" s="1">
        <f t="shared" si="267"/>
        <v>9</v>
      </c>
      <c r="AO204" s="1">
        <f t="shared" si="268"/>
        <v>0</v>
      </c>
      <c r="AP204" s="1" t="e">
        <f t="shared" si="269"/>
        <v>#VALUE!</v>
      </c>
      <c r="AQ204" s="1" t="e">
        <f t="shared" si="270"/>
        <v>#VALUE!</v>
      </c>
      <c r="AR204" s="1">
        <f t="shared" si="271"/>
        <v>0.3</v>
      </c>
      <c r="AS204" s="1">
        <f t="shared" si="272"/>
        <v>9</v>
      </c>
      <c r="AT204" s="1">
        <f t="shared" si="273"/>
        <v>0.3</v>
      </c>
      <c r="AU204" s="1">
        <f t="shared" si="274"/>
        <v>9</v>
      </c>
      <c r="AV204" s="1">
        <f>MIN(5,SUMIFS($EL$3:EL204,$B$3:B204,"&gt;="&amp;MAX(1,B204-2),$B$3:B204,"&lt;="&amp;B204)+EC204)</f>
        <v>0</v>
      </c>
      <c r="AW204" s="1">
        <f>MIN(6,SUMIFS($EY$3:EY203,$EX$3:EX203,"&gt;="&amp;MAX(1,EX204-Boss参数!$B$87+1),$EX$3:EX203,"&lt;="&amp;EX204))</f>
        <v>0</v>
      </c>
      <c r="AX204" s="1">
        <f>MIN(4,COUNTIFS($B$3:$B$203,"&gt;="&amp;MAX(1,$B204-2),$B$3:$B$203,"&lt;="&amp;$B204,$L$3:$L$203,"37_FOLLOW"))</f>
        <v>0</v>
      </c>
      <c r="AY204" s="1" t="str">
        <f>IF($E204="","",IF($E204="系统",0,ROUNDDOWN(INDEX(角色面板!$C$4:$C$7,MATCH($E204,角色面板!$A$4:$A$7,0))*(1+INDEX(角色面板!$C$11:$C$14,MATCH($E204,角色面板!$A$11:$A$14,0))+IF($E204="小瑞安侬",MAX(IF($B204&lt;=$AQ204,$AP204,0),IF(AND($L204="RHI_ATTACK",$EE204&gt;0),0.11+0.01*$G204,0)),0)+IF($E204="J",$AD204*Boss参数!$B$18,0))+IF(FD204&lt;=$AN204,MIN(Boss参数!$B$21,ROUNDDOWN(角色面板!$C$19*Boss参数!$B$20,0)),0)+IF(AND($B204&lt;=$AK204,$E204&lt;&gt;"小瑞安侬"),$DY204,0),0)))</f>
        <v/>
      </c>
      <c r="AZ204" s="1" t="str">
        <f>IF($E204="","",MAX(0,MIN(1,IFERROR(INDEX(角色面板!$G$18:$G$21,MATCH($E204,角色面板!$A$18:$A$21,0)),0)-FC204*Boss参数!$B$89-Boss参数!$E$4)))</f>
        <v/>
      </c>
      <c r="BA204" s="1" t="str">
        <f>IF(E204="","",(IF($E204="","",IF($E204="红弩箭",Boss参数!$B$80,IF($E204="J",Boss参数!$B$81,IFERROR(INDEX(角色面板!$H$18:$H$21,MATCH($E204,角色面板!$A$18:$A$21,0)),0)))+IF($B204&lt;=$AI204,Boss参数!$B$13,0)+MIN(30,$AM204)*Boss参数!$B$17+IF(AND($L204="LILYA_ULT",$X204&gt;=6),1,0)+IF(AND($Y204=1,$L204="LILYA_INSIGHT"),IF(MOD($AA204+1,3)=0,Boss参数!$B$83,Boss参数!$B$82),IF(AND($Y204=1,$L204="LILYA_FINISH"),Boss参数!$B$84,0))))-FC204*Boss参数!$B$90)</f>
        <v/>
      </c>
      <c r="BB204" s="1" t="str">
        <f>IF($E204="","",IFERROR(INDEX(角色面板!$M$18:$M$21,MATCH($E204,角色面板!$A$18:$A$21,0)),0)+$AW204*Boss参数!$B$12+IF($B204&lt;=$AG204,$AF204,0)+$EI204+IF($L204="LILYA_DIVE",IF($U204=1,IF($G204=1,0.3,IF($G204=2,0.4,0.5)),IF($U204=2,IF($G204=1,0.6,IF($G204=2,0.8,1)),0)),0)+$R204+IF(AND($E204="J",OR($L204="J_COUNTER",$L204="J_HARD")),Boss参数!$B$79,0)+IF(AND(OR(L204="J_COUNTER",L204="J_HARD"),FA204&gt;=Boss参数!$B$59),FA204*Boss参数!$B$40,0))</f>
        <v/>
      </c>
      <c r="BC204" s="1" t="e">
        <f>IF($E204="","",IFERROR(INDEX(角色面板!$K$18:$K$21,MATCH($E204,角色面板!$A$18:$A$21,0)),0)+IF($B204&lt;=$AH204,Boss参数!$B$46,0)+IF($E204="红弩箭",IF($U204=1,0.6,IF($U204=2,1.2,0))+$W204*0.06,0))-DI204*Boss参数!$B$23</f>
        <v>#VALUE!</v>
      </c>
      <c r="BD204" s="1" t="e">
        <f>IF($E204="","",IFERROR(INDEX(角色面板!$L$18:$L$21,MATCH($E204,角色面板!$A$18:$A$21,0)),0)+IF($B204&lt;=$AH204,Boss参数!$B$46,0)+IF($E204="J",$AL204*Boss参数!$B$16,0)+IF($E204="红弩箭",$X204*0.025,0)+IF(AND($L204="LILYA_ULT",$X204&gt;=6),1,0))-DI204*Boss参数!$B$23</f>
        <v>#VALUE!</v>
      </c>
      <c r="BE204" s="1" t="str">
        <f>IF($E204="","",IF($H204="洞知",IF($E204="红弩箭",$AO204*Boss参数!$B$15,0)+$AX204*Boss参数!$B$14,0))</f>
        <v/>
      </c>
      <c r="BF204" s="1">
        <f t="shared" si="211"/>
        <v>0</v>
      </c>
      <c r="BG204" s="1">
        <f>IF($D204="",0,IF(AND($L204&lt;&gt;"LILYA_DIVE",$L204&lt;&gt;"LILYA_ULT",$L204&lt;&gt;"LILYA_INSIGHT",$L204&lt;&gt;"LILYA_FINISH",$L204&lt;&gt;"37_FOLLOW",$L204&lt;&gt;"RHI_ATTACK",$L204&lt;&gt;"RHI_BERRY",$L204&lt;&gt;"J_COUNTER",$L204&lt;&gt;"J_ULT"),$J204,0)+IF($L204="LILYA_DIVE",$J204+IF($U204=1,IF($G204=1,6,IF($G204=2,12,18)),IF($U204=2,IF($G204=1,12,IF($G204=2,24,36)),0)),0)+IF($L204="LILYA_ULT",$J204+IF($X204&gt;=6,18,0),0)+IF($L204="LILYA_INSIGHT",IF($Y204=1,IF(MOD($AA204+1,3)=0,32,15),0),0)+IF($L204="LILYA_FINISH",IF($Y204=1,50+2.5*$Z204,0),0)+IF($L204="37_FOLLOW",$J204,0)+IF($L204="RHI_ATTACK",$J204*IF($B204&lt;=$AJ204,2,1),0)+IF($L204="RHI_BERRY",15+1.5*$AV204,0)+IF($L204="J_COUNTER",$J204+$AD204*Boss参数!$B$39,0)+IF($L204="J_ULT",$J204+Boss参数!$B$45*MAX(0,$AE204+$AD204-Boss参数!$I$4),0)+$S204)</f>
        <v>0</v>
      </c>
      <c r="BH204" s="1">
        <f t="shared" si="212"/>
        <v>0</v>
      </c>
      <c r="BI204" s="1" t="str">
        <f>IF(E204="","",IF(DT204=1,1+Boss参数!$B$8+AV204*Boss参数!$B$19,1))</f>
        <v/>
      </c>
      <c r="BJ204" s="1">
        <f>IF($I204="现实",Boss参数!$C$4,IF($I204="精神",Boss参数!$D$4,0))</f>
        <v>0</v>
      </c>
      <c r="BK204" s="1" t="str">
        <f>IF($E204="","",MAX($AY204*Boss参数!$B$9,$AY204-$BJ204*(1-$BF204)))</f>
        <v/>
      </c>
      <c r="BL204" s="1">
        <f>MAX(0,Boss参数!$F$4+IF(DT204=0,Boss参数!$B$27,0)-EJ204)</f>
        <v>1.25</v>
      </c>
      <c r="BM204" s="1">
        <f>Boss参数!$G$4+DU204-IF(Y204=1,Boss参数!$B$11,0)</f>
        <v>0.4</v>
      </c>
      <c r="BN204" s="1" t="str">
        <f>IF($E204="","",MAX(Boss参数!$B$10,1+IFERROR(INDEX(角色面板!$I$18:$I$21,MATCH($E204,角色面板!$A$18:$A$21,0)),0)+$BB204+Boss参数!$H$4-$BM204))</f>
        <v/>
      </c>
      <c r="BO204" s="1" t="str">
        <f>IF(E204="","",IF(OR(L204="J_COUNTER",L204="J_HARD"),MAX(0,1+INDEX(角色面板!$K$18:$K$21,MATCH(E204,角色面板!$A$18:$A$21,0))-DI204*Boss参数!$B$23+IF(OR(Boss参数!$B$43=1,L204="J_HARD"),IF(B204&lt;=AH204,Boss参数!$B$46,0),0)),MAX(0,IF(OR(H204="术法",L204="RHI_BERRY",AND(L204="37_FOLLOW",Boss参数!$B$31=1)),1+BC204,IF(H204="仪式",1+BD204,IF(H204="洞知",EK204,1))))))</f>
        <v/>
      </c>
      <c r="BP204" s="1" t="str">
        <f t="shared" si="213"/>
        <v/>
      </c>
      <c r="BQ204" s="1">
        <f t="shared" si="214"/>
        <v>0</v>
      </c>
      <c r="BR204" s="1">
        <f t="shared" si="215"/>
        <v>0</v>
      </c>
      <c r="BS204" s="1">
        <f>IF(BH204=0,0,ROUNDDOWN(AY204*BH204,0)*DV204*IF(Boss参数!$B$29=1,BN204,1)*IF(Boss参数!$B$33=1,BO204,1)*IF(Boss参数!$B$76=1,1-ES204,1))</f>
        <v>0</v>
      </c>
      <c r="BT204" s="1">
        <f t="shared" si="216"/>
        <v>0</v>
      </c>
      <c r="BU204" s="1">
        <f>IF(D204="",0,MIN(IF(Boss参数!$B$77=1,Boss参数!$B$63*Boss参数!$B$62,Boss参数!$B$61*Boss参数!$B$62),DW204+ROUNDDOWN(BS204,0)+ROUNDDOWN(DW204*Q204,0)))</f>
        <v>0</v>
      </c>
      <c r="BV204" s="1">
        <f>IF(D204="",0,MIN(IF(Boss参数!$B$77=1,Boss参数!$B$63*Boss参数!$B$62,Boss参数!$B$61*Boss参数!$B$62),DX204+ROUNDDOWN(BT204,0)+ROUNDDOWN(DX204*Q204,0)))</f>
        <v>0</v>
      </c>
      <c r="BW204" s="1">
        <f t="shared" si="217"/>
        <v>0</v>
      </c>
      <c r="BX204" s="1" t="str">
        <f t="shared" si="218"/>
        <v/>
      </c>
      <c r="BY204" s="1">
        <f t="shared" si="219"/>
        <v>2</v>
      </c>
      <c r="BZ204" s="1">
        <f t="shared" si="220"/>
        <v>1</v>
      </c>
      <c r="CA204" s="1">
        <f>MIN(10,W204+IF(AND(L204="LILYA_COBRA",COUNTIF($L$3:L204,"LILYA_COBRA")=1),5,0)+IF(AND(L204="LILYA_DIVE",U204=1,COUNTIFS($DG$3:DG204,DG204,$L$3:L204,"LILYA_DIVE")=1),2,0)+IF(AND(FE204=1,U204=1),3,0))</f>
        <v>10</v>
      </c>
      <c r="CB204" s="1">
        <f>MIN(20,MAX(0,X204+IF(L204="LILYA_COBRA",IF(COUNTIF($L$3:L204,"LILYA_COBRA")=1,6,IF(U204=1,MAX(1,G204),IF(U204=2,2*MAX(1,G204),0))),0)+IF(AND(Y204=1,E204="红弩箭",L204&lt;&gt;"ENTER_INSIGHT"),1,0)-IF(AND(L204="LILYA_ULT",X204&gt;=6),6,0)))</f>
        <v>13</v>
      </c>
      <c r="CC204" s="1">
        <f t="shared" si="221"/>
        <v>0</v>
      </c>
      <c r="CD204" s="1">
        <f t="shared" si="222"/>
        <v>0</v>
      </c>
      <c r="CE204" s="1">
        <f t="shared" si="223"/>
        <v>0</v>
      </c>
      <c r="CF204" s="1">
        <f t="shared" si="224"/>
        <v>10</v>
      </c>
      <c r="CG204" s="1">
        <f t="shared" si="225"/>
        <v>1</v>
      </c>
      <c r="CH204" s="1">
        <f>MIN(35,AD204+IF(L204="J_HARD",6,0)+IF(L204="J_COUNTER",Boss参数!$B$30,0))</f>
        <v>35</v>
      </c>
      <c r="CI204" s="1">
        <f>MIN(Boss参数!$I$4,AE204+IF(L204="J_HARD",6,0)+IF(L204="J_ULT",AD204,0)+IF(L204="J_COUNTER",Boss参数!$B$30,0))</f>
        <v>0</v>
      </c>
      <c r="CJ204" s="1">
        <f>IF(L204="J_ULT",AD204*Boss参数!$B$41,IF(B204&lt;=AG204,AF204,0))</f>
        <v>0.875</v>
      </c>
      <c r="CK204" s="1">
        <f t="shared" si="226"/>
        <v>9</v>
      </c>
      <c r="CL204" s="1">
        <f t="shared" si="227"/>
        <v>9</v>
      </c>
      <c r="CM204" s="1">
        <f t="shared" si="228"/>
        <v>8</v>
      </c>
      <c r="CN204" s="1">
        <f t="shared" si="229"/>
        <v>9</v>
      </c>
      <c r="CO204" s="1">
        <f t="shared" si="230"/>
        <v>8</v>
      </c>
      <c r="CP204" s="1">
        <f t="shared" si="231"/>
        <v>3</v>
      </c>
      <c r="CQ204" s="1">
        <f t="shared" si="232"/>
        <v>30</v>
      </c>
      <c r="CR204" s="1">
        <f t="shared" si="233"/>
        <v>9</v>
      </c>
      <c r="CS204" s="1">
        <f t="shared" si="234"/>
        <v>0</v>
      </c>
      <c r="CT204" s="1" t="e">
        <f t="shared" si="235"/>
        <v>#VALUE!</v>
      </c>
      <c r="CU204" s="1" t="e">
        <f t="shared" si="236"/>
        <v>#VALUE!</v>
      </c>
      <c r="CV204" s="1">
        <f t="shared" si="237"/>
        <v>0.3</v>
      </c>
      <c r="CW204" s="1">
        <f t="shared" si="238"/>
        <v>9</v>
      </c>
      <c r="CX204" s="1">
        <f t="shared" si="239"/>
        <v>0.3</v>
      </c>
      <c r="CY204" s="1">
        <f t="shared" si="240"/>
        <v>9</v>
      </c>
      <c r="CZ204" s="1"/>
      <c r="DA204" s="1"/>
      <c r="DB204" s="1"/>
      <c r="DC204" s="1"/>
      <c r="DD204" s="1"/>
      <c r="DE204" s="1"/>
      <c r="DF204" s="1"/>
      <c r="DG204" s="1" t="str">
        <f>IF(D204="","",行动模拟!B210)</f>
        <v/>
      </c>
      <c r="DH204" s="1" t="str">
        <f>IF(L204="END_TURN","回合结束",IF(D204="","",IF(INDEX(回合状态!$C$7:$C$17,MATCH(DG204,回合状态!$A$7:$A$17,0))="洞穿","洞穿",IF(OR(L204="J_COUNTER",L204="BOSS_ACTION",L204="BOSS_CONSERVATIVE"),"敌方",IF(AND(L204="37_FOLLOW",DG204=DG203,DH203="敌方"),"敌方",IF(INDEX(回合状态!$C$7:$C$17,MATCH(DG204,回合状态!$A$7:$A$17,0))="普通","出牌",INDEX(回合状态!$C$7:$C$17,MATCH(DG204,回合状态!$A$7:$A$17,0))))))))</f>
        <v/>
      </c>
      <c r="DI204" s="1">
        <f t="shared" si="241"/>
        <v>0</v>
      </c>
      <c r="DJ204" s="1">
        <f>IF(D204="",0,MIN(Boss参数!$B$25,IF(OR(AND(DH204="敌方",OR(DH203&lt;&gt;"敌方",DG204&lt;&gt;DG203)),AND(L204="END_TURN",DH204&lt;&gt;"洞穿"),AND(DG204&lt;&gt;DG203,DH203&lt;&gt;"洞穿",L203&lt;&gt;"END_TURN",COUNTIFS($DG$3:DG203,DG203,$DH$3:DH203,"敌方")=0)),EW204,DN203)))</f>
        <v>0</v>
      </c>
      <c r="DK204" s="1">
        <f>IF(D204="",0,MIN(Boss参数!$B$25,IF(OR(AND(DH204="敌方",OR(DH203&lt;&gt;"敌方",DG204&lt;&gt;DG203)),AND(L204="END_TURN",DH204&lt;&gt;"洞穿"),AND(DG204&lt;&gt;DG203,DH203&lt;&gt;"洞穿",L203&lt;&gt;"END_TURN",COUNTIFS($DG$3:DG203,DG203,$DH$3:DH203,"敌方")=0)),EW204,DO203)))</f>
        <v>0</v>
      </c>
      <c r="DL204" s="1">
        <f>IF(D204="",0,MIN(Boss参数!$B$25,IF(OR(AND(DH204="敌方",OR(DH203&lt;&gt;"敌方",DG204&lt;&gt;DG203)),AND(L204="END_TURN",DH204&lt;&gt;"洞穿"),AND(DG204&lt;&gt;DG203,DH203&lt;&gt;"洞穿",L203&lt;&gt;"END_TURN",COUNTIFS($DG$3:DG203,DG203,$DH$3:DH203,"敌方")=0)),EW204,DP203)))</f>
        <v>0</v>
      </c>
      <c r="DM204" s="1">
        <f>IF(D204="",0,MIN(Boss参数!$B$25,IF(OR(AND(DH204="敌方",OR(DH203&lt;&gt;"敌方",DG204&lt;&gt;DG203)),AND(L204="END_TURN",DH204&lt;&gt;"洞穿"),AND(DG204&lt;&gt;DG203,DH203&lt;&gt;"洞穿",L203&lt;&gt;"END_TURN",COUNTIFS($DG$3:DG203,DG203,$DH$3:DH203,"敌方")=0)),EW204,DQ203)))</f>
        <v>0</v>
      </c>
      <c r="DN204" s="1">
        <f>MAX(0,MIN(Boss参数!$B$25,DJ204+DR204)-IF(E204="红弩箭",2*DR204,0))</f>
        <v>0</v>
      </c>
      <c r="DO204" s="1">
        <f>MAX(0,MIN(Boss参数!$B$25,DK204+DR204)-IF(E204="37",2*DR204,0))</f>
        <v>0</v>
      </c>
      <c r="DP204" s="1">
        <f>MAX(0,MIN(Boss参数!$B$25,DL204+DR204)-IF(E204="小瑞安侬",2*DR204,0))</f>
        <v>0</v>
      </c>
      <c r="DQ204" s="1">
        <f>MAX(0,MIN(Boss参数!$B$25,DM204+DR204)-IF(E204="J",2*DR204,0))</f>
        <v>0</v>
      </c>
      <c r="DR204" s="1">
        <f t="shared" si="242"/>
        <v>0</v>
      </c>
      <c r="DS204" s="1">
        <f t="shared" si="243"/>
        <v>0</v>
      </c>
      <c r="DT204" s="1">
        <f>IF(OR(E204="",E204="系统"),0,IF(OR(AND(DS204=1,Boss参数!$B$32=1),L204="RHI_BERRY",OR(AND(INDEX(角色面板!$B$18:$B$21,MATCH(E204,角色面板!$A$18:$A$21,0))="星",Boss参数!$B$4="岩"),AND(INDEX(角色面板!$B$18:$B$21,MATCH(E204,角色面板!$A$18:$A$21,0))="岩",Boss参数!$B$4="兽"),AND(INDEX(角色面板!$B$18:$B$21,MATCH(E204,角色面板!$A$18:$A$21,0))="兽",Boss参数!$B$4="木"),AND(INDEX(角色面板!$B$18:$B$21,MATCH(E204,角色面板!$A$18:$A$21,0))="木",Boss参数!$B$4="星"),AND(INDEX(角色面板!$B$18:$B$21,MATCH(E204,角色面板!$A$18:$A$21,0))="智",Boss参数!$B$4="灵"),AND(INDEX(角色面板!$B$18:$B$21,MATCH(E204,角色面板!$A$18:$A$21,0))="灵",Boss参数!$B$4="智"))),1,0))</f>
        <v>0</v>
      </c>
      <c r="DU204" s="1">
        <f>IF(D204="",0,INDEX(回合状态!$E$7:$E$17,MATCH(DG204,回合状态!$A$7:$A$17,0))+IF(AND(DH204="敌方",OR(INDEX(回合状态!$C$7:$C$17,MATCH(DG204,回合状态!$A$7:$A$17,0))="普通",INDEX(回合状态!$C$7:$C$17,MATCH(DG204,回合状态!$A$7:$A$17,0))="额外")),0.05,0))</f>
        <v>0</v>
      </c>
      <c r="DV204" s="1">
        <f>MAX(Boss参数!$B$28,1+IF(AND(E204="37",AC204&gt;0,BH204&gt;0),Boss参数!$B$42,0)-DI204*Boss参数!$B$24+EA204-ER204)</f>
        <v>9.9999999999999978E-2</v>
      </c>
      <c r="DW204" s="1">
        <f>MIN(IF(Boss参数!$B$77=1,Boss参数!$B$63*Boss参数!$B$62,Boss参数!$B$61*Boss参数!$B$62),ROUNDDOWN(BQ204*(1-ES204),0))</f>
        <v>0</v>
      </c>
      <c r="DX204" s="1">
        <f>MIN(IF(Boss参数!$B$77=1,Boss参数!$B$63*Boss参数!$B$62,Boss参数!$B$61*Boss参数!$B$62),ROUNDDOWN(BR204*(1-ES204),0))</f>
        <v>0</v>
      </c>
      <c r="DY204" s="1">
        <f t="shared" si="275"/>
        <v>250</v>
      </c>
      <c r="DZ204" s="1">
        <f>IF(L204="RHI_ULT",MIN(Boss参数!$B$48,ROUNDDOWN(AY204*Boss参数!$B$47,0)),DY204)</f>
        <v>250</v>
      </c>
      <c r="EA204" s="1">
        <v>0</v>
      </c>
      <c r="EB204" s="1">
        <f t="shared" si="244"/>
        <v>0</v>
      </c>
      <c r="EC204" s="1">
        <f>SUMIFS($EB$3:EB204,$B$3:B204,"&gt;="&amp;MAX(1,B204-2),$B$3:B204,"&lt;="&amp;B204)*Boss参数!$B$51</f>
        <v>0</v>
      </c>
      <c r="ED204" s="1">
        <f>IF(D204="",EG203,IF(AND(DG204&lt;&gt;DG203,DH204&lt;&gt;"洞穿"),MIN(Boss参数!$B$55,EG203+2),EG203))</f>
        <v>0</v>
      </c>
      <c r="EE204" s="1">
        <f t="shared" si="245"/>
        <v>0</v>
      </c>
      <c r="EF204" s="1">
        <f>IF(AND(OR(L204="END_TURN",AND(DH204="敌方",OR(DH203&lt;&gt;"敌方",DG204&lt;&gt;DG203))),SUMIFS($EF$3:EF203,$DG$3:DG203,DG204)=0),MIN(1,MAX(0,ED204-EE204)),0)</f>
        <v>0</v>
      </c>
      <c r="EG204" s="1">
        <f t="shared" si="246"/>
        <v>0</v>
      </c>
      <c r="EH204" s="1">
        <f>Boss参数!$B$53-IF(Y204=1,Boss参数!$B$54,0)</f>
        <v>0</v>
      </c>
      <c r="EI204" s="1">
        <f t="shared" si="247"/>
        <v>0.15</v>
      </c>
      <c r="EJ204" s="1">
        <f t="shared" si="248"/>
        <v>0.15</v>
      </c>
      <c r="EK204" s="1" t="e">
        <f t="shared" si="249"/>
        <v>#VALUE!</v>
      </c>
      <c r="EL204" s="1">
        <f t="shared" si="276"/>
        <v>0</v>
      </c>
      <c r="EM204" s="1">
        <f>IF(AND(DG204&lt;&gt;DG203,DH204="洞穿"),0,IF(L204="ENTER_INSIGHT",Boss参数!$B$57,EO203))</f>
        <v>0</v>
      </c>
      <c r="EN204" s="1">
        <f>IF(AND(Y204=1,H204="洞知",EM204&gt;0),Boss参数!$B$56,0)</f>
        <v>0</v>
      </c>
      <c r="EO204" s="1">
        <f t="shared" si="250"/>
        <v>0</v>
      </c>
      <c r="EP204" s="1">
        <f t="shared" si="277"/>
        <v>23210479</v>
      </c>
      <c r="EQ204" s="1">
        <f>ROUNDDOWN(EP204/Boss参数!$B$62,0)</f>
        <v>232</v>
      </c>
      <c r="ER204" s="1">
        <f>IF(EQ204&gt;=Boss参数!$B$66,Boss参数!$B$69,IF(EQ204&gt;=Boss参数!$B$65,Boss参数!$B$68,IF(EQ204&gt;=Boss参数!$B$64,Boss参数!$B$67,0)))</f>
        <v>0.9</v>
      </c>
      <c r="ES204" s="1">
        <f>MIN(1,IF(EQ204&gt;=Boss参数!$B$66,Boss参数!$B$72+ROUNDDOWN((EQ204-Boss参数!$B$66)/Boss参数!$B$73,0)*Boss参数!$B$74,IF(EQ204&gt;=Boss参数!$B$65,Boss参数!$B$71,IF(EQ204&gt;=Boss参数!$B$64,Boss参数!$B$70,0))))</f>
        <v>0.65</v>
      </c>
      <c r="ET204" s="1">
        <f>MIN(Boss参数!$B$61*Boss参数!$B$62,EP204+IF(AND(Boss参数!$B$60=1,ISNUMBER(验证表!H210)),验证表!H210,EU204))</f>
        <v>23210479</v>
      </c>
      <c r="EU204" s="1">
        <f>IF(D204="",0,IF(验证表!G210="是",BV204,IF(验证表!G210="否",BU204,BW204)))</f>
        <v>0</v>
      </c>
      <c r="EV204" s="1">
        <f>IF(EQ204&gt;=Boss参数!$B$66,2,IF(EQ204&gt;=Boss参数!$B$65,1,0))</f>
        <v>2</v>
      </c>
      <c r="EW204" s="1">
        <f t="shared" si="251"/>
        <v>3</v>
      </c>
      <c r="EX204" s="1">
        <f>IF(D204="",0,INDEX(回合状态!$D$7:$D$17,MATCH(DG204,回合状态!$A$7:$A$17,0)))</f>
        <v>0</v>
      </c>
      <c r="EY204" s="1">
        <f>IF(OR(L204="RHI_ATTACK",L204="RHI_BUFF"),1,IF(L204="RHI_ULT",Boss参数!$B$52,0))</f>
        <v>0</v>
      </c>
      <c r="EZ204" s="1">
        <f>MIN(6,SUMIFS($EY$3:EY204,$EX$3:EX204,"&gt;="&amp;MAX(1,EX204-Boss参数!$B$87+1),$EX$3:EX204,"&lt;="&amp;EX204))</f>
        <v>0</v>
      </c>
      <c r="FA204" s="1">
        <f t="shared" si="278"/>
        <v>0</v>
      </c>
      <c r="FB204" s="17">
        <f>IF(L204="BOSS_CONSERVATIVE",B204+Boss参数!$B$91,FB203)</f>
        <v>7</v>
      </c>
      <c r="FC204" s="17">
        <f t="shared" si="279"/>
        <v>0</v>
      </c>
      <c r="FD204" s="17">
        <f>IF(D204="",FD203,FD203+IF(AND(DG204&lt;&gt;DG203,INDEX(回合状态!$C$7:$C$17,MATCH(DG204,回合状态!$A$7:$A$17,0))&lt;&gt;"洞穿"),1,0))</f>
        <v>8</v>
      </c>
      <c r="FE204" s="17">
        <f>IF(D204="",0,IF(AND(OR(L204="END_TURN",DH204="敌方"),INDEX(回合状态!$C$7:$C$17,MATCH(DG204,回合状态!$A$7:$A$17,0))&lt;&gt;"洞穿",SUMIFS($FE$3:FE203,$DG$3:DG203,DG204)=0),1,0))</f>
        <v>0</v>
      </c>
    </row>
    <row r="205" spans="1:161" ht="84.95" customHeight="1">
      <c r="A205" s="1" t="str">
        <f>行动模拟!A211</f>
        <v/>
      </c>
      <c r="B205" s="1">
        <f>IF(D205="",0,INDEX(回合状态!$B$7:$B$17,MATCH(DG205,回合状态!$A$7:$A$17,0)))</f>
        <v>0</v>
      </c>
      <c r="C205" s="1">
        <f>行动模拟!C211</f>
        <v>0</v>
      </c>
      <c r="D205" s="1" t="str">
        <f>IF(行动模拟!D211="","",行动模拟!D211)</f>
        <v/>
      </c>
      <c r="E205" s="1" t="str">
        <f>IF($D205="","",IFERROR(INDEX(技能数据库!$B$4:$B$38,MATCH($D205,技能数据库!$A$4:$A$38,0)),""))</f>
        <v/>
      </c>
      <c r="F205" s="1" t="str">
        <f>IF($D205="","",IFERROR(INDEX(技能数据库!$C$4:$C$38,MATCH($D205,技能数据库!$A$4:$A$38,0)),""))</f>
        <v/>
      </c>
      <c r="G205" s="1" t="str">
        <f>IF($D205="","",IFERROR(INDEX(技能数据库!$D$4:$D$38,MATCH($D205,技能数据库!$A$4:$A$38,0)),""))</f>
        <v/>
      </c>
      <c r="H205" s="1" t="str">
        <f>IF($D205="","",IFERROR(INDEX(技能数据库!$E$4:$E$38,MATCH($D205,技能数据库!$A$4:$A$38,0)),""))</f>
        <v/>
      </c>
      <c r="I205" s="1" t="str">
        <f>IF($D205="","",IFERROR(INDEX(技能数据库!$F$4:$F$38,MATCH($D205,技能数据库!$A$4:$A$38,0)),""))</f>
        <v/>
      </c>
      <c r="J205" s="1" t="str">
        <f>IF($D205="","",IFERROR(INDEX(技能数据库!$G$4:$G$38,MATCH($D205,技能数据库!$A$4:$A$38,0)),""))</f>
        <v/>
      </c>
      <c r="K205" s="1" t="str">
        <f>IF($D205="","",IFERROR(INDEX(技能数据库!$H$4:$H$38,MATCH($D205,技能数据库!$A$4:$A$38,0)),""))</f>
        <v/>
      </c>
      <c r="L205" s="1" t="str">
        <f>IF($D205="","",IFERROR(INDEX(技能数据库!$I$4:$I$38,MATCH($D205,技能数据库!$A$4:$A$38,0)),""))</f>
        <v/>
      </c>
      <c r="M205" s="1">
        <v>1</v>
      </c>
      <c r="N205" s="1"/>
      <c r="O205" s="1"/>
      <c r="P205" s="1"/>
      <c r="Q205" s="1">
        <f t="shared" si="210"/>
        <v>0</v>
      </c>
      <c r="R205" s="1">
        <v>0</v>
      </c>
      <c r="S205" s="1">
        <v>0</v>
      </c>
      <c r="T205" s="1">
        <f>行动模拟!I211</f>
        <v>0</v>
      </c>
      <c r="U205" s="1">
        <f>IF(FD205&lt;&gt;FD204,IF(BY204=1,IF(MIN(10,CA204+IF(AND(DG205&lt;&gt;DG204,DH204&lt;&gt;"洞穿",SUMIFS($FE$3:FE204,$DG$3:DG204,DG204)=0,BY204=1),3,0))&gt;=10,2,1),IF(BY204=2,IF(BZ204&lt;=1,0,2),0)),BY204)</f>
        <v>2</v>
      </c>
      <c r="V205" s="1">
        <f>IF(FD205&lt;&gt;FD204,IF(BY204=1,IF(MIN(10,CA204+IF(AND(DG205&lt;&gt;DG204,DH204&lt;&gt;"洞穿",SUMIFS($FE$3:FE204,$DG$3:DG204,DG204)=0,BY204=1),3,0))&gt;=10,2,0),IF(BY204=2,MAX(0,BZ204-1),0)),BZ204)</f>
        <v>1</v>
      </c>
      <c r="W205" s="1">
        <f>IF(AND(FD205&lt;&gt;FD204,BY204=2,BZ204&lt;=1),0,MIN(10,CA204+IF(AND(DG205&lt;&gt;DG204,DH204&lt;&gt;"洞穿",SUMIFS($FE$3:FE204,$DG$3:DG204,DG204)=0,BY204=1),3,0)))</f>
        <v>10</v>
      </c>
      <c r="X205" s="1">
        <f t="shared" si="252"/>
        <v>13</v>
      </c>
      <c r="Y205" s="1">
        <f t="shared" si="253"/>
        <v>0</v>
      </c>
      <c r="Z205" s="1">
        <f t="shared" si="254"/>
        <v>0</v>
      </c>
      <c r="AA205" s="1">
        <f t="shared" si="255"/>
        <v>0</v>
      </c>
      <c r="AB205" s="1">
        <f t="shared" si="256"/>
        <v>10</v>
      </c>
      <c r="AC205" s="1">
        <f t="shared" si="257"/>
        <v>1</v>
      </c>
      <c r="AD205" s="1">
        <f t="shared" si="258"/>
        <v>35</v>
      </c>
      <c r="AE205" s="1">
        <f>IF(D205="",0,IF(DG205&lt;&gt;DG204,IFERROR(INDEX(回合状态!$F$7:$F$17,MATCH(DG205,回合状态!$A$7:$A$17,0)),0),CI204))</f>
        <v>0</v>
      </c>
      <c r="AF205" s="1">
        <f t="shared" si="259"/>
        <v>0.875</v>
      </c>
      <c r="AG205" s="1">
        <f t="shared" si="260"/>
        <v>9</v>
      </c>
      <c r="AH205" s="1">
        <f t="shared" si="261"/>
        <v>9</v>
      </c>
      <c r="AI205" s="1">
        <f t="shared" si="262"/>
        <v>8</v>
      </c>
      <c r="AJ205" s="1">
        <f t="shared" si="263"/>
        <v>9</v>
      </c>
      <c r="AK205" s="1">
        <f t="shared" si="264"/>
        <v>8</v>
      </c>
      <c r="AL205" s="1">
        <f t="shared" si="265"/>
        <v>3</v>
      </c>
      <c r="AM205" s="1">
        <f t="shared" si="266"/>
        <v>30</v>
      </c>
      <c r="AN205" s="1">
        <f t="shared" si="267"/>
        <v>9</v>
      </c>
      <c r="AO205" s="1">
        <f t="shared" si="268"/>
        <v>0</v>
      </c>
      <c r="AP205" s="1" t="e">
        <f t="shared" si="269"/>
        <v>#VALUE!</v>
      </c>
      <c r="AQ205" s="1" t="e">
        <f t="shared" si="270"/>
        <v>#VALUE!</v>
      </c>
      <c r="AR205" s="1">
        <f t="shared" si="271"/>
        <v>0.3</v>
      </c>
      <c r="AS205" s="1">
        <f t="shared" si="272"/>
        <v>9</v>
      </c>
      <c r="AT205" s="1">
        <f t="shared" si="273"/>
        <v>0.3</v>
      </c>
      <c r="AU205" s="1">
        <f t="shared" si="274"/>
        <v>9</v>
      </c>
      <c r="AV205" s="1">
        <f>MIN(5,SUMIFS($EL$3:EL205,$B$3:B205,"&gt;="&amp;MAX(1,B205-2),$B$3:B205,"&lt;="&amp;B205)+EC205)</f>
        <v>0</v>
      </c>
      <c r="AW205" s="1">
        <f>MIN(6,SUMIFS($EY$3:EY204,$EX$3:EX204,"&gt;="&amp;MAX(1,EX205-Boss参数!$B$87+1),$EX$3:EX204,"&lt;="&amp;EX205))</f>
        <v>0</v>
      </c>
      <c r="AX205" s="1">
        <f>MIN(4,COUNTIFS($B$3:$B$204,"&gt;="&amp;MAX(1,$B205-2),$B$3:$B$204,"&lt;="&amp;$B205,$L$3:$L$204,"37_FOLLOW"))</f>
        <v>0</v>
      </c>
      <c r="AY205" s="1" t="str">
        <f>IF($E205="","",IF($E205="系统",0,ROUNDDOWN(INDEX(角色面板!$C$4:$C$7,MATCH($E205,角色面板!$A$4:$A$7,0))*(1+INDEX(角色面板!$C$11:$C$14,MATCH($E205,角色面板!$A$11:$A$14,0))+IF($E205="小瑞安侬",MAX(IF($B205&lt;=$AQ205,$AP205,0),IF(AND($L205="RHI_ATTACK",$EE205&gt;0),0.11+0.01*$G205,0)),0)+IF($E205="J",$AD205*Boss参数!$B$18,0))+IF(FD205&lt;=$AN205,MIN(Boss参数!$B$21,ROUNDDOWN(角色面板!$C$19*Boss参数!$B$20,0)),0)+IF(AND($B205&lt;=$AK205,$E205&lt;&gt;"小瑞安侬"),$DY205,0),0)))</f>
        <v/>
      </c>
      <c r="AZ205" s="1" t="str">
        <f>IF($E205="","",MAX(0,MIN(1,IFERROR(INDEX(角色面板!$G$18:$G$21,MATCH($E205,角色面板!$A$18:$A$21,0)),0)-FC205*Boss参数!$B$89-Boss参数!$E$4)))</f>
        <v/>
      </c>
      <c r="BA205" s="1" t="str">
        <f>IF(E205="","",(IF($E205="","",IF($E205="红弩箭",Boss参数!$B$80,IF($E205="J",Boss参数!$B$81,IFERROR(INDEX(角色面板!$H$18:$H$21,MATCH($E205,角色面板!$A$18:$A$21,0)),0)))+IF($B205&lt;=$AI205,Boss参数!$B$13,0)+MIN(30,$AM205)*Boss参数!$B$17+IF(AND($L205="LILYA_ULT",$X205&gt;=6),1,0)+IF(AND($Y205=1,$L205="LILYA_INSIGHT"),IF(MOD($AA205+1,3)=0,Boss参数!$B$83,Boss参数!$B$82),IF(AND($Y205=1,$L205="LILYA_FINISH"),Boss参数!$B$84,0))))-FC205*Boss参数!$B$90)</f>
        <v/>
      </c>
      <c r="BB205" s="1" t="str">
        <f>IF($E205="","",IFERROR(INDEX(角色面板!$M$18:$M$21,MATCH($E205,角色面板!$A$18:$A$21,0)),0)+$AW205*Boss参数!$B$12+IF($B205&lt;=$AG205,$AF205,0)+$EI205+IF($L205="LILYA_DIVE",IF($U205=1,IF($G205=1,0.3,IF($G205=2,0.4,0.5)),IF($U205=2,IF($G205=1,0.6,IF($G205=2,0.8,1)),0)),0)+$R205+IF(AND($E205="J",OR($L205="J_COUNTER",$L205="J_HARD")),Boss参数!$B$79,0)+IF(AND(OR(L205="J_COUNTER",L205="J_HARD"),FA205&gt;=Boss参数!$B$59),FA205*Boss参数!$B$40,0))</f>
        <v/>
      </c>
      <c r="BC205" s="1" t="e">
        <f>IF($E205="","",IFERROR(INDEX(角色面板!$K$18:$K$21,MATCH($E205,角色面板!$A$18:$A$21,0)),0)+IF($B205&lt;=$AH205,Boss参数!$B$46,0)+IF($E205="红弩箭",IF($U205=1,0.6,IF($U205=2,1.2,0))+$W205*0.06,0))-DI205*Boss参数!$B$23</f>
        <v>#VALUE!</v>
      </c>
      <c r="BD205" s="1" t="e">
        <f>IF($E205="","",IFERROR(INDEX(角色面板!$L$18:$L$21,MATCH($E205,角色面板!$A$18:$A$21,0)),0)+IF($B205&lt;=$AH205,Boss参数!$B$46,0)+IF($E205="J",$AL205*Boss参数!$B$16,0)+IF($E205="红弩箭",$X205*0.025,0)+IF(AND($L205="LILYA_ULT",$X205&gt;=6),1,0))-DI205*Boss参数!$B$23</f>
        <v>#VALUE!</v>
      </c>
      <c r="BE205" s="1" t="str">
        <f>IF($E205="","",IF($H205="洞知",IF($E205="红弩箭",$AO205*Boss参数!$B$15,0)+$AX205*Boss参数!$B$14,0))</f>
        <v/>
      </c>
      <c r="BF205" s="1">
        <f t="shared" si="211"/>
        <v>0</v>
      </c>
      <c r="BG205" s="1">
        <f>IF($D205="",0,IF(AND($L205&lt;&gt;"LILYA_DIVE",$L205&lt;&gt;"LILYA_ULT",$L205&lt;&gt;"LILYA_INSIGHT",$L205&lt;&gt;"LILYA_FINISH",$L205&lt;&gt;"37_FOLLOW",$L205&lt;&gt;"RHI_ATTACK",$L205&lt;&gt;"RHI_BERRY",$L205&lt;&gt;"J_COUNTER",$L205&lt;&gt;"J_ULT"),$J205,0)+IF($L205="LILYA_DIVE",$J205+IF($U205=1,IF($G205=1,6,IF($G205=2,12,18)),IF($U205=2,IF($G205=1,12,IF($G205=2,24,36)),0)),0)+IF($L205="LILYA_ULT",$J205+IF($X205&gt;=6,18,0),0)+IF($L205="LILYA_INSIGHT",IF($Y205=1,IF(MOD($AA205+1,3)=0,32,15),0),0)+IF($L205="LILYA_FINISH",IF($Y205=1,50+2.5*$Z205,0),0)+IF($L205="37_FOLLOW",$J205,0)+IF($L205="RHI_ATTACK",$J205*IF($B205&lt;=$AJ205,2,1),0)+IF($L205="RHI_BERRY",15+1.5*$AV205,0)+IF($L205="J_COUNTER",$J205+$AD205*Boss参数!$B$39,0)+IF($L205="J_ULT",$J205+Boss参数!$B$45*MAX(0,$AE205+$AD205-Boss参数!$I$4),0)+$S205)</f>
        <v>0</v>
      </c>
      <c r="BH205" s="1">
        <f t="shared" si="212"/>
        <v>0</v>
      </c>
      <c r="BI205" s="1" t="str">
        <f>IF(E205="","",IF(DT205=1,1+Boss参数!$B$8+AV205*Boss参数!$B$19,1))</f>
        <v/>
      </c>
      <c r="BJ205" s="1">
        <f>IF($I205="现实",Boss参数!$C$4,IF($I205="精神",Boss参数!$D$4,0))</f>
        <v>0</v>
      </c>
      <c r="BK205" s="1" t="str">
        <f>IF($E205="","",MAX($AY205*Boss参数!$B$9,$AY205-$BJ205*(1-$BF205)))</f>
        <v/>
      </c>
      <c r="BL205" s="1">
        <f>MAX(0,Boss参数!$F$4+IF(DT205=0,Boss参数!$B$27,0)-EJ205)</f>
        <v>1.25</v>
      </c>
      <c r="BM205" s="1">
        <f>Boss参数!$G$4+DU205-IF(Y205=1,Boss参数!$B$11,0)</f>
        <v>0.4</v>
      </c>
      <c r="BN205" s="1" t="str">
        <f>IF($E205="","",MAX(Boss参数!$B$10,1+IFERROR(INDEX(角色面板!$I$18:$I$21,MATCH($E205,角色面板!$A$18:$A$21,0)),0)+$BB205+Boss参数!$H$4-$BM205))</f>
        <v/>
      </c>
      <c r="BO205" s="1" t="str">
        <f>IF(E205="","",IF(OR(L205="J_COUNTER",L205="J_HARD"),MAX(0,1+INDEX(角色面板!$K$18:$K$21,MATCH(E205,角色面板!$A$18:$A$21,0))-DI205*Boss参数!$B$23+IF(OR(Boss参数!$B$43=1,L205="J_HARD"),IF(B205&lt;=AH205,Boss参数!$B$46,0),0)),MAX(0,IF(OR(H205="术法",L205="RHI_BERRY",AND(L205="37_FOLLOW",Boss参数!$B$31=1)),1+BC205,IF(H205="仪式",1+BD205,IF(H205="洞知",EK205,1))))))</f>
        <v/>
      </c>
      <c r="BP205" s="1" t="str">
        <f t="shared" si="213"/>
        <v/>
      </c>
      <c r="BQ205" s="1">
        <f t="shared" si="214"/>
        <v>0</v>
      </c>
      <c r="BR205" s="1">
        <f t="shared" si="215"/>
        <v>0</v>
      </c>
      <c r="BS205" s="1">
        <f>IF(BH205=0,0,ROUNDDOWN(AY205*BH205,0)*DV205*IF(Boss参数!$B$29=1,BN205,1)*IF(Boss参数!$B$33=1,BO205,1)*IF(Boss参数!$B$76=1,1-ES205,1))</f>
        <v>0</v>
      </c>
      <c r="BT205" s="1">
        <f t="shared" si="216"/>
        <v>0</v>
      </c>
      <c r="BU205" s="1">
        <f>IF(D205="",0,MIN(IF(Boss参数!$B$77=1,Boss参数!$B$63*Boss参数!$B$62,Boss参数!$B$61*Boss参数!$B$62),DW205+ROUNDDOWN(BS205,0)+ROUNDDOWN(DW205*Q205,0)))</f>
        <v>0</v>
      </c>
      <c r="BV205" s="1">
        <f>IF(D205="",0,MIN(IF(Boss参数!$B$77=1,Boss参数!$B$63*Boss参数!$B$62,Boss参数!$B$61*Boss参数!$B$62),DX205+ROUNDDOWN(BT205,0)+ROUNDDOWN(DX205*Q205,0)))</f>
        <v>0</v>
      </c>
      <c r="BW205" s="1">
        <f t="shared" si="217"/>
        <v>0</v>
      </c>
      <c r="BX205" s="1" t="str">
        <f t="shared" si="218"/>
        <v/>
      </c>
      <c r="BY205" s="1">
        <f t="shared" si="219"/>
        <v>2</v>
      </c>
      <c r="BZ205" s="1">
        <f t="shared" si="220"/>
        <v>1</v>
      </c>
      <c r="CA205" s="1">
        <f>MIN(10,W205+IF(AND(L205="LILYA_COBRA",COUNTIF($L$3:L205,"LILYA_COBRA")=1),5,0)+IF(AND(L205="LILYA_DIVE",U205=1,COUNTIFS($DG$3:DG205,DG205,$L$3:L205,"LILYA_DIVE")=1),2,0)+IF(AND(FE205=1,U205=1),3,0))</f>
        <v>10</v>
      </c>
      <c r="CB205" s="1">
        <f>MIN(20,MAX(0,X205+IF(L205="LILYA_COBRA",IF(COUNTIF($L$3:L205,"LILYA_COBRA")=1,6,IF(U205=1,MAX(1,G205),IF(U205=2,2*MAX(1,G205),0))),0)+IF(AND(Y205=1,E205="红弩箭",L205&lt;&gt;"ENTER_INSIGHT"),1,0)-IF(AND(L205="LILYA_ULT",X205&gt;=6),6,0)))</f>
        <v>13</v>
      </c>
      <c r="CC205" s="1">
        <f t="shared" si="221"/>
        <v>0</v>
      </c>
      <c r="CD205" s="1">
        <f t="shared" si="222"/>
        <v>0</v>
      </c>
      <c r="CE205" s="1">
        <f t="shared" si="223"/>
        <v>0</v>
      </c>
      <c r="CF205" s="1">
        <f t="shared" si="224"/>
        <v>10</v>
      </c>
      <c r="CG205" s="1">
        <f t="shared" si="225"/>
        <v>1</v>
      </c>
      <c r="CH205" s="1">
        <f>MIN(35,AD205+IF(L205="J_HARD",6,0)+IF(L205="J_COUNTER",Boss参数!$B$30,0))</f>
        <v>35</v>
      </c>
      <c r="CI205" s="1">
        <f>MIN(Boss参数!$I$4,AE205+IF(L205="J_HARD",6,0)+IF(L205="J_ULT",AD205,0)+IF(L205="J_COUNTER",Boss参数!$B$30,0))</f>
        <v>0</v>
      </c>
      <c r="CJ205" s="1">
        <f>IF(L205="J_ULT",AD205*Boss参数!$B$41,IF(B205&lt;=AG205,AF205,0))</f>
        <v>0.875</v>
      </c>
      <c r="CK205" s="1">
        <f t="shared" si="226"/>
        <v>9</v>
      </c>
      <c r="CL205" s="1">
        <f t="shared" si="227"/>
        <v>9</v>
      </c>
      <c r="CM205" s="1">
        <f t="shared" si="228"/>
        <v>8</v>
      </c>
      <c r="CN205" s="1">
        <f t="shared" si="229"/>
        <v>9</v>
      </c>
      <c r="CO205" s="1">
        <f t="shared" si="230"/>
        <v>8</v>
      </c>
      <c r="CP205" s="1">
        <f t="shared" si="231"/>
        <v>3</v>
      </c>
      <c r="CQ205" s="1">
        <f t="shared" si="232"/>
        <v>30</v>
      </c>
      <c r="CR205" s="1">
        <f t="shared" si="233"/>
        <v>9</v>
      </c>
      <c r="CS205" s="1">
        <f t="shared" si="234"/>
        <v>0</v>
      </c>
      <c r="CT205" s="1" t="e">
        <f t="shared" si="235"/>
        <v>#VALUE!</v>
      </c>
      <c r="CU205" s="1" t="e">
        <f t="shared" si="236"/>
        <v>#VALUE!</v>
      </c>
      <c r="CV205" s="1">
        <f t="shared" si="237"/>
        <v>0.3</v>
      </c>
      <c r="CW205" s="1">
        <f t="shared" si="238"/>
        <v>9</v>
      </c>
      <c r="CX205" s="1">
        <f t="shared" si="239"/>
        <v>0.3</v>
      </c>
      <c r="CY205" s="1">
        <f t="shared" si="240"/>
        <v>9</v>
      </c>
      <c r="CZ205" s="1"/>
      <c r="DA205" s="1"/>
      <c r="DB205" s="1"/>
      <c r="DC205" s="1"/>
      <c r="DD205" s="1"/>
      <c r="DE205" s="1"/>
      <c r="DF205" s="1"/>
      <c r="DG205" s="1" t="str">
        <f>IF(D205="","",行动模拟!B211)</f>
        <v/>
      </c>
      <c r="DH205" s="1" t="str">
        <f>IF(L205="END_TURN","回合结束",IF(D205="","",IF(INDEX(回合状态!$C$7:$C$17,MATCH(DG205,回合状态!$A$7:$A$17,0))="洞穿","洞穿",IF(OR(L205="J_COUNTER",L205="BOSS_ACTION",L205="BOSS_CONSERVATIVE"),"敌方",IF(AND(L205="37_FOLLOW",DG205=DG204,DH204="敌方"),"敌方",IF(INDEX(回合状态!$C$7:$C$17,MATCH(DG205,回合状态!$A$7:$A$17,0))="普通","出牌",INDEX(回合状态!$C$7:$C$17,MATCH(DG205,回合状态!$A$7:$A$17,0))))))))</f>
        <v/>
      </c>
      <c r="DI205" s="1">
        <f t="shared" si="241"/>
        <v>0</v>
      </c>
      <c r="DJ205" s="1">
        <f>IF(D205="",0,MIN(Boss参数!$B$25,IF(OR(AND(DH205="敌方",OR(DH204&lt;&gt;"敌方",DG205&lt;&gt;DG204)),AND(L205="END_TURN",DH205&lt;&gt;"洞穿"),AND(DG205&lt;&gt;DG204,DH204&lt;&gt;"洞穿",L204&lt;&gt;"END_TURN",COUNTIFS($DG$3:DG204,DG204,$DH$3:DH204,"敌方")=0)),EW205,DN204)))</f>
        <v>0</v>
      </c>
      <c r="DK205" s="1">
        <f>IF(D205="",0,MIN(Boss参数!$B$25,IF(OR(AND(DH205="敌方",OR(DH204&lt;&gt;"敌方",DG205&lt;&gt;DG204)),AND(L205="END_TURN",DH205&lt;&gt;"洞穿"),AND(DG205&lt;&gt;DG204,DH204&lt;&gt;"洞穿",L204&lt;&gt;"END_TURN",COUNTIFS($DG$3:DG204,DG204,$DH$3:DH204,"敌方")=0)),EW205,DO204)))</f>
        <v>0</v>
      </c>
      <c r="DL205" s="1">
        <f>IF(D205="",0,MIN(Boss参数!$B$25,IF(OR(AND(DH205="敌方",OR(DH204&lt;&gt;"敌方",DG205&lt;&gt;DG204)),AND(L205="END_TURN",DH205&lt;&gt;"洞穿"),AND(DG205&lt;&gt;DG204,DH204&lt;&gt;"洞穿",L204&lt;&gt;"END_TURN",COUNTIFS($DG$3:DG204,DG204,$DH$3:DH204,"敌方")=0)),EW205,DP204)))</f>
        <v>0</v>
      </c>
      <c r="DM205" s="1">
        <f>IF(D205="",0,MIN(Boss参数!$B$25,IF(OR(AND(DH205="敌方",OR(DH204&lt;&gt;"敌方",DG205&lt;&gt;DG204)),AND(L205="END_TURN",DH205&lt;&gt;"洞穿"),AND(DG205&lt;&gt;DG204,DH204&lt;&gt;"洞穿",L204&lt;&gt;"END_TURN",COUNTIFS($DG$3:DG204,DG204,$DH$3:DH204,"敌方")=0)),EW205,DQ204)))</f>
        <v>0</v>
      </c>
      <c r="DN205" s="1">
        <f>MAX(0,MIN(Boss参数!$B$25,DJ205+DR205)-IF(E205="红弩箭",2*DR205,0))</f>
        <v>0</v>
      </c>
      <c r="DO205" s="1">
        <f>MAX(0,MIN(Boss参数!$B$25,DK205+DR205)-IF(E205="37",2*DR205,0))</f>
        <v>0</v>
      </c>
      <c r="DP205" s="1">
        <f>MAX(0,MIN(Boss参数!$B$25,DL205+DR205)-IF(E205="小瑞安侬",2*DR205,0))</f>
        <v>0</v>
      </c>
      <c r="DQ205" s="1">
        <f>MAX(0,MIN(Boss参数!$B$25,DM205+DR205)-IF(E205="J",2*DR205,0))</f>
        <v>0</v>
      </c>
      <c r="DR205" s="1">
        <f t="shared" si="242"/>
        <v>0</v>
      </c>
      <c r="DS205" s="1">
        <f t="shared" si="243"/>
        <v>0</v>
      </c>
      <c r="DT205" s="1">
        <f>IF(OR(E205="",E205="系统"),0,IF(OR(AND(DS205=1,Boss参数!$B$32=1),L205="RHI_BERRY",OR(AND(INDEX(角色面板!$B$18:$B$21,MATCH(E205,角色面板!$A$18:$A$21,0))="星",Boss参数!$B$4="岩"),AND(INDEX(角色面板!$B$18:$B$21,MATCH(E205,角色面板!$A$18:$A$21,0))="岩",Boss参数!$B$4="兽"),AND(INDEX(角色面板!$B$18:$B$21,MATCH(E205,角色面板!$A$18:$A$21,0))="兽",Boss参数!$B$4="木"),AND(INDEX(角色面板!$B$18:$B$21,MATCH(E205,角色面板!$A$18:$A$21,0))="木",Boss参数!$B$4="星"),AND(INDEX(角色面板!$B$18:$B$21,MATCH(E205,角色面板!$A$18:$A$21,0))="智",Boss参数!$B$4="灵"),AND(INDEX(角色面板!$B$18:$B$21,MATCH(E205,角色面板!$A$18:$A$21,0))="灵",Boss参数!$B$4="智"))),1,0))</f>
        <v>0</v>
      </c>
      <c r="DU205" s="1">
        <f>IF(D205="",0,INDEX(回合状态!$E$7:$E$17,MATCH(DG205,回合状态!$A$7:$A$17,0))+IF(AND(DH205="敌方",OR(INDEX(回合状态!$C$7:$C$17,MATCH(DG205,回合状态!$A$7:$A$17,0))="普通",INDEX(回合状态!$C$7:$C$17,MATCH(DG205,回合状态!$A$7:$A$17,0))="额外")),0.05,0))</f>
        <v>0</v>
      </c>
      <c r="DV205" s="1">
        <f>MAX(Boss参数!$B$28,1+IF(AND(E205="37",AC205&gt;0,BH205&gt;0),Boss参数!$B$42,0)-DI205*Boss参数!$B$24+EA205-ER205)</f>
        <v>9.9999999999999978E-2</v>
      </c>
      <c r="DW205" s="1">
        <f>MIN(IF(Boss参数!$B$77=1,Boss参数!$B$63*Boss参数!$B$62,Boss参数!$B$61*Boss参数!$B$62),ROUNDDOWN(BQ205*(1-ES205),0))</f>
        <v>0</v>
      </c>
      <c r="DX205" s="1">
        <f>MIN(IF(Boss参数!$B$77=1,Boss参数!$B$63*Boss参数!$B$62,Boss参数!$B$61*Boss参数!$B$62),ROUNDDOWN(BR205*(1-ES205),0))</f>
        <v>0</v>
      </c>
      <c r="DY205" s="1">
        <f t="shared" si="275"/>
        <v>250</v>
      </c>
      <c r="DZ205" s="1">
        <f>IF(L205="RHI_ULT",MIN(Boss参数!$B$48,ROUNDDOWN(AY205*Boss参数!$B$47,0)),DY205)</f>
        <v>250</v>
      </c>
      <c r="EA205" s="1">
        <v>0</v>
      </c>
      <c r="EB205" s="1">
        <f t="shared" si="244"/>
        <v>0</v>
      </c>
      <c r="EC205" s="1">
        <f>SUMIFS($EB$3:EB205,$B$3:B205,"&gt;="&amp;MAX(1,B205-2),$B$3:B205,"&lt;="&amp;B205)*Boss参数!$B$51</f>
        <v>0</v>
      </c>
      <c r="ED205" s="1">
        <f>IF(D205="",EG204,IF(AND(DG205&lt;&gt;DG204,DH205&lt;&gt;"洞穿"),MIN(Boss参数!$B$55,EG204+2),EG204))</f>
        <v>0</v>
      </c>
      <c r="EE205" s="1">
        <f t="shared" si="245"/>
        <v>0</v>
      </c>
      <c r="EF205" s="1">
        <f>IF(AND(OR(L205="END_TURN",AND(DH205="敌方",OR(DH204&lt;&gt;"敌方",DG205&lt;&gt;DG204))),SUMIFS($EF$3:EF204,$DG$3:DG204,DG205)=0),MIN(1,MAX(0,ED205-EE205)),0)</f>
        <v>0</v>
      </c>
      <c r="EG205" s="1">
        <f t="shared" si="246"/>
        <v>0</v>
      </c>
      <c r="EH205" s="1">
        <f>Boss参数!$B$53-IF(Y205=1,Boss参数!$B$54,0)</f>
        <v>0</v>
      </c>
      <c r="EI205" s="1">
        <f t="shared" si="247"/>
        <v>0.15</v>
      </c>
      <c r="EJ205" s="1">
        <f t="shared" si="248"/>
        <v>0.15</v>
      </c>
      <c r="EK205" s="1" t="e">
        <f t="shared" si="249"/>
        <v>#VALUE!</v>
      </c>
      <c r="EL205" s="1">
        <f t="shared" si="276"/>
        <v>0</v>
      </c>
      <c r="EM205" s="1">
        <f>IF(AND(DG205&lt;&gt;DG204,DH205="洞穿"),0,IF(L205="ENTER_INSIGHT",Boss参数!$B$57,EO204))</f>
        <v>0</v>
      </c>
      <c r="EN205" s="1">
        <f>IF(AND(Y205=1,H205="洞知",EM205&gt;0),Boss参数!$B$56,0)</f>
        <v>0</v>
      </c>
      <c r="EO205" s="1">
        <f t="shared" si="250"/>
        <v>0</v>
      </c>
      <c r="EP205" s="1">
        <f t="shared" si="277"/>
        <v>23210479</v>
      </c>
      <c r="EQ205" s="1">
        <f>ROUNDDOWN(EP205/Boss参数!$B$62,0)</f>
        <v>232</v>
      </c>
      <c r="ER205" s="1">
        <f>IF(EQ205&gt;=Boss参数!$B$66,Boss参数!$B$69,IF(EQ205&gt;=Boss参数!$B$65,Boss参数!$B$68,IF(EQ205&gt;=Boss参数!$B$64,Boss参数!$B$67,0)))</f>
        <v>0.9</v>
      </c>
      <c r="ES205" s="1">
        <f>MIN(1,IF(EQ205&gt;=Boss参数!$B$66,Boss参数!$B$72+ROUNDDOWN((EQ205-Boss参数!$B$66)/Boss参数!$B$73,0)*Boss参数!$B$74,IF(EQ205&gt;=Boss参数!$B$65,Boss参数!$B$71,IF(EQ205&gt;=Boss参数!$B$64,Boss参数!$B$70,0))))</f>
        <v>0.65</v>
      </c>
      <c r="ET205" s="1">
        <f>MIN(Boss参数!$B$61*Boss参数!$B$62,EP205+IF(AND(Boss参数!$B$60=1,ISNUMBER(验证表!H211)),验证表!H211,EU205))</f>
        <v>23210479</v>
      </c>
      <c r="EU205" s="1">
        <f>IF(D205="",0,IF(验证表!G211="是",BV205,IF(验证表!G211="否",BU205,BW205)))</f>
        <v>0</v>
      </c>
      <c r="EV205" s="1">
        <f>IF(EQ205&gt;=Boss参数!$B$66,2,IF(EQ205&gt;=Boss参数!$B$65,1,0))</f>
        <v>2</v>
      </c>
      <c r="EW205" s="1">
        <f t="shared" si="251"/>
        <v>3</v>
      </c>
      <c r="EX205" s="1">
        <f>IF(D205="",0,INDEX(回合状态!$D$7:$D$17,MATCH(DG205,回合状态!$A$7:$A$17,0)))</f>
        <v>0</v>
      </c>
      <c r="EY205" s="1">
        <f>IF(OR(L205="RHI_ATTACK",L205="RHI_BUFF"),1,IF(L205="RHI_ULT",Boss参数!$B$52,0))</f>
        <v>0</v>
      </c>
      <c r="EZ205" s="1">
        <f>MIN(6,SUMIFS($EY$3:EY205,$EX$3:EX205,"&gt;="&amp;MAX(1,EX205-Boss参数!$B$87+1),$EX$3:EX205,"&lt;="&amp;EX205))</f>
        <v>0</v>
      </c>
      <c r="FA205" s="1">
        <f t="shared" si="278"/>
        <v>0</v>
      </c>
      <c r="FB205" s="17">
        <f>IF(L205="BOSS_CONSERVATIVE",B205+Boss参数!$B$91,FB204)</f>
        <v>7</v>
      </c>
      <c r="FC205" s="17">
        <f t="shared" si="279"/>
        <v>0</v>
      </c>
      <c r="FD205" s="17">
        <f>IF(D205="",FD204,FD204+IF(AND(DG205&lt;&gt;DG204,INDEX(回合状态!$C$7:$C$17,MATCH(DG205,回合状态!$A$7:$A$17,0))&lt;&gt;"洞穿"),1,0))</f>
        <v>8</v>
      </c>
      <c r="FE205" s="17">
        <f>IF(D205="",0,IF(AND(OR(L205="END_TURN",DH205="敌方"),INDEX(回合状态!$C$7:$C$17,MATCH(DG205,回合状态!$A$7:$A$17,0))&lt;&gt;"洞穿",SUMIFS($FE$3:FE204,$DG$3:DG204,DG205)=0),1,0))</f>
        <v>0</v>
      </c>
    </row>
    <row r="206" spans="1:161" ht="84.95" customHeight="1">
      <c r="A206" s="1" t="str">
        <f>行动模拟!A212</f>
        <v/>
      </c>
      <c r="B206" s="1">
        <f>IF(D206="",0,INDEX(回合状态!$B$7:$B$17,MATCH(DG206,回合状态!$A$7:$A$17,0)))</f>
        <v>0</v>
      </c>
      <c r="C206" s="1">
        <f>行动模拟!C212</f>
        <v>0</v>
      </c>
      <c r="D206" s="1" t="str">
        <f>IF(行动模拟!D212="","",行动模拟!D212)</f>
        <v/>
      </c>
      <c r="E206" s="1" t="str">
        <f>IF($D206="","",IFERROR(INDEX(技能数据库!$B$4:$B$38,MATCH($D206,技能数据库!$A$4:$A$38,0)),""))</f>
        <v/>
      </c>
      <c r="F206" s="1" t="str">
        <f>IF($D206="","",IFERROR(INDEX(技能数据库!$C$4:$C$38,MATCH($D206,技能数据库!$A$4:$A$38,0)),""))</f>
        <v/>
      </c>
      <c r="G206" s="1" t="str">
        <f>IF($D206="","",IFERROR(INDEX(技能数据库!$D$4:$D$38,MATCH($D206,技能数据库!$A$4:$A$38,0)),""))</f>
        <v/>
      </c>
      <c r="H206" s="1" t="str">
        <f>IF($D206="","",IFERROR(INDEX(技能数据库!$E$4:$E$38,MATCH($D206,技能数据库!$A$4:$A$38,0)),""))</f>
        <v/>
      </c>
      <c r="I206" s="1" t="str">
        <f>IF($D206="","",IFERROR(INDEX(技能数据库!$F$4:$F$38,MATCH($D206,技能数据库!$A$4:$A$38,0)),""))</f>
        <v/>
      </c>
      <c r="J206" s="1" t="str">
        <f>IF($D206="","",IFERROR(INDEX(技能数据库!$G$4:$G$38,MATCH($D206,技能数据库!$A$4:$A$38,0)),""))</f>
        <v/>
      </c>
      <c r="K206" s="1" t="str">
        <f>IF($D206="","",IFERROR(INDEX(技能数据库!$H$4:$H$38,MATCH($D206,技能数据库!$A$4:$A$38,0)),""))</f>
        <v/>
      </c>
      <c r="L206" s="1" t="str">
        <f>IF($D206="","",IFERROR(INDEX(技能数据库!$I$4:$I$38,MATCH($D206,技能数据库!$A$4:$A$38,0)),""))</f>
        <v/>
      </c>
      <c r="M206" s="1">
        <v>1</v>
      </c>
      <c r="N206" s="1"/>
      <c r="O206" s="1"/>
      <c r="P206" s="1"/>
      <c r="Q206" s="1">
        <f t="shared" si="210"/>
        <v>0</v>
      </c>
      <c r="R206" s="1">
        <v>0</v>
      </c>
      <c r="S206" s="1">
        <v>0</v>
      </c>
      <c r="T206" s="1">
        <f>行动模拟!I212</f>
        <v>0</v>
      </c>
      <c r="U206" s="1">
        <f>IF(FD206&lt;&gt;FD205,IF(BY205=1,IF(MIN(10,CA205+IF(AND(DG206&lt;&gt;DG205,DH205&lt;&gt;"洞穿",SUMIFS($FE$3:FE205,$DG$3:DG205,DG205)=0,BY205=1),3,0))&gt;=10,2,1),IF(BY205=2,IF(BZ205&lt;=1,0,2),0)),BY205)</f>
        <v>2</v>
      </c>
      <c r="V206" s="1">
        <f>IF(FD206&lt;&gt;FD205,IF(BY205=1,IF(MIN(10,CA205+IF(AND(DG206&lt;&gt;DG205,DH205&lt;&gt;"洞穿",SUMIFS($FE$3:FE205,$DG$3:DG205,DG205)=0,BY205=1),3,0))&gt;=10,2,0),IF(BY205=2,MAX(0,BZ205-1),0)),BZ205)</f>
        <v>1</v>
      </c>
      <c r="W206" s="1">
        <f>IF(AND(FD206&lt;&gt;FD205,BY205=2,BZ205&lt;=1),0,MIN(10,CA205+IF(AND(DG206&lt;&gt;DG205,DH205&lt;&gt;"洞穿",SUMIFS($FE$3:FE205,$DG$3:DG205,DG205)=0,BY205=1),3,0)))</f>
        <v>10</v>
      </c>
      <c r="X206" s="1">
        <f t="shared" si="252"/>
        <v>13</v>
      </c>
      <c r="Y206" s="1">
        <f t="shared" si="253"/>
        <v>0</v>
      </c>
      <c r="Z206" s="1">
        <f t="shared" si="254"/>
        <v>0</v>
      </c>
      <c r="AA206" s="1">
        <f t="shared" si="255"/>
        <v>0</v>
      </c>
      <c r="AB206" s="1">
        <f t="shared" si="256"/>
        <v>10</v>
      </c>
      <c r="AC206" s="1">
        <f t="shared" si="257"/>
        <v>1</v>
      </c>
      <c r="AD206" s="1">
        <f t="shared" si="258"/>
        <v>35</v>
      </c>
      <c r="AE206" s="1">
        <f>IF(D206="",0,IF(DG206&lt;&gt;DG205,IFERROR(INDEX(回合状态!$F$7:$F$17,MATCH(DG206,回合状态!$A$7:$A$17,0)),0),CI205))</f>
        <v>0</v>
      </c>
      <c r="AF206" s="1">
        <f t="shared" si="259"/>
        <v>0.875</v>
      </c>
      <c r="AG206" s="1">
        <f t="shared" si="260"/>
        <v>9</v>
      </c>
      <c r="AH206" s="1">
        <f t="shared" si="261"/>
        <v>9</v>
      </c>
      <c r="AI206" s="1">
        <f t="shared" si="262"/>
        <v>8</v>
      </c>
      <c r="AJ206" s="1">
        <f t="shared" si="263"/>
        <v>9</v>
      </c>
      <c r="AK206" s="1">
        <f t="shared" si="264"/>
        <v>8</v>
      </c>
      <c r="AL206" s="1">
        <f t="shared" si="265"/>
        <v>3</v>
      </c>
      <c r="AM206" s="1">
        <f t="shared" si="266"/>
        <v>30</v>
      </c>
      <c r="AN206" s="1">
        <f t="shared" si="267"/>
        <v>9</v>
      </c>
      <c r="AO206" s="1">
        <f t="shared" si="268"/>
        <v>0</v>
      </c>
      <c r="AP206" s="1" t="e">
        <f t="shared" si="269"/>
        <v>#VALUE!</v>
      </c>
      <c r="AQ206" s="1" t="e">
        <f t="shared" si="270"/>
        <v>#VALUE!</v>
      </c>
      <c r="AR206" s="1">
        <f t="shared" si="271"/>
        <v>0.3</v>
      </c>
      <c r="AS206" s="1">
        <f t="shared" si="272"/>
        <v>9</v>
      </c>
      <c r="AT206" s="1">
        <f t="shared" si="273"/>
        <v>0.3</v>
      </c>
      <c r="AU206" s="1">
        <f t="shared" si="274"/>
        <v>9</v>
      </c>
      <c r="AV206" s="1">
        <f>MIN(5,SUMIFS($EL$3:EL206,$B$3:B206,"&gt;="&amp;MAX(1,B206-2),$B$3:B206,"&lt;="&amp;B206)+EC206)</f>
        <v>0</v>
      </c>
      <c r="AW206" s="1">
        <f>MIN(6,SUMIFS($EY$3:EY205,$EX$3:EX205,"&gt;="&amp;MAX(1,EX206-Boss参数!$B$87+1),$EX$3:EX205,"&lt;="&amp;EX206))</f>
        <v>0</v>
      </c>
      <c r="AX206" s="1">
        <f>MIN(4,COUNTIFS($B$3:$B$205,"&gt;="&amp;MAX(1,$B206-2),$B$3:$B$205,"&lt;="&amp;$B206,$L$3:$L$205,"37_FOLLOW"))</f>
        <v>0</v>
      </c>
      <c r="AY206" s="1" t="str">
        <f>IF($E206="","",IF($E206="系统",0,ROUNDDOWN(INDEX(角色面板!$C$4:$C$7,MATCH($E206,角色面板!$A$4:$A$7,0))*(1+INDEX(角色面板!$C$11:$C$14,MATCH($E206,角色面板!$A$11:$A$14,0))+IF($E206="小瑞安侬",MAX(IF($B206&lt;=$AQ206,$AP206,0),IF(AND($L206="RHI_ATTACK",$EE206&gt;0),0.11+0.01*$G206,0)),0)+IF($E206="J",$AD206*Boss参数!$B$18,0))+IF(FD206&lt;=$AN206,MIN(Boss参数!$B$21,ROUNDDOWN(角色面板!$C$19*Boss参数!$B$20,0)),0)+IF(AND($B206&lt;=$AK206,$E206&lt;&gt;"小瑞安侬"),$DY206,0),0)))</f>
        <v/>
      </c>
      <c r="AZ206" s="1" t="str">
        <f>IF($E206="","",MAX(0,MIN(1,IFERROR(INDEX(角色面板!$G$18:$G$21,MATCH($E206,角色面板!$A$18:$A$21,0)),0)-FC206*Boss参数!$B$89-Boss参数!$E$4)))</f>
        <v/>
      </c>
      <c r="BA206" s="1" t="str">
        <f>IF(E206="","",(IF($E206="","",IF($E206="红弩箭",Boss参数!$B$80,IF($E206="J",Boss参数!$B$81,IFERROR(INDEX(角色面板!$H$18:$H$21,MATCH($E206,角色面板!$A$18:$A$21,0)),0)))+IF($B206&lt;=$AI206,Boss参数!$B$13,0)+MIN(30,$AM206)*Boss参数!$B$17+IF(AND($L206="LILYA_ULT",$X206&gt;=6),1,0)+IF(AND($Y206=1,$L206="LILYA_INSIGHT"),IF(MOD($AA206+1,3)=0,Boss参数!$B$83,Boss参数!$B$82),IF(AND($Y206=1,$L206="LILYA_FINISH"),Boss参数!$B$84,0))))-FC206*Boss参数!$B$90)</f>
        <v/>
      </c>
      <c r="BB206" s="1" t="str">
        <f>IF($E206="","",IFERROR(INDEX(角色面板!$M$18:$M$21,MATCH($E206,角色面板!$A$18:$A$21,0)),0)+$AW206*Boss参数!$B$12+IF($B206&lt;=$AG206,$AF206,0)+$EI206+IF($L206="LILYA_DIVE",IF($U206=1,IF($G206=1,0.3,IF($G206=2,0.4,0.5)),IF($U206=2,IF($G206=1,0.6,IF($G206=2,0.8,1)),0)),0)+$R206+IF(AND($E206="J",OR($L206="J_COUNTER",$L206="J_HARD")),Boss参数!$B$79,0)+IF(AND(OR(L206="J_COUNTER",L206="J_HARD"),FA206&gt;=Boss参数!$B$59),FA206*Boss参数!$B$40,0))</f>
        <v/>
      </c>
      <c r="BC206" s="1" t="e">
        <f>IF($E206="","",IFERROR(INDEX(角色面板!$K$18:$K$21,MATCH($E206,角色面板!$A$18:$A$21,0)),0)+IF($B206&lt;=$AH206,Boss参数!$B$46,0)+IF($E206="红弩箭",IF($U206=1,0.6,IF($U206=2,1.2,0))+$W206*0.06,0))-DI206*Boss参数!$B$23</f>
        <v>#VALUE!</v>
      </c>
      <c r="BD206" s="1" t="e">
        <f>IF($E206="","",IFERROR(INDEX(角色面板!$L$18:$L$21,MATCH($E206,角色面板!$A$18:$A$21,0)),0)+IF($B206&lt;=$AH206,Boss参数!$B$46,0)+IF($E206="J",$AL206*Boss参数!$B$16,0)+IF($E206="红弩箭",$X206*0.025,0)+IF(AND($L206="LILYA_ULT",$X206&gt;=6),1,0))-DI206*Boss参数!$B$23</f>
        <v>#VALUE!</v>
      </c>
      <c r="BE206" s="1" t="str">
        <f>IF($E206="","",IF($H206="洞知",IF($E206="红弩箭",$AO206*Boss参数!$B$15,0)+$AX206*Boss参数!$B$14,0))</f>
        <v/>
      </c>
      <c r="BF206" s="1">
        <f t="shared" si="211"/>
        <v>0</v>
      </c>
      <c r="BG206" s="1">
        <f>IF($D206="",0,IF(AND($L206&lt;&gt;"LILYA_DIVE",$L206&lt;&gt;"LILYA_ULT",$L206&lt;&gt;"LILYA_INSIGHT",$L206&lt;&gt;"LILYA_FINISH",$L206&lt;&gt;"37_FOLLOW",$L206&lt;&gt;"RHI_ATTACK",$L206&lt;&gt;"RHI_BERRY",$L206&lt;&gt;"J_COUNTER",$L206&lt;&gt;"J_ULT"),$J206,0)+IF($L206="LILYA_DIVE",$J206+IF($U206=1,IF($G206=1,6,IF($G206=2,12,18)),IF($U206=2,IF($G206=1,12,IF($G206=2,24,36)),0)),0)+IF($L206="LILYA_ULT",$J206+IF($X206&gt;=6,18,0),0)+IF($L206="LILYA_INSIGHT",IF($Y206=1,IF(MOD($AA206+1,3)=0,32,15),0),0)+IF($L206="LILYA_FINISH",IF($Y206=1,50+2.5*$Z206,0),0)+IF($L206="37_FOLLOW",$J206,0)+IF($L206="RHI_ATTACK",$J206*IF($B206&lt;=$AJ206,2,1),0)+IF($L206="RHI_BERRY",15+1.5*$AV206,0)+IF($L206="J_COUNTER",$J206+$AD206*Boss参数!$B$39,0)+IF($L206="J_ULT",$J206+Boss参数!$B$45*MAX(0,$AE206+$AD206-Boss参数!$I$4),0)+$S206)</f>
        <v>0</v>
      </c>
      <c r="BH206" s="1">
        <f t="shared" si="212"/>
        <v>0</v>
      </c>
      <c r="BI206" s="1" t="str">
        <f>IF(E206="","",IF(DT206=1,1+Boss参数!$B$8+AV206*Boss参数!$B$19,1))</f>
        <v/>
      </c>
      <c r="BJ206" s="1">
        <f>IF($I206="现实",Boss参数!$C$4,IF($I206="精神",Boss参数!$D$4,0))</f>
        <v>0</v>
      </c>
      <c r="BK206" s="1" t="str">
        <f>IF($E206="","",MAX($AY206*Boss参数!$B$9,$AY206-$BJ206*(1-$BF206)))</f>
        <v/>
      </c>
      <c r="BL206" s="1">
        <f>MAX(0,Boss参数!$F$4+IF(DT206=0,Boss参数!$B$27,0)-EJ206)</f>
        <v>1.25</v>
      </c>
      <c r="BM206" s="1">
        <f>Boss参数!$G$4+DU206-IF(Y206=1,Boss参数!$B$11,0)</f>
        <v>0.4</v>
      </c>
      <c r="BN206" s="1" t="str">
        <f>IF($E206="","",MAX(Boss参数!$B$10,1+IFERROR(INDEX(角色面板!$I$18:$I$21,MATCH($E206,角色面板!$A$18:$A$21,0)),0)+$BB206+Boss参数!$H$4-$BM206))</f>
        <v/>
      </c>
      <c r="BO206" s="1" t="str">
        <f>IF(E206="","",IF(OR(L206="J_COUNTER",L206="J_HARD"),MAX(0,1+INDEX(角色面板!$K$18:$K$21,MATCH(E206,角色面板!$A$18:$A$21,0))-DI206*Boss参数!$B$23+IF(OR(Boss参数!$B$43=1,L206="J_HARD"),IF(B206&lt;=AH206,Boss参数!$B$46,0),0)),MAX(0,IF(OR(H206="术法",L206="RHI_BERRY",AND(L206="37_FOLLOW",Boss参数!$B$31=1)),1+BC206,IF(H206="仪式",1+BD206,IF(H206="洞知",EK206,1))))))</f>
        <v/>
      </c>
      <c r="BP206" s="1" t="str">
        <f t="shared" si="213"/>
        <v/>
      </c>
      <c r="BQ206" s="1">
        <f t="shared" si="214"/>
        <v>0</v>
      </c>
      <c r="BR206" s="1">
        <f t="shared" si="215"/>
        <v>0</v>
      </c>
      <c r="BS206" s="1">
        <f>IF(BH206=0,0,ROUNDDOWN(AY206*BH206,0)*DV206*IF(Boss参数!$B$29=1,BN206,1)*IF(Boss参数!$B$33=1,BO206,1)*IF(Boss参数!$B$76=1,1-ES206,1))</f>
        <v>0</v>
      </c>
      <c r="BT206" s="1">
        <f t="shared" si="216"/>
        <v>0</v>
      </c>
      <c r="BU206" s="1">
        <f>IF(D206="",0,MIN(IF(Boss参数!$B$77=1,Boss参数!$B$63*Boss参数!$B$62,Boss参数!$B$61*Boss参数!$B$62),DW206+ROUNDDOWN(BS206,0)+ROUNDDOWN(DW206*Q206,0)))</f>
        <v>0</v>
      </c>
      <c r="BV206" s="1">
        <f>IF(D206="",0,MIN(IF(Boss参数!$B$77=1,Boss参数!$B$63*Boss参数!$B$62,Boss参数!$B$61*Boss参数!$B$62),DX206+ROUNDDOWN(BT206,0)+ROUNDDOWN(DX206*Q206,0)))</f>
        <v>0</v>
      </c>
      <c r="BW206" s="1">
        <f t="shared" si="217"/>
        <v>0</v>
      </c>
      <c r="BX206" s="1" t="str">
        <f t="shared" si="218"/>
        <v/>
      </c>
      <c r="BY206" s="1">
        <f t="shared" si="219"/>
        <v>2</v>
      </c>
      <c r="BZ206" s="1">
        <f t="shared" si="220"/>
        <v>1</v>
      </c>
      <c r="CA206" s="1">
        <f>MIN(10,W206+IF(AND(L206="LILYA_COBRA",COUNTIF($L$3:L206,"LILYA_COBRA")=1),5,0)+IF(AND(L206="LILYA_DIVE",U206=1,COUNTIFS($DG$3:DG206,DG206,$L$3:L206,"LILYA_DIVE")=1),2,0)+IF(AND(FE206=1,U206=1),3,0))</f>
        <v>10</v>
      </c>
      <c r="CB206" s="1">
        <f>MIN(20,MAX(0,X206+IF(L206="LILYA_COBRA",IF(COUNTIF($L$3:L206,"LILYA_COBRA")=1,6,IF(U206=1,MAX(1,G206),IF(U206=2,2*MAX(1,G206),0))),0)+IF(AND(Y206=1,E206="红弩箭",L206&lt;&gt;"ENTER_INSIGHT"),1,0)-IF(AND(L206="LILYA_ULT",X206&gt;=6),6,0)))</f>
        <v>13</v>
      </c>
      <c r="CC206" s="1">
        <f t="shared" si="221"/>
        <v>0</v>
      </c>
      <c r="CD206" s="1">
        <f t="shared" si="222"/>
        <v>0</v>
      </c>
      <c r="CE206" s="1">
        <f t="shared" si="223"/>
        <v>0</v>
      </c>
      <c r="CF206" s="1">
        <f t="shared" si="224"/>
        <v>10</v>
      </c>
      <c r="CG206" s="1">
        <f t="shared" si="225"/>
        <v>1</v>
      </c>
      <c r="CH206" s="1">
        <f>MIN(35,AD206+IF(L206="J_HARD",6,0)+IF(L206="J_COUNTER",Boss参数!$B$30,0))</f>
        <v>35</v>
      </c>
      <c r="CI206" s="1">
        <f>MIN(Boss参数!$I$4,AE206+IF(L206="J_HARD",6,0)+IF(L206="J_ULT",AD206,0)+IF(L206="J_COUNTER",Boss参数!$B$30,0))</f>
        <v>0</v>
      </c>
      <c r="CJ206" s="1">
        <f>IF(L206="J_ULT",AD206*Boss参数!$B$41,IF(B206&lt;=AG206,AF206,0))</f>
        <v>0.875</v>
      </c>
      <c r="CK206" s="1">
        <f t="shared" si="226"/>
        <v>9</v>
      </c>
      <c r="CL206" s="1">
        <f t="shared" si="227"/>
        <v>9</v>
      </c>
      <c r="CM206" s="1">
        <f t="shared" si="228"/>
        <v>8</v>
      </c>
      <c r="CN206" s="1">
        <f t="shared" si="229"/>
        <v>9</v>
      </c>
      <c r="CO206" s="1">
        <f t="shared" si="230"/>
        <v>8</v>
      </c>
      <c r="CP206" s="1">
        <f t="shared" si="231"/>
        <v>3</v>
      </c>
      <c r="CQ206" s="1">
        <f t="shared" si="232"/>
        <v>30</v>
      </c>
      <c r="CR206" s="1">
        <f t="shared" si="233"/>
        <v>9</v>
      </c>
      <c r="CS206" s="1">
        <f t="shared" si="234"/>
        <v>0</v>
      </c>
      <c r="CT206" s="1" t="e">
        <f t="shared" si="235"/>
        <v>#VALUE!</v>
      </c>
      <c r="CU206" s="1" t="e">
        <f t="shared" si="236"/>
        <v>#VALUE!</v>
      </c>
      <c r="CV206" s="1">
        <f t="shared" si="237"/>
        <v>0.3</v>
      </c>
      <c r="CW206" s="1">
        <f t="shared" si="238"/>
        <v>9</v>
      </c>
      <c r="CX206" s="1">
        <f t="shared" si="239"/>
        <v>0.3</v>
      </c>
      <c r="CY206" s="1">
        <f t="shared" si="240"/>
        <v>9</v>
      </c>
      <c r="CZ206" s="1"/>
      <c r="DA206" s="1"/>
      <c r="DB206" s="1"/>
      <c r="DC206" s="1"/>
      <c r="DD206" s="1"/>
      <c r="DE206" s="1"/>
      <c r="DF206" s="1"/>
      <c r="DG206" s="1" t="str">
        <f>IF(D206="","",行动模拟!B212)</f>
        <v/>
      </c>
      <c r="DH206" s="1" t="str">
        <f>IF(L206="END_TURN","回合结束",IF(D206="","",IF(INDEX(回合状态!$C$7:$C$17,MATCH(DG206,回合状态!$A$7:$A$17,0))="洞穿","洞穿",IF(OR(L206="J_COUNTER",L206="BOSS_ACTION",L206="BOSS_CONSERVATIVE"),"敌方",IF(AND(L206="37_FOLLOW",DG206=DG205,DH205="敌方"),"敌方",IF(INDEX(回合状态!$C$7:$C$17,MATCH(DG206,回合状态!$A$7:$A$17,0))="普通","出牌",INDEX(回合状态!$C$7:$C$17,MATCH(DG206,回合状态!$A$7:$A$17,0))))))))</f>
        <v/>
      </c>
      <c r="DI206" s="1">
        <f t="shared" si="241"/>
        <v>0</v>
      </c>
      <c r="DJ206" s="1">
        <f>IF(D206="",0,MIN(Boss参数!$B$25,IF(OR(AND(DH206="敌方",OR(DH205&lt;&gt;"敌方",DG206&lt;&gt;DG205)),AND(L206="END_TURN",DH206&lt;&gt;"洞穿"),AND(DG206&lt;&gt;DG205,DH205&lt;&gt;"洞穿",L205&lt;&gt;"END_TURN",COUNTIFS($DG$3:DG205,DG205,$DH$3:DH205,"敌方")=0)),EW206,DN205)))</f>
        <v>0</v>
      </c>
      <c r="DK206" s="1">
        <f>IF(D206="",0,MIN(Boss参数!$B$25,IF(OR(AND(DH206="敌方",OR(DH205&lt;&gt;"敌方",DG206&lt;&gt;DG205)),AND(L206="END_TURN",DH206&lt;&gt;"洞穿"),AND(DG206&lt;&gt;DG205,DH205&lt;&gt;"洞穿",L205&lt;&gt;"END_TURN",COUNTIFS($DG$3:DG205,DG205,$DH$3:DH205,"敌方")=0)),EW206,DO205)))</f>
        <v>0</v>
      </c>
      <c r="DL206" s="1">
        <f>IF(D206="",0,MIN(Boss参数!$B$25,IF(OR(AND(DH206="敌方",OR(DH205&lt;&gt;"敌方",DG206&lt;&gt;DG205)),AND(L206="END_TURN",DH206&lt;&gt;"洞穿"),AND(DG206&lt;&gt;DG205,DH205&lt;&gt;"洞穿",L205&lt;&gt;"END_TURN",COUNTIFS($DG$3:DG205,DG205,$DH$3:DH205,"敌方")=0)),EW206,DP205)))</f>
        <v>0</v>
      </c>
      <c r="DM206" s="1">
        <f>IF(D206="",0,MIN(Boss参数!$B$25,IF(OR(AND(DH206="敌方",OR(DH205&lt;&gt;"敌方",DG206&lt;&gt;DG205)),AND(L206="END_TURN",DH206&lt;&gt;"洞穿"),AND(DG206&lt;&gt;DG205,DH205&lt;&gt;"洞穿",L205&lt;&gt;"END_TURN",COUNTIFS($DG$3:DG205,DG205,$DH$3:DH205,"敌方")=0)),EW206,DQ205)))</f>
        <v>0</v>
      </c>
      <c r="DN206" s="1">
        <f>MAX(0,MIN(Boss参数!$B$25,DJ206+DR206)-IF(E206="红弩箭",2*DR206,0))</f>
        <v>0</v>
      </c>
      <c r="DO206" s="1">
        <f>MAX(0,MIN(Boss参数!$B$25,DK206+DR206)-IF(E206="37",2*DR206,0))</f>
        <v>0</v>
      </c>
      <c r="DP206" s="1">
        <f>MAX(0,MIN(Boss参数!$B$25,DL206+DR206)-IF(E206="小瑞安侬",2*DR206,0))</f>
        <v>0</v>
      </c>
      <c r="DQ206" s="1">
        <f>MAX(0,MIN(Boss参数!$B$25,DM206+DR206)-IF(E206="J",2*DR206,0))</f>
        <v>0</v>
      </c>
      <c r="DR206" s="1">
        <f t="shared" si="242"/>
        <v>0</v>
      </c>
      <c r="DS206" s="1">
        <f t="shared" si="243"/>
        <v>0</v>
      </c>
      <c r="DT206" s="1">
        <f>IF(OR(E206="",E206="系统"),0,IF(OR(AND(DS206=1,Boss参数!$B$32=1),L206="RHI_BERRY",OR(AND(INDEX(角色面板!$B$18:$B$21,MATCH(E206,角色面板!$A$18:$A$21,0))="星",Boss参数!$B$4="岩"),AND(INDEX(角色面板!$B$18:$B$21,MATCH(E206,角色面板!$A$18:$A$21,0))="岩",Boss参数!$B$4="兽"),AND(INDEX(角色面板!$B$18:$B$21,MATCH(E206,角色面板!$A$18:$A$21,0))="兽",Boss参数!$B$4="木"),AND(INDEX(角色面板!$B$18:$B$21,MATCH(E206,角色面板!$A$18:$A$21,0))="木",Boss参数!$B$4="星"),AND(INDEX(角色面板!$B$18:$B$21,MATCH(E206,角色面板!$A$18:$A$21,0))="智",Boss参数!$B$4="灵"),AND(INDEX(角色面板!$B$18:$B$21,MATCH(E206,角色面板!$A$18:$A$21,0))="灵",Boss参数!$B$4="智"))),1,0))</f>
        <v>0</v>
      </c>
      <c r="DU206" s="1">
        <f>IF(D206="",0,INDEX(回合状态!$E$7:$E$17,MATCH(DG206,回合状态!$A$7:$A$17,0))+IF(AND(DH206="敌方",OR(INDEX(回合状态!$C$7:$C$17,MATCH(DG206,回合状态!$A$7:$A$17,0))="普通",INDEX(回合状态!$C$7:$C$17,MATCH(DG206,回合状态!$A$7:$A$17,0))="额外")),0.05,0))</f>
        <v>0</v>
      </c>
      <c r="DV206" s="1">
        <f>MAX(Boss参数!$B$28,1+IF(AND(E206="37",AC206&gt;0,BH206&gt;0),Boss参数!$B$42,0)-DI206*Boss参数!$B$24+EA206-ER206)</f>
        <v>9.9999999999999978E-2</v>
      </c>
      <c r="DW206" s="1">
        <f>MIN(IF(Boss参数!$B$77=1,Boss参数!$B$63*Boss参数!$B$62,Boss参数!$B$61*Boss参数!$B$62),ROUNDDOWN(BQ206*(1-ES206),0))</f>
        <v>0</v>
      </c>
      <c r="DX206" s="1">
        <f>MIN(IF(Boss参数!$B$77=1,Boss参数!$B$63*Boss参数!$B$62,Boss参数!$B$61*Boss参数!$B$62),ROUNDDOWN(BR206*(1-ES206),0))</f>
        <v>0</v>
      </c>
      <c r="DY206" s="1">
        <f t="shared" si="275"/>
        <v>250</v>
      </c>
      <c r="DZ206" s="1">
        <f>IF(L206="RHI_ULT",MIN(Boss参数!$B$48,ROUNDDOWN(AY206*Boss参数!$B$47,0)),DY206)</f>
        <v>250</v>
      </c>
      <c r="EA206" s="1">
        <v>0</v>
      </c>
      <c r="EB206" s="1">
        <f t="shared" si="244"/>
        <v>0</v>
      </c>
      <c r="EC206" s="1">
        <f>SUMIFS($EB$3:EB206,$B$3:B206,"&gt;="&amp;MAX(1,B206-2),$B$3:B206,"&lt;="&amp;B206)*Boss参数!$B$51</f>
        <v>0</v>
      </c>
      <c r="ED206" s="1">
        <f>IF(D206="",EG205,IF(AND(DG206&lt;&gt;DG205,DH206&lt;&gt;"洞穿"),MIN(Boss参数!$B$55,EG205+2),EG205))</f>
        <v>0</v>
      </c>
      <c r="EE206" s="1">
        <f t="shared" si="245"/>
        <v>0</v>
      </c>
      <c r="EF206" s="1">
        <f>IF(AND(OR(L206="END_TURN",AND(DH206="敌方",OR(DH205&lt;&gt;"敌方",DG206&lt;&gt;DG205))),SUMIFS($EF$3:EF205,$DG$3:DG205,DG206)=0),MIN(1,MAX(0,ED206-EE206)),0)</f>
        <v>0</v>
      </c>
      <c r="EG206" s="1">
        <f t="shared" si="246"/>
        <v>0</v>
      </c>
      <c r="EH206" s="1">
        <f>Boss参数!$B$53-IF(Y206=1,Boss参数!$B$54,0)</f>
        <v>0</v>
      </c>
      <c r="EI206" s="1">
        <f t="shared" si="247"/>
        <v>0.15</v>
      </c>
      <c r="EJ206" s="1">
        <f t="shared" si="248"/>
        <v>0.15</v>
      </c>
      <c r="EK206" s="1" t="e">
        <f t="shared" si="249"/>
        <v>#VALUE!</v>
      </c>
      <c r="EL206" s="1">
        <f t="shared" si="276"/>
        <v>0</v>
      </c>
      <c r="EM206" s="1">
        <f>IF(AND(DG206&lt;&gt;DG205,DH206="洞穿"),0,IF(L206="ENTER_INSIGHT",Boss参数!$B$57,EO205))</f>
        <v>0</v>
      </c>
      <c r="EN206" s="1">
        <f>IF(AND(Y206=1,H206="洞知",EM206&gt;0),Boss参数!$B$56,0)</f>
        <v>0</v>
      </c>
      <c r="EO206" s="1">
        <f t="shared" si="250"/>
        <v>0</v>
      </c>
      <c r="EP206" s="1">
        <f t="shared" si="277"/>
        <v>23210479</v>
      </c>
      <c r="EQ206" s="1">
        <f>ROUNDDOWN(EP206/Boss参数!$B$62,0)</f>
        <v>232</v>
      </c>
      <c r="ER206" s="1">
        <f>IF(EQ206&gt;=Boss参数!$B$66,Boss参数!$B$69,IF(EQ206&gt;=Boss参数!$B$65,Boss参数!$B$68,IF(EQ206&gt;=Boss参数!$B$64,Boss参数!$B$67,0)))</f>
        <v>0.9</v>
      </c>
      <c r="ES206" s="1">
        <f>MIN(1,IF(EQ206&gt;=Boss参数!$B$66,Boss参数!$B$72+ROUNDDOWN((EQ206-Boss参数!$B$66)/Boss参数!$B$73,0)*Boss参数!$B$74,IF(EQ206&gt;=Boss参数!$B$65,Boss参数!$B$71,IF(EQ206&gt;=Boss参数!$B$64,Boss参数!$B$70,0))))</f>
        <v>0.65</v>
      </c>
      <c r="ET206" s="1">
        <f>MIN(Boss参数!$B$61*Boss参数!$B$62,EP206+IF(AND(Boss参数!$B$60=1,ISNUMBER(验证表!H212)),验证表!H212,EU206))</f>
        <v>23210479</v>
      </c>
      <c r="EU206" s="1">
        <f>IF(D206="",0,IF(验证表!G212="是",BV206,IF(验证表!G212="否",BU206,BW206)))</f>
        <v>0</v>
      </c>
      <c r="EV206" s="1">
        <f>IF(EQ206&gt;=Boss参数!$B$66,2,IF(EQ206&gt;=Boss参数!$B$65,1,0))</f>
        <v>2</v>
      </c>
      <c r="EW206" s="1">
        <f t="shared" si="251"/>
        <v>3</v>
      </c>
      <c r="EX206" s="1">
        <f>IF(D206="",0,INDEX(回合状态!$D$7:$D$17,MATCH(DG206,回合状态!$A$7:$A$17,0)))</f>
        <v>0</v>
      </c>
      <c r="EY206" s="1">
        <f>IF(OR(L206="RHI_ATTACK",L206="RHI_BUFF"),1,IF(L206="RHI_ULT",Boss参数!$B$52,0))</f>
        <v>0</v>
      </c>
      <c r="EZ206" s="1">
        <f>MIN(6,SUMIFS($EY$3:EY206,$EX$3:EX206,"&gt;="&amp;MAX(1,EX206-Boss参数!$B$87+1),$EX$3:EX206,"&lt;="&amp;EX206))</f>
        <v>0</v>
      </c>
      <c r="FA206" s="1">
        <f t="shared" si="278"/>
        <v>0</v>
      </c>
      <c r="FB206" s="17">
        <f>IF(L206="BOSS_CONSERVATIVE",B206+Boss参数!$B$91,FB205)</f>
        <v>7</v>
      </c>
      <c r="FC206" s="17">
        <f t="shared" si="279"/>
        <v>0</v>
      </c>
      <c r="FD206" s="17">
        <f>IF(D206="",FD205,FD205+IF(AND(DG206&lt;&gt;DG205,INDEX(回合状态!$C$7:$C$17,MATCH(DG206,回合状态!$A$7:$A$17,0))&lt;&gt;"洞穿"),1,0))</f>
        <v>8</v>
      </c>
      <c r="FE206" s="17">
        <f>IF(D206="",0,IF(AND(OR(L206="END_TURN",DH206="敌方"),INDEX(回合状态!$C$7:$C$17,MATCH(DG206,回合状态!$A$7:$A$17,0))&lt;&gt;"洞穿",SUMIFS($FE$3:FE205,$DG$3:DG205,DG206)=0),1,0))</f>
        <v>0</v>
      </c>
    </row>
    <row r="207" spans="1:161" ht="84.95" customHeight="1">
      <c r="A207" s="1" t="str">
        <f>行动模拟!A213</f>
        <v/>
      </c>
      <c r="B207" s="1">
        <f>IF(D207="",0,INDEX(回合状态!$B$7:$B$17,MATCH(DG207,回合状态!$A$7:$A$17,0)))</f>
        <v>0</v>
      </c>
      <c r="C207" s="1">
        <f>行动模拟!C213</f>
        <v>0</v>
      </c>
      <c r="D207" s="1" t="str">
        <f>IF(行动模拟!D213="","",行动模拟!D213)</f>
        <v/>
      </c>
      <c r="E207" s="1" t="str">
        <f>IF($D207="","",IFERROR(INDEX(技能数据库!$B$4:$B$38,MATCH($D207,技能数据库!$A$4:$A$38,0)),""))</f>
        <v/>
      </c>
      <c r="F207" s="1" t="str">
        <f>IF($D207="","",IFERROR(INDEX(技能数据库!$C$4:$C$38,MATCH($D207,技能数据库!$A$4:$A$38,0)),""))</f>
        <v/>
      </c>
      <c r="G207" s="1" t="str">
        <f>IF($D207="","",IFERROR(INDEX(技能数据库!$D$4:$D$38,MATCH($D207,技能数据库!$A$4:$A$38,0)),""))</f>
        <v/>
      </c>
      <c r="H207" s="1" t="str">
        <f>IF($D207="","",IFERROR(INDEX(技能数据库!$E$4:$E$38,MATCH($D207,技能数据库!$A$4:$A$38,0)),""))</f>
        <v/>
      </c>
      <c r="I207" s="1" t="str">
        <f>IF($D207="","",IFERROR(INDEX(技能数据库!$F$4:$F$38,MATCH($D207,技能数据库!$A$4:$A$38,0)),""))</f>
        <v/>
      </c>
      <c r="J207" s="1" t="str">
        <f>IF($D207="","",IFERROR(INDEX(技能数据库!$G$4:$G$38,MATCH($D207,技能数据库!$A$4:$A$38,0)),""))</f>
        <v/>
      </c>
      <c r="K207" s="1" t="str">
        <f>IF($D207="","",IFERROR(INDEX(技能数据库!$H$4:$H$38,MATCH($D207,技能数据库!$A$4:$A$38,0)),""))</f>
        <v/>
      </c>
      <c r="L207" s="1" t="str">
        <f>IF($D207="","",IFERROR(INDEX(技能数据库!$I$4:$I$38,MATCH($D207,技能数据库!$A$4:$A$38,0)),""))</f>
        <v/>
      </c>
      <c r="M207" s="1">
        <v>1</v>
      </c>
      <c r="N207" s="1"/>
      <c r="O207" s="1"/>
      <c r="P207" s="1"/>
      <c r="Q207" s="1">
        <f t="shared" si="210"/>
        <v>0</v>
      </c>
      <c r="R207" s="1">
        <v>0</v>
      </c>
      <c r="S207" s="1">
        <v>0</v>
      </c>
      <c r="T207" s="1">
        <f>行动模拟!I213</f>
        <v>0</v>
      </c>
      <c r="U207" s="1">
        <f>IF(FD207&lt;&gt;FD206,IF(BY206=1,IF(MIN(10,CA206+IF(AND(DG207&lt;&gt;DG206,DH206&lt;&gt;"洞穿",SUMIFS($FE$3:FE206,$DG$3:DG206,DG206)=0,BY206=1),3,0))&gt;=10,2,1),IF(BY206=2,IF(BZ206&lt;=1,0,2),0)),BY206)</f>
        <v>2</v>
      </c>
      <c r="V207" s="1">
        <f>IF(FD207&lt;&gt;FD206,IF(BY206=1,IF(MIN(10,CA206+IF(AND(DG207&lt;&gt;DG206,DH206&lt;&gt;"洞穿",SUMIFS($FE$3:FE206,$DG$3:DG206,DG206)=0,BY206=1),3,0))&gt;=10,2,0),IF(BY206=2,MAX(0,BZ206-1),0)),BZ206)</f>
        <v>1</v>
      </c>
      <c r="W207" s="1">
        <f>IF(AND(FD207&lt;&gt;FD206,BY206=2,BZ206&lt;=1),0,MIN(10,CA206+IF(AND(DG207&lt;&gt;DG206,DH206&lt;&gt;"洞穿",SUMIFS($FE$3:FE206,$DG$3:DG206,DG206)=0,BY206=1),3,0)))</f>
        <v>10</v>
      </c>
      <c r="X207" s="1">
        <f t="shared" si="252"/>
        <v>13</v>
      </c>
      <c r="Y207" s="1">
        <f t="shared" si="253"/>
        <v>0</v>
      </c>
      <c r="Z207" s="1">
        <f t="shared" si="254"/>
        <v>0</v>
      </c>
      <c r="AA207" s="1">
        <f t="shared" si="255"/>
        <v>0</v>
      </c>
      <c r="AB207" s="1">
        <f t="shared" si="256"/>
        <v>10</v>
      </c>
      <c r="AC207" s="1">
        <f t="shared" si="257"/>
        <v>1</v>
      </c>
      <c r="AD207" s="1">
        <f t="shared" si="258"/>
        <v>35</v>
      </c>
      <c r="AE207" s="1">
        <f>IF(D207="",0,IF(DG207&lt;&gt;DG206,IFERROR(INDEX(回合状态!$F$7:$F$17,MATCH(DG207,回合状态!$A$7:$A$17,0)),0),CI206))</f>
        <v>0</v>
      </c>
      <c r="AF207" s="1">
        <f t="shared" si="259"/>
        <v>0.875</v>
      </c>
      <c r="AG207" s="1">
        <f t="shared" si="260"/>
        <v>9</v>
      </c>
      <c r="AH207" s="1">
        <f t="shared" si="261"/>
        <v>9</v>
      </c>
      <c r="AI207" s="1">
        <f t="shared" si="262"/>
        <v>8</v>
      </c>
      <c r="AJ207" s="1">
        <f t="shared" si="263"/>
        <v>9</v>
      </c>
      <c r="AK207" s="1">
        <f t="shared" si="264"/>
        <v>8</v>
      </c>
      <c r="AL207" s="1">
        <f t="shared" si="265"/>
        <v>3</v>
      </c>
      <c r="AM207" s="1">
        <f t="shared" si="266"/>
        <v>30</v>
      </c>
      <c r="AN207" s="1">
        <f t="shared" si="267"/>
        <v>9</v>
      </c>
      <c r="AO207" s="1">
        <f t="shared" si="268"/>
        <v>0</v>
      </c>
      <c r="AP207" s="1" t="e">
        <f t="shared" si="269"/>
        <v>#VALUE!</v>
      </c>
      <c r="AQ207" s="1" t="e">
        <f t="shared" si="270"/>
        <v>#VALUE!</v>
      </c>
      <c r="AR207" s="1">
        <f t="shared" si="271"/>
        <v>0.3</v>
      </c>
      <c r="AS207" s="1">
        <f t="shared" si="272"/>
        <v>9</v>
      </c>
      <c r="AT207" s="1">
        <f t="shared" si="273"/>
        <v>0.3</v>
      </c>
      <c r="AU207" s="1">
        <f t="shared" si="274"/>
        <v>9</v>
      </c>
      <c r="AV207" s="1">
        <f>MIN(5,SUMIFS($EL$3:EL207,$B$3:B207,"&gt;="&amp;MAX(1,B207-2),$B$3:B207,"&lt;="&amp;B207)+EC207)</f>
        <v>0</v>
      </c>
      <c r="AW207" s="1">
        <f>MIN(6,SUMIFS($EY$3:EY206,$EX$3:EX206,"&gt;="&amp;MAX(1,EX207-Boss参数!$B$87+1),$EX$3:EX206,"&lt;="&amp;EX207))</f>
        <v>0</v>
      </c>
      <c r="AX207" s="1">
        <f>MIN(4,COUNTIFS($B$3:$B$206,"&gt;="&amp;MAX(1,$B207-2),$B$3:$B$206,"&lt;="&amp;$B207,$L$3:$L$206,"37_FOLLOW"))</f>
        <v>0</v>
      </c>
      <c r="AY207" s="1" t="str">
        <f>IF($E207="","",IF($E207="系统",0,ROUNDDOWN(INDEX(角色面板!$C$4:$C$7,MATCH($E207,角色面板!$A$4:$A$7,0))*(1+INDEX(角色面板!$C$11:$C$14,MATCH($E207,角色面板!$A$11:$A$14,0))+IF($E207="小瑞安侬",MAX(IF($B207&lt;=$AQ207,$AP207,0),IF(AND($L207="RHI_ATTACK",$EE207&gt;0),0.11+0.01*$G207,0)),0)+IF($E207="J",$AD207*Boss参数!$B$18,0))+IF(FD207&lt;=$AN207,MIN(Boss参数!$B$21,ROUNDDOWN(角色面板!$C$19*Boss参数!$B$20,0)),0)+IF(AND($B207&lt;=$AK207,$E207&lt;&gt;"小瑞安侬"),$DY207,0),0)))</f>
        <v/>
      </c>
      <c r="AZ207" s="1" t="str">
        <f>IF($E207="","",MAX(0,MIN(1,IFERROR(INDEX(角色面板!$G$18:$G$21,MATCH($E207,角色面板!$A$18:$A$21,0)),0)-FC207*Boss参数!$B$89-Boss参数!$E$4)))</f>
        <v/>
      </c>
      <c r="BA207" s="1" t="str">
        <f>IF(E207="","",(IF($E207="","",IF($E207="红弩箭",Boss参数!$B$80,IF($E207="J",Boss参数!$B$81,IFERROR(INDEX(角色面板!$H$18:$H$21,MATCH($E207,角色面板!$A$18:$A$21,0)),0)))+IF($B207&lt;=$AI207,Boss参数!$B$13,0)+MIN(30,$AM207)*Boss参数!$B$17+IF(AND($L207="LILYA_ULT",$X207&gt;=6),1,0)+IF(AND($Y207=1,$L207="LILYA_INSIGHT"),IF(MOD($AA207+1,3)=0,Boss参数!$B$83,Boss参数!$B$82),IF(AND($Y207=1,$L207="LILYA_FINISH"),Boss参数!$B$84,0))))-FC207*Boss参数!$B$90)</f>
        <v/>
      </c>
      <c r="BB207" s="1" t="str">
        <f>IF($E207="","",IFERROR(INDEX(角色面板!$M$18:$M$21,MATCH($E207,角色面板!$A$18:$A$21,0)),0)+$AW207*Boss参数!$B$12+IF($B207&lt;=$AG207,$AF207,0)+$EI207+IF($L207="LILYA_DIVE",IF($U207=1,IF($G207=1,0.3,IF($G207=2,0.4,0.5)),IF($U207=2,IF($G207=1,0.6,IF($G207=2,0.8,1)),0)),0)+$R207+IF(AND($E207="J",OR($L207="J_COUNTER",$L207="J_HARD")),Boss参数!$B$79,0)+IF(AND(OR(L207="J_COUNTER",L207="J_HARD"),FA207&gt;=Boss参数!$B$59),FA207*Boss参数!$B$40,0))</f>
        <v/>
      </c>
      <c r="BC207" s="1" t="e">
        <f>IF($E207="","",IFERROR(INDEX(角色面板!$K$18:$K$21,MATCH($E207,角色面板!$A$18:$A$21,0)),0)+IF($B207&lt;=$AH207,Boss参数!$B$46,0)+IF($E207="红弩箭",IF($U207=1,0.6,IF($U207=2,1.2,0))+$W207*0.06,0))-DI207*Boss参数!$B$23</f>
        <v>#VALUE!</v>
      </c>
      <c r="BD207" s="1" t="e">
        <f>IF($E207="","",IFERROR(INDEX(角色面板!$L$18:$L$21,MATCH($E207,角色面板!$A$18:$A$21,0)),0)+IF($B207&lt;=$AH207,Boss参数!$B$46,0)+IF($E207="J",$AL207*Boss参数!$B$16,0)+IF($E207="红弩箭",$X207*0.025,0)+IF(AND($L207="LILYA_ULT",$X207&gt;=6),1,0))-DI207*Boss参数!$B$23</f>
        <v>#VALUE!</v>
      </c>
      <c r="BE207" s="1" t="str">
        <f>IF($E207="","",IF($H207="洞知",IF($E207="红弩箭",$AO207*Boss参数!$B$15,0)+$AX207*Boss参数!$B$14,0))</f>
        <v/>
      </c>
      <c r="BF207" s="1">
        <f t="shared" si="211"/>
        <v>0</v>
      </c>
      <c r="BG207" s="1">
        <f>IF($D207="",0,IF(AND($L207&lt;&gt;"LILYA_DIVE",$L207&lt;&gt;"LILYA_ULT",$L207&lt;&gt;"LILYA_INSIGHT",$L207&lt;&gt;"LILYA_FINISH",$L207&lt;&gt;"37_FOLLOW",$L207&lt;&gt;"RHI_ATTACK",$L207&lt;&gt;"RHI_BERRY",$L207&lt;&gt;"J_COUNTER",$L207&lt;&gt;"J_ULT"),$J207,0)+IF($L207="LILYA_DIVE",$J207+IF($U207=1,IF($G207=1,6,IF($G207=2,12,18)),IF($U207=2,IF($G207=1,12,IF($G207=2,24,36)),0)),0)+IF($L207="LILYA_ULT",$J207+IF($X207&gt;=6,18,0),0)+IF($L207="LILYA_INSIGHT",IF($Y207=1,IF(MOD($AA207+1,3)=0,32,15),0),0)+IF($L207="LILYA_FINISH",IF($Y207=1,50+2.5*$Z207,0),0)+IF($L207="37_FOLLOW",$J207,0)+IF($L207="RHI_ATTACK",$J207*IF($B207&lt;=$AJ207,2,1),0)+IF($L207="RHI_BERRY",15+1.5*$AV207,0)+IF($L207="J_COUNTER",$J207+$AD207*Boss参数!$B$39,0)+IF($L207="J_ULT",$J207+Boss参数!$B$45*MAX(0,$AE207+$AD207-Boss参数!$I$4),0)+$S207)</f>
        <v>0</v>
      </c>
      <c r="BH207" s="1">
        <f t="shared" si="212"/>
        <v>0</v>
      </c>
      <c r="BI207" s="1" t="str">
        <f>IF(E207="","",IF(DT207=1,1+Boss参数!$B$8+AV207*Boss参数!$B$19,1))</f>
        <v/>
      </c>
      <c r="BJ207" s="1">
        <f>IF($I207="现实",Boss参数!$C$4,IF($I207="精神",Boss参数!$D$4,0))</f>
        <v>0</v>
      </c>
      <c r="BK207" s="1" t="str">
        <f>IF($E207="","",MAX($AY207*Boss参数!$B$9,$AY207-$BJ207*(1-$BF207)))</f>
        <v/>
      </c>
      <c r="BL207" s="1">
        <f>MAX(0,Boss参数!$F$4+IF(DT207=0,Boss参数!$B$27,0)-EJ207)</f>
        <v>1.25</v>
      </c>
      <c r="BM207" s="1">
        <f>Boss参数!$G$4+DU207-IF(Y207=1,Boss参数!$B$11,0)</f>
        <v>0.4</v>
      </c>
      <c r="BN207" s="1" t="str">
        <f>IF($E207="","",MAX(Boss参数!$B$10,1+IFERROR(INDEX(角色面板!$I$18:$I$21,MATCH($E207,角色面板!$A$18:$A$21,0)),0)+$BB207+Boss参数!$H$4-$BM207))</f>
        <v/>
      </c>
      <c r="BO207" s="1" t="str">
        <f>IF(E207="","",IF(OR(L207="J_COUNTER",L207="J_HARD"),MAX(0,1+INDEX(角色面板!$K$18:$K$21,MATCH(E207,角色面板!$A$18:$A$21,0))-DI207*Boss参数!$B$23+IF(OR(Boss参数!$B$43=1,L207="J_HARD"),IF(B207&lt;=AH207,Boss参数!$B$46,0),0)),MAX(0,IF(OR(H207="术法",L207="RHI_BERRY",AND(L207="37_FOLLOW",Boss参数!$B$31=1)),1+BC207,IF(H207="仪式",1+BD207,IF(H207="洞知",EK207,1))))))</f>
        <v/>
      </c>
      <c r="BP207" s="1" t="str">
        <f t="shared" si="213"/>
        <v/>
      </c>
      <c r="BQ207" s="1">
        <f t="shared" si="214"/>
        <v>0</v>
      </c>
      <c r="BR207" s="1">
        <f t="shared" si="215"/>
        <v>0</v>
      </c>
      <c r="BS207" s="1">
        <f>IF(BH207=0,0,ROUNDDOWN(AY207*BH207,0)*DV207*IF(Boss参数!$B$29=1,BN207,1)*IF(Boss参数!$B$33=1,BO207,1)*IF(Boss参数!$B$76=1,1-ES207,1))</f>
        <v>0</v>
      </c>
      <c r="BT207" s="1">
        <f t="shared" si="216"/>
        <v>0</v>
      </c>
      <c r="BU207" s="1">
        <f>IF(D207="",0,MIN(IF(Boss参数!$B$77=1,Boss参数!$B$63*Boss参数!$B$62,Boss参数!$B$61*Boss参数!$B$62),DW207+ROUNDDOWN(BS207,0)+ROUNDDOWN(DW207*Q207,0)))</f>
        <v>0</v>
      </c>
      <c r="BV207" s="1">
        <f>IF(D207="",0,MIN(IF(Boss参数!$B$77=1,Boss参数!$B$63*Boss参数!$B$62,Boss参数!$B$61*Boss参数!$B$62),DX207+ROUNDDOWN(BT207,0)+ROUNDDOWN(DX207*Q207,0)))</f>
        <v>0</v>
      </c>
      <c r="BW207" s="1">
        <f t="shared" si="217"/>
        <v>0</v>
      </c>
      <c r="BX207" s="1" t="str">
        <f t="shared" si="218"/>
        <v/>
      </c>
      <c r="BY207" s="1">
        <f t="shared" si="219"/>
        <v>2</v>
      </c>
      <c r="BZ207" s="1">
        <f t="shared" si="220"/>
        <v>1</v>
      </c>
      <c r="CA207" s="1">
        <f>MIN(10,W207+IF(AND(L207="LILYA_COBRA",COUNTIF($L$3:L207,"LILYA_COBRA")=1),5,0)+IF(AND(L207="LILYA_DIVE",U207=1,COUNTIFS($DG$3:DG207,DG207,$L$3:L207,"LILYA_DIVE")=1),2,0)+IF(AND(FE207=1,U207=1),3,0))</f>
        <v>10</v>
      </c>
      <c r="CB207" s="1">
        <f>MIN(20,MAX(0,X207+IF(L207="LILYA_COBRA",IF(COUNTIF($L$3:L207,"LILYA_COBRA")=1,6,IF(U207=1,MAX(1,G207),IF(U207=2,2*MAX(1,G207),0))),0)+IF(AND(Y207=1,E207="红弩箭",L207&lt;&gt;"ENTER_INSIGHT"),1,0)-IF(AND(L207="LILYA_ULT",X207&gt;=6),6,0)))</f>
        <v>13</v>
      </c>
      <c r="CC207" s="1">
        <f t="shared" si="221"/>
        <v>0</v>
      </c>
      <c r="CD207" s="1">
        <f t="shared" si="222"/>
        <v>0</v>
      </c>
      <c r="CE207" s="1">
        <f t="shared" si="223"/>
        <v>0</v>
      </c>
      <c r="CF207" s="1">
        <f t="shared" si="224"/>
        <v>10</v>
      </c>
      <c r="CG207" s="1">
        <f t="shared" si="225"/>
        <v>1</v>
      </c>
      <c r="CH207" s="1">
        <f>MIN(35,AD207+IF(L207="J_HARD",6,0)+IF(L207="J_COUNTER",Boss参数!$B$30,0))</f>
        <v>35</v>
      </c>
      <c r="CI207" s="1">
        <f>MIN(Boss参数!$I$4,AE207+IF(L207="J_HARD",6,0)+IF(L207="J_ULT",AD207,0)+IF(L207="J_COUNTER",Boss参数!$B$30,0))</f>
        <v>0</v>
      </c>
      <c r="CJ207" s="1">
        <f>IF(L207="J_ULT",AD207*Boss参数!$B$41,IF(B207&lt;=AG207,AF207,0))</f>
        <v>0.875</v>
      </c>
      <c r="CK207" s="1">
        <f t="shared" si="226"/>
        <v>9</v>
      </c>
      <c r="CL207" s="1">
        <f t="shared" si="227"/>
        <v>9</v>
      </c>
      <c r="CM207" s="1">
        <f t="shared" si="228"/>
        <v>8</v>
      </c>
      <c r="CN207" s="1">
        <f t="shared" si="229"/>
        <v>9</v>
      </c>
      <c r="CO207" s="1">
        <f t="shared" si="230"/>
        <v>8</v>
      </c>
      <c r="CP207" s="1">
        <f t="shared" si="231"/>
        <v>3</v>
      </c>
      <c r="CQ207" s="1">
        <f t="shared" si="232"/>
        <v>30</v>
      </c>
      <c r="CR207" s="1">
        <f t="shared" si="233"/>
        <v>9</v>
      </c>
      <c r="CS207" s="1">
        <f t="shared" si="234"/>
        <v>0</v>
      </c>
      <c r="CT207" s="1" t="e">
        <f t="shared" si="235"/>
        <v>#VALUE!</v>
      </c>
      <c r="CU207" s="1" t="e">
        <f t="shared" si="236"/>
        <v>#VALUE!</v>
      </c>
      <c r="CV207" s="1">
        <f t="shared" si="237"/>
        <v>0.3</v>
      </c>
      <c r="CW207" s="1">
        <f t="shared" si="238"/>
        <v>9</v>
      </c>
      <c r="CX207" s="1">
        <f t="shared" si="239"/>
        <v>0.3</v>
      </c>
      <c r="CY207" s="1">
        <f t="shared" si="240"/>
        <v>9</v>
      </c>
      <c r="CZ207" s="1"/>
      <c r="DA207" s="1"/>
      <c r="DB207" s="1"/>
      <c r="DC207" s="1"/>
      <c r="DD207" s="1"/>
      <c r="DE207" s="1"/>
      <c r="DF207" s="1"/>
      <c r="DG207" s="1" t="str">
        <f>IF(D207="","",行动模拟!B213)</f>
        <v/>
      </c>
      <c r="DH207" s="1" t="str">
        <f>IF(L207="END_TURN","回合结束",IF(D207="","",IF(INDEX(回合状态!$C$7:$C$17,MATCH(DG207,回合状态!$A$7:$A$17,0))="洞穿","洞穿",IF(OR(L207="J_COUNTER",L207="BOSS_ACTION",L207="BOSS_CONSERVATIVE"),"敌方",IF(AND(L207="37_FOLLOW",DG207=DG206,DH206="敌方"),"敌方",IF(INDEX(回合状态!$C$7:$C$17,MATCH(DG207,回合状态!$A$7:$A$17,0))="普通","出牌",INDEX(回合状态!$C$7:$C$17,MATCH(DG207,回合状态!$A$7:$A$17,0))))))))</f>
        <v/>
      </c>
      <c r="DI207" s="1">
        <f t="shared" si="241"/>
        <v>0</v>
      </c>
      <c r="DJ207" s="1">
        <f>IF(D207="",0,MIN(Boss参数!$B$25,IF(OR(AND(DH207="敌方",OR(DH206&lt;&gt;"敌方",DG207&lt;&gt;DG206)),AND(L207="END_TURN",DH207&lt;&gt;"洞穿"),AND(DG207&lt;&gt;DG206,DH206&lt;&gt;"洞穿",L206&lt;&gt;"END_TURN",COUNTIFS($DG$3:DG206,DG206,$DH$3:DH206,"敌方")=0)),EW207,DN206)))</f>
        <v>0</v>
      </c>
      <c r="DK207" s="1">
        <f>IF(D207="",0,MIN(Boss参数!$B$25,IF(OR(AND(DH207="敌方",OR(DH206&lt;&gt;"敌方",DG207&lt;&gt;DG206)),AND(L207="END_TURN",DH207&lt;&gt;"洞穿"),AND(DG207&lt;&gt;DG206,DH206&lt;&gt;"洞穿",L206&lt;&gt;"END_TURN",COUNTIFS($DG$3:DG206,DG206,$DH$3:DH206,"敌方")=0)),EW207,DO206)))</f>
        <v>0</v>
      </c>
      <c r="DL207" s="1">
        <f>IF(D207="",0,MIN(Boss参数!$B$25,IF(OR(AND(DH207="敌方",OR(DH206&lt;&gt;"敌方",DG207&lt;&gt;DG206)),AND(L207="END_TURN",DH207&lt;&gt;"洞穿"),AND(DG207&lt;&gt;DG206,DH206&lt;&gt;"洞穿",L206&lt;&gt;"END_TURN",COUNTIFS($DG$3:DG206,DG206,$DH$3:DH206,"敌方")=0)),EW207,DP206)))</f>
        <v>0</v>
      </c>
      <c r="DM207" s="1">
        <f>IF(D207="",0,MIN(Boss参数!$B$25,IF(OR(AND(DH207="敌方",OR(DH206&lt;&gt;"敌方",DG207&lt;&gt;DG206)),AND(L207="END_TURN",DH207&lt;&gt;"洞穿"),AND(DG207&lt;&gt;DG206,DH206&lt;&gt;"洞穿",L206&lt;&gt;"END_TURN",COUNTIFS($DG$3:DG206,DG206,$DH$3:DH206,"敌方")=0)),EW207,DQ206)))</f>
        <v>0</v>
      </c>
      <c r="DN207" s="1">
        <f>MAX(0,MIN(Boss参数!$B$25,DJ207+DR207)-IF(E207="红弩箭",2*DR207,0))</f>
        <v>0</v>
      </c>
      <c r="DO207" s="1">
        <f>MAX(0,MIN(Boss参数!$B$25,DK207+DR207)-IF(E207="37",2*DR207,0))</f>
        <v>0</v>
      </c>
      <c r="DP207" s="1">
        <f>MAX(0,MIN(Boss参数!$B$25,DL207+DR207)-IF(E207="小瑞安侬",2*DR207,0))</f>
        <v>0</v>
      </c>
      <c r="DQ207" s="1">
        <f>MAX(0,MIN(Boss参数!$B$25,DM207+DR207)-IF(E207="J",2*DR207,0))</f>
        <v>0</v>
      </c>
      <c r="DR207" s="1">
        <f t="shared" si="242"/>
        <v>0</v>
      </c>
      <c r="DS207" s="1">
        <f t="shared" si="243"/>
        <v>0</v>
      </c>
      <c r="DT207" s="1">
        <f>IF(OR(E207="",E207="系统"),0,IF(OR(AND(DS207=1,Boss参数!$B$32=1),L207="RHI_BERRY",OR(AND(INDEX(角色面板!$B$18:$B$21,MATCH(E207,角色面板!$A$18:$A$21,0))="星",Boss参数!$B$4="岩"),AND(INDEX(角色面板!$B$18:$B$21,MATCH(E207,角色面板!$A$18:$A$21,0))="岩",Boss参数!$B$4="兽"),AND(INDEX(角色面板!$B$18:$B$21,MATCH(E207,角色面板!$A$18:$A$21,0))="兽",Boss参数!$B$4="木"),AND(INDEX(角色面板!$B$18:$B$21,MATCH(E207,角色面板!$A$18:$A$21,0))="木",Boss参数!$B$4="星"),AND(INDEX(角色面板!$B$18:$B$21,MATCH(E207,角色面板!$A$18:$A$21,0))="智",Boss参数!$B$4="灵"),AND(INDEX(角色面板!$B$18:$B$21,MATCH(E207,角色面板!$A$18:$A$21,0))="灵",Boss参数!$B$4="智"))),1,0))</f>
        <v>0</v>
      </c>
      <c r="DU207" s="1">
        <f>IF(D207="",0,INDEX(回合状态!$E$7:$E$17,MATCH(DG207,回合状态!$A$7:$A$17,0))+IF(AND(DH207="敌方",OR(INDEX(回合状态!$C$7:$C$17,MATCH(DG207,回合状态!$A$7:$A$17,0))="普通",INDEX(回合状态!$C$7:$C$17,MATCH(DG207,回合状态!$A$7:$A$17,0))="额外")),0.05,0))</f>
        <v>0</v>
      </c>
      <c r="DV207" s="1">
        <f>MAX(Boss参数!$B$28,1+IF(AND(E207="37",AC207&gt;0,BH207&gt;0),Boss参数!$B$42,0)-DI207*Boss参数!$B$24+EA207-ER207)</f>
        <v>9.9999999999999978E-2</v>
      </c>
      <c r="DW207" s="1">
        <f>MIN(IF(Boss参数!$B$77=1,Boss参数!$B$63*Boss参数!$B$62,Boss参数!$B$61*Boss参数!$B$62),ROUNDDOWN(BQ207*(1-ES207),0))</f>
        <v>0</v>
      </c>
      <c r="DX207" s="1">
        <f>MIN(IF(Boss参数!$B$77=1,Boss参数!$B$63*Boss参数!$B$62,Boss参数!$B$61*Boss参数!$B$62),ROUNDDOWN(BR207*(1-ES207),0))</f>
        <v>0</v>
      </c>
      <c r="DY207" s="1">
        <f t="shared" si="275"/>
        <v>250</v>
      </c>
      <c r="DZ207" s="1">
        <f>IF(L207="RHI_ULT",MIN(Boss参数!$B$48,ROUNDDOWN(AY207*Boss参数!$B$47,0)),DY207)</f>
        <v>250</v>
      </c>
      <c r="EA207" s="1">
        <v>0</v>
      </c>
      <c r="EB207" s="1">
        <f t="shared" si="244"/>
        <v>0</v>
      </c>
      <c r="EC207" s="1">
        <f>SUMIFS($EB$3:EB207,$B$3:B207,"&gt;="&amp;MAX(1,B207-2),$B$3:B207,"&lt;="&amp;B207)*Boss参数!$B$51</f>
        <v>0</v>
      </c>
      <c r="ED207" s="1">
        <f>IF(D207="",EG206,IF(AND(DG207&lt;&gt;DG206,DH207&lt;&gt;"洞穿"),MIN(Boss参数!$B$55,EG206+2),EG206))</f>
        <v>0</v>
      </c>
      <c r="EE207" s="1">
        <f t="shared" si="245"/>
        <v>0</v>
      </c>
      <c r="EF207" s="1">
        <f>IF(AND(OR(L207="END_TURN",AND(DH207="敌方",OR(DH206&lt;&gt;"敌方",DG207&lt;&gt;DG206))),SUMIFS($EF$3:EF206,$DG$3:DG206,DG207)=0),MIN(1,MAX(0,ED207-EE207)),0)</f>
        <v>0</v>
      </c>
      <c r="EG207" s="1">
        <f t="shared" si="246"/>
        <v>0</v>
      </c>
      <c r="EH207" s="1">
        <f>Boss参数!$B$53-IF(Y207=1,Boss参数!$B$54,0)</f>
        <v>0</v>
      </c>
      <c r="EI207" s="1">
        <f t="shared" si="247"/>
        <v>0.15</v>
      </c>
      <c r="EJ207" s="1">
        <f t="shared" si="248"/>
        <v>0.15</v>
      </c>
      <c r="EK207" s="1" t="e">
        <f t="shared" si="249"/>
        <v>#VALUE!</v>
      </c>
      <c r="EL207" s="1">
        <f t="shared" si="276"/>
        <v>0</v>
      </c>
      <c r="EM207" s="1">
        <f>IF(AND(DG207&lt;&gt;DG206,DH207="洞穿"),0,IF(L207="ENTER_INSIGHT",Boss参数!$B$57,EO206))</f>
        <v>0</v>
      </c>
      <c r="EN207" s="1">
        <f>IF(AND(Y207=1,H207="洞知",EM207&gt;0),Boss参数!$B$56,0)</f>
        <v>0</v>
      </c>
      <c r="EO207" s="1">
        <f t="shared" si="250"/>
        <v>0</v>
      </c>
      <c r="EP207" s="1">
        <f t="shared" si="277"/>
        <v>23210479</v>
      </c>
      <c r="EQ207" s="1">
        <f>ROUNDDOWN(EP207/Boss参数!$B$62,0)</f>
        <v>232</v>
      </c>
      <c r="ER207" s="1">
        <f>IF(EQ207&gt;=Boss参数!$B$66,Boss参数!$B$69,IF(EQ207&gt;=Boss参数!$B$65,Boss参数!$B$68,IF(EQ207&gt;=Boss参数!$B$64,Boss参数!$B$67,0)))</f>
        <v>0.9</v>
      </c>
      <c r="ES207" s="1">
        <f>MIN(1,IF(EQ207&gt;=Boss参数!$B$66,Boss参数!$B$72+ROUNDDOWN((EQ207-Boss参数!$B$66)/Boss参数!$B$73,0)*Boss参数!$B$74,IF(EQ207&gt;=Boss参数!$B$65,Boss参数!$B$71,IF(EQ207&gt;=Boss参数!$B$64,Boss参数!$B$70,0))))</f>
        <v>0.65</v>
      </c>
      <c r="ET207" s="1">
        <f>MIN(Boss参数!$B$61*Boss参数!$B$62,EP207+IF(AND(Boss参数!$B$60=1,ISNUMBER(验证表!H213)),验证表!H213,EU207))</f>
        <v>23210479</v>
      </c>
      <c r="EU207" s="1">
        <f>IF(D207="",0,IF(验证表!G213="是",BV207,IF(验证表!G213="否",BU207,BW207)))</f>
        <v>0</v>
      </c>
      <c r="EV207" s="1">
        <f>IF(EQ207&gt;=Boss参数!$B$66,2,IF(EQ207&gt;=Boss参数!$B$65,1,0))</f>
        <v>2</v>
      </c>
      <c r="EW207" s="1">
        <f t="shared" si="251"/>
        <v>3</v>
      </c>
      <c r="EX207" s="1">
        <f>IF(D207="",0,INDEX(回合状态!$D$7:$D$17,MATCH(DG207,回合状态!$A$7:$A$17,0)))</f>
        <v>0</v>
      </c>
      <c r="EY207" s="1">
        <f>IF(OR(L207="RHI_ATTACK",L207="RHI_BUFF"),1,IF(L207="RHI_ULT",Boss参数!$B$52,0))</f>
        <v>0</v>
      </c>
      <c r="EZ207" s="1">
        <f>MIN(6,SUMIFS($EY$3:EY207,$EX$3:EX207,"&gt;="&amp;MAX(1,EX207-Boss参数!$B$87+1),$EX$3:EX207,"&lt;="&amp;EX207))</f>
        <v>0</v>
      </c>
      <c r="FA207" s="1">
        <f t="shared" si="278"/>
        <v>0</v>
      </c>
      <c r="FB207" s="17">
        <f>IF(L207="BOSS_CONSERVATIVE",B207+Boss参数!$B$91,FB206)</f>
        <v>7</v>
      </c>
      <c r="FC207" s="17">
        <f t="shared" si="279"/>
        <v>0</v>
      </c>
      <c r="FD207" s="17">
        <f>IF(D207="",FD206,FD206+IF(AND(DG207&lt;&gt;DG206,INDEX(回合状态!$C$7:$C$17,MATCH(DG207,回合状态!$A$7:$A$17,0))&lt;&gt;"洞穿"),1,0))</f>
        <v>8</v>
      </c>
      <c r="FE207" s="17">
        <f>IF(D207="",0,IF(AND(OR(L207="END_TURN",DH207="敌方"),INDEX(回合状态!$C$7:$C$17,MATCH(DG207,回合状态!$A$7:$A$17,0))&lt;&gt;"洞穿",SUMIFS($FE$3:FE206,$DG$3:DG206,DG207)=0),1,0))</f>
        <v>0</v>
      </c>
    </row>
    <row r="208" spans="1:161" ht="84.95" customHeight="1">
      <c r="A208" s="1" t="str">
        <f>行动模拟!A214</f>
        <v/>
      </c>
      <c r="B208" s="1">
        <f>IF(D208="",0,INDEX(回合状态!$B$7:$B$17,MATCH(DG208,回合状态!$A$7:$A$17,0)))</f>
        <v>0</v>
      </c>
      <c r="C208" s="1">
        <f>行动模拟!C214</f>
        <v>0</v>
      </c>
      <c r="D208" s="1" t="str">
        <f>IF(行动模拟!D214="","",行动模拟!D214)</f>
        <v/>
      </c>
      <c r="E208" s="1" t="str">
        <f>IF($D208="","",IFERROR(INDEX(技能数据库!$B$4:$B$38,MATCH($D208,技能数据库!$A$4:$A$38,0)),""))</f>
        <v/>
      </c>
      <c r="F208" s="1" t="str">
        <f>IF($D208="","",IFERROR(INDEX(技能数据库!$C$4:$C$38,MATCH($D208,技能数据库!$A$4:$A$38,0)),""))</f>
        <v/>
      </c>
      <c r="G208" s="1" t="str">
        <f>IF($D208="","",IFERROR(INDEX(技能数据库!$D$4:$D$38,MATCH($D208,技能数据库!$A$4:$A$38,0)),""))</f>
        <v/>
      </c>
      <c r="H208" s="1" t="str">
        <f>IF($D208="","",IFERROR(INDEX(技能数据库!$E$4:$E$38,MATCH($D208,技能数据库!$A$4:$A$38,0)),""))</f>
        <v/>
      </c>
      <c r="I208" s="1" t="str">
        <f>IF($D208="","",IFERROR(INDEX(技能数据库!$F$4:$F$38,MATCH($D208,技能数据库!$A$4:$A$38,0)),""))</f>
        <v/>
      </c>
      <c r="J208" s="1" t="str">
        <f>IF($D208="","",IFERROR(INDEX(技能数据库!$G$4:$G$38,MATCH($D208,技能数据库!$A$4:$A$38,0)),""))</f>
        <v/>
      </c>
      <c r="K208" s="1" t="str">
        <f>IF($D208="","",IFERROR(INDEX(技能数据库!$H$4:$H$38,MATCH($D208,技能数据库!$A$4:$A$38,0)),""))</f>
        <v/>
      </c>
      <c r="L208" s="1" t="str">
        <f>IF($D208="","",IFERROR(INDEX(技能数据库!$I$4:$I$38,MATCH($D208,技能数据库!$A$4:$A$38,0)),""))</f>
        <v/>
      </c>
      <c r="M208" s="1">
        <v>1</v>
      </c>
      <c r="N208" s="1"/>
      <c r="O208" s="1"/>
      <c r="P208" s="1"/>
      <c r="Q208" s="1">
        <f t="shared" si="210"/>
        <v>0</v>
      </c>
      <c r="R208" s="1">
        <v>0</v>
      </c>
      <c r="S208" s="1">
        <v>0</v>
      </c>
      <c r="T208" s="1">
        <f>行动模拟!I214</f>
        <v>0</v>
      </c>
      <c r="U208" s="1">
        <f>IF(FD208&lt;&gt;FD207,IF(BY207=1,IF(MIN(10,CA207+IF(AND(DG208&lt;&gt;DG207,DH207&lt;&gt;"洞穿",SUMIFS($FE$3:FE207,$DG$3:DG207,DG207)=0,BY207=1),3,0))&gt;=10,2,1),IF(BY207=2,IF(BZ207&lt;=1,0,2),0)),BY207)</f>
        <v>2</v>
      </c>
      <c r="V208" s="1">
        <f>IF(FD208&lt;&gt;FD207,IF(BY207=1,IF(MIN(10,CA207+IF(AND(DG208&lt;&gt;DG207,DH207&lt;&gt;"洞穿",SUMIFS($FE$3:FE207,$DG$3:DG207,DG207)=0,BY207=1),3,0))&gt;=10,2,0),IF(BY207=2,MAX(0,BZ207-1),0)),BZ207)</f>
        <v>1</v>
      </c>
      <c r="W208" s="1">
        <f>IF(AND(FD208&lt;&gt;FD207,BY207=2,BZ207&lt;=1),0,MIN(10,CA207+IF(AND(DG208&lt;&gt;DG207,DH207&lt;&gt;"洞穿",SUMIFS($FE$3:FE207,$DG$3:DG207,DG207)=0,BY207=1),3,0)))</f>
        <v>10</v>
      </c>
      <c r="X208" s="1">
        <f t="shared" si="252"/>
        <v>13</v>
      </c>
      <c r="Y208" s="1">
        <f t="shared" si="253"/>
        <v>0</v>
      </c>
      <c r="Z208" s="1">
        <f t="shared" si="254"/>
        <v>0</v>
      </c>
      <c r="AA208" s="1">
        <f t="shared" si="255"/>
        <v>0</v>
      </c>
      <c r="AB208" s="1">
        <f t="shared" si="256"/>
        <v>10</v>
      </c>
      <c r="AC208" s="1">
        <f t="shared" si="257"/>
        <v>1</v>
      </c>
      <c r="AD208" s="1">
        <f t="shared" si="258"/>
        <v>35</v>
      </c>
      <c r="AE208" s="1">
        <f>IF(D208="",0,IF(DG208&lt;&gt;DG207,IFERROR(INDEX(回合状态!$F$7:$F$17,MATCH(DG208,回合状态!$A$7:$A$17,0)),0),CI207))</f>
        <v>0</v>
      </c>
      <c r="AF208" s="1">
        <f t="shared" si="259"/>
        <v>0.875</v>
      </c>
      <c r="AG208" s="1">
        <f t="shared" si="260"/>
        <v>9</v>
      </c>
      <c r="AH208" s="1">
        <f t="shared" si="261"/>
        <v>9</v>
      </c>
      <c r="AI208" s="1">
        <f t="shared" si="262"/>
        <v>8</v>
      </c>
      <c r="AJ208" s="1">
        <f t="shared" si="263"/>
        <v>9</v>
      </c>
      <c r="AK208" s="1">
        <f t="shared" si="264"/>
        <v>8</v>
      </c>
      <c r="AL208" s="1">
        <f t="shared" si="265"/>
        <v>3</v>
      </c>
      <c r="AM208" s="1">
        <f t="shared" si="266"/>
        <v>30</v>
      </c>
      <c r="AN208" s="1">
        <f t="shared" si="267"/>
        <v>9</v>
      </c>
      <c r="AO208" s="1">
        <f t="shared" si="268"/>
        <v>0</v>
      </c>
      <c r="AP208" s="1" t="e">
        <f t="shared" si="269"/>
        <v>#VALUE!</v>
      </c>
      <c r="AQ208" s="1" t="e">
        <f t="shared" si="270"/>
        <v>#VALUE!</v>
      </c>
      <c r="AR208" s="1">
        <f t="shared" si="271"/>
        <v>0.3</v>
      </c>
      <c r="AS208" s="1">
        <f t="shared" si="272"/>
        <v>9</v>
      </c>
      <c r="AT208" s="1">
        <f t="shared" si="273"/>
        <v>0.3</v>
      </c>
      <c r="AU208" s="1">
        <f t="shared" si="274"/>
        <v>9</v>
      </c>
      <c r="AV208" s="1">
        <f>MIN(5,SUMIFS($EL$3:EL208,$B$3:B208,"&gt;="&amp;MAX(1,B208-2),$B$3:B208,"&lt;="&amp;B208)+EC208)</f>
        <v>0</v>
      </c>
      <c r="AW208" s="1">
        <f>MIN(6,SUMIFS($EY$3:EY207,$EX$3:EX207,"&gt;="&amp;MAX(1,EX208-Boss参数!$B$87+1),$EX$3:EX207,"&lt;="&amp;EX208))</f>
        <v>0</v>
      </c>
      <c r="AX208" s="1">
        <f>MIN(4,COUNTIFS($B$3:$B$207,"&gt;="&amp;MAX(1,$B208-2),$B$3:$B$207,"&lt;="&amp;$B208,$L$3:$L$207,"37_FOLLOW"))</f>
        <v>0</v>
      </c>
      <c r="AY208" s="1" t="str">
        <f>IF($E208="","",IF($E208="系统",0,ROUNDDOWN(INDEX(角色面板!$C$4:$C$7,MATCH($E208,角色面板!$A$4:$A$7,0))*(1+INDEX(角色面板!$C$11:$C$14,MATCH($E208,角色面板!$A$11:$A$14,0))+IF($E208="小瑞安侬",MAX(IF($B208&lt;=$AQ208,$AP208,0),IF(AND($L208="RHI_ATTACK",$EE208&gt;0),0.11+0.01*$G208,0)),0)+IF($E208="J",$AD208*Boss参数!$B$18,0))+IF(FD208&lt;=$AN208,MIN(Boss参数!$B$21,ROUNDDOWN(角色面板!$C$19*Boss参数!$B$20,0)),0)+IF(AND($B208&lt;=$AK208,$E208&lt;&gt;"小瑞安侬"),$DY208,0),0)))</f>
        <v/>
      </c>
      <c r="AZ208" s="1" t="str">
        <f>IF($E208="","",MAX(0,MIN(1,IFERROR(INDEX(角色面板!$G$18:$G$21,MATCH($E208,角色面板!$A$18:$A$21,0)),0)-FC208*Boss参数!$B$89-Boss参数!$E$4)))</f>
        <v/>
      </c>
      <c r="BA208" s="1" t="str">
        <f>IF(E208="","",(IF($E208="","",IF($E208="红弩箭",Boss参数!$B$80,IF($E208="J",Boss参数!$B$81,IFERROR(INDEX(角色面板!$H$18:$H$21,MATCH($E208,角色面板!$A$18:$A$21,0)),0)))+IF($B208&lt;=$AI208,Boss参数!$B$13,0)+MIN(30,$AM208)*Boss参数!$B$17+IF(AND($L208="LILYA_ULT",$X208&gt;=6),1,0)+IF(AND($Y208=1,$L208="LILYA_INSIGHT"),IF(MOD($AA208+1,3)=0,Boss参数!$B$83,Boss参数!$B$82),IF(AND($Y208=1,$L208="LILYA_FINISH"),Boss参数!$B$84,0))))-FC208*Boss参数!$B$90)</f>
        <v/>
      </c>
      <c r="BB208" s="1" t="str">
        <f>IF($E208="","",IFERROR(INDEX(角色面板!$M$18:$M$21,MATCH($E208,角色面板!$A$18:$A$21,0)),0)+$AW208*Boss参数!$B$12+IF($B208&lt;=$AG208,$AF208,0)+$EI208+IF($L208="LILYA_DIVE",IF($U208=1,IF($G208=1,0.3,IF($G208=2,0.4,0.5)),IF($U208=2,IF($G208=1,0.6,IF($G208=2,0.8,1)),0)),0)+$R208+IF(AND($E208="J",OR($L208="J_COUNTER",$L208="J_HARD")),Boss参数!$B$79,0)+IF(AND(OR(L208="J_COUNTER",L208="J_HARD"),FA208&gt;=Boss参数!$B$59),FA208*Boss参数!$B$40,0))</f>
        <v/>
      </c>
      <c r="BC208" s="1" t="e">
        <f>IF($E208="","",IFERROR(INDEX(角色面板!$K$18:$K$21,MATCH($E208,角色面板!$A$18:$A$21,0)),0)+IF($B208&lt;=$AH208,Boss参数!$B$46,0)+IF($E208="红弩箭",IF($U208=1,0.6,IF($U208=2,1.2,0))+$W208*0.06,0))-DI208*Boss参数!$B$23</f>
        <v>#VALUE!</v>
      </c>
      <c r="BD208" s="1" t="e">
        <f>IF($E208="","",IFERROR(INDEX(角色面板!$L$18:$L$21,MATCH($E208,角色面板!$A$18:$A$21,0)),0)+IF($B208&lt;=$AH208,Boss参数!$B$46,0)+IF($E208="J",$AL208*Boss参数!$B$16,0)+IF($E208="红弩箭",$X208*0.025,0)+IF(AND($L208="LILYA_ULT",$X208&gt;=6),1,0))-DI208*Boss参数!$B$23</f>
        <v>#VALUE!</v>
      </c>
      <c r="BE208" s="1" t="str">
        <f>IF($E208="","",IF($H208="洞知",IF($E208="红弩箭",$AO208*Boss参数!$B$15,0)+$AX208*Boss参数!$B$14,0))</f>
        <v/>
      </c>
      <c r="BF208" s="1">
        <f t="shared" si="211"/>
        <v>0</v>
      </c>
      <c r="BG208" s="1">
        <f>IF($D208="",0,IF(AND($L208&lt;&gt;"LILYA_DIVE",$L208&lt;&gt;"LILYA_ULT",$L208&lt;&gt;"LILYA_INSIGHT",$L208&lt;&gt;"LILYA_FINISH",$L208&lt;&gt;"37_FOLLOW",$L208&lt;&gt;"RHI_ATTACK",$L208&lt;&gt;"RHI_BERRY",$L208&lt;&gt;"J_COUNTER",$L208&lt;&gt;"J_ULT"),$J208,0)+IF($L208="LILYA_DIVE",$J208+IF($U208=1,IF($G208=1,6,IF($G208=2,12,18)),IF($U208=2,IF($G208=1,12,IF($G208=2,24,36)),0)),0)+IF($L208="LILYA_ULT",$J208+IF($X208&gt;=6,18,0),0)+IF($L208="LILYA_INSIGHT",IF($Y208=1,IF(MOD($AA208+1,3)=0,32,15),0),0)+IF($L208="LILYA_FINISH",IF($Y208=1,50+2.5*$Z208,0),0)+IF($L208="37_FOLLOW",$J208,0)+IF($L208="RHI_ATTACK",$J208*IF($B208&lt;=$AJ208,2,1),0)+IF($L208="RHI_BERRY",15+1.5*$AV208,0)+IF($L208="J_COUNTER",$J208+$AD208*Boss参数!$B$39,0)+IF($L208="J_ULT",$J208+Boss参数!$B$45*MAX(0,$AE208+$AD208-Boss参数!$I$4),0)+$S208)</f>
        <v>0</v>
      </c>
      <c r="BH208" s="1">
        <f t="shared" si="212"/>
        <v>0</v>
      </c>
      <c r="BI208" s="1" t="str">
        <f>IF(E208="","",IF(DT208=1,1+Boss参数!$B$8+AV208*Boss参数!$B$19,1))</f>
        <v/>
      </c>
      <c r="BJ208" s="1">
        <f>IF($I208="现实",Boss参数!$C$4,IF($I208="精神",Boss参数!$D$4,0))</f>
        <v>0</v>
      </c>
      <c r="BK208" s="1" t="str">
        <f>IF($E208="","",MAX($AY208*Boss参数!$B$9,$AY208-$BJ208*(1-$BF208)))</f>
        <v/>
      </c>
      <c r="BL208" s="1">
        <f>MAX(0,Boss参数!$F$4+IF(DT208=0,Boss参数!$B$27,0)-EJ208)</f>
        <v>1.25</v>
      </c>
      <c r="BM208" s="1">
        <f>Boss参数!$G$4+DU208-IF(Y208=1,Boss参数!$B$11,0)</f>
        <v>0.4</v>
      </c>
      <c r="BN208" s="1" t="str">
        <f>IF($E208="","",MAX(Boss参数!$B$10,1+IFERROR(INDEX(角色面板!$I$18:$I$21,MATCH($E208,角色面板!$A$18:$A$21,0)),0)+$BB208+Boss参数!$H$4-$BM208))</f>
        <v/>
      </c>
      <c r="BO208" s="1" t="str">
        <f>IF(E208="","",IF(OR(L208="J_COUNTER",L208="J_HARD"),MAX(0,1+INDEX(角色面板!$K$18:$K$21,MATCH(E208,角色面板!$A$18:$A$21,0))-DI208*Boss参数!$B$23+IF(OR(Boss参数!$B$43=1,L208="J_HARD"),IF(B208&lt;=AH208,Boss参数!$B$46,0),0)),MAX(0,IF(OR(H208="术法",L208="RHI_BERRY",AND(L208="37_FOLLOW",Boss参数!$B$31=1)),1+BC208,IF(H208="仪式",1+BD208,IF(H208="洞知",EK208,1))))))</f>
        <v/>
      </c>
      <c r="BP208" s="1" t="str">
        <f t="shared" si="213"/>
        <v/>
      </c>
      <c r="BQ208" s="1">
        <f t="shared" si="214"/>
        <v>0</v>
      </c>
      <c r="BR208" s="1">
        <f t="shared" si="215"/>
        <v>0</v>
      </c>
      <c r="BS208" s="1">
        <f>IF(BH208=0,0,ROUNDDOWN(AY208*BH208,0)*DV208*IF(Boss参数!$B$29=1,BN208,1)*IF(Boss参数!$B$33=1,BO208,1)*IF(Boss参数!$B$76=1,1-ES208,1))</f>
        <v>0</v>
      </c>
      <c r="BT208" s="1">
        <f t="shared" si="216"/>
        <v>0</v>
      </c>
      <c r="BU208" s="1">
        <f>IF(D208="",0,MIN(IF(Boss参数!$B$77=1,Boss参数!$B$63*Boss参数!$B$62,Boss参数!$B$61*Boss参数!$B$62),DW208+ROUNDDOWN(BS208,0)+ROUNDDOWN(DW208*Q208,0)))</f>
        <v>0</v>
      </c>
      <c r="BV208" s="1">
        <f>IF(D208="",0,MIN(IF(Boss参数!$B$77=1,Boss参数!$B$63*Boss参数!$B$62,Boss参数!$B$61*Boss参数!$B$62),DX208+ROUNDDOWN(BT208,0)+ROUNDDOWN(DX208*Q208,0)))</f>
        <v>0</v>
      </c>
      <c r="BW208" s="1">
        <f t="shared" si="217"/>
        <v>0</v>
      </c>
      <c r="BX208" s="1" t="str">
        <f t="shared" si="218"/>
        <v/>
      </c>
      <c r="BY208" s="1">
        <f t="shared" si="219"/>
        <v>2</v>
      </c>
      <c r="BZ208" s="1">
        <f t="shared" si="220"/>
        <v>1</v>
      </c>
      <c r="CA208" s="1">
        <f>MIN(10,W208+IF(AND(L208="LILYA_COBRA",COUNTIF($L$3:L208,"LILYA_COBRA")=1),5,0)+IF(AND(L208="LILYA_DIVE",U208=1,COUNTIFS($DG$3:DG208,DG208,$L$3:L208,"LILYA_DIVE")=1),2,0)+IF(AND(FE208=1,U208=1),3,0))</f>
        <v>10</v>
      </c>
      <c r="CB208" s="1">
        <f>MIN(20,MAX(0,X208+IF(L208="LILYA_COBRA",IF(COUNTIF($L$3:L208,"LILYA_COBRA")=1,6,IF(U208=1,MAX(1,G208),IF(U208=2,2*MAX(1,G208),0))),0)+IF(AND(Y208=1,E208="红弩箭",L208&lt;&gt;"ENTER_INSIGHT"),1,0)-IF(AND(L208="LILYA_ULT",X208&gt;=6),6,0)))</f>
        <v>13</v>
      </c>
      <c r="CC208" s="1">
        <f t="shared" si="221"/>
        <v>0</v>
      </c>
      <c r="CD208" s="1">
        <f t="shared" si="222"/>
        <v>0</v>
      </c>
      <c r="CE208" s="1">
        <f t="shared" si="223"/>
        <v>0</v>
      </c>
      <c r="CF208" s="1">
        <f t="shared" si="224"/>
        <v>10</v>
      </c>
      <c r="CG208" s="1">
        <f t="shared" si="225"/>
        <v>1</v>
      </c>
      <c r="CH208" s="1">
        <f>MIN(35,AD208+IF(L208="J_HARD",6,0)+IF(L208="J_COUNTER",Boss参数!$B$30,0))</f>
        <v>35</v>
      </c>
      <c r="CI208" s="1">
        <f>MIN(Boss参数!$I$4,AE208+IF(L208="J_HARD",6,0)+IF(L208="J_ULT",AD208,0)+IF(L208="J_COUNTER",Boss参数!$B$30,0))</f>
        <v>0</v>
      </c>
      <c r="CJ208" s="1">
        <f>IF(L208="J_ULT",AD208*Boss参数!$B$41,IF(B208&lt;=AG208,AF208,0))</f>
        <v>0.875</v>
      </c>
      <c r="CK208" s="1">
        <f t="shared" si="226"/>
        <v>9</v>
      </c>
      <c r="CL208" s="1">
        <f t="shared" si="227"/>
        <v>9</v>
      </c>
      <c r="CM208" s="1">
        <f t="shared" si="228"/>
        <v>8</v>
      </c>
      <c r="CN208" s="1">
        <f t="shared" si="229"/>
        <v>9</v>
      </c>
      <c r="CO208" s="1">
        <f t="shared" si="230"/>
        <v>8</v>
      </c>
      <c r="CP208" s="1">
        <f t="shared" si="231"/>
        <v>3</v>
      </c>
      <c r="CQ208" s="1">
        <f t="shared" si="232"/>
        <v>30</v>
      </c>
      <c r="CR208" s="1">
        <f t="shared" si="233"/>
        <v>9</v>
      </c>
      <c r="CS208" s="1">
        <f t="shared" si="234"/>
        <v>0</v>
      </c>
      <c r="CT208" s="1" t="e">
        <f t="shared" si="235"/>
        <v>#VALUE!</v>
      </c>
      <c r="CU208" s="1" t="e">
        <f t="shared" si="236"/>
        <v>#VALUE!</v>
      </c>
      <c r="CV208" s="1">
        <f t="shared" si="237"/>
        <v>0.3</v>
      </c>
      <c r="CW208" s="1">
        <f t="shared" si="238"/>
        <v>9</v>
      </c>
      <c r="CX208" s="1">
        <f t="shared" si="239"/>
        <v>0.3</v>
      </c>
      <c r="CY208" s="1">
        <f t="shared" si="240"/>
        <v>9</v>
      </c>
      <c r="CZ208" s="1"/>
      <c r="DA208" s="1"/>
      <c r="DB208" s="1"/>
      <c r="DC208" s="1"/>
      <c r="DD208" s="1"/>
      <c r="DE208" s="1"/>
      <c r="DF208" s="1"/>
      <c r="DG208" s="1" t="str">
        <f>IF(D208="","",行动模拟!B214)</f>
        <v/>
      </c>
      <c r="DH208" s="1" t="str">
        <f>IF(L208="END_TURN","回合结束",IF(D208="","",IF(INDEX(回合状态!$C$7:$C$17,MATCH(DG208,回合状态!$A$7:$A$17,0))="洞穿","洞穿",IF(OR(L208="J_COUNTER",L208="BOSS_ACTION",L208="BOSS_CONSERVATIVE"),"敌方",IF(AND(L208="37_FOLLOW",DG208=DG207,DH207="敌方"),"敌方",IF(INDEX(回合状态!$C$7:$C$17,MATCH(DG208,回合状态!$A$7:$A$17,0))="普通","出牌",INDEX(回合状态!$C$7:$C$17,MATCH(DG208,回合状态!$A$7:$A$17,0))))))))</f>
        <v/>
      </c>
      <c r="DI208" s="1">
        <f t="shared" si="241"/>
        <v>0</v>
      </c>
      <c r="DJ208" s="1">
        <f>IF(D208="",0,MIN(Boss参数!$B$25,IF(OR(AND(DH208="敌方",OR(DH207&lt;&gt;"敌方",DG208&lt;&gt;DG207)),AND(L208="END_TURN",DH208&lt;&gt;"洞穿"),AND(DG208&lt;&gt;DG207,DH207&lt;&gt;"洞穿",L207&lt;&gt;"END_TURN",COUNTIFS($DG$3:DG207,DG207,$DH$3:DH207,"敌方")=0)),EW208,DN207)))</f>
        <v>0</v>
      </c>
      <c r="DK208" s="1">
        <f>IF(D208="",0,MIN(Boss参数!$B$25,IF(OR(AND(DH208="敌方",OR(DH207&lt;&gt;"敌方",DG208&lt;&gt;DG207)),AND(L208="END_TURN",DH208&lt;&gt;"洞穿"),AND(DG208&lt;&gt;DG207,DH207&lt;&gt;"洞穿",L207&lt;&gt;"END_TURN",COUNTIFS($DG$3:DG207,DG207,$DH$3:DH207,"敌方")=0)),EW208,DO207)))</f>
        <v>0</v>
      </c>
      <c r="DL208" s="1">
        <f>IF(D208="",0,MIN(Boss参数!$B$25,IF(OR(AND(DH208="敌方",OR(DH207&lt;&gt;"敌方",DG208&lt;&gt;DG207)),AND(L208="END_TURN",DH208&lt;&gt;"洞穿"),AND(DG208&lt;&gt;DG207,DH207&lt;&gt;"洞穿",L207&lt;&gt;"END_TURN",COUNTIFS($DG$3:DG207,DG207,$DH$3:DH207,"敌方")=0)),EW208,DP207)))</f>
        <v>0</v>
      </c>
      <c r="DM208" s="1">
        <f>IF(D208="",0,MIN(Boss参数!$B$25,IF(OR(AND(DH208="敌方",OR(DH207&lt;&gt;"敌方",DG208&lt;&gt;DG207)),AND(L208="END_TURN",DH208&lt;&gt;"洞穿"),AND(DG208&lt;&gt;DG207,DH207&lt;&gt;"洞穿",L207&lt;&gt;"END_TURN",COUNTIFS($DG$3:DG207,DG207,$DH$3:DH207,"敌方")=0)),EW208,DQ207)))</f>
        <v>0</v>
      </c>
      <c r="DN208" s="1">
        <f>MAX(0,MIN(Boss参数!$B$25,DJ208+DR208)-IF(E208="红弩箭",2*DR208,0))</f>
        <v>0</v>
      </c>
      <c r="DO208" s="1">
        <f>MAX(0,MIN(Boss参数!$B$25,DK208+DR208)-IF(E208="37",2*DR208,0))</f>
        <v>0</v>
      </c>
      <c r="DP208" s="1">
        <f>MAX(0,MIN(Boss参数!$B$25,DL208+DR208)-IF(E208="小瑞安侬",2*DR208,0))</f>
        <v>0</v>
      </c>
      <c r="DQ208" s="1">
        <f>MAX(0,MIN(Boss参数!$B$25,DM208+DR208)-IF(E208="J",2*DR208,0))</f>
        <v>0</v>
      </c>
      <c r="DR208" s="1">
        <f t="shared" si="242"/>
        <v>0</v>
      </c>
      <c r="DS208" s="1">
        <f t="shared" si="243"/>
        <v>0</v>
      </c>
      <c r="DT208" s="1">
        <f>IF(OR(E208="",E208="系统"),0,IF(OR(AND(DS208=1,Boss参数!$B$32=1),L208="RHI_BERRY",OR(AND(INDEX(角色面板!$B$18:$B$21,MATCH(E208,角色面板!$A$18:$A$21,0))="星",Boss参数!$B$4="岩"),AND(INDEX(角色面板!$B$18:$B$21,MATCH(E208,角色面板!$A$18:$A$21,0))="岩",Boss参数!$B$4="兽"),AND(INDEX(角色面板!$B$18:$B$21,MATCH(E208,角色面板!$A$18:$A$21,0))="兽",Boss参数!$B$4="木"),AND(INDEX(角色面板!$B$18:$B$21,MATCH(E208,角色面板!$A$18:$A$21,0))="木",Boss参数!$B$4="星"),AND(INDEX(角色面板!$B$18:$B$21,MATCH(E208,角色面板!$A$18:$A$21,0))="智",Boss参数!$B$4="灵"),AND(INDEX(角色面板!$B$18:$B$21,MATCH(E208,角色面板!$A$18:$A$21,0))="灵",Boss参数!$B$4="智"))),1,0))</f>
        <v>0</v>
      </c>
      <c r="DU208" s="1">
        <f>IF(D208="",0,INDEX(回合状态!$E$7:$E$17,MATCH(DG208,回合状态!$A$7:$A$17,0))+IF(AND(DH208="敌方",OR(INDEX(回合状态!$C$7:$C$17,MATCH(DG208,回合状态!$A$7:$A$17,0))="普通",INDEX(回合状态!$C$7:$C$17,MATCH(DG208,回合状态!$A$7:$A$17,0))="额外")),0.05,0))</f>
        <v>0</v>
      </c>
      <c r="DV208" s="1">
        <f>MAX(Boss参数!$B$28,1+IF(AND(E208="37",AC208&gt;0,BH208&gt;0),Boss参数!$B$42,0)-DI208*Boss参数!$B$24+EA208-ER208)</f>
        <v>9.9999999999999978E-2</v>
      </c>
      <c r="DW208" s="1">
        <f>MIN(IF(Boss参数!$B$77=1,Boss参数!$B$63*Boss参数!$B$62,Boss参数!$B$61*Boss参数!$B$62),ROUNDDOWN(BQ208*(1-ES208),0))</f>
        <v>0</v>
      </c>
      <c r="DX208" s="1">
        <f>MIN(IF(Boss参数!$B$77=1,Boss参数!$B$63*Boss参数!$B$62,Boss参数!$B$61*Boss参数!$B$62),ROUNDDOWN(BR208*(1-ES208),0))</f>
        <v>0</v>
      </c>
      <c r="DY208" s="1">
        <f t="shared" si="275"/>
        <v>250</v>
      </c>
      <c r="DZ208" s="1">
        <f>IF(L208="RHI_ULT",MIN(Boss参数!$B$48,ROUNDDOWN(AY208*Boss参数!$B$47,0)),DY208)</f>
        <v>250</v>
      </c>
      <c r="EA208" s="1">
        <v>0</v>
      </c>
      <c r="EB208" s="1">
        <f t="shared" si="244"/>
        <v>0</v>
      </c>
      <c r="EC208" s="1">
        <f>SUMIFS($EB$3:EB208,$B$3:B208,"&gt;="&amp;MAX(1,B208-2),$B$3:B208,"&lt;="&amp;B208)*Boss参数!$B$51</f>
        <v>0</v>
      </c>
      <c r="ED208" s="1">
        <f>IF(D208="",EG207,IF(AND(DG208&lt;&gt;DG207,DH208&lt;&gt;"洞穿"),MIN(Boss参数!$B$55,EG207+2),EG207))</f>
        <v>0</v>
      </c>
      <c r="EE208" s="1">
        <f t="shared" si="245"/>
        <v>0</v>
      </c>
      <c r="EF208" s="1">
        <f>IF(AND(OR(L208="END_TURN",AND(DH208="敌方",OR(DH207&lt;&gt;"敌方",DG208&lt;&gt;DG207))),SUMIFS($EF$3:EF207,$DG$3:DG207,DG208)=0),MIN(1,MAX(0,ED208-EE208)),0)</f>
        <v>0</v>
      </c>
      <c r="EG208" s="1">
        <f t="shared" si="246"/>
        <v>0</v>
      </c>
      <c r="EH208" s="1">
        <f>Boss参数!$B$53-IF(Y208=1,Boss参数!$B$54,0)</f>
        <v>0</v>
      </c>
      <c r="EI208" s="1">
        <f t="shared" si="247"/>
        <v>0.15</v>
      </c>
      <c r="EJ208" s="1">
        <f t="shared" si="248"/>
        <v>0.15</v>
      </c>
      <c r="EK208" s="1" t="e">
        <f t="shared" si="249"/>
        <v>#VALUE!</v>
      </c>
      <c r="EL208" s="1">
        <f t="shared" si="276"/>
        <v>0</v>
      </c>
      <c r="EM208" s="1">
        <f>IF(AND(DG208&lt;&gt;DG207,DH208="洞穿"),0,IF(L208="ENTER_INSIGHT",Boss参数!$B$57,EO207))</f>
        <v>0</v>
      </c>
      <c r="EN208" s="1">
        <f>IF(AND(Y208=1,H208="洞知",EM208&gt;0),Boss参数!$B$56,0)</f>
        <v>0</v>
      </c>
      <c r="EO208" s="1">
        <f t="shared" si="250"/>
        <v>0</v>
      </c>
      <c r="EP208" s="1">
        <f t="shared" si="277"/>
        <v>23210479</v>
      </c>
      <c r="EQ208" s="1">
        <f>ROUNDDOWN(EP208/Boss参数!$B$62,0)</f>
        <v>232</v>
      </c>
      <c r="ER208" s="1">
        <f>IF(EQ208&gt;=Boss参数!$B$66,Boss参数!$B$69,IF(EQ208&gt;=Boss参数!$B$65,Boss参数!$B$68,IF(EQ208&gt;=Boss参数!$B$64,Boss参数!$B$67,0)))</f>
        <v>0.9</v>
      </c>
      <c r="ES208" s="1">
        <f>MIN(1,IF(EQ208&gt;=Boss参数!$B$66,Boss参数!$B$72+ROUNDDOWN((EQ208-Boss参数!$B$66)/Boss参数!$B$73,0)*Boss参数!$B$74,IF(EQ208&gt;=Boss参数!$B$65,Boss参数!$B$71,IF(EQ208&gt;=Boss参数!$B$64,Boss参数!$B$70,0))))</f>
        <v>0.65</v>
      </c>
      <c r="ET208" s="1">
        <f>MIN(Boss参数!$B$61*Boss参数!$B$62,EP208+IF(AND(Boss参数!$B$60=1,ISNUMBER(验证表!H214)),验证表!H214,EU208))</f>
        <v>23210479</v>
      </c>
      <c r="EU208" s="1">
        <f>IF(D208="",0,IF(验证表!G214="是",BV208,IF(验证表!G214="否",BU208,BW208)))</f>
        <v>0</v>
      </c>
      <c r="EV208" s="1">
        <f>IF(EQ208&gt;=Boss参数!$B$66,2,IF(EQ208&gt;=Boss参数!$B$65,1,0))</f>
        <v>2</v>
      </c>
      <c r="EW208" s="1">
        <f t="shared" si="251"/>
        <v>3</v>
      </c>
      <c r="EX208" s="1">
        <f>IF(D208="",0,INDEX(回合状态!$D$7:$D$17,MATCH(DG208,回合状态!$A$7:$A$17,0)))</f>
        <v>0</v>
      </c>
      <c r="EY208" s="1">
        <f>IF(OR(L208="RHI_ATTACK",L208="RHI_BUFF"),1,IF(L208="RHI_ULT",Boss参数!$B$52,0))</f>
        <v>0</v>
      </c>
      <c r="EZ208" s="1">
        <f>MIN(6,SUMIFS($EY$3:EY208,$EX$3:EX208,"&gt;="&amp;MAX(1,EX208-Boss参数!$B$87+1),$EX$3:EX208,"&lt;="&amp;EX208))</f>
        <v>0</v>
      </c>
      <c r="FA208" s="1">
        <f t="shared" si="278"/>
        <v>0</v>
      </c>
      <c r="FB208" s="17">
        <f>IF(L208="BOSS_CONSERVATIVE",B208+Boss参数!$B$91,FB207)</f>
        <v>7</v>
      </c>
      <c r="FC208" s="17">
        <f t="shared" si="279"/>
        <v>0</v>
      </c>
      <c r="FD208" s="17">
        <f>IF(D208="",FD207,FD207+IF(AND(DG208&lt;&gt;DG207,INDEX(回合状态!$C$7:$C$17,MATCH(DG208,回合状态!$A$7:$A$17,0))&lt;&gt;"洞穿"),1,0))</f>
        <v>8</v>
      </c>
      <c r="FE208" s="17">
        <f>IF(D208="",0,IF(AND(OR(L208="END_TURN",DH208="敌方"),INDEX(回合状态!$C$7:$C$17,MATCH(DG208,回合状态!$A$7:$A$17,0))&lt;&gt;"洞穿",SUMIFS($FE$3:FE207,$DG$3:DG207,DG208)=0),1,0))</f>
        <v>0</v>
      </c>
    </row>
    <row r="209" spans="1:161" ht="84.95" customHeight="1">
      <c r="A209" s="1" t="str">
        <f>行动模拟!A215</f>
        <v/>
      </c>
      <c r="B209" s="1">
        <f>IF(D209="",0,INDEX(回合状态!$B$7:$B$17,MATCH(DG209,回合状态!$A$7:$A$17,0)))</f>
        <v>0</v>
      </c>
      <c r="C209" s="1">
        <f>行动模拟!C215</f>
        <v>0</v>
      </c>
      <c r="D209" s="1" t="str">
        <f>IF(行动模拟!D215="","",行动模拟!D215)</f>
        <v/>
      </c>
      <c r="E209" s="1" t="str">
        <f>IF($D209="","",IFERROR(INDEX(技能数据库!$B$4:$B$38,MATCH($D209,技能数据库!$A$4:$A$38,0)),""))</f>
        <v/>
      </c>
      <c r="F209" s="1" t="str">
        <f>IF($D209="","",IFERROR(INDEX(技能数据库!$C$4:$C$38,MATCH($D209,技能数据库!$A$4:$A$38,0)),""))</f>
        <v/>
      </c>
      <c r="G209" s="1" t="str">
        <f>IF($D209="","",IFERROR(INDEX(技能数据库!$D$4:$D$38,MATCH($D209,技能数据库!$A$4:$A$38,0)),""))</f>
        <v/>
      </c>
      <c r="H209" s="1" t="str">
        <f>IF($D209="","",IFERROR(INDEX(技能数据库!$E$4:$E$38,MATCH($D209,技能数据库!$A$4:$A$38,0)),""))</f>
        <v/>
      </c>
      <c r="I209" s="1" t="str">
        <f>IF($D209="","",IFERROR(INDEX(技能数据库!$F$4:$F$38,MATCH($D209,技能数据库!$A$4:$A$38,0)),""))</f>
        <v/>
      </c>
      <c r="J209" s="1" t="str">
        <f>IF($D209="","",IFERROR(INDEX(技能数据库!$G$4:$G$38,MATCH($D209,技能数据库!$A$4:$A$38,0)),""))</f>
        <v/>
      </c>
      <c r="K209" s="1" t="str">
        <f>IF($D209="","",IFERROR(INDEX(技能数据库!$H$4:$H$38,MATCH($D209,技能数据库!$A$4:$A$38,0)),""))</f>
        <v/>
      </c>
      <c r="L209" s="1" t="str">
        <f>IF($D209="","",IFERROR(INDEX(技能数据库!$I$4:$I$38,MATCH($D209,技能数据库!$A$4:$A$38,0)),""))</f>
        <v/>
      </c>
      <c r="M209" s="1">
        <v>1</v>
      </c>
      <c r="N209" s="1"/>
      <c r="O209" s="1"/>
      <c r="P209" s="1"/>
      <c r="Q209" s="1">
        <f t="shared" si="210"/>
        <v>0</v>
      </c>
      <c r="R209" s="1">
        <v>0</v>
      </c>
      <c r="S209" s="1">
        <v>0</v>
      </c>
      <c r="T209" s="1">
        <f>行动模拟!I215</f>
        <v>0</v>
      </c>
      <c r="U209" s="1">
        <f>IF(FD209&lt;&gt;FD208,IF(BY208=1,IF(MIN(10,CA208+IF(AND(DG209&lt;&gt;DG208,DH208&lt;&gt;"洞穿",SUMIFS($FE$3:FE208,$DG$3:DG208,DG208)=0,BY208=1),3,0))&gt;=10,2,1),IF(BY208=2,IF(BZ208&lt;=1,0,2),0)),BY208)</f>
        <v>2</v>
      </c>
      <c r="V209" s="1">
        <f>IF(FD209&lt;&gt;FD208,IF(BY208=1,IF(MIN(10,CA208+IF(AND(DG209&lt;&gt;DG208,DH208&lt;&gt;"洞穿",SUMIFS($FE$3:FE208,$DG$3:DG208,DG208)=0,BY208=1),3,0))&gt;=10,2,0),IF(BY208=2,MAX(0,BZ208-1),0)),BZ208)</f>
        <v>1</v>
      </c>
      <c r="W209" s="1">
        <f>IF(AND(FD209&lt;&gt;FD208,BY208=2,BZ208&lt;=1),0,MIN(10,CA208+IF(AND(DG209&lt;&gt;DG208,DH208&lt;&gt;"洞穿",SUMIFS($FE$3:FE208,$DG$3:DG208,DG208)=0,BY208=1),3,0)))</f>
        <v>10</v>
      </c>
      <c r="X209" s="1">
        <f t="shared" si="252"/>
        <v>13</v>
      </c>
      <c r="Y209" s="1">
        <f t="shared" si="253"/>
        <v>0</v>
      </c>
      <c r="Z209" s="1">
        <f t="shared" si="254"/>
        <v>0</v>
      </c>
      <c r="AA209" s="1">
        <f t="shared" si="255"/>
        <v>0</v>
      </c>
      <c r="AB209" s="1">
        <f t="shared" si="256"/>
        <v>10</v>
      </c>
      <c r="AC209" s="1">
        <f t="shared" si="257"/>
        <v>1</v>
      </c>
      <c r="AD209" s="1">
        <f t="shared" si="258"/>
        <v>35</v>
      </c>
      <c r="AE209" s="1">
        <f>IF(D209="",0,IF(DG209&lt;&gt;DG208,IFERROR(INDEX(回合状态!$F$7:$F$17,MATCH(DG209,回合状态!$A$7:$A$17,0)),0),CI208))</f>
        <v>0</v>
      </c>
      <c r="AF209" s="1">
        <f t="shared" si="259"/>
        <v>0.875</v>
      </c>
      <c r="AG209" s="1">
        <f t="shared" si="260"/>
        <v>9</v>
      </c>
      <c r="AH209" s="1">
        <f t="shared" si="261"/>
        <v>9</v>
      </c>
      <c r="AI209" s="1">
        <f t="shared" si="262"/>
        <v>8</v>
      </c>
      <c r="AJ209" s="1">
        <f t="shared" si="263"/>
        <v>9</v>
      </c>
      <c r="AK209" s="1">
        <f t="shared" si="264"/>
        <v>8</v>
      </c>
      <c r="AL209" s="1">
        <f t="shared" si="265"/>
        <v>3</v>
      </c>
      <c r="AM209" s="1">
        <f t="shared" si="266"/>
        <v>30</v>
      </c>
      <c r="AN209" s="1">
        <f t="shared" si="267"/>
        <v>9</v>
      </c>
      <c r="AO209" s="1">
        <f t="shared" si="268"/>
        <v>0</v>
      </c>
      <c r="AP209" s="1" t="e">
        <f t="shared" si="269"/>
        <v>#VALUE!</v>
      </c>
      <c r="AQ209" s="1" t="e">
        <f t="shared" si="270"/>
        <v>#VALUE!</v>
      </c>
      <c r="AR209" s="1">
        <f t="shared" si="271"/>
        <v>0.3</v>
      </c>
      <c r="AS209" s="1">
        <f t="shared" si="272"/>
        <v>9</v>
      </c>
      <c r="AT209" s="1">
        <f t="shared" si="273"/>
        <v>0.3</v>
      </c>
      <c r="AU209" s="1">
        <f t="shared" si="274"/>
        <v>9</v>
      </c>
      <c r="AV209" s="1">
        <f>MIN(5,SUMIFS($EL$3:EL209,$B$3:B209,"&gt;="&amp;MAX(1,B209-2),$B$3:B209,"&lt;="&amp;B209)+EC209)</f>
        <v>0</v>
      </c>
      <c r="AW209" s="1">
        <f>MIN(6,SUMIFS($EY$3:EY208,$EX$3:EX208,"&gt;="&amp;MAX(1,EX209-Boss参数!$B$87+1),$EX$3:EX208,"&lt;="&amp;EX209))</f>
        <v>0</v>
      </c>
      <c r="AX209" s="1">
        <f>MIN(4,COUNTIFS($B$3:$B$208,"&gt;="&amp;MAX(1,$B209-2),$B$3:$B$208,"&lt;="&amp;$B209,$L$3:$L$208,"37_FOLLOW"))</f>
        <v>0</v>
      </c>
      <c r="AY209" s="1" t="str">
        <f>IF($E209="","",IF($E209="系统",0,ROUNDDOWN(INDEX(角色面板!$C$4:$C$7,MATCH($E209,角色面板!$A$4:$A$7,0))*(1+INDEX(角色面板!$C$11:$C$14,MATCH($E209,角色面板!$A$11:$A$14,0))+IF($E209="小瑞安侬",MAX(IF($B209&lt;=$AQ209,$AP209,0),IF(AND($L209="RHI_ATTACK",$EE209&gt;0),0.11+0.01*$G209,0)),0)+IF($E209="J",$AD209*Boss参数!$B$18,0))+IF(FD209&lt;=$AN209,MIN(Boss参数!$B$21,ROUNDDOWN(角色面板!$C$19*Boss参数!$B$20,0)),0)+IF(AND($B209&lt;=$AK209,$E209&lt;&gt;"小瑞安侬"),$DY209,0),0)))</f>
        <v/>
      </c>
      <c r="AZ209" s="1" t="str">
        <f>IF($E209="","",MAX(0,MIN(1,IFERROR(INDEX(角色面板!$G$18:$G$21,MATCH($E209,角色面板!$A$18:$A$21,0)),0)-FC209*Boss参数!$B$89-Boss参数!$E$4)))</f>
        <v/>
      </c>
      <c r="BA209" s="1" t="str">
        <f>IF(E209="","",(IF($E209="","",IF($E209="红弩箭",Boss参数!$B$80,IF($E209="J",Boss参数!$B$81,IFERROR(INDEX(角色面板!$H$18:$H$21,MATCH($E209,角色面板!$A$18:$A$21,0)),0)))+IF($B209&lt;=$AI209,Boss参数!$B$13,0)+MIN(30,$AM209)*Boss参数!$B$17+IF(AND($L209="LILYA_ULT",$X209&gt;=6),1,0)+IF(AND($Y209=1,$L209="LILYA_INSIGHT"),IF(MOD($AA209+1,3)=0,Boss参数!$B$83,Boss参数!$B$82),IF(AND($Y209=1,$L209="LILYA_FINISH"),Boss参数!$B$84,0))))-FC209*Boss参数!$B$90)</f>
        <v/>
      </c>
      <c r="BB209" s="1" t="str">
        <f>IF($E209="","",IFERROR(INDEX(角色面板!$M$18:$M$21,MATCH($E209,角色面板!$A$18:$A$21,0)),0)+$AW209*Boss参数!$B$12+IF($B209&lt;=$AG209,$AF209,0)+$EI209+IF($L209="LILYA_DIVE",IF($U209=1,IF($G209=1,0.3,IF($G209=2,0.4,0.5)),IF($U209=2,IF($G209=1,0.6,IF($G209=2,0.8,1)),0)),0)+$R209+IF(AND($E209="J",OR($L209="J_COUNTER",$L209="J_HARD")),Boss参数!$B$79,0)+IF(AND(OR(L209="J_COUNTER",L209="J_HARD"),FA209&gt;=Boss参数!$B$59),FA209*Boss参数!$B$40,0))</f>
        <v/>
      </c>
      <c r="BC209" s="1" t="e">
        <f>IF($E209="","",IFERROR(INDEX(角色面板!$K$18:$K$21,MATCH($E209,角色面板!$A$18:$A$21,0)),0)+IF($B209&lt;=$AH209,Boss参数!$B$46,0)+IF($E209="红弩箭",IF($U209=1,0.6,IF($U209=2,1.2,0))+$W209*0.06,0))-DI209*Boss参数!$B$23</f>
        <v>#VALUE!</v>
      </c>
      <c r="BD209" s="1" t="e">
        <f>IF($E209="","",IFERROR(INDEX(角色面板!$L$18:$L$21,MATCH($E209,角色面板!$A$18:$A$21,0)),0)+IF($B209&lt;=$AH209,Boss参数!$B$46,0)+IF($E209="J",$AL209*Boss参数!$B$16,0)+IF($E209="红弩箭",$X209*0.025,0)+IF(AND($L209="LILYA_ULT",$X209&gt;=6),1,0))-DI209*Boss参数!$B$23</f>
        <v>#VALUE!</v>
      </c>
      <c r="BE209" s="1" t="str">
        <f>IF($E209="","",IF($H209="洞知",IF($E209="红弩箭",$AO209*Boss参数!$B$15,0)+$AX209*Boss参数!$B$14,0))</f>
        <v/>
      </c>
      <c r="BF209" s="1">
        <f t="shared" si="211"/>
        <v>0</v>
      </c>
      <c r="BG209" s="1">
        <f>IF($D209="",0,IF(AND($L209&lt;&gt;"LILYA_DIVE",$L209&lt;&gt;"LILYA_ULT",$L209&lt;&gt;"LILYA_INSIGHT",$L209&lt;&gt;"LILYA_FINISH",$L209&lt;&gt;"37_FOLLOW",$L209&lt;&gt;"RHI_ATTACK",$L209&lt;&gt;"RHI_BERRY",$L209&lt;&gt;"J_COUNTER",$L209&lt;&gt;"J_ULT"),$J209,0)+IF($L209="LILYA_DIVE",$J209+IF($U209=1,IF($G209=1,6,IF($G209=2,12,18)),IF($U209=2,IF($G209=1,12,IF($G209=2,24,36)),0)),0)+IF($L209="LILYA_ULT",$J209+IF($X209&gt;=6,18,0),0)+IF($L209="LILYA_INSIGHT",IF($Y209=1,IF(MOD($AA209+1,3)=0,32,15),0),0)+IF($L209="LILYA_FINISH",IF($Y209=1,50+2.5*$Z209,0),0)+IF($L209="37_FOLLOW",$J209,0)+IF($L209="RHI_ATTACK",$J209*IF($B209&lt;=$AJ209,2,1),0)+IF($L209="RHI_BERRY",15+1.5*$AV209,0)+IF($L209="J_COUNTER",$J209+$AD209*Boss参数!$B$39,0)+IF($L209="J_ULT",$J209+Boss参数!$B$45*MAX(0,$AE209+$AD209-Boss参数!$I$4),0)+$S209)</f>
        <v>0</v>
      </c>
      <c r="BH209" s="1">
        <f t="shared" si="212"/>
        <v>0</v>
      </c>
      <c r="BI209" s="1" t="str">
        <f>IF(E209="","",IF(DT209=1,1+Boss参数!$B$8+AV209*Boss参数!$B$19,1))</f>
        <v/>
      </c>
      <c r="BJ209" s="1">
        <f>IF($I209="现实",Boss参数!$C$4,IF($I209="精神",Boss参数!$D$4,0))</f>
        <v>0</v>
      </c>
      <c r="BK209" s="1" t="str">
        <f>IF($E209="","",MAX($AY209*Boss参数!$B$9,$AY209-$BJ209*(1-$BF209)))</f>
        <v/>
      </c>
      <c r="BL209" s="1">
        <f>MAX(0,Boss参数!$F$4+IF(DT209=0,Boss参数!$B$27,0)-EJ209)</f>
        <v>1.25</v>
      </c>
      <c r="BM209" s="1">
        <f>Boss参数!$G$4+DU209-IF(Y209=1,Boss参数!$B$11,0)</f>
        <v>0.4</v>
      </c>
      <c r="BN209" s="1" t="str">
        <f>IF($E209="","",MAX(Boss参数!$B$10,1+IFERROR(INDEX(角色面板!$I$18:$I$21,MATCH($E209,角色面板!$A$18:$A$21,0)),0)+$BB209+Boss参数!$H$4-$BM209))</f>
        <v/>
      </c>
      <c r="BO209" s="1" t="str">
        <f>IF(E209="","",IF(OR(L209="J_COUNTER",L209="J_HARD"),MAX(0,1+INDEX(角色面板!$K$18:$K$21,MATCH(E209,角色面板!$A$18:$A$21,0))-DI209*Boss参数!$B$23+IF(OR(Boss参数!$B$43=1,L209="J_HARD"),IF(B209&lt;=AH209,Boss参数!$B$46,0),0)),MAX(0,IF(OR(H209="术法",L209="RHI_BERRY",AND(L209="37_FOLLOW",Boss参数!$B$31=1)),1+BC209,IF(H209="仪式",1+BD209,IF(H209="洞知",EK209,1))))))</f>
        <v/>
      </c>
      <c r="BP209" s="1" t="str">
        <f t="shared" si="213"/>
        <v/>
      </c>
      <c r="BQ209" s="1">
        <f t="shared" si="214"/>
        <v>0</v>
      </c>
      <c r="BR209" s="1">
        <f t="shared" si="215"/>
        <v>0</v>
      </c>
      <c r="BS209" s="1">
        <f>IF(BH209=0,0,ROUNDDOWN(AY209*BH209,0)*DV209*IF(Boss参数!$B$29=1,BN209,1)*IF(Boss参数!$B$33=1,BO209,1)*IF(Boss参数!$B$76=1,1-ES209,1))</f>
        <v>0</v>
      </c>
      <c r="BT209" s="1">
        <f t="shared" si="216"/>
        <v>0</v>
      </c>
      <c r="BU209" s="1">
        <f>IF(D209="",0,MIN(IF(Boss参数!$B$77=1,Boss参数!$B$63*Boss参数!$B$62,Boss参数!$B$61*Boss参数!$B$62),DW209+ROUNDDOWN(BS209,0)+ROUNDDOWN(DW209*Q209,0)))</f>
        <v>0</v>
      </c>
      <c r="BV209" s="1">
        <f>IF(D209="",0,MIN(IF(Boss参数!$B$77=1,Boss参数!$B$63*Boss参数!$B$62,Boss参数!$B$61*Boss参数!$B$62),DX209+ROUNDDOWN(BT209,0)+ROUNDDOWN(DX209*Q209,0)))</f>
        <v>0</v>
      </c>
      <c r="BW209" s="1">
        <f t="shared" si="217"/>
        <v>0</v>
      </c>
      <c r="BX209" s="1" t="str">
        <f t="shared" si="218"/>
        <v/>
      </c>
      <c r="BY209" s="1">
        <f t="shared" si="219"/>
        <v>2</v>
      </c>
      <c r="BZ209" s="1">
        <f t="shared" si="220"/>
        <v>1</v>
      </c>
      <c r="CA209" s="1">
        <f>MIN(10,W209+IF(AND(L209="LILYA_COBRA",COUNTIF($L$3:L209,"LILYA_COBRA")=1),5,0)+IF(AND(L209="LILYA_DIVE",U209=1,COUNTIFS($DG$3:DG209,DG209,$L$3:L209,"LILYA_DIVE")=1),2,0)+IF(AND(FE209=1,U209=1),3,0))</f>
        <v>10</v>
      </c>
      <c r="CB209" s="1">
        <f>MIN(20,MAX(0,X209+IF(L209="LILYA_COBRA",IF(COUNTIF($L$3:L209,"LILYA_COBRA")=1,6,IF(U209=1,MAX(1,G209),IF(U209=2,2*MAX(1,G209),0))),0)+IF(AND(Y209=1,E209="红弩箭",L209&lt;&gt;"ENTER_INSIGHT"),1,0)-IF(AND(L209="LILYA_ULT",X209&gt;=6),6,0)))</f>
        <v>13</v>
      </c>
      <c r="CC209" s="1">
        <f t="shared" si="221"/>
        <v>0</v>
      </c>
      <c r="CD209" s="1">
        <f t="shared" si="222"/>
        <v>0</v>
      </c>
      <c r="CE209" s="1">
        <f t="shared" si="223"/>
        <v>0</v>
      </c>
      <c r="CF209" s="1">
        <f t="shared" si="224"/>
        <v>10</v>
      </c>
      <c r="CG209" s="1">
        <f t="shared" si="225"/>
        <v>1</v>
      </c>
      <c r="CH209" s="1">
        <f>MIN(35,AD209+IF(L209="J_HARD",6,0)+IF(L209="J_COUNTER",Boss参数!$B$30,0))</f>
        <v>35</v>
      </c>
      <c r="CI209" s="1">
        <f>MIN(Boss参数!$I$4,AE209+IF(L209="J_HARD",6,0)+IF(L209="J_ULT",AD209,0)+IF(L209="J_COUNTER",Boss参数!$B$30,0))</f>
        <v>0</v>
      </c>
      <c r="CJ209" s="1">
        <f>IF(L209="J_ULT",AD209*Boss参数!$B$41,IF(B209&lt;=AG209,AF209,0))</f>
        <v>0.875</v>
      </c>
      <c r="CK209" s="1">
        <f t="shared" si="226"/>
        <v>9</v>
      </c>
      <c r="CL209" s="1">
        <f t="shared" si="227"/>
        <v>9</v>
      </c>
      <c r="CM209" s="1">
        <f t="shared" si="228"/>
        <v>8</v>
      </c>
      <c r="CN209" s="1">
        <f t="shared" si="229"/>
        <v>9</v>
      </c>
      <c r="CO209" s="1">
        <f t="shared" si="230"/>
        <v>8</v>
      </c>
      <c r="CP209" s="1">
        <f t="shared" si="231"/>
        <v>3</v>
      </c>
      <c r="CQ209" s="1">
        <f t="shared" si="232"/>
        <v>30</v>
      </c>
      <c r="CR209" s="1">
        <f t="shared" si="233"/>
        <v>9</v>
      </c>
      <c r="CS209" s="1">
        <f t="shared" si="234"/>
        <v>0</v>
      </c>
      <c r="CT209" s="1" t="e">
        <f t="shared" si="235"/>
        <v>#VALUE!</v>
      </c>
      <c r="CU209" s="1" t="e">
        <f t="shared" si="236"/>
        <v>#VALUE!</v>
      </c>
      <c r="CV209" s="1">
        <f t="shared" si="237"/>
        <v>0.3</v>
      </c>
      <c r="CW209" s="1">
        <f t="shared" si="238"/>
        <v>9</v>
      </c>
      <c r="CX209" s="1">
        <f t="shared" si="239"/>
        <v>0.3</v>
      </c>
      <c r="CY209" s="1">
        <f t="shared" si="240"/>
        <v>9</v>
      </c>
      <c r="CZ209" s="1"/>
      <c r="DA209" s="1"/>
      <c r="DB209" s="1"/>
      <c r="DC209" s="1"/>
      <c r="DD209" s="1"/>
      <c r="DE209" s="1"/>
      <c r="DF209" s="1"/>
      <c r="DG209" s="1" t="str">
        <f>IF(D209="","",行动模拟!B215)</f>
        <v/>
      </c>
      <c r="DH209" s="1" t="str">
        <f>IF(L209="END_TURN","回合结束",IF(D209="","",IF(INDEX(回合状态!$C$7:$C$17,MATCH(DG209,回合状态!$A$7:$A$17,0))="洞穿","洞穿",IF(OR(L209="J_COUNTER",L209="BOSS_ACTION",L209="BOSS_CONSERVATIVE"),"敌方",IF(AND(L209="37_FOLLOW",DG209=DG208,DH208="敌方"),"敌方",IF(INDEX(回合状态!$C$7:$C$17,MATCH(DG209,回合状态!$A$7:$A$17,0))="普通","出牌",INDEX(回合状态!$C$7:$C$17,MATCH(DG209,回合状态!$A$7:$A$17,0))))))))</f>
        <v/>
      </c>
      <c r="DI209" s="1">
        <f t="shared" si="241"/>
        <v>0</v>
      </c>
      <c r="DJ209" s="1">
        <f>IF(D209="",0,MIN(Boss参数!$B$25,IF(OR(AND(DH209="敌方",OR(DH208&lt;&gt;"敌方",DG209&lt;&gt;DG208)),AND(L209="END_TURN",DH209&lt;&gt;"洞穿"),AND(DG209&lt;&gt;DG208,DH208&lt;&gt;"洞穿",L208&lt;&gt;"END_TURN",COUNTIFS($DG$3:DG208,DG208,$DH$3:DH208,"敌方")=0)),EW209,DN208)))</f>
        <v>0</v>
      </c>
      <c r="DK209" s="1">
        <f>IF(D209="",0,MIN(Boss参数!$B$25,IF(OR(AND(DH209="敌方",OR(DH208&lt;&gt;"敌方",DG209&lt;&gt;DG208)),AND(L209="END_TURN",DH209&lt;&gt;"洞穿"),AND(DG209&lt;&gt;DG208,DH208&lt;&gt;"洞穿",L208&lt;&gt;"END_TURN",COUNTIFS($DG$3:DG208,DG208,$DH$3:DH208,"敌方")=0)),EW209,DO208)))</f>
        <v>0</v>
      </c>
      <c r="DL209" s="1">
        <f>IF(D209="",0,MIN(Boss参数!$B$25,IF(OR(AND(DH209="敌方",OR(DH208&lt;&gt;"敌方",DG209&lt;&gt;DG208)),AND(L209="END_TURN",DH209&lt;&gt;"洞穿"),AND(DG209&lt;&gt;DG208,DH208&lt;&gt;"洞穿",L208&lt;&gt;"END_TURN",COUNTIFS($DG$3:DG208,DG208,$DH$3:DH208,"敌方")=0)),EW209,DP208)))</f>
        <v>0</v>
      </c>
      <c r="DM209" s="1">
        <f>IF(D209="",0,MIN(Boss参数!$B$25,IF(OR(AND(DH209="敌方",OR(DH208&lt;&gt;"敌方",DG209&lt;&gt;DG208)),AND(L209="END_TURN",DH209&lt;&gt;"洞穿"),AND(DG209&lt;&gt;DG208,DH208&lt;&gt;"洞穿",L208&lt;&gt;"END_TURN",COUNTIFS($DG$3:DG208,DG208,$DH$3:DH208,"敌方")=0)),EW209,DQ208)))</f>
        <v>0</v>
      </c>
      <c r="DN209" s="1">
        <f>MAX(0,MIN(Boss参数!$B$25,DJ209+DR209)-IF(E209="红弩箭",2*DR209,0))</f>
        <v>0</v>
      </c>
      <c r="DO209" s="1">
        <f>MAX(0,MIN(Boss参数!$B$25,DK209+DR209)-IF(E209="37",2*DR209,0))</f>
        <v>0</v>
      </c>
      <c r="DP209" s="1">
        <f>MAX(0,MIN(Boss参数!$B$25,DL209+DR209)-IF(E209="小瑞安侬",2*DR209,0))</f>
        <v>0</v>
      </c>
      <c r="DQ209" s="1">
        <f>MAX(0,MIN(Boss参数!$B$25,DM209+DR209)-IF(E209="J",2*DR209,0))</f>
        <v>0</v>
      </c>
      <c r="DR209" s="1">
        <f t="shared" si="242"/>
        <v>0</v>
      </c>
      <c r="DS209" s="1">
        <f t="shared" si="243"/>
        <v>0</v>
      </c>
      <c r="DT209" s="1">
        <f>IF(OR(E209="",E209="系统"),0,IF(OR(AND(DS209=1,Boss参数!$B$32=1),L209="RHI_BERRY",OR(AND(INDEX(角色面板!$B$18:$B$21,MATCH(E209,角色面板!$A$18:$A$21,0))="星",Boss参数!$B$4="岩"),AND(INDEX(角色面板!$B$18:$B$21,MATCH(E209,角色面板!$A$18:$A$21,0))="岩",Boss参数!$B$4="兽"),AND(INDEX(角色面板!$B$18:$B$21,MATCH(E209,角色面板!$A$18:$A$21,0))="兽",Boss参数!$B$4="木"),AND(INDEX(角色面板!$B$18:$B$21,MATCH(E209,角色面板!$A$18:$A$21,0))="木",Boss参数!$B$4="星"),AND(INDEX(角色面板!$B$18:$B$21,MATCH(E209,角色面板!$A$18:$A$21,0))="智",Boss参数!$B$4="灵"),AND(INDEX(角色面板!$B$18:$B$21,MATCH(E209,角色面板!$A$18:$A$21,0))="灵",Boss参数!$B$4="智"))),1,0))</f>
        <v>0</v>
      </c>
      <c r="DU209" s="1">
        <f>IF(D209="",0,INDEX(回合状态!$E$7:$E$17,MATCH(DG209,回合状态!$A$7:$A$17,0))+IF(AND(DH209="敌方",OR(INDEX(回合状态!$C$7:$C$17,MATCH(DG209,回合状态!$A$7:$A$17,0))="普通",INDEX(回合状态!$C$7:$C$17,MATCH(DG209,回合状态!$A$7:$A$17,0))="额外")),0.05,0))</f>
        <v>0</v>
      </c>
      <c r="DV209" s="1">
        <f>MAX(Boss参数!$B$28,1+IF(AND(E209="37",AC209&gt;0,BH209&gt;0),Boss参数!$B$42,0)-DI209*Boss参数!$B$24+EA209-ER209)</f>
        <v>9.9999999999999978E-2</v>
      </c>
      <c r="DW209" s="1">
        <f>MIN(IF(Boss参数!$B$77=1,Boss参数!$B$63*Boss参数!$B$62,Boss参数!$B$61*Boss参数!$B$62),ROUNDDOWN(BQ209*(1-ES209),0))</f>
        <v>0</v>
      </c>
      <c r="DX209" s="1">
        <f>MIN(IF(Boss参数!$B$77=1,Boss参数!$B$63*Boss参数!$B$62,Boss参数!$B$61*Boss参数!$B$62),ROUNDDOWN(BR209*(1-ES209),0))</f>
        <v>0</v>
      </c>
      <c r="DY209" s="1">
        <f t="shared" si="275"/>
        <v>250</v>
      </c>
      <c r="DZ209" s="1">
        <f>IF(L209="RHI_ULT",MIN(Boss参数!$B$48,ROUNDDOWN(AY209*Boss参数!$B$47,0)),DY209)</f>
        <v>250</v>
      </c>
      <c r="EA209" s="1">
        <v>0</v>
      </c>
      <c r="EB209" s="1">
        <f t="shared" si="244"/>
        <v>0</v>
      </c>
      <c r="EC209" s="1">
        <f>SUMIFS($EB$3:EB209,$B$3:B209,"&gt;="&amp;MAX(1,B209-2),$B$3:B209,"&lt;="&amp;B209)*Boss参数!$B$51</f>
        <v>0</v>
      </c>
      <c r="ED209" s="1">
        <f>IF(D209="",EG208,IF(AND(DG209&lt;&gt;DG208,DH209&lt;&gt;"洞穿"),MIN(Boss参数!$B$55,EG208+2),EG208))</f>
        <v>0</v>
      </c>
      <c r="EE209" s="1">
        <f t="shared" si="245"/>
        <v>0</v>
      </c>
      <c r="EF209" s="1">
        <f>IF(AND(OR(L209="END_TURN",AND(DH209="敌方",OR(DH208&lt;&gt;"敌方",DG209&lt;&gt;DG208))),SUMIFS($EF$3:EF208,$DG$3:DG208,DG209)=0),MIN(1,MAX(0,ED209-EE209)),0)</f>
        <v>0</v>
      </c>
      <c r="EG209" s="1">
        <f t="shared" si="246"/>
        <v>0</v>
      </c>
      <c r="EH209" s="1">
        <f>Boss参数!$B$53-IF(Y209=1,Boss参数!$B$54,0)</f>
        <v>0</v>
      </c>
      <c r="EI209" s="1">
        <f t="shared" si="247"/>
        <v>0.15</v>
      </c>
      <c r="EJ209" s="1">
        <f t="shared" si="248"/>
        <v>0.15</v>
      </c>
      <c r="EK209" s="1" t="e">
        <f t="shared" si="249"/>
        <v>#VALUE!</v>
      </c>
      <c r="EL209" s="1">
        <f t="shared" si="276"/>
        <v>0</v>
      </c>
      <c r="EM209" s="1">
        <f>IF(AND(DG209&lt;&gt;DG208,DH209="洞穿"),0,IF(L209="ENTER_INSIGHT",Boss参数!$B$57,EO208))</f>
        <v>0</v>
      </c>
      <c r="EN209" s="1">
        <f>IF(AND(Y209=1,H209="洞知",EM209&gt;0),Boss参数!$B$56,0)</f>
        <v>0</v>
      </c>
      <c r="EO209" s="1">
        <f t="shared" si="250"/>
        <v>0</v>
      </c>
      <c r="EP209" s="1">
        <f t="shared" si="277"/>
        <v>23210479</v>
      </c>
      <c r="EQ209" s="1">
        <f>ROUNDDOWN(EP209/Boss参数!$B$62,0)</f>
        <v>232</v>
      </c>
      <c r="ER209" s="1">
        <f>IF(EQ209&gt;=Boss参数!$B$66,Boss参数!$B$69,IF(EQ209&gt;=Boss参数!$B$65,Boss参数!$B$68,IF(EQ209&gt;=Boss参数!$B$64,Boss参数!$B$67,0)))</f>
        <v>0.9</v>
      </c>
      <c r="ES209" s="1">
        <f>MIN(1,IF(EQ209&gt;=Boss参数!$B$66,Boss参数!$B$72+ROUNDDOWN((EQ209-Boss参数!$B$66)/Boss参数!$B$73,0)*Boss参数!$B$74,IF(EQ209&gt;=Boss参数!$B$65,Boss参数!$B$71,IF(EQ209&gt;=Boss参数!$B$64,Boss参数!$B$70,0))))</f>
        <v>0.65</v>
      </c>
      <c r="ET209" s="1">
        <f>MIN(Boss参数!$B$61*Boss参数!$B$62,EP209+IF(AND(Boss参数!$B$60=1,ISNUMBER(验证表!H215)),验证表!H215,EU209))</f>
        <v>23210479</v>
      </c>
      <c r="EU209" s="1">
        <f>IF(D209="",0,IF(验证表!G215="是",BV209,IF(验证表!G215="否",BU209,BW209)))</f>
        <v>0</v>
      </c>
      <c r="EV209" s="1">
        <f>IF(EQ209&gt;=Boss参数!$B$66,2,IF(EQ209&gt;=Boss参数!$B$65,1,0))</f>
        <v>2</v>
      </c>
      <c r="EW209" s="1">
        <f t="shared" si="251"/>
        <v>3</v>
      </c>
      <c r="EX209" s="1">
        <f>IF(D209="",0,INDEX(回合状态!$D$7:$D$17,MATCH(DG209,回合状态!$A$7:$A$17,0)))</f>
        <v>0</v>
      </c>
      <c r="EY209" s="1">
        <f>IF(OR(L209="RHI_ATTACK",L209="RHI_BUFF"),1,IF(L209="RHI_ULT",Boss参数!$B$52,0))</f>
        <v>0</v>
      </c>
      <c r="EZ209" s="1">
        <f>MIN(6,SUMIFS($EY$3:EY209,$EX$3:EX209,"&gt;="&amp;MAX(1,EX209-Boss参数!$B$87+1),$EX$3:EX209,"&lt;="&amp;EX209))</f>
        <v>0</v>
      </c>
      <c r="FA209" s="1">
        <f t="shared" si="278"/>
        <v>0</v>
      </c>
      <c r="FB209" s="17">
        <f>IF(L209="BOSS_CONSERVATIVE",B209+Boss参数!$B$91,FB208)</f>
        <v>7</v>
      </c>
      <c r="FC209" s="17">
        <f t="shared" si="279"/>
        <v>0</v>
      </c>
      <c r="FD209" s="17">
        <f>IF(D209="",FD208,FD208+IF(AND(DG209&lt;&gt;DG208,INDEX(回合状态!$C$7:$C$17,MATCH(DG209,回合状态!$A$7:$A$17,0))&lt;&gt;"洞穿"),1,0))</f>
        <v>8</v>
      </c>
      <c r="FE209" s="17">
        <f>IF(D209="",0,IF(AND(OR(L209="END_TURN",DH209="敌方"),INDEX(回合状态!$C$7:$C$17,MATCH(DG209,回合状态!$A$7:$A$17,0))&lt;&gt;"洞穿",SUMIFS($FE$3:FE208,$DG$3:DG208,DG209)=0),1,0))</f>
        <v>0</v>
      </c>
    </row>
    <row r="210" spans="1:161" ht="84.95" customHeight="1">
      <c r="A210" s="1" t="str">
        <f>行动模拟!A216</f>
        <v/>
      </c>
      <c r="B210" s="1">
        <f>IF(D210="",0,INDEX(回合状态!$B$7:$B$17,MATCH(DG210,回合状态!$A$7:$A$17,0)))</f>
        <v>0</v>
      </c>
      <c r="C210" s="1">
        <f>行动模拟!C216</f>
        <v>0</v>
      </c>
      <c r="D210" s="1" t="str">
        <f>IF(行动模拟!D216="","",行动模拟!D216)</f>
        <v/>
      </c>
      <c r="E210" s="1" t="str">
        <f>IF($D210="","",IFERROR(INDEX(技能数据库!$B$4:$B$38,MATCH($D210,技能数据库!$A$4:$A$38,0)),""))</f>
        <v/>
      </c>
      <c r="F210" s="1" t="str">
        <f>IF($D210="","",IFERROR(INDEX(技能数据库!$C$4:$C$38,MATCH($D210,技能数据库!$A$4:$A$38,0)),""))</f>
        <v/>
      </c>
      <c r="G210" s="1" t="str">
        <f>IF($D210="","",IFERROR(INDEX(技能数据库!$D$4:$D$38,MATCH($D210,技能数据库!$A$4:$A$38,0)),""))</f>
        <v/>
      </c>
      <c r="H210" s="1" t="str">
        <f>IF($D210="","",IFERROR(INDEX(技能数据库!$E$4:$E$38,MATCH($D210,技能数据库!$A$4:$A$38,0)),""))</f>
        <v/>
      </c>
      <c r="I210" s="1" t="str">
        <f>IF($D210="","",IFERROR(INDEX(技能数据库!$F$4:$F$38,MATCH($D210,技能数据库!$A$4:$A$38,0)),""))</f>
        <v/>
      </c>
      <c r="J210" s="1" t="str">
        <f>IF($D210="","",IFERROR(INDEX(技能数据库!$G$4:$G$38,MATCH($D210,技能数据库!$A$4:$A$38,0)),""))</f>
        <v/>
      </c>
      <c r="K210" s="1" t="str">
        <f>IF($D210="","",IFERROR(INDEX(技能数据库!$H$4:$H$38,MATCH($D210,技能数据库!$A$4:$A$38,0)),""))</f>
        <v/>
      </c>
      <c r="L210" s="1" t="str">
        <f>IF($D210="","",IFERROR(INDEX(技能数据库!$I$4:$I$38,MATCH($D210,技能数据库!$A$4:$A$38,0)),""))</f>
        <v/>
      </c>
      <c r="M210" s="1">
        <v>1</v>
      </c>
      <c r="N210" s="1"/>
      <c r="O210" s="1"/>
      <c r="P210" s="1"/>
      <c r="Q210" s="1">
        <f t="shared" si="210"/>
        <v>0</v>
      </c>
      <c r="R210" s="1">
        <v>0</v>
      </c>
      <c r="S210" s="1">
        <v>0</v>
      </c>
      <c r="T210" s="1">
        <f>行动模拟!I216</f>
        <v>0</v>
      </c>
      <c r="U210" s="1">
        <f>IF(FD210&lt;&gt;FD209,IF(BY209=1,IF(MIN(10,CA209+IF(AND(DG210&lt;&gt;DG209,DH209&lt;&gt;"洞穿",SUMIFS($FE$3:FE209,$DG$3:DG209,DG209)=0,BY209=1),3,0))&gt;=10,2,1),IF(BY209=2,IF(BZ209&lt;=1,0,2),0)),BY209)</f>
        <v>2</v>
      </c>
      <c r="V210" s="1">
        <f>IF(FD210&lt;&gt;FD209,IF(BY209=1,IF(MIN(10,CA209+IF(AND(DG210&lt;&gt;DG209,DH209&lt;&gt;"洞穿",SUMIFS($FE$3:FE209,$DG$3:DG209,DG209)=0,BY209=1),3,0))&gt;=10,2,0),IF(BY209=2,MAX(0,BZ209-1),0)),BZ209)</f>
        <v>1</v>
      </c>
      <c r="W210" s="1">
        <f>IF(AND(FD210&lt;&gt;FD209,BY209=2,BZ209&lt;=1),0,MIN(10,CA209+IF(AND(DG210&lt;&gt;DG209,DH209&lt;&gt;"洞穿",SUMIFS($FE$3:FE209,$DG$3:DG209,DG209)=0,BY209=1),3,0)))</f>
        <v>10</v>
      </c>
      <c r="X210" s="1">
        <f t="shared" si="252"/>
        <v>13</v>
      </c>
      <c r="Y210" s="1">
        <f t="shared" si="253"/>
        <v>0</v>
      </c>
      <c r="Z210" s="1">
        <f t="shared" si="254"/>
        <v>0</v>
      </c>
      <c r="AA210" s="1">
        <f t="shared" si="255"/>
        <v>0</v>
      </c>
      <c r="AB210" s="1">
        <f t="shared" si="256"/>
        <v>10</v>
      </c>
      <c r="AC210" s="1">
        <f t="shared" si="257"/>
        <v>1</v>
      </c>
      <c r="AD210" s="1">
        <f t="shared" si="258"/>
        <v>35</v>
      </c>
      <c r="AE210" s="1">
        <f>IF(D210="",0,IF(DG210&lt;&gt;DG209,IFERROR(INDEX(回合状态!$F$7:$F$17,MATCH(DG210,回合状态!$A$7:$A$17,0)),0),CI209))</f>
        <v>0</v>
      </c>
      <c r="AF210" s="1">
        <f t="shared" si="259"/>
        <v>0.875</v>
      </c>
      <c r="AG210" s="1">
        <f t="shared" si="260"/>
        <v>9</v>
      </c>
      <c r="AH210" s="1">
        <f t="shared" si="261"/>
        <v>9</v>
      </c>
      <c r="AI210" s="1">
        <f t="shared" si="262"/>
        <v>8</v>
      </c>
      <c r="AJ210" s="1">
        <f t="shared" si="263"/>
        <v>9</v>
      </c>
      <c r="AK210" s="1">
        <f t="shared" si="264"/>
        <v>8</v>
      </c>
      <c r="AL210" s="1">
        <f t="shared" si="265"/>
        <v>3</v>
      </c>
      <c r="AM210" s="1">
        <f t="shared" si="266"/>
        <v>30</v>
      </c>
      <c r="AN210" s="1">
        <f t="shared" si="267"/>
        <v>9</v>
      </c>
      <c r="AO210" s="1">
        <f t="shared" si="268"/>
        <v>0</v>
      </c>
      <c r="AP210" s="1" t="e">
        <f t="shared" si="269"/>
        <v>#VALUE!</v>
      </c>
      <c r="AQ210" s="1" t="e">
        <f t="shared" si="270"/>
        <v>#VALUE!</v>
      </c>
      <c r="AR210" s="1">
        <f t="shared" si="271"/>
        <v>0.3</v>
      </c>
      <c r="AS210" s="1">
        <f t="shared" si="272"/>
        <v>9</v>
      </c>
      <c r="AT210" s="1">
        <f t="shared" si="273"/>
        <v>0.3</v>
      </c>
      <c r="AU210" s="1">
        <f t="shared" si="274"/>
        <v>9</v>
      </c>
      <c r="AV210" s="1">
        <f>MIN(5,SUMIFS($EL$3:EL210,$B$3:B210,"&gt;="&amp;MAX(1,B210-2),$B$3:B210,"&lt;="&amp;B210)+EC210)</f>
        <v>0</v>
      </c>
      <c r="AW210" s="1">
        <f>MIN(6,SUMIFS($EY$3:EY209,$EX$3:EX209,"&gt;="&amp;MAX(1,EX210-Boss参数!$B$87+1),$EX$3:EX209,"&lt;="&amp;EX210))</f>
        <v>0</v>
      </c>
      <c r="AX210" s="1">
        <f>MIN(4,COUNTIFS($B$3:$B$209,"&gt;="&amp;MAX(1,$B210-2),$B$3:$B$209,"&lt;="&amp;$B210,$L$3:$L$209,"37_FOLLOW"))</f>
        <v>0</v>
      </c>
      <c r="AY210" s="1" t="str">
        <f>IF($E210="","",IF($E210="系统",0,ROUNDDOWN(INDEX(角色面板!$C$4:$C$7,MATCH($E210,角色面板!$A$4:$A$7,0))*(1+INDEX(角色面板!$C$11:$C$14,MATCH($E210,角色面板!$A$11:$A$14,0))+IF($E210="小瑞安侬",MAX(IF($B210&lt;=$AQ210,$AP210,0),IF(AND($L210="RHI_ATTACK",$EE210&gt;0),0.11+0.01*$G210,0)),0)+IF($E210="J",$AD210*Boss参数!$B$18,0))+IF(FD210&lt;=$AN210,MIN(Boss参数!$B$21,ROUNDDOWN(角色面板!$C$19*Boss参数!$B$20,0)),0)+IF(AND($B210&lt;=$AK210,$E210&lt;&gt;"小瑞安侬"),$DY210,0),0)))</f>
        <v/>
      </c>
      <c r="AZ210" s="1" t="str">
        <f>IF($E210="","",MAX(0,MIN(1,IFERROR(INDEX(角色面板!$G$18:$G$21,MATCH($E210,角色面板!$A$18:$A$21,0)),0)-FC210*Boss参数!$B$89-Boss参数!$E$4)))</f>
        <v/>
      </c>
      <c r="BA210" s="1" t="str">
        <f>IF(E210="","",(IF($E210="","",IF($E210="红弩箭",Boss参数!$B$80,IF($E210="J",Boss参数!$B$81,IFERROR(INDEX(角色面板!$H$18:$H$21,MATCH($E210,角色面板!$A$18:$A$21,0)),0)))+IF($B210&lt;=$AI210,Boss参数!$B$13,0)+MIN(30,$AM210)*Boss参数!$B$17+IF(AND($L210="LILYA_ULT",$X210&gt;=6),1,0)+IF(AND($Y210=1,$L210="LILYA_INSIGHT"),IF(MOD($AA210+1,3)=0,Boss参数!$B$83,Boss参数!$B$82),IF(AND($Y210=1,$L210="LILYA_FINISH"),Boss参数!$B$84,0))))-FC210*Boss参数!$B$90)</f>
        <v/>
      </c>
      <c r="BB210" s="1" t="str">
        <f>IF($E210="","",IFERROR(INDEX(角色面板!$M$18:$M$21,MATCH($E210,角色面板!$A$18:$A$21,0)),0)+$AW210*Boss参数!$B$12+IF($B210&lt;=$AG210,$AF210,0)+$EI210+IF($L210="LILYA_DIVE",IF($U210=1,IF($G210=1,0.3,IF($G210=2,0.4,0.5)),IF($U210=2,IF($G210=1,0.6,IF($G210=2,0.8,1)),0)),0)+$R210+IF(AND($E210="J",OR($L210="J_COUNTER",$L210="J_HARD")),Boss参数!$B$79,0)+IF(AND(OR(L210="J_COUNTER",L210="J_HARD"),FA210&gt;=Boss参数!$B$59),FA210*Boss参数!$B$40,0))</f>
        <v/>
      </c>
      <c r="BC210" s="1" t="e">
        <f>IF($E210="","",IFERROR(INDEX(角色面板!$K$18:$K$21,MATCH($E210,角色面板!$A$18:$A$21,0)),0)+IF($B210&lt;=$AH210,Boss参数!$B$46,0)+IF($E210="红弩箭",IF($U210=1,0.6,IF($U210=2,1.2,0))+$W210*0.06,0))-DI210*Boss参数!$B$23</f>
        <v>#VALUE!</v>
      </c>
      <c r="BD210" s="1" t="e">
        <f>IF($E210="","",IFERROR(INDEX(角色面板!$L$18:$L$21,MATCH($E210,角色面板!$A$18:$A$21,0)),0)+IF($B210&lt;=$AH210,Boss参数!$B$46,0)+IF($E210="J",$AL210*Boss参数!$B$16,0)+IF($E210="红弩箭",$X210*0.025,0)+IF(AND($L210="LILYA_ULT",$X210&gt;=6),1,0))-DI210*Boss参数!$B$23</f>
        <v>#VALUE!</v>
      </c>
      <c r="BE210" s="1" t="str">
        <f>IF($E210="","",IF($H210="洞知",IF($E210="红弩箭",$AO210*Boss参数!$B$15,0)+$AX210*Boss参数!$B$14,0))</f>
        <v/>
      </c>
      <c r="BF210" s="1">
        <f t="shared" si="211"/>
        <v>0</v>
      </c>
      <c r="BG210" s="1">
        <f>IF($D210="",0,IF(AND($L210&lt;&gt;"LILYA_DIVE",$L210&lt;&gt;"LILYA_ULT",$L210&lt;&gt;"LILYA_INSIGHT",$L210&lt;&gt;"LILYA_FINISH",$L210&lt;&gt;"37_FOLLOW",$L210&lt;&gt;"RHI_ATTACK",$L210&lt;&gt;"RHI_BERRY",$L210&lt;&gt;"J_COUNTER",$L210&lt;&gt;"J_ULT"),$J210,0)+IF($L210="LILYA_DIVE",$J210+IF($U210=1,IF($G210=1,6,IF($G210=2,12,18)),IF($U210=2,IF($G210=1,12,IF($G210=2,24,36)),0)),0)+IF($L210="LILYA_ULT",$J210+IF($X210&gt;=6,18,0),0)+IF($L210="LILYA_INSIGHT",IF($Y210=1,IF(MOD($AA210+1,3)=0,32,15),0),0)+IF($L210="LILYA_FINISH",IF($Y210=1,50+2.5*$Z210,0),0)+IF($L210="37_FOLLOW",$J210,0)+IF($L210="RHI_ATTACK",$J210*IF($B210&lt;=$AJ210,2,1),0)+IF($L210="RHI_BERRY",15+1.5*$AV210,0)+IF($L210="J_COUNTER",$J210+$AD210*Boss参数!$B$39,0)+IF($L210="J_ULT",$J210+Boss参数!$B$45*MAX(0,$AE210+$AD210-Boss参数!$I$4),0)+$S210)</f>
        <v>0</v>
      </c>
      <c r="BH210" s="1">
        <f t="shared" si="212"/>
        <v>0</v>
      </c>
      <c r="BI210" s="1" t="str">
        <f>IF(E210="","",IF(DT210=1,1+Boss参数!$B$8+AV210*Boss参数!$B$19,1))</f>
        <v/>
      </c>
      <c r="BJ210" s="1">
        <f>IF($I210="现实",Boss参数!$C$4,IF($I210="精神",Boss参数!$D$4,0))</f>
        <v>0</v>
      </c>
      <c r="BK210" s="1" t="str">
        <f>IF($E210="","",MAX($AY210*Boss参数!$B$9,$AY210-$BJ210*(1-$BF210)))</f>
        <v/>
      </c>
      <c r="BL210" s="1">
        <f>MAX(0,Boss参数!$F$4+IF(DT210=0,Boss参数!$B$27,0)-EJ210)</f>
        <v>1.25</v>
      </c>
      <c r="BM210" s="1">
        <f>Boss参数!$G$4+DU210-IF(Y210=1,Boss参数!$B$11,0)</f>
        <v>0.4</v>
      </c>
      <c r="BN210" s="1" t="str">
        <f>IF($E210="","",MAX(Boss参数!$B$10,1+IFERROR(INDEX(角色面板!$I$18:$I$21,MATCH($E210,角色面板!$A$18:$A$21,0)),0)+$BB210+Boss参数!$H$4-$BM210))</f>
        <v/>
      </c>
      <c r="BO210" s="1" t="str">
        <f>IF(E210="","",IF(OR(L210="J_COUNTER",L210="J_HARD"),MAX(0,1+INDEX(角色面板!$K$18:$K$21,MATCH(E210,角色面板!$A$18:$A$21,0))-DI210*Boss参数!$B$23+IF(OR(Boss参数!$B$43=1,L210="J_HARD"),IF(B210&lt;=AH210,Boss参数!$B$46,0),0)),MAX(0,IF(OR(H210="术法",L210="RHI_BERRY",AND(L210="37_FOLLOW",Boss参数!$B$31=1)),1+BC210,IF(H210="仪式",1+BD210,IF(H210="洞知",EK210,1))))))</f>
        <v/>
      </c>
      <c r="BP210" s="1" t="str">
        <f t="shared" si="213"/>
        <v/>
      </c>
      <c r="BQ210" s="1">
        <f t="shared" si="214"/>
        <v>0</v>
      </c>
      <c r="BR210" s="1">
        <f t="shared" si="215"/>
        <v>0</v>
      </c>
      <c r="BS210" s="1">
        <f>IF(BH210=0,0,ROUNDDOWN(AY210*BH210,0)*DV210*IF(Boss参数!$B$29=1,BN210,1)*IF(Boss参数!$B$33=1,BO210,1)*IF(Boss参数!$B$76=1,1-ES210,1))</f>
        <v>0</v>
      </c>
      <c r="BT210" s="1">
        <f t="shared" si="216"/>
        <v>0</v>
      </c>
      <c r="BU210" s="1">
        <f>IF(D210="",0,MIN(IF(Boss参数!$B$77=1,Boss参数!$B$63*Boss参数!$B$62,Boss参数!$B$61*Boss参数!$B$62),DW210+ROUNDDOWN(BS210,0)+ROUNDDOWN(DW210*Q210,0)))</f>
        <v>0</v>
      </c>
      <c r="BV210" s="1">
        <f>IF(D210="",0,MIN(IF(Boss参数!$B$77=1,Boss参数!$B$63*Boss参数!$B$62,Boss参数!$B$61*Boss参数!$B$62),DX210+ROUNDDOWN(BT210,0)+ROUNDDOWN(DX210*Q210,0)))</f>
        <v>0</v>
      </c>
      <c r="BW210" s="1">
        <f t="shared" si="217"/>
        <v>0</v>
      </c>
      <c r="BX210" s="1" t="str">
        <f t="shared" si="218"/>
        <v/>
      </c>
      <c r="BY210" s="1">
        <f t="shared" si="219"/>
        <v>2</v>
      </c>
      <c r="BZ210" s="1">
        <f t="shared" si="220"/>
        <v>1</v>
      </c>
      <c r="CA210" s="1">
        <f>MIN(10,W210+IF(AND(L210="LILYA_COBRA",COUNTIF($L$3:L210,"LILYA_COBRA")=1),5,0)+IF(AND(L210="LILYA_DIVE",U210=1,COUNTIFS($DG$3:DG210,DG210,$L$3:L210,"LILYA_DIVE")=1),2,0)+IF(AND(FE210=1,U210=1),3,0))</f>
        <v>10</v>
      </c>
      <c r="CB210" s="1">
        <f>MIN(20,MAX(0,X210+IF(L210="LILYA_COBRA",IF(COUNTIF($L$3:L210,"LILYA_COBRA")=1,6,IF(U210=1,MAX(1,G210),IF(U210=2,2*MAX(1,G210),0))),0)+IF(AND(Y210=1,E210="红弩箭",L210&lt;&gt;"ENTER_INSIGHT"),1,0)-IF(AND(L210="LILYA_ULT",X210&gt;=6),6,0)))</f>
        <v>13</v>
      </c>
      <c r="CC210" s="1">
        <f t="shared" si="221"/>
        <v>0</v>
      </c>
      <c r="CD210" s="1">
        <f t="shared" si="222"/>
        <v>0</v>
      </c>
      <c r="CE210" s="1">
        <f t="shared" si="223"/>
        <v>0</v>
      </c>
      <c r="CF210" s="1">
        <f t="shared" si="224"/>
        <v>10</v>
      </c>
      <c r="CG210" s="1">
        <f t="shared" si="225"/>
        <v>1</v>
      </c>
      <c r="CH210" s="1">
        <f>MIN(35,AD210+IF(L210="J_HARD",6,0)+IF(L210="J_COUNTER",Boss参数!$B$30,0))</f>
        <v>35</v>
      </c>
      <c r="CI210" s="1">
        <f>MIN(Boss参数!$I$4,AE210+IF(L210="J_HARD",6,0)+IF(L210="J_ULT",AD210,0)+IF(L210="J_COUNTER",Boss参数!$B$30,0))</f>
        <v>0</v>
      </c>
      <c r="CJ210" s="1">
        <f>IF(L210="J_ULT",AD210*Boss参数!$B$41,IF(B210&lt;=AG210,AF210,0))</f>
        <v>0.875</v>
      </c>
      <c r="CK210" s="1">
        <f t="shared" si="226"/>
        <v>9</v>
      </c>
      <c r="CL210" s="1">
        <f t="shared" si="227"/>
        <v>9</v>
      </c>
      <c r="CM210" s="1">
        <f t="shared" si="228"/>
        <v>8</v>
      </c>
      <c r="CN210" s="1">
        <f t="shared" si="229"/>
        <v>9</v>
      </c>
      <c r="CO210" s="1">
        <f t="shared" si="230"/>
        <v>8</v>
      </c>
      <c r="CP210" s="1">
        <f t="shared" si="231"/>
        <v>3</v>
      </c>
      <c r="CQ210" s="1">
        <f t="shared" si="232"/>
        <v>30</v>
      </c>
      <c r="CR210" s="1">
        <f t="shared" si="233"/>
        <v>9</v>
      </c>
      <c r="CS210" s="1">
        <f t="shared" si="234"/>
        <v>0</v>
      </c>
      <c r="CT210" s="1" t="e">
        <f t="shared" si="235"/>
        <v>#VALUE!</v>
      </c>
      <c r="CU210" s="1" t="e">
        <f t="shared" si="236"/>
        <v>#VALUE!</v>
      </c>
      <c r="CV210" s="1">
        <f t="shared" si="237"/>
        <v>0.3</v>
      </c>
      <c r="CW210" s="1">
        <f t="shared" si="238"/>
        <v>9</v>
      </c>
      <c r="CX210" s="1">
        <f t="shared" si="239"/>
        <v>0.3</v>
      </c>
      <c r="CY210" s="1">
        <f t="shared" si="240"/>
        <v>9</v>
      </c>
      <c r="CZ210" s="1"/>
      <c r="DA210" s="1"/>
      <c r="DB210" s="1"/>
      <c r="DC210" s="1"/>
      <c r="DD210" s="1"/>
      <c r="DE210" s="1"/>
      <c r="DF210" s="1"/>
      <c r="DG210" s="1" t="str">
        <f>IF(D210="","",行动模拟!B216)</f>
        <v/>
      </c>
      <c r="DH210" s="1" t="str">
        <f>IF(L210="END_TURN","回合结束",IF(D210="","",IF(INDEX(回合状态!$C$7:$C$17,MATCH(DG210,回合状态!$A$7:$A$17,0))="洞穿","洞穿",IF(OR(L210="J_COUNTER",L210="BOSS_ACTION",L210="BOSS_CONSERVATIVE"),"敌方",IF(AND(L210="37_FOLLOW",DG210=DG209,DH209="敌方"),"敌方",IF(INDEX(回合状态!$C$7:$C$17,MATCH(DG210,回合状态!$A$7:$A$17,0))="普通","出牌",INDEX(回合状态!$C$7:$C$17,MATCH(DG210,回合状态!$A$7:$A$17,0))))))))</f>
        <v/>
      </c>
      <c r="DI210" s="1">
        <f t="shared" si="241"/>
        <v>0</v>
      </c>
      <c r="DJ210" s="1">
        <f>IF(D210="",0,MIN(Boss参数!$B$25,IF(OR(AND(DH210="敌方",OR(DH209&lt;&gt;"敌方",DG210&lt;&gt;DG209)),AND(L210="END_TURN",DH210&lt;&gt;"洞穿"),AND(DG210&lt;&gt;DG209,DH209&lt;&gt;"洞穿",L209&lt;&gt;"END_TURN",COUNTIFS($DG$3:DG209,DG209,$DH$3:DH209,"敌方")=0)),EW210,DN209)))</f>
        <v>0</v>
      </c>
      <c r="DK210" s="1">
        <f>IF(D210="",0,MIN(Boss参数!$B$25,IF(OR(AND(DH210="敌方",OR(DH209&lt;&gt;"敌方",DG210&lt;&gt;DG209)),AND(L210="END_TURN",DH210&lt;&gt;"洞穿"),AND(DG210&lt;&gt;DG209,DH209&lt;&gt;"洞穿",L209&lt;&gt;"END_TURN",COUNTIFS($DG$3:DG209,DG209,$DH$3:DH209,"敌方")=0)),EW210,DO209)))</f>
        <v>0</v>
      </c>
      <c r="DL210" s="1">
        <f>IF(D210="",0,MIN(Boss参数!$B$25,IF(OR(AND(DH210="敌方",OR(DH209&lt;&gt;"敌方",DG210&lt;&gt;DG209)),AND(L210="END_TURN",DH210&lt;&gt;"洞穿"),AND(DG210&lt;&gt;DG209,DH209&lt;&gt;"洞穿",L209&lt;&gt;"END_TURN",COUNTIFS($DG$3:DG209,DG209,$DH$3:DH209,"敌方")=0)),EW210,DP209)))</f>
        <v>0</v>
      </c>
      <c r="DM210" s="1">
        <f>IF(D210="",0,MIN(Boss参数!$B$25,IF(OR(AND(DH210="敌方",OR(DH209&lt;&gt;"敌方",DG210&lt;&gt;DG209)),AND(L210="END_TURN",DH210&lt;&gt;"洞穿"),AND(DG210&lt;&gt;DG209,DH209&lt;&gt;"洞穿",L209&lt;&gt;"END_TURN",COUNTIFS($DG$3:DG209,DG209,$DH$3:DH209,"敌方")=0)),EW210,DQ209)))</f>
        <v>0</v>
      </c>
      <c r="DN210" s="1">
        <f>MAX(0,MIN(Boss参数!$B$25,DJ210+DR210)-IF(E210="红弩箭",2*DR210,0))</f>
        <v>0</v>
      </c>
      <c r="DO210" s="1">
        <f>MAX(0,MIN(Boss参数!$B$25,DK210+DR210)-IF(E210="37",2*DR210,0))</f>
        <v>0</v>
      </c>
      <c r="DP210" s="1">
        <f>MAX(0,MIN(Boss参数!$B$25,DL210+DR210)-IF(E210="小瑞安侬",2*DR210,0))</f>
        <v>0</v>
      </c>
      <c r="DQ210" s="1">
        <f>MAX(0,MIN(Boss参数!$B$25,DM210+DR210)-IF(E210="J",2*DR210,0))</f>
        <v>0</v>
      </c>
      <c r="DR210" s="1">
        <f t="shared" si="242"/>
        <v>0</v>
      </c>
      <c r="DS210" s="1">
        <f t="shared" si="243"/>
        <v>0</v>
      </c>
      <c r="DT210" s="1">
        <f>IF(OR(E210="",E210="系统"),0,IF(OR(AND(DS210=1,Boss参数!$B$32=1),L210="RHI_BERRY",OR(AND(INDEX(角色面板!$B$18:$B$21,MATCH(E210,角色面板!$A$18:$A$21,0))="星",Boss参数!$B$4="岩"),AND(INDEX(角色面板!$B$18:$B$21,MATCH(E210,角色面板!$A$18:$A$21,0))="岩",Boss参数!$B$4="兽"),AND(INDEX(角色面板!$B$18:$B$21,MATCH(E210,角色面板!$A$18:$A$21,0))="兽",Boss参数!$B$4="木"),AND(INDEX(角色面板!$B$18:$B$21,MATCH(E210,角色面板!$A$18:$A$21,0))="木",Boss参数!$B$4="星"),AND(INDEX(角色面板!$B$18:$B$21,MATCH(E210,角色面板!$A$18:$A$21,0))="智",Boss参数!$B$4="灵"),AND(INDEX(角色面板!$B$18:$B$21,MATCH(E210,角色面板!$A$18:$A$21,0))="灵",Boss参数!$B$4="智"))),1,0))</f>
        <v>0</v>
      </c>
      <c r="DU210" s="1">
        <f>IF(D210="",0,INDEX(回合状态!$E$7:$E$17,MATCH(DG210,回合状态!$A$7:$A$17,0))+IF(AND(DH210="敌方",OR(INDEX(回合状态!$C$7:$C$17,MATCH(DG210,回合状态!$A$7:$A$17,0))="普通",INDEX(回合状态!$C$7:$C$17,MATCH(DG210,回合状态!$A$7:$A$17,0))="额外")),0.05,0))</f>
        <v>0</v>
      </c>
      <c r="DV210" s="1">
        <f>MAX(Boss参数!$B$28,1+IF(AND(E210="37",AC210&gt;0,BH210&gt;0),Boss参数!$B$42,0)-DI210*Boss参数!$B$24+EA210-ER210)</f>
        <v>9.9999999999999978E-2</v>
      </c>
      <c r="DW210" s="1">
        <f>MIN(IF(Boss参数!$B$77=1,Boss参数!$B$63*Boss参数!$B$62,Boss参数!$B$61*Boss参数!$B$62),ROUNDDOWN(BQ210*(1-ES210),0))</f>
        <v>0</v>
      </c>
      <c r="DX210" s="1">
        <f>MIN(IF(Boss参数!$B$77=1,Boss参数!$B$63*Boss参数!$B$62,Boss参数!$B$61*Boss参数!$B$62),ROUNDDOWN(BR210*(1-ES210),0))</f>
        <v>0</v>
      </c>
      <c r="DY210" s="1">
        <f t="shared" si="275"/>
        <v>250</v>
      </c>
      <c r="DZ210" s="1">
        <f>IF(L210="RHI_ULT",MIN(Boss参数!$B$48,ROUNDDOWN(AY210*Boss参数!$B$47,0)),DY210)</f>
        <v>250</v>
      </c>
      <c r="EA210" s="1">
        <v>0</v>
      </c>
      <c r="EB210" s="1">
        <f t="shared" si="244"/>
        <v>0</v>
      </c>
      <c r="EC210" s="1">
        <f>SUMIFS($EB$3:EB210,$B$3:B210,"&gt;="&amp;MAX(1,B210-2),$B$3:B210,"&lt;="&amp;B210)*Boss参数!$B$51</f>
        <v>0</v>
      </c>
      <c r="ED210" s="1">
        <f>IF(D210="",EG209,IF(AND(DG210&lt;&gt;DG209,DH210&lt;&gt;"洞穿"),MIN(Boss参数!$B$55,EG209+2),EG209))</f>
        <v>0</v>
      </c>
      <c r="EE210" s="1">
        <f t="shared" si="245"/>
        <v>0</v>
      </c>
      <c r="EF210" s="1">
        <f>IF(AND(OR(L210="END_TURN",AND(DH210="敌方",OR(DH209&lt;&gt;"敌方",DG210&lt;&gt;DG209))),SUMIFS($EF$3:EF209,$DG$3:DG209,DG210)=0),MIN(1,MAX(0,ED210-EE210)),0)</f>
        <v>0</v>
      </c>
      <c r="EG210" s="1">
        <f t="shared" si="246"/>
        <v>0</v>
      </c>
      <c r="EH210" s="1">
        <f>Boss参数!$B$53-IF(Y210=1,Boss参数!$B$54,0)</f>
        <v>0</v>
      </c>
      <c r="EI210" s="1">
        <f t="shared" si="247"/>
        <v>0.15</v>
      </c>
      <c r="EJ210" s="1">
        <f t="shared" si="248"/>
        <v>0.15</v>
      </c>
      <c r="EK210" s="1" t="e">
        <f t="shared" si="249"/>
        <v>#VALUE!</v>
      </c>
      <c r="EL210" s="1">
        <f t="shared" si="276"/>
        <v>0</v>
      </c>
      <c r="EM210" s="1">
        <f>IF(AND(DG210&lt;&gt;DG209,DH210="洞穿"),0,IF(L210="ENTER_INSIGHT",Boss参数!$B$57,EO209))</f>
        <v>0</v>
      </c>
      <c r="EN210" s="1">
        <f>IF(AND(Y210=1,H210="洞知",EM210&gt;0),Boss参数!$B$56,0)</f>
        <v>0</v>
      </c>
      <c r="EO210" s="1">
        <f t="shared" si="250"/>
        <v>0</v>
      </c>
      <c r="EP210" s="1">
        <f t="shared" si="277"/>
        <v>23210479</v>
      </c>
      <c r="EQ210" s="1">
        <f>ROUNDDOWN(EP210/Boss参数!$B$62,0)</f>
        <v>232</v>
      </c>
      <c r="ER210" s="1">
        <f>IF(EQ210&gt;=Boss参数!$B$66,Boss参数!$B$69,IF(EQ210&gt;=Boss参数!$B$65,Boss参数!$B$68,IF(EQ210&gt;=Boss参数!$B$64,Boss参数!$B$67,0)))</f>
        <v>0.9</v>
      </c>
      <c r="ES210" s="1">
        <f>MIN(1,IF(EQ210&gt;=Boss参数!$B$66,Boss参数!$B$72+ROUNDDOWN((EQ210-Boss参数!$B$66)/Boss参数!$B$73,0)*Boss参数!$B$74,IF(EQ210&gt;=Boss参数!$B$65,Boss参数!$B$71,IF(EQ210&gt;=Boss参数!$B$64,Boss参数!$B$70,0))))</f>
        <v>0.65</v>
      </c>
      <c r="ET210" s="1">
        <f>MIN(Boss参数!$B$61*Boss参数!$B$62,EP210+IF(AND(Boss参数!$B$60=1,ISNUMBER(验证表!H216)),验证表!H216,EU210))</f>
        <v>23210479</v>
      </c>
      <c r="EU210" s="1">
        <f>IF(D210="",0,IF(验证表!G216="是",BV210,IF(验证表!G216="否",BU210,BW210)))</f>
        <v>0</v>
      </c>
      <c r="EV210" s="1">
        <f>IF(EQ210&gt;=Boss参数!$B$66,2,IF(EQ210&gt;=Boss参数!$B$65,1,0))</f>
        <v>2</v>
      </c>
      <c r="EW210" s="1">
        <f t="shared" si="251"/>
        <v>3</v>
      </c>
      <c r="EX210" s="1">
        <f>IF(D210="",0,INDEX(回合状态!$D$7:$D$17,MATCH(DG210,回合状态!$A$7:$A$17,0)))</f>
        <v>0</v>
      </c>
      <c r="EY210" s="1">
        <f>IF(OR(L210="RHI_ATTACK",L210="RHI_BUFF"),1,IF(L210="RHI_ULT",Boss参数!$B$52,0))</f>
        <v>0</v>
      </c>
      <c r="EZ210" s="1">
        <f>MIN(6,SUMIFS($EY$3:EY210,$EX$3:EX210,"&gt;="&amp;MAX(1,EX210-Boss参数!$B$87+1),$EX$3:EX210,"&lt;="&amp;EX210))</f>
        <v>0</v>
      </c>
      <c r="FA210" s="1">
        <f t="shared" si="278"/>
        <v>0</v>
      </c>
      <c r="FB210" s="17">
        <f>IF(L210="BOSS_CONSERVATIVE",B210+Boss参数!$B$91,FB209)</f>
        <v>7</v>
      </c>
      <c r="FC210" s="17">
        <f t="shared" si="279"/>
        <v>0</v>
      </c>
      <c r="FD210" s="17">
        <f>IF(D210="",FD209,FD209+IF(AND(DG210&lt;&gt;DG209,INDEX(回合状态!$C$7:$C$17,MATCH(DG210,回合状态!$A$7:$A$17,0))&lt;&gt;"洞穿"),1,0))</f>
        <v>8</v>
      </c>
      <c r="FE210" s="17">
        <f>IF(D210="",0,IF(AND(OR(L210="END_TURN",DH210="敌方"),INDEX(回合状态!$C$7:$C$17,MATCH(DG210,回合状态!$A$7:$A$17,0))&lt;&gt;"洞穿",SUMIFS($FE$3:FE209,$DG$3:DG209,DG210)=0),1,0))</f>
        <v>0</v>
      </c>
    </row>
    <row r="211" spans="1:161" ht="84.95" customHeight="1">
      <c r="A211" s="1" t="str">
        <f>行动模拟!A217</f>
        <v/>
      </c>
      <c r="B211" s="1">
        <f>IF(D211="",0,INDEX(回合状态!$B$7:$B$17,MATCH(DG211,回合状态!$A$7:$A$17,0)))</f>
        <v>0</v>
      </c>
      <c r="C211" s="1">
        <f>行动模拟!C217</f>
        <v>0</v>
      </c>
      <c r="D211" s="1" t="str">
        <f>IF(行动模拟!D217="","",行动模拟!D217)</f>
        <v/>
      </c>
      <c r="E211" s="1" t="str">
        <f>IF($D211="","",IFERROR(INDEX(技能数据库!$B$4:$B$38,MATCH($D211,技能数据库!$A$4:$A$38,0)),""))</f>
        <v/>
      </c>
      <c r="F211" s="1" t="str">
        <f>IF($D211="","",IFERROR(INDEX(技能数据库!$C$4:$C$38,MATCH($D211,技能数据库!$A$4:$A$38,0)),""))</f>
        <v/>
      </c>
      <c r="G211" s="1" t="str">
        <f>IF($D211="","",IFERROR(INDEX(技能数据库!$D$4:$D$38,MATCH($D211,技能数据库!$A$4:$A$38,0)),""))</f>
        <v/>
      </c>
      <c r="H211" s="1" t="str">
        <f>IF($D211="","",IFERROR(INDEX(技能数据库!$E$4:$E$38,MATCH($D211,技能数据库!$A$4:$A$38,0)),""))</f>
        <v/>
      </c>
      <c r="I211" s="1" t="str">
        <f>IF($D211="","",IFERROR(INDEX(技能数据库!$F$4:$F$38,MATCH($D211,技能数据库!$A$4:$A$38,0)),""))</f>
        <v/>
      </c>
      <c r="J211" s="1" t="str">
        <f>IF($D211="","",IFERROR(INDEX(技能数据库!$G$4:$G$38,MATCH($D211,技能数据库!$A$4:$A$38,0)),""))</f>
        <v/>
      </c>
      <c r="K211" s="1" t="str">
        <f>IF($D211="","",IFERROR(INDEX(技能数据库!$H$4:$H$38,MATCH($D211,技能数据库!$A$4:$A$38,0)),""))</f>
        <v/>
      </c>
      <c r="L211" s="1" t="str">
        <f>IF($D211="","",IFERROR(INDEX(技能数据库!$I$4:$I$38,MATCH($D211,技能数据库!$A$4:$A$38,0)),""))</f>
        <v/>
      </c>
      <c r="M211" s="1">
        <v>1</v>
      </c>
      <c r="N211" s="1"/>
      <c r="O211" s="1"/>
      <c r="P211" s="1"/>
      <c r="Q211" s="1">
        <f t="shared" si="210"/>
        <v>0</v>
      </c>
      <c r="R211" s="1">
        <v>0</v>
      </c>
      <c r="S211" s="1">
        <v>0</v>
      </c>
      <c r="T211" s="1">
        <f>行动模拟!I217</f>
        <v>0</v>
      </c>
      <c r="U211" s="1">
        <f>IF(FD211&lt;&gt;FD210,IF(BY210=1,IF(MIN(10,CA210+IF(AND(DG211&lt;&gt;DG210,DH210&lt;&gt;"洞穿",SUMIFS($FE$3:FE210,$DG$3:DG210,DG210)=0,BY210=1),3,0))&gt;=10,2,1),IF(BY210=2,IF(BZ210&lt;=1,0,2),0)),BY210)</f>
        <v>2</v>
      </c>
      <c r="V211" s="1">
        <f>IF(FD211&lt;&gt;FD210,IF(BY210=1,IF(MIN(10,CA210+IF(AND(DG211&lt;&gt;DG210,DH210&lt;&gt;"洞穿",SUMIFS($FE$3:FE210,$DG$3:DG210,DG210)=0,BY210=1),3,0))&gt;=10,2,0),IF(BY210=2,MAX(0,BZ210-1),0)),BZ210)</f>
        <v>1</v>
      </c>
      <c r="W211" s="1">
        <f>IF(AND(FD211&lt;&gt;FD210,BY210=2,BZ210&lt;=1),0,MIN(10,CA210+IF(AND(DG211&lt;&gt;DG210,DH210&lt;&gt;"洞穿",SUMIFS($FE$3:FE210,$DG$3:DG210,DG210)=0,BY210=1),3,0)))</f>
        <v>10</v>
      </c>
      <c r="X211" s="1">
        <f t="shared" si="252"/>
        <v>13</v>
      </c>
      <c r="Y211" s="1">
        <f t="shared" si="253"/>
        <v>0</v>
      </c>
      <c r="Z211" s="1">
        <f t="shared" si="254"/>
        <v>0</v>
      </c>
      <c r="AA211" s="1">
        <f t="shared" si="255"/>
        <v>0</v>
      </c>
      <c r="AB211" s="1">
        <f t="shared" si="256"/>
        <v>10</v>
      </c>
      <c r="AC211" s="1">
        <f t="shared" si="257"/>
        <v>1</v>
      </c>
      <c r="AD211" s="1">
        <f t="shared" si="258"/>
        <v>35</v>
      </c>
      <c r="AE211" s="1">
        <f>IF(D211="",0,IF(DG211&lt;&gt;DG210,IFERROR(INDEX(回合状态!$F$7:$F$17,MATCH(DG211,回合状态!$A$7:$A$17,0)),0),CI210))</f>
        <v>0</v>
      </c>
      <c r="AF211" s="1">
        <f t="shared" si="259"/>
        <v>0.875</v>
      </c>
      <c r="AG211" s="1">
        <f t="shared" si="260"/>
        <v>9</v>
      </c>
      <c r="AH211" s="1">
        <f t="shared" si="261"/>
        <v>9</v>
      </c>
      <c r="AI211" s="1">
        <f t="shared" si="262"/>
        <v>8</v>
      </c>
      <c r="AJ211" s="1">
        <f t="shared" si="263"/>
        <v>9</v>
      </c>
      <c r="AK211" s="1">
        <f t="shared" si="264"/>
        <v>8</v>
      </c>
      <c r="AL211" s="1">
        <f t="shared" si="265"/>
        <v>3</v>
      </c>
      <c r="AM211" s="1">
        <f t="shared" si="266"/>
        <v>30</v>
      </c>
      <c r="AN211" s="1">
        <f t="shared" si="267"/>
        <v>9</v>
      </c>
      <c r="AO211" s="1">
        <f t="shared" si="268"/>
        <v>0</v>
      </c>
      <c r="AP211" s="1" t="e">
        <f t="shared" si="269"/>
        <v>#VALUE!</v>
      </c>
      <c r="AQ211" s="1" t="e">
        <f t="shared" si="270"/>
        <v>#VALUE!</v>
      </c>
      <c r="AR211" s="1">
        <f t="shared" si="271"/>
        <v>0.3</v>
      </c>
      <c r="AS211" s="1">
        <f t="shared" si="272"/>
        <v>9</v>
      </c>
      <c r="AT211" s="1">
        <f t="shared" si="273"/>
        <v>0.3</v>
      </c>
      <c r="AU211" s="1">
        <f t="shared" si="274"/>
        <v>9</v>
      </c>
      <c r="AV211" s="1">
        <f>MIN(5,SUMIFS($EL$3:EL211,$B$3:B211,"&gt;="&amp;MAX(1,B211-2),$B$3:B211,"&lt;="&amp;B211)+EC211)</f>
        <v>0</v>
      </c>
      <c r="AW211" s="1">
        <f>MIN(6,SUMIFS($EY$3:EY210,$EX$3:EX210,"&gt;="&amp;MAX(1,EX211-Boss参数!$B$87+1),$EX$3:EX210,"&lt;="&amp;EX211))</f>
        <v>0</v>
      </c>
      <c r="AX211" s="1">
        <f>MIN(4,COUNTIFS($B$3:$B$210,"&gt;="&amp;MAX(1,$B211-2),$B$3:$B$210,"&lt;="&amp;$B211,$L$3:$L$210,"37_FOLLOW"))</f>
        <v>0</v>
      </c>
      <c r="AY211" s="1" t="str">
        <f>IF($E211="","",IF($E211="系统",0,ROUNDDOWN(INDEX(角色面板!$C$4:$C$7,MATCH($E211,角色面板!$A$4:$A$7,0))*(1+INDEX(角色面板!$C$11:$C$14,MATCH($E211,角色面板!$A$11:$A$14,0))+IF($E211="小瑞安侬",MAX(IF($B211&lt;=$AQ211,$AP211,0),IF(AND($L211="RHI_ATTACK",$EE211&gt;0),0.11+0.01*$G211,0)),0)+IF($E211="J",$AD211*Boss参数!$B$18,0))+IF(FD211&lt;=$AN211,MIN(Boss参数!$B$21,ROUNDDOWN(角色面板!$C$19*Boss参数!$B$20,0)),0)+IF(AND($B211&lt;=$AK211,$E211&lt;&gt;"小瑞安侬"),$DY211,0),0)))</f>
        <v/>
      </c>
      <c r="AZ211" s="1" t="str">
        <f>IF($E211="","",MAX(0,MIN(1,IFERROR(INDEX(角色面板!$G$18:$G$21,MATCH($E211,角色面板!$A$18:$A$21,0)),0)-FC211*Boss参数!$B$89-Boss参数!$E$4)))</f>
        <v/>
      </c>
      <c r="BA211" s="1" t="str">
        <f>IF(E211="","",(IF($E211="","",IF($E211="红弩箭",Boss参数!$B$80,IF($E211="J",Boss参数!$B$81,IFERROR(INDEX(角色面板!$H$18:$H$21,MATCH($E211,角色面板!$A$18:$A$21,0)),0)))+IF($B211&lt;=$AI211,Boss参数!$B$13,0)+MIN(30,$AM211)*Boss参数!$B$17+IF(AND($L211="LILYA_ULT",$X211&gt;=6),1,0)+IF(AND($Y211=1,$L211="LILYA_INSIGHT"),IF(MOD($AA211+1,3)=0,Boss参数!$B$83,Boss参数!$B$82),IF(AND($Y211=1,$L211="LILYA_FINISH"),Boss参数!$B$84,0))))-FC211*Boss参数!$B$90)</f>
        <v/>
      </c>
      <c r="BB211" s="1" t="str">
        <f>IF($E211="","",IFERROR(INDEX(角色面板!$M$18:$M$21,MATCH($E211,角色面板!$A$18:$A$21,0)),0)+$AW211*Boss参数!$B$12+IF($B211&lt;=$AG211,$AF211,0)+$EI211+IF($L211="LILYA_DIVE",IF($U211=1,IF($G211=1,0.3,IF($G211=2,0.4,0.5)),IF($U211=2,IF($G211=1,0.6,IF($G211=2,0.8,1)),0)),0)+$R211+IF(AND($E211="J",OR($L211="J_COUNTER",$L211="J_HARD")),Boss参数!$B$79,0)+IF(AND(OR(L211="J_COUNTER",L211="J_HARD"),FA211&gt;=Boss参数!$B$59),FA211*Boss参数!$B$40,0))</f>
        <v/>
      </c>
      <c r="BC211" s="1" t="e">
        <f>IF($E211="","",IFERROR(INDEX(角色面板!$K$18:$K$21,MATCH($E211,角色面板!$A$18:$A$21,0)),0)+IF($B211&lt;=$AH211,Boss参数!$B$46,0)+IF($E211="红弩箭",IF($U211=1,0.6,IF($U211=2,1.2,0))+$W211*0.06,0))-DI211*Boss参数!$B$23</f>
        <v>#VALUE!</v>
      </c>
      <c r="BD211" s="1" t="e">
        <f>IF($E211="","",IFERROR(INDEX(角色面板!$L$18:$L$21,MATCH($E211,角色面板!$A$18:$A$21,0)),0)+IF($B211&lt;=$AH211,Boss参数!$B$46,0)+IF($E211="J",$AL211*Boss参数!$B$16,0)+IF($E211="红弩箭",$X211*0.025,0)+IF(AND($L211="LILYA_ULT",$X211&gt;=6),1,0))-DI211*Boss参数!$B$23</f>
        <v>#VALUE!</v>
      </c>
      <c r="BE211" s="1" t="str">
        <f>IF($E211="","",IF($H211="洞知",IF($E211="红弩箭",$AO211*Boss参数!$B$15,0)+$AX211*Boss参数!$B$14,0))</f>
        <v/>
      </c>
      <c r="BF211" s="1">
        <f t="shared" si="211"/>
        <v>0</v>
      </c>
      <c r="BG211" s="1">
        <f>IF($D211="",0,IF(AND($L211&lt;&gt;"LILYA_DIVE",$L211&lt;&gt;"LILYA_ULT",$L211&lt;&gt;"LILYA_INSIGHT",$L211&lt;&gt;"LILYA_FINISH",$L211&lt;&gt;"37_FOLLOW",$L211&lt;&gt;"RHI_ATTACK",$L211&lt;&gt;"RHI_BERRY",$L211&lt;&gt;"J_COUNTER",$L211&lt;&gt;"J_ULT"),$J211,0)+IF($L211="LILYA_DIVE",$J211+IF($U211=1,IF($G211=1,6,IF($G211=2,12,18)),IF($U211=2,IF($G211=1,12,IF($G211=2,24,36)),0)),0)+IF($L211="LILYA_ULT",$J211+IF($X211&gt;=6,18,0),0)+IF($L211="LILYA_INSIGHT",IF($Y211=1,IF(MOD($AA211+1,3)=0,32,15),0),0)+IF($L211="LILYA_FINISH",IF($Y211=1,50+2.5*$Z211,0),0)+IF($L211="37_FOLLOW",$J211,0)+IF($L211="RHI_ATTACK",$J211*IF($B211&lt;=$AJ211,2,1),0)+IF($L211="RHI_BERRY",15+1.5*$AV211,0)+IF($L211="J_COUNTER",$J211+$AD211*Boss参数!$B$39,0)+IF($L211="J_ULT",$J211+Boss参数!$B$45*MAX(0,$AE211+$AD211-Boss参数!$I$4),0)+$S211)</f>
        <v>0</v>
      </c>
      <c r="BH211" s="1">
        <f t="shared" si="212"/>
        <v>0</v>
      </c>
      <c r="BI211" s="1" t="str">
        <f>IF(E211="","",IF(DT211=1,1+Boss参数!$B$8+AV211*Boss参数!$B$19,1))</f>
        <v/>
      </c>
      <c r="BJ211" s="1">
        <f>IF($I211="现实",Boss参数!$C$4,IF($I211="精神",Boss参数!$D$4,0))</f>
        <v>0</v>
      </c>
      <c r="BK211" s="1" t="str">
        <f>IF($E211="","",MAX($AY211*Boss参数!$B$9,$AY211-$BJ211*(1-$BF211)))</f>
        <v/>
      </c>
      <c r="BL211" s="1">
        <f>MAX(0,Boss参数!$F$4+IF(DT211=0,Boss参数!$B$27,0)-EJ211)</f>
        <v>1.25</v>
      </c>
      <c r="BM211" s="1">
        <f>Boss参数!$G$4+DU211-IF(Y211=1,Boss参数!$B$11,0)</f>
        <v>0.4</v>
      </c>
      <c r="BN211" s="1" t="str">
        <f>IF($E211="","",MAX(Boss参数!$B$10,1+IFERROR(INDEX(角色面板!$I$18:$I$21,MATCH($E211,角色面板!$A$18:$A$21,0)),0)+$BB211+Boss参数!$H$4-$BM211))</f>
        <v/>
      </c>
      <c r="BO211" s="1" t="str">
        <f>IF(E211="","",IF(OR(L211="J_COUNTER",L211="J_HARD"),MAX(0,1+INDEX(角色面板!$K$18:$K$21,MATCH(E211,角色面板!$A$18:$A$21,0))-DI211*Boss参数!$B$23+IF(OR(Boss参数!$B$43=1,L211="J_HARD"),IF(B211&lt;=AH211,Boss参数!$B$46,0),0)),MAX(0,IF(OR(H211="术法",L211="RHI_BERRY",AND(L211="37_FOLLOW",Boss参数!$B$31=1)),1+BC211,IF(H211="仪式",1+BD211,IF(H211="洞知",EK211,1))))))</f>
        <v/>
      </c>
      <c r="BP211" s="1" t="str">
        <f t="shared" si="213"/>
        <v/>
      </c>
      <c r="BQ211" s="1">
        <f t="shared" si="214"/>
        <v>0</v>
      </c>
      <c r="BR211" s="1">
        <f t="shared" si="215"/>
        <v>0</v>
      </c>
      <c r="BS211" s="1">
        <f>IF(BH211=0,0,ROUNDDOWN(AY211*BH211,0)*DV211*IF(Boss参数!$B$29=1,BN211,1)*IF(Boss参数!$B$33=1,BO211,1)*IF(Boss参数!$B$76=1,1-ES211,1))</f>
        <v>0</v>
      </c>
      <c r="BT211" s="1">
        <f t="shared" si="216"/>
        <v>0</v>
      </c>
      <c r="BU211" s="1">
        <f>IF(D211="",0,MIN(IF(Boss参数!$B$77=1,Boss参数!$B$63*Boss参数!$B$62,Boss参数!$B$61*Boss参数!$B$62),DW211+ROUNDDOWN(BS211,0)+ROUNDDOWN(DW211*Q211,0)))</f>
        <v>0</v>
      </c>
      <c r="BV211" s="1">
        <f>IF(D211="",0,MIN(IF(Boss参数!$B$77=1,Boss参数!$B$63*Boss参数!$B$62,Boss参数!$B$61*Boss参数!$B$62),DX211+ROUNDDOWN(BT211,0)+ROUNDDOWN(DX211*Q211,0)))</f>
        <v>0</v>
      </c>
      <c r="BW211" s="1">
        <f t="shared" si="217"/>
        <v>0</v>
      </c>
      <c r="BX211" s="1" t="str">
        <f t="shared" si="218"/>
        <v/>
      </c>
      <c r="BY211" s="1">
        <f t="shared" si="219"/>
        <v>2</v>
      </c>
      <c r="BZ211" s="1">
        <f t="shared" si="220"/>
        <v>1</v>
      </c>
      <c r="CA211" s="1">
        <f>MIN(10,W211+IF(AND(L211="LILYA_COBRA",COUNTIF($L$3:L211,"LILYA_COBRA")=1),5,0)+IF(AND(L211="LILYA_DIVE",U211=1,COUNTIFS($DG$3:DG211,DG211,$L$3:L211,"LILYA_DIVE")=1),2,0)+IF(AND(FE211=1,U211=1),3,0))</f>
        <v>10</v>
      </c>
      <c r="CB211" s="1">
        <f>MIN(20,MAX(0,X211+IF(L211="LILYA_COBRA",IF(COUNTIF($L$3:L211,"LILYA_COBRA")=1,6,IF(U211=1,MAX(1,G211),IF(U211=2,2*MAX(1,G211),0))),0)+IF(AND(Y211=1,E211="红弩箭",L211&lt;&gt;"ENTER_INSIGHT"),1,0)-IF(AND(L211="LILYA_ULT",X211&gt;=6),6,0)))</f>
        <v>13</v>
      </c>
      <c r="CC211" s="1">
        <f t="shared" si="221"/>
        <v>0</v>
      </c>
      <c r="CD211" s="1">
        <f t="shared" si="222"/>
        <v>0</v>
      </c>
      <c r="CE211" s="1">
        <f t="shared" si="223"/>
        <v>0</v>
      </c>
      <c r="CF211" s="1">
        <f t="shared" si="224"/>
        <v>10</v>
      </c>
      <c r="CG211" s="1">
        <f t="shared" si="225"/>
        <v>1</v>
      </c>
      <c r="CH211" s="1">
        <f>MIN(35,AD211+IF(L211="J_HARD",6,0)+IF(L211="J_COUNTER",Boss参数!$B$30,0))</f>
        <v>35</v>
      </c>
      <c r="CI211" s="1">
        <f>MIN(Boss参数!$I$4,AE211+IF(L211="J_HARD",6,0)+IF(L211="J_ULT",AD211,0)+IF(L211="J_COUNTER",Boss参数!$B$30,0))</f>
        <v>0</v>
      </c>
      <c r="CJ211" s="1">
        <f>IF(L211="J_ULT",AD211*Boss参数!$B$41,IF(B211&lt;=AG211,AF211,0))</f>
        <v>0.875</v>
      </c>
      <c r="CK211" s="1">
        <f t="shared" si="226"/>
        <v>9</v>
      </c>
      <c r="CL211" s="1">
        <f t="shared" si="227"/>
        <v>9</v>
      </c>
      <c r="CM211" s="1">
        <f t="shared" si="228"/>
        <v>8</v>
      </c>
      <c r="CN211" s="1">
        <f t="shared" si="229"/>
        <v>9</v>
      </c>
      <c r="CO211" s="1">
        <f t="shared" si="230"/>
        <v>8</v>
      </c>
      <c r="CP211" s="1">
        <f t="shared" si="231"/>
        <v>3</v>
      </c>
      <c r="CQ211" s="1">
        <f t="shared" si="232"/>
        <v>30</v>
      </c>
      <c r="CR211" s="1">
        <f t="shared" si="233"/>
        <v>9</v>
      </c>
      <c r="CS211" s="1">
        <f t="shared" si="234"/>
        <v>0</v>
      </c>
      <c r="CT211" s="1" t="e">
        <f t="shared" si="235"/>
        <v>#VALUE!</v>
      </c>
      <c r="CU211" s="1" t="e">
        <f t="shared" si="236"/>
        <v>#VALUE!</v>
      </c>
      <c r="CV211" s="1">
        <f t="shared" si="237"/>
        <v>0.3</v>
      </c>
      <c r="CW211" s="1">
        <f t="shared" si="238"/>
        <v>9</v>
      </c>
      <c r="CX211" s="1">
        <f t="shared" si="239"/>
        <v>0.3</v>
      </c>
      <c r="CY211" s="1">
        <f t="shared" si="240"/>
        <v>9</v>
      </c>
      <c r="CZ211" s="1"/>
      <c r="DA211" s="1"/>
      <c r="DB211" s="1"/>
      <c r="DC211" s="1"/>
      <c r="DD211" s="1"/>
      <c r="DE211" s="1"/>
      <c r="DF211" s="1"/>
      <c r="DG211" s="1" t="str">
        <f>IF(D211="","",行动模拟!B217)</f>
        <v/>
      </c>
      <c r="DH211" s="1" t="str">
        <f>IF(L211="END_TURN","回合结束",IF(D211="","",IF(INDEX(回合状态!$C$7:$C$17,MATCH(DG211,回合状态!$A$7:$A$17,0))="洞穿","洞穿",IF(OR(L211="J_COUNTER",L211="BOSS_ACTION",L211="BOSS_CONSERVATIVE"),"敌方",IF(AND(L211="37_FOLLOW",DG211=DG210,DH210="敌方"),"敌方",IF(INDEX(回合状态!$C$7:$C$17,MATCH(DG211,回合状态!$A$7:$A$17,0))="普通","出牌",INDEX(回合状态!$C$7:$C$17,MATCH(DG211,回合状态!$A$7:$A$17,0))))))))</f>
        <v/>
      </c>
      <c r="DI211" s="1">
        <f t="shared" si="241"/>
        <v>0</v>
      </c>
      <c r="DJ211" s="1">
        <f>IF(D211="",0,MIN(Boss参数!$B$25,IF(OR(AND(DH211="敌方",OR(DH210&lt;&gt;"敌方",DG211&lt;&gt;DG210)),AND(L211="END_TURN",DH211&lt;&gt;"洞穿"),AND(DG211&lt;&gt;DG210,DH210&lt;&gt;"洞穿",L210&lt;&gt;"END_TURN",COUNTIFS($DG$3:DG210,DG210,$DH$3:DH210,"敌方")=0)),EW211,DN210)))</f>
        <v>0</v>
      </c>
      <c r="DK211" s="1">
        <f>IF(D211="",0,MIN(Boss参数!$B$25,IF(OR(AND(DH211="敌方",OR(DH210&lt;&gt;"敌方",DG211&lt;&gt;DG210)),AND(L211="END_TURN",DH211&lt;&gt;"洞穿"),AND(DG211&lt;&gt;DG210,DH210&lt;&gt;"洞穿",L210&lt;&gt;"END_TURN",COUNTIFS($DG$3:DG210,DG210,$DH$3:DH210,"敌方")=0)),EW211,DO210)))</f>
        <v>0</v>
      </c>
      <c r="DL211" s="1">
        <f>IF(D211="",0,MIN(Boss参数!$B$25,IF(OR(AND(DH211="敌方",OR(DH210&lt;&gt;"敌方",DG211&lt;&gt;DG210)),AND(L211="END_TURN",DH211&lt;&gt;"洞穿"),AND(DG211&lt;&gt;DG210,DH210&lt;&gt;"洞穿",L210&lt;&gt;"END_TURN",COUNTIFS($DG$3:DG210,DG210,$DH$3:DH210,"敌方")=0)),EW211,DP210)))</f>
        <v>0</v>
      </c>
      <c r="DM211" s="1">
        <f>IF(D211="",0,MIN(Boss参数!$B$25,IF(OR(AND(DH211="敌方",OR(DH210&lt;&gt;"敌方",DG211&lt;&gt;DG210)),AND(L211="END_TURN",DH211&lt;&gt;"洞穿"),AND(DG211&lt;&gt;DG210,DH210&lt;&gt;"洞穿",L210&lt;&gt;"END_TURN",COUNTIFS($DG$3:DG210,DG210,$DH$3:DH210,"敌方")=0)),EW211,DQ210)))</f>
        <v>0</v>
      </c>
      <c r="DN211" s="1">
        <f>MAX(0,MIN(Boss参数!$B$25,DJ211+DR211)-IF(E211="红弩箭",2*DR211,0))</f>
        <v>0</v>
      </c>
      <c r="DO211" s="1">
        <f>MAX(0,MIN(Boss参数!$B$25,DK211+DR211)-IF(E211="37",2*DR211,0))</f>
        <v>0</v>
      </c>
      <c r="DP211" s="1">
        <f>MAX(0,MIN(Boss参数!$B$25,DL211+DR211)-IF(E211="小瑞安侬",2*DR211,0))</f>
        <v>0</v>
      </c>
      <c r="DQ211" s="1">
        <f>MAX(0,MIN(Boss参数!$B$25,DM211+DR211)-IF(E211="J",2*DR211,0))</f>
        <v>0</v>
      </c>
      <c r="DR211" s="1">
        <f t="shared" si="242"/>
        <v>0</v>
      </c>
      <c r="DS211" s="1">
        <f t="shared" si="243"/>
        <v>0</v>
      </c>
      <c r="DT211" s="1">
        <f>IF(OR(E211="",E211="系统"),0,IF(OR(AND(DS211=1,Boss参数!$B$32=1),L211="RHI_BERRY",OR(AND(INDEX(角色面板!$B$18:$B$21,MATCH(E211,角色面板!$A$18:$A$21,0))="星",Boss参数!$B$4="岩"),AND(INDEX(角色面板!$B$18:$B$21,MATCH(E211,角色面板!$A$18:$A$21,0))="岩",Boss参数!$B$4="兽"),AND(INDEX(角色面板!$B$18:$B$21,MATCH(E211,角色面板!$A$18:$A$21,0))="兽",Boss参数!$B$4="木"),AND(INDEX(角色面板!$B$18:$B$21,MATCH(E211,角色面板!$A$18:$A$21,0))="木",Boss参数!$B$4="星"),AND(INDEX(角色面板!$B$18:$B$21,MATCH(E211,角色面板!$A$18:$A$21,0))="智",Boss参数!$B$4="灵"),AND(INDEX(角色面板!$B$18:$B$21,MATCH(E211,角色面板!$A$18:$A$21,0))="灵",Boss参数!$B$4="智"))),1,0))</f>
        <v>0</v>
      </c>
      <c r="DU211" s="1">
        <f>IF(D211="",0,INDEX(回合状态!$E$7:$E$17,MATCH(DG211,回合状态!$A$7:$A$17,0))+IF(AND(DH211="敌方",OR(INDEX(回合状态!$C$7:$C$17,MATCH(DG211,回合状态!$A$7:$A$17,0))="普通",INDEX(回合状态!$C$7:$C$17,MATCH(DG211,回合状态!$A$7:$A$17,0))="额外")),0.05,0))</f>
        <v>0</v>
      </c>
      <c r="DV211" s="1">
        <f>MAX(Boss参数!$B$28,1+IF(AND(E211="37",AC211&gt;0,BH211&gt;0),Boss参数!$B$42,0)-DI211*Boss参数!$B$24+EA211-ER211)</f>
        <v>9.9999999999999978E-2</v>
      </c>
      <c r="DW211" s="1">
        <f>MIN(IF(Boss参数!$B$77=1,Boss参数!$B$63*Boss参数!$B$62,Boss参数!$B$61*Boss参数!$B$62),ROUNDDOWN(BQ211*(1-ES211),0))</f>
        <v>0</v>
      </c>
      <c r="DX211" s="1">
        <f>MIN(IF(Boss参数!$B$77=1,Boss参数!$B$63*Boss参数!$B$62,Boss参数!$B$61*Boss参数!$B$62),ROUNDDOWN(BR211*(1-ES211),0))</f>
        <v>0</v>
      </c>
      <c r="DY211" s="1">
        <f t="shared" si="275"/>
        <v>250</v>
      </c>
      <c r="DZ211" s="1">
        <f>IF(L211="RHI_ULT",MIN(Boss参数!$B$48,ROUNDDOWN(AY211*Boss参数!$B$47,0)),DY211)</f>
        <v>250</v>
      </c>
      <c r="EA211" s="1">
        <v>0</v>
      </c>
      <c r="EB211" s="1">
        <f t="shared" si="244"/>
        <v>0</v>
      </c>
      <c r="EC211" s="1">
        <f>SUMIFS($EB$3:EB211,$B$3:B211,"&gt;="&amp;MAX(1,B211-2),$B$3:B211,"&lt;="&amp;B211)*Boss参数!$B$51</f>
        <v>0</v>
      </c>
      <c r="ED211" s="1">
        <f>IF(D211="",EG210,IF(AND(DG211&lt;&gt;DG210,DH211&lt;&gt;"洞穿"),MIN(Boss参数!$B$55,EG210+2),EG210))</f>
        <v>0</v>
      </c>
      <c r="EE211" s="1">
        <f t="shared" si="245"/>
        <v>0</v>
      </c>
      <c r="EF211" s="1">
        <f>IF(AND(OR(L211="END_TURN",AND(DH211="敌方",OR(DH210&lt;&gt;"敌方",DG211&lt;&gt;DG210))),SUMIFS($EF$3:EF210,$DG$3:DG210,DG211)=0),MIN(1,MAX(0,ED211-EE211)),0)</f>
        <v>0</v>
      </c>
      <c r="EG211" s="1">
        <f t="shared" si="246"/>
        <v>0</v>
      </c>
      <c r="EH211" s="1">
        <f>Boss参数!$B$53-IF(Y211=1,Boss参数!$B$54,0)</f>
        <v>0</v>
      </c>
      <c r="EI211" s="1">
        <f t="shared" si="247"/>
        <v>0.15</v>
      </c>
      <c r="EJ211" s="1">
        <f t="shared" si="248"/>
        <v>0.15</v>
      </c>
      <c r="EK211" s="1" t="e">
        <f t="shared" si="249"/>
        <v>#VALUE!</v>
      </c>
      <c r="EL211" s="1">
        <f t="shared" si="276"/>
        <v>0</v>
      </c>
      <c r="EM211" s="1">
        <f>IF(AND(DG211&lt;&gt;DG210,DH211="洞穿"),0,IF(L211="ENTER_INSIGHT",Boss参数!$B$57,EO210))</f>
        <v>0</v>
      </c>
      <c r="EN211" s="1">
        <f>IF(AND(Y211=1,H211="洞知",EM211&gt;0),Boss参数!$B$56,0)</f>
        <v>0</v>
      </c>
      <c r="EO211" s="1">
        <f t="shared" si="250"/>
        <v>0</v>
      </c>
      <c r="EP211" s="1">
        <f t="shared" si="277"/>
        <v>23210479</v>
      </c>
      <c r="EQ211" s="1">
        <f>ROUNDDOWN(EP211/Boss参数!$B$62,0)</f>
        <v>232</v>
      </c>
      <c r="ER211" s="1">
        <f>IF(EQ211&gt;=Boss参数!$B$66,Boss参数!$B$69,IF(EQ211&gt;=Boss参数!$B$65,Boss参数!$B$68,IF(EQ211&gt;=Boss参数!$B$64,Boss参数!$B$67,0)))</f>
        <v>0.9</v>
      </c>
      <c r="ES211" s="1">
        <f>MIN(1,IF(EQ211&gt;=Boss参数!$B$66,Boss参数!$B$72+ROUNDDOWN((EQ211-Boss参数!$B$66)/Boss参数!$B$73,0)*Boss参数!$B$74,IF(EQ211&gt;=Boss参数!$B$65,Boss参数!$B$71,IF(EQ211&gt;=Boss参数!$B$64,Boss参数!$B$70,0))))</f>
        <v>0.65</v>
      </c>
      <c r="ET211" s="1">
        <f>MIN(Boss参数!$B$61*Boss参数!$B$62,EP211+IF(AND(Boss参数!$B$60=1,ISNUMBER(验证表!H217)),验证表!H217,EU211))</f>
        <v>23210479</v>
      </c>
      <c r="EU211" s="1">
        <f>IF(D211="",0,IF(验证表!G217="是",BV211,IF(验证表!G217="否",BU211,BW211)))</f>
        <v>0</v>
      </c>
      <c r="EV211" s="1">
        <f>IF(EQ211&gt;=Boss参数!$B$66,2,IF(EQ211&gt;=Boss参数!$B$65,1,0))</f>
        <v>2</v>
      </c>
      <c r="EW211" s="1">
        <f t="shared" si="251"/>
        <v>3</v>
      </c>
      <c r="EX211" s="1">
        <f>IF(D211="",0,INDEX(回合状态!$D$7:$D$17,MATCH(DG211,回合状态!$A$7:$A$17,0)))</f>
        <v>0</v>
      </c>
      <c r="EY211" s="1">
        <f>IF(OR(L211="RHI_ATTACK",L211="RHI_BUFF"),1,IF(L211="RHI_ULT",Boss参数!$B$52,0))</f>
        <v>0</v>
      </c>
      <c r="EZ211" s="1">
        <f>MIN(6,SUMIFS($EY$3:EY211,$EX$3:EX211,"&gt;="&amp;MAX(1,EX211-Boss参数!$B$87+1),$EX$3:EX211,"&lt;="&amp;EX211))</f>
        <v>0</v>
      </c>
      <c r="FA211" s="1">
        <f t="shared" si="278"/>
        <v>0</v>
      </c>
      <c r="FB211" s="17">
        <f>IF(L211="BOSS_CONSERVATIVE",B211+Boss参数!$B$91,FB210)</f>
        <v>7</v>
      </c>
      <c r="FC211" s="17">
        <f t="shared" si="279"/>
        <v>0</v>
      </c>
      <c r="FD211" s="17">
        <f>IF(D211="",FD210,FD210+IF(AND(DG211&lt;&gt;DG210,INDEX(回合状态!$C$7:$C$17,MATCH(DG211,回合状态!$A$7:$A$17,0))&lt;&gt;"洞穿"),1,0))</f>
        <v>8</v>
      </c>
      <c r="FE211" s="17">
        <f>IF(D211="",0,IF(AND(OR(L211="END_TURN",DH211="敌方"),INDEX(回合状态!$C$7:$C$17,MATCH(DG211,回合状态!$A$7:$A$17,0))&lt;&gt;"洞穿",SUMIFS($FE$3:FE210,$DG$3:DG210,DG211)=0),1,0))</f>
        <v>0</v>
      </c>
    </row>
    <row r="212" spans="1:161" ht="84.95" customHeight="1">
      <c r="A212" s="1" t="str">
        <f>行动模拟!A218</f>
        <v/>
      </c>
      <c r="B212" s="1">
        <f>IF(D212="",0,INDEX(回合状态!$B$7:$B$17,MATCH(DG212,回合状态!$A$7:$A$17,0)))</f>
        <v>0</v>
      </c>
      <c r="C212" s="1">
        <f>行动模拟!C218</f>
        <v>0</v>
      </c>
      <c r="D212" s="1" t="str">
        <f>IF(行动模拟!D218="","",行动模拟!D218)</f>
        <v/>
      </c>
      <c r="E212" s="1" t="str">
        <f>IF($D212="","",IFERROR(INDEX(技能数据库!$B$4:$B$38,MATCH($D212,技能数据库!$A$4:$A$38,0)),""))</f>
        <v/>
      </c>
      <c r="F212" s="1" t="str">
        <f>IF($D212="","",IFERROR(INDEX(技能数据库!$C$4:$C$38,MATCH($D212,技能数据库!$A$4:$A$38,0)),""))</f>
        <v/>
      </c>
      <c r="G212" s="1" t="str">
        <f>IF($D212="","",IFERROR(INDEX(技能数据库!$D$4:$D$38,MATCH($D212,技能数据库!$A$4:$A$38,0)),""))</f>
        <v/>
      </c>
      <c r="H212" s="1" t="str">
        <f>IF($D212="","",IFERROR(INDEX(技能数据库!$E$4:$E$38,MATCH($D212,技能数据库!$A$4:$A$38,0)),""))</f>
        <v/>
      </c>
      <c r="I212" s="1" t="str">
        <f>IF($D212="","",IFERROR(INDEX(技能数据库!$F$4:$F$38,MATCH($D212,技能数据库!$A$4:$A$38,0)),""))</f>
        <v/>
      </c>
      <c r="J212" s="1" t="str">
        <f>IF($D212="","",IFERROR(INDEX(技能数据库!$G$4:$G$38,MATCH($D212,技能数据库!$A$4:$A$38,0)),""))</f>
        <v/>
      </c>
      <c r="K212" s="1" t="str">
        <f>IF($D212="","",IFERROR(INDEX(技能数据库!$H$4:$H$38,MATCH($D212,技能数据库!$A$4:$A$38,0)),""))</f>
        <v/>
      </c>
      <c r="L212" s="1" t="str">
        <f>IF($D212="","",IFERROR(INDEX(技能数据库!$I$4:$I$38,MATCH($D212,技能数据库!$A$4:$A$38,0)),""))</f>
        <v/>
      </c>
      <c r="M212" s="1">
        <v>1</v>
      </c>
      <c r="N212" s="1"/>
      <c r="O212" s="1"/>
      <c r="P212" s="1"/>
      <c r="Q212" s="1">
        <f t="shared" si="210"/>
        <v>0</v>
      </c>
      <c r="R212" s="1">
        <v>0</v>
      </c>
      <c r="S212" s="1">
        <v>0</v>
      </c>
      <c r="T212" s="1">
        <f>行动模拟!I218</f>
        <v>0</v>
      </c>
      <c r="U212" s="1">
        <f>IF(FD212&lt;&gt;FD211,IF(BY211=1,IF(MIN(10,CA211+IF(AND(DG212&lt;&gt;DG211,DH211&lt;&gt;"洞穿",SUMIFS($FE$3:FE211,$DG$3:DG211,DG211)=0,BY211=1),3,0))&gt;=10,2,1),IF(BY211=2,IF(BZ211&lt;=1,0,2),0)),BY211)</f>
        <v>2</v>
      </c>
      <c r="V212" s="1">
        <f>IF(FD212&lt;&gt;FD211,IF(BY211=1,IF(MIN(10,CA211+IF(AND(DG212&lt;&gt;DG211,DH211&lt;&gt;"洞穿",SUMIFS($FE$3:FE211,$DG$3:DG211,DG211)=0,BY211=1),3,0))&gt;=10,2,0),IF(BY211=2,MAX(0,BZ211-1),0)),BZ211)</f>
        <v>1</v>
      </c>
      <c r="W212" s="1">
        <f>IF(AND(FD212&lt;&gt;FD211,BY211=2,BZ211&lt;=1),0,MIN(10,CA211+IF(AND(DG212&lt;&gt;DG211,DH211&lt;&gt;"洞穿",SUMIFS($FE$3:FE211,$DG$3:DG211,DG211)=0,BY211=1),3,0)))</f>
        <v>10</v>
      </c>
      <c r="X212" s="1">
        <f t="shared" si="252"/>
        <v>13</v>
      </c>
      <c r="Y212" s="1">
        <f t="shared" si="253"/>
        <v>0</v>
      </c>
      <c r="Z212" s="1">
        <f t="shared" si="254"/>
        <v>0</v>
      </c>
      <c r="AA212" s="1">
        <f t="shared" si="255"/>
        <v>0</v>
      </c>
      <c r="AB212" s="1">
        <f t="shared" si="256"/>
        <v>10</v>
      </c>
      <c r="AC212" s="1">
        <f t="shared" si="257"/>
        <v>1</v>
      </c>
      <c r="AD212" s="1">
        <f t="shared" si="258"/>
        <v>35</v>
      </c>
      <c r="AE212" s="1">
        <f>IF(D212="",0,IF(DG212&lt;&gt;DG211,IFERROR(INDEX(回合状态!$F$7:$F$17,MATCH(DG212,回合状态!$A$7:$A$17,0)),0),CI211))</f>
        <v>0</v>
      </c>
      <c r="AF212" s="1">
        <f t="shared" si="259"/>
        <v>0.875</v>
      </c>
      <c r="AG212" s="1">
        <f t="shared" si="260"/>
        <v>9</v>
      </c>
      <c r="AH212" s="1">
        <f t="shared" si="261"/>
        <v>9</v>
      </c>
      <c r="AI212" s="1">
        <f t="shared" si="262"/>
        <v>8</v>
      </c>
      <c r="AJ212" s="1">
        <f t="shared" si="263"/>
        <v>9</v>
      </c>
      <c r="AK212" s="1">
        <f t="shared" si="264"/>
        <v>8</v>
      </c>
      <c r="AL212" s="1">
        <f t="shared" si="265"/>
        <v>3</v>
      </c>
      <c r="AM212" s="1">
        <f t="shared" si="266"/>
        <v>30</v>
      </c>
      <c r="AN212" s="1">
        <f t="shared" si="267"/>
        <v>9</v>
      </c>
      <c r="AO212" s="1">
        <f t="shared" si="268"/>
        <v>0</v>
      </c>
      <c r="AP212" s="1" t="e">
        <f t="shared" si="269"/>
        <v>#VALUE!</v>
      </c>
      <c r="AQ212" s="1" t="e">
        <f t="shared" si="270"/>
        <v>#VALUE!</v>
      </c>
      <c r="AR212" s="1">
        <f t="shared" si="271"/>
        <v>0.3</v>
      </c>
      <c r="AS212" s="1">
        <f t="shared" si="272"/>
        <v>9</v>
      </c>
      <c r="AT212" s="1">
        <f t="shared" si="273"/>
        <v>0.3</v>
      </c>
      <c r="AU212" s="1">
        <f t="shared" si="274"/>
        <v>9</v>
      </c>
      <c r="AV212" s="1">
        <f>MIN(5,SUMIFS($EL$3:EL212,$B$3:B212,"&gt;="&amp;MAX(1,B212-2),$B$3:B212,"&lt;="&amp;B212)+EC212)</f>
        <v>0</v>
      </c>
      <c r="AW212" s="1">
        <f>MIN(6,SUMIFS($EY$3:EY211,$EX$3:EX211,"&gt;="&amp;MAX(1,EX212-Boss参数!$B$87+1),$EX$3:EX211,"&lt;="&amp;EX212))</f>
        <v>0</v>
      </c>
      <c r="AX212" s="1">
        <f>MIN(4,COUNTIFS($B$3:$B$211,"&gt;="&amp;MAX(1,$B212-2),$B$3:$B$211,"&lt;="&amp;$B212,$L$3:$L$211,"37_FOLLOW"))</f>
        <v>0</v>
      </c>
      <c r="AY212" s="1" t="str">
        <f>IF($E212="","",IF($E212="系统",0,ROUNDDOWN(INDEX(角色面板!$C$4:$C$7,MATCH($E212,角色面板!$A$4:$A$7,0))*(1+INDEX(角色面板!$C$11:$C$14,MATCH($E212,角色面板!$A$11:$A$14,0))+IF($E212="小瑞安侬",MAX(IF($B212&lt;=$AQ212,$AP212,0),IF(AND($L212="RHI_ATTACK",$EE212&gt;0),0.11+0.01*$G212,0)),0)+IF($E212="J",$AD212*Boss参数!$B$18,0))+IF(FD212&lt;=$AN212,MIN(Boss参数!$B$21,ROUNDDOWN(角色面板!$C$19*Boss参数!$B$20,0)),0)+IF(AND($B212&lt;=$AK212,$E212&lt;&gt;"小瑞安侬"),$DY212,0),0)))</f>
        <v/>
      </c>
      <c r="AZ212" s="1" t="str">
        <f>IF($E212="","",MAX(0,MIN(1,IFERROR(INDEX(角色面板!$G$18:$G$21,MATCH($E212,角色面板!$A$18:$A$21,0)),0)-FC212*Boss参数!$B$89-Boss参数!$E$4)))</f>
        <v/>
      </c>
      <c r="BA212" s="1" t="str">
        <f>IF(E212="","",(IF($E212="","",IF($E212="红弩箭",Boss参数!$B$80,IF($E212="J",Boss参数!$B$81,IFERROR(INDEX(角色面板!$H$18:$H$21,MATCH($E212,角色面板!$A$18:$A$21,0)),0)))+IF($B212&lt;=$AI212,Boss参数!$B$13,0)+MIN(30,$AM212)*Boss参数!$B$17+IF(AND($L212="LILYA_ULT",$X212&gt;=6),1,0)+IF(AND($Y212=1,$L212="LILYA_INSIGHT"),IF(MOD($AA212+1,3)=0,Boss参数!$B$83,Boss参数!$B$82),IF(AND($Y212=1,$L212="LILYA_FINISH"),Boss参数!$B$84,0))))-FC212*Boss参数!$B$90)</f>
        <v/>
      </c>
      <c r="BB212" s="1" t="str">
        <f>IF($E212="","",IFERROR(INDEX(角色面板!$M$18:$M$21,MATCH($E212,角色面板!$A$18:$A$21,0)),0)+$AW212*Boss参数!$B$12+IF($B212&lt;=$AG212,$AF212,0)+$EI212+IF($L212="LILYA_DIVE",IF($U212=1,IF($G212=1,0.3,IF($G212=2,0.4,0.5)),IF($U212=2,IF($G212=1,0.6,IF($G212=2,0.8,1)),0)),0)+$R212+IF(AND($E212="J",OR($L212="J_COUNTER",$L212="J_HARD")),Boss参数!$B$79,0)+IF(AND(OR(L212="J_COUNTER",L212="J_HARD"),FA212&gt;=Boss参数!$B$59),FA212*Boss参数!$B$40,0))</f>
        <v/>
      </c>
      <c r="BC212" s="1" t="e">
        <f>IF($E212="","",IFERROR(INDEX(角色面板!$K$18:$K$21,MATCH($E212,角色面板!$A$18:$A$21,0)),0)+IF($B212&lt;=$AH212,Boss参数!$B$46,0)+IF($E212="红弩箭",IF($U212=1,0.6,IF($U212=2,1.2,0))+$W212*0.06,0))-DI212*Boss参数!$B$23</f>
        <v>#VALUE!</v>
      </c>
      <c r="BD212" s="1" t="e">
        <f>IF($E212="","",IFERROR(INDEX(角色面板!$L$18:$L$21,MATCH($E212,角色面板!$A$18:$A$21,0)),0)+IF($B212&lt;=$AH212,Boss参数!$B$46,0)+IF($E212="J",$AL212*Boss参数!$B$16,0)+IF($E212="红弩箭",$X212*0.025,0)+IF(AND($L212="LILYA_ULT",$X212&gt;=6),1,0))-DI212*Boss参数!$B$23</f>
        <v>#VALUE!</v>
      </c>
      <c r="BE212" s="1" t="str">
        <f>IF($E212="","",IF($H212="洞知",IF($E212="红弩箭",$AO212*Boss参数!$B$15,0)+$AX212*Boss参数!$B$14,0))</f>
        <v/>
      </c>
      <c r="BF212" s="1">
        <f t="shared" si="211"/>
        <v>0</v>
      </c>
      <c r="BG212" s="1">
        <f>IF($D212="",0,IF(AND($L212&lt;&gt;"LILYA_DIVE",$L212&lt;&gt;"LILYA_ULT",$L212&lt;&gt;"LILYA_INSIGHT",$L212&lt;&gt;"LILYA_FINISH",$L212&lt;&gt;"37_FOLLOW",$L212&lt;&gt;"RHI_ATTACK",$L212&lt;&gt;"RHI_BERRY",$L212&lt;&gt;"J_COUNTER",$L212&lt;&gt;"J_ULT"),$J212,0)+IF($L212="LILYA_DIVE",$J212+IF($U212=1,IF($G212=1,6,IF($G212=2,12,18)),IF($U212=2,IF($G212=1,12,IF($G212=2,24,36)),0)),0)+IF($L212="LILYA_ULT",$J212+IF($X212&gt;=6,18,0),0)+IF($L212="LILYA_INSIGHT",IF($Y212=1,IF(MOD($AA212+1,3)=0,32,15),0),0)+IF($L212="LILYA_FINISH",IF($Y212=1,50+2.5*$Z212,0),0)+IF($L212="37_FOLLOW",$J212,0)+IF($L212="RHI_ATTACK",$J212*IF($B212&lt;=$AJ212,2,1),0)+IF($L212="RHI_BERRY",15+1.5*$AV212,0)+IF($L212="J_COUNTER",$J212+$AD212*Boss参数!$B$39,0)+IF($L212="J_ULT",$J212+Boss参数!$B$45*MAX(0,$AE212+$AD212-Boss参数!$I$4),0)+$S212)</f>
        <v>0</v>
      </c>
      <c r="BH212" s="1">
        <f t="shared" si="212"/>
        <v>0</v>
      </c>
      <c r="BI212" s="1" t="str">
        <f>IF(E212="","",IF(DT212=1,1+Boss参数!$B$8+AV212*Boss参数!$B$19,1))</f>
        <v/>
      </c>
      <c r="BJ212" s="1">
        <f>IF($I212="现实",Boss参数!$C$4,IF($I212="精神",Boss参数!$D$4,0))</f>
        <v>0</v>
      </c>
      <c r="BK212" s="1" t="str">
        <f>IF($E212="","",MAX($AY212*Boss参数!$B$9,$AY212-$BJ212*(1-$BF212)))</f>
        <v/>
      </c>
      <c r="BL212" s="1">
        <f>MAX(0,Boss参数!$F$4+IF(DT212=0,Boss参数!$B$27,0)-EJ212)</f>
        <v>1.25</v>
      </c>
      <c r="BM212" s="1">
        <f>Boss参数!$G$4+DU212-IF(Y212=1,Boss参数!$B$11,0)</f>
        <v>0.4</v>
      </c>
      <c r="BN212" s="1" t="str">
        <f>IF($E212="","",MAX(Boss参数!$B$10,1+IFERROR(INDEX(角色面板!$I$18:$I$21,MATCH($E212,角色面板!$A$18:$A$21,0)),0)+$BB212+Boss参数!$H$4-$BM212))</f>
        <v/>
      </c>
      <c r="BO212" s="1" t="str">
        <f>IF(E212="","",IF(OR(L212="J_COUNTER",L212="J_HARD"),MAX(0,1+INDEX(角色面板!$K$18:$K$21,MATCH(E212,角色面板!$A$18:$A$21,0))-DI212*Boss参数!$B$23+IF(OR(Boss参数!$B$43=1,L212="J_HARD"),IF(B212&lt;=AH212,Boss参数!$B$46,0),0)),MAX(0,IF(OR(H212="术法",L212="RHI_BERRY",AND(L212="37_FOLLOW",Boss参数!$B$31=1)),1+BC212,IF(H212="仪式",1+BD212,IF(H212="洞知",EK212,1))))))</f>
        <v/>
      </c>
      <c r="BP212" s="1" t="str">
        <f t="shared" si="213"/>
        <v/>
      </c>
      <c r="BQ212" s="1">
        <f t="shared" si="214"/>
        <v>0</v>
      </c>
      <c r="BR212" s="1">
        <f t="shared" si="215"/>
        <v>0</v>
      </c>
      <c r="BS212" s="1">
        <f>IF(BH212=0,0,ROUNDDOWN(AY212*BH212,0)*DV212*IF(Boss参数!$B$29=1,BN212,1)*IF(Boss参数!$B$33=1,BO212,1)*IF(Boss参数!$B$76=1,1-ES212,1))</f>
        <v>0</v>
      </c>
      <c r="BT212" s="1">
        <f t="shared" si="216"/>
        <v>0</v>
      </c>
      <c r="BU212" s="1">
        <f>IF(D212="",0,MIN(IF(Boss参数!$B$77=1,Boss参数!$B$63*Boss参数!$B$62,Boss参数!$B$61*Boss参数!$B$62),DW212+ROUNDDOWN(BS212,0)+ROUNDDOWN(DW212*Q212,0)))</f>
        <v>0</v>
      </c>
      <c r="BV212" s="1">
        <f>IF(D212="",0,MIN(IF(Boss参数!$B$77=1,Boss参数!$B$63*Boss参数!$B$62,Boss参数!$B$61*Boss参数!$B$62),DX212+ROUNDDOWN(BT212,0)+ROUNDDOWN(DX212*Q212,0)))</f>
        <v>0</v>
      </c>
      <c r="BW212" s="1">
        <f t="shared" si="217"/>
        <v>0</v>
      </c>
      <c r="BX212" s="1" t="str">
        <f t="shared" si="218"/>
        <v/>
      </c>
      <c r="BY212" s="1">
        <f t="shared" si="219"/>
        <v>2</v>
      </c>
      <c r="BZ212" s="1">
        <f t="shared" si="220"/>
        <v>1</v>
      </c>
      <c r="CA212" s="1">
        <f>MIN(10,W212+IF(AND(L212="LILYA_COBRA",COUNTIF($L$3:L212,"LILYA_COBRA")=1),5,0)+IF(AND(L212="LILYA_DIVE",U212=1,COUNTIFS($DG$3:DG212,DG212,$L$3:L212,"LILYA_DIVE")=1),2,0)+IF(AND(FE212=1,U212=1),3,0))</f>
        <v>10</v>
      </c>
      <c r="CB212" s="1">
        <f>MIN(20,MAX(0,X212+IF(L212="LILYA_COBRA",IF(COUNTIF($L$3:L212,"LILYA_COBRA")=1,6,IF(U212=1,MAX(1,G212),IF(U212=2,2*MAX(1,G212),0))),0)+IF(AND(Y212=1,E212="红弩箭",L212&lt;&gt;"ENTER_INSIGHT"),1,0)-IF(AND(L212="LILYA_ULT",X212&gt;=6),6,0)))</f>
        <v>13</v>
      </c>
      <c r="CC212" s="1">
        <f t="shared" si="221"/>
        <v>0</v>
      </c>
      <c r="CD212" s="1">
        <f t="shared" si="222"/>
        <v>0</v>
      </c>
      <c r="CE212" s="1">
        <f t="shared" si="223"/>
        <v>0</v>
      </c>
      <c r="CF212" s="1">
        <f t="shared" si="224"/>
        <v>10</v>
      </c>
      <c r="CG212" s="1">
        <f t="shared" si="225"/>
        <v>1</v>
      </c>
      <c r="CH212" s="1">
        <f>MIN(35,AD212+IF(L212="J_HARD",6,0)+IF(L212="J_COUNTER",Boss参数!$B$30,0))</f>
        <v>35</v>
      </c>
      <c r="CI212" s="1">
        <f>MIN(Boss参数!$I$4,AE212+IF(L212="J_HARD",6,0)+IF(L212="J_ULT",AD212,0)+IF(L212="J_COUNTER",Boss参数!$B$30,0))</f>
        <v>0</v>
      </c>
      <c r="CJ212" s="1">
        <f>IF(L212="J_ULT",AD212*Boss参数!$B$41,IF(B212&lt;=AG212,AF212,0))</f>
        <v>0.875</v>
      </c>
      <c r="CK212" s="1">
        <f t="shared" si="226"/>
        <v>9</v>
      </c>
      <c r="CL212" s="1">
        <f t="shared" si="227"/>
        <v>9</v>
      </c>
      <c r="CM212" s="1">
        <f t="shared" si="228"/>
        <v>8</v>
      </c>
      <c r="CN212" s="1">
        <f t="shared" si="229"/>
        <v>9</v>
      </c>
      <c r="CO212" s="1">
        <f t="shared" si="230"/>
        <v>8</v>
      </c>
      <c r="CP212" s="1">
        <f t="shared" si="231"/>
        <v>3</v>
      </c>
      <c r="CQ212" s="1">
        <f t="shared" si="232"/>
        <v>30</v>
      </c>
      <c r="CR212" s="1">
        <f t="shared" si="233"/>
        <v>9</v>
      </c>
      <c r="CS212" s="1">
        <f t="shared" si="234"/>
        <v>0</v>
      </c>
      <c r="CT212" s="1" t="e">
        <f t="shared" si="235"/>
        <v>#VALUE!</v>
      </c>
      <c r="CU212" s="1" t="e">
        <f t="shared" si="236"/>
        <v>#VALUE!</v>
      </c>
      <c r="CV212" s="1">
        <f t="shared" si="237"/>
        <v>0.3</v>
      </c>
      <c r="CW212" s="1">
        <f t="shared" si="238"/>
        <v>9</v>
      </c>
      <c r="CX212" s="1">
        <f t="shared" si="239"/>
        <v>0.3</v>
      </c>
      <c r="CY212" s="1">
        <f t="shared" si="240"/>
        <v>9</v>
      </c>
      <c r="CZ212" s="1"/>
      <c r="DA212" s="1"/>
      <c r="DB212" s="1"/>
      <c r="DC212" s="1"/>
      <c r="DD212" s="1"/>
      <c r="DE212" s="1"/>
      <c r="DF212" s="1"/>
      <c r="DG212" s="1" t="str">
        <f>IF(D212="","",行动模拟!B218)</f>
        <v/>
      </c>
      <c r="DH212" s="1" t="str">
        <f>IF(L212="END_TURN","回合结束",IF(D212="","",IF(INDEX(回合状态!$C$7:$C$17,MATCH(DG212,回合状态!$A$7:$A$17,0))="洞穿","洞穿",IF(OR(L212="J_COUNTER",L212="BOSS_ACTION",L212="BOSS_CONSERVATIVE"),"敌方",IF(AND(L212="37_FOLLOW",DG212=DG211,DH211="敌方"),"敌方",IF(INDEX(回合状态!$C$7:$C$17,MATCH(DG212,回合状态!$A$7:$A$17,0))="普通","出牌",INDEX(回合状态!$C$7:$C$17,MATCH(DG212,回合状态!$A$7:$A$17,0))))))))</f>
        <v/>
      </c>
      <c r="DI212" s="1">
        <f t="shared" si="241"/>
        <v>0</v>
      </c>
      <c r="DJ212" s="1">
        <f>IF(D212="",0,MIN(Boss参数!$B$25,IF(OR(AND(DH212="敌方",OR(DH211&lt;&gt;"敌方",DG212&lt;&gt;DG211)),AND(L212="END_TURN",DH212&lt;&gt;"洞穿"),AND(DG212&lt;&gt;DG211,DH211&lt;&gt;"洞穿",L211&lt;&gt;"END_TURN",COUNTIFS($DG$3:DG211,DG211,$DH$3:DH211,"敌方")=0)),EW212,DN211)))</f>
        <v>0</v>
      </c>
      <c r="DK212" s="1">
        <f>IF(D212="",0,MIN(Boss参数!$B$25,IF(OR(AND(DH212="敌方",OR(DH211&lt;&gt;"敌方",DG212&lt;&gt;DG211)),AND(L212="END_TURN",DH212&lt;&gt;"洞穿"),AND(DG212&lt;&gt;DG211,DH211&lt;&gt;"洞穿",L211&lt;&gt;"END_TURN",COUNTIFS($DG$3:DG211,DG211,$DH$3:DH211,"敌方")=0)),EW212,DO211)))</f>
        <v>0</v>
      </c>
      <c r="DL212" s="1">
        <f>IF(D212="",0,MIN(Boss参数!$B$25,IF(OR(AND(DH212="敌方",OR(DH211&lt;&gt;"敌方",DG212&lt;&gt;DG211)),AND(L212="END_TURN",DH212&lt;&gt;"洞穿"),AND(DG212&lt;&gt;DG211,DH211&lt;&gt;"洞穿",L211&lt;&gt;"END_TURN",COUNTIFS($DG$3:DG211,DG211,$DH$3:DH211,"敌方")=0)),EW212,DP211)))</f>
        <v>0</v>
      </c>
      <c r="DM212" s="1">
        <f>IF(D212="",0,MIN(Boss参数!$B$25,IF(OR(AND(DH212="敌方",OR(DH211&lt;&gt;"敌方",DG212&lt;&gt;DG211)),AND(L212="END_TURN",DH212&lt;&gt;"洞穿"),AND(DG212&lt;&gt;DG211,DH211&lt;&gt;"洞穿",L211&lt;&gt;"END_TURN",COUNTIFS($DG$3:DG211,DG211,$DH$3:DH211,"敌方")=0)),EW212,DQ211)))</f>
        <v>0</v>
      </c>
      <c r="DN212" s="1">
        <f>MAX(0,MIN(Boss参数!$B$25,DJ212+DR212)-IF(E212="红弩箭",2*DR212,0))</f>
        <v>0</v>
      </c>
      <c r="DO212" s="1">
        <f>MAX(0,MIN(Boss参数!$B$25,DK212+DR212)-IF(E212="37",2*DR212,0))</f>
        <v>0</v>
      </c>
      <c r="DP212" s="1">
        <f>MAX(0,MIN(Boss参数!$B$25,DL212+DR212)-IF(E212="小瑞安侬",2*DR212,0))</f>
        <v>0</v>
      </c>
      <c r="DQ212" s="1">
        <f>MAX(0,MIN(Boss参数!$B$25,DM212+DR212)-IF(E212="J",2*DR212,0))</f>
        <v>0</v>
      </c>
      <c r="DR212" s="1">
        <f t="shared" si="242"/>
        <v>0</v>
      </c>
      <c r="DS212" s="1">
        <f t="shared" si="243"/>
        <v>0</v>
      </c>
      <c r="DT212" s="1">
        <f>IF(OR(E212="",E212="系统"),0,IF(OR(AND(DS212=1,Boss参数!$B$32=1),L212="RHI_BERRY",OR(AND(INDEX(角色面板!$B$18:$B$21,MATCH(E212,角色面板!$A$18:$A$21,0))="星",Boss参数!$B$4="岩"),AND(INDEX(角色面板!$B$18:$B$21,MATCH(E212,角色面板!$A$18:$A$21,0))="岩",Boss参数!$B$4="兽"),AND(INDEX(角色面板!$B$18:$B$21,MATCH(E212,角色面板!$A$18:$A$21,0))="兽",Boss参数!$B$4="木"),AND(INDEX(角色面板!$B$18:$B$21,MATCH(E212,角色面板!$A$18:$A$21,0))="木",Boss参数!$B$4="星"),AND(INDEX(角色面板!$B$18:$B$21,MATCH(E212,角色面板!$A$18:$A$21,0))="智",Boss参数!$B$4="灵"),AND(INDEX(角色面板!$B$18:$B$21,MATCH(E212,角色面板!$A$18:$A$21,0))="灵",Boss参数!$B$4="智"))),1,0))</f>
        <v>0</v>
      </c>
      <c r="DU212" s="1">
        <f>IF(D212="",0,INDEX(回合状态!$E$7:$E$17,MATCH(DG212,回合状态!$A$7:$A$17,0))+IF(AND(DH212="敌方",OR(INDEX(回合状态!$C$7:$C$17,MATCH(DG212,回合状态!$A$7:$A$17,0))="普通",INDEX(回合状态!$C$7:$C$17,MATCH(DG212,回合状态!$A$7:$A$17,0))="额外")),0.05,0))</f>
        <v>0</v>
      </c>
      <c r="DV212" s="1">
        <f>MAX(Boss参数!$B$28,1+IF(AND(E212="37",AC212&gt;0,BH212&gt;0),Boss参数!$B$42,0)-DI212*Boss参数!$B$24+EA212-ER212)</f>
        <v>9.9999999999999978E-2</v>
      </c>
      <c r="DW212" s="1">
        <f>MIN(IF(Boss参数!$B$77=1,Boss参数!$B$63*Boss参数!$B$62,Boss参数!$B$61*Boss参数!$B$62),ROUNDDOWN(BQ212*(1-ES212),0))</f>
        <v>0</v>
      </c>
      <c r="DX212" s="1">
        <f>MIN(IF(Boss参数!$B$77=1,Boss参数!$B$63*Boss参数!$B$62,Boss参数!$B$61*Boss参数!$B$62),ROUNDDOWN(BR212*(1-ES212),0))</f>
        <v>0</v>
      </c>
      <c r="DY212" s="1">
        <f t="shared" si="275"/>
        <v>250</v>
      </c>
      <c r="DZ212" s="1">
        <f>IF(L212="RHI_ULT",MIN(Boss参数!$B$48,ROUNDDOWN(AY212*Boss参数!$B$47,0)),DY212)</f>
        <v>250</v>
      </c>
      <c r="EA212" s="1">
        <v>0</v>
      </c>
      <c r="EB212" s="1">
        <f t="shared" si="244"/>
        <v>0</v>
      </c>
      <c r="EC212" s="1">
        <f>SUMIFS($EB$3:EB212,$B$3:B212,"&gt;="&amp;MAX(1,B212-2),$B$3:B212,"&lt;="&amp;B212)*Boss参数!$B$51</f>
        <v>0</v>
      </c>
      <c r="ED212" s="1">
        <f>IF(D212="",EG211,IF(AND(DG212&lt;&gt;DG211,DH212&lt;&gt;"洞穿"),MIN(Boss参数!$B$55,EG211+2),EG211))</f>
        <v>0</v>
      </c>
      <c r="EE212" s="1">
        <f t="shared" si="245"/>
        <v>0</v>
      </c>
      <c r="EF212" s="1">
        <f>IF(AND(OR(L212="END_TURN",AND(DH212="敌方",OR(DH211&lt;&gt;"敌方",DG212&lt;&gt;DG211))),SUMIFS($EF$3:EF211,$DG$3:DG211,DG212)=0),MIN(1,MAX(0,ED212-EE212)),0)</f>
        <v>0</v>
      </c>
      <c r="EG212" s="1">
        <f t="shared" si="246"/>
        <v>0</v>
      </c>
      <c r="EH212" s="1">
        <f>Boss参数!$B$53-IF(Y212=1,Boss参数!$B$54,0)</f>
        <v>0</v>
      </c>
      <c r="EI212" s="1">
        <f t="shared" si="247"/>
        <v>0.15</v>
      </c>
      <c r="EJ212" s="1">
        <f t="shared" si="248"/>
        <v>0.15</v>
      </c>
      <c r="EK212" s="1" t="e">
        <f t="shared" si="249"/>
        <v>#VALUE!</v>
      </c>
      <c r="EL212" s="1">
        <f t="shared" si="276"/>
        <v>0</v>
      </c>
      <c r="EM212" s="1">
        <f>IF(AND(DG212&lt;&gt;DG211,DH212="洞穿"),0,IF(L212="ENTER_INSIGHT",Boss参数!$B$57,EO211))</f>
        <v>0</v>
      </c>
      <c r="EN212" s="1">
        <f>IF(AND(Y212=1,H212="洞知",EM212&gt;0),Boss参数!$B$56,0)</f>
        <v>0</v>
      </c>
      <c r="EO212" s="1">
        <f t="shared" si="250"/>
        <v>0</v>
      </c>
      <c r="EP212" s="1">
        <f t="shared" si="277"/>
        <v>23210479</v>
      </c>
      <c r="EQ212" s="1">
        <f>ROUNDDOWN(EP212/Boss参数!$B$62,0)</f>
        <v>232</v>
      </c>
      <c r="ER212" s="1">
        <f>IF(EQ212&gt;=Boss参数!$B$66,Boss参数!$B$69,IF(EQ212&gt;=Boss参数!$B$65,Boss参数!$B$68,IF(EQ212&gt;=Boss参数!$B$64,Boss参数!$B$67,0)))</f>
        <v>0.9</v>
      </c>
      <c r="ES212" s="1">
        <f>MIN(1,IF(EQ212&gt;=Boss参数!$B$66,Boss参数!$B$72+ROUNDDOWN((EQ212-Boss参数!$B$66)/Boss参数!$B$73,0)*Boss参数!$B$74,IF(EQ212&gt;=Boss参数!$B$65,Boss参数!$B$71,IF(EQ212&gt;=Boss参数!$B$64,Boss参数!$B$70,0))))</f>
        <v>0.65</v>
      </c>
      <c r="ET212" s="1">
        <f>MIN(Boss参数!$B$61*Boss参数!$B$62,EP212+IF(AND(Boss参数!$B$60=1,ISNUMBER(验证表!H218)),验证表!H218,EU212))</f>
        <v>23210479</v>
      </c>
      <c r="EU212" s="1">
        <f>IF(D212="",0,IF(验证表!G218="是",BV212,IF(验证表!G218="否",BU212,BW212)))</f>
        <v>0</v>
      </c>
      <c r="EV212" s="1">
        <f>IF(EQ212&gt;=Boss参数!$B$66,2,IF(EQ212&gt;=Boss参数!$B$65,1,0))</f>
        <v>2</v>
      </c>
      <c r="EW212" s="1">
        <f t="shared" si="251"/>
        <v>3</v>
      </c>
      <c r="EX212" s="1">
        <f>IF(D212="",0,INDEX(回合状态!$D$7:$D$17,MATCH(DG212,回合状态!$A$7:$A$17,0)))</f>
        <v>0</v>
      </c>
      <c r="EY212" s="1">
        <f>IF(OR(L212="RHI_ATTACK",L212="RHI_BUFF"),1,IF(L212="RHI_ULT",Boss参数!$B$52,0))</f>
        <v>0</v>
      </c>
      <c r="EZ212" s="1">
        <f>MIN(6,SUMIFS($EY$3:EY212,$EX$3:EX212,"&gt;="&amp;MAX(1,EX212-Boss参数!$B$87+1),$EX$3:EX212,"&lt;="&amp;EX212))</f>
        <v>0</v>
      </c>
      <c r="FA212" s="1">
        <f t="shared" si="278"/>
        <v>0</v>
      </c>
      <c r="FB212" s="17">
        <f>IF(L212="BOSS_CONSERVATIVE",B212+Boss参数!$B$91,FB211)</f>
        <v>7</v>
      </c>
      <c r="FC212" s="17">
        <f t="shared" si="279"/>
        <v>0</v>
      </c>
      <c r="FD212" s="17">
        <f>IF(D212="",FD211,FD211+IF(AND(DG212&lt;&gt;DG211,INDEX(回合状态!$C$7:$C$17,MATCH(DG212,回合状态!$A$7:$A$17,0))&lt;&gt;"洞穿"),1,0))</f>
        <v>8</v>
      </c>
      <c r="FE212" s="17">
        <f>IF(D212="",0,IF(AND(OR(L212="END_TURN",DH212="敌方"),INDEX(回合状态!$C$7:$C$17,MATCH(DG212,回合状态!$A$7:$A$17,0))&lt;&gt;"洞穿",SUMIFS($FE$3:FE211,$DG$3:DG211,DG212)=0),1,0))</f>
        <v>0</v>
      </c>
    </row>
    <row r="213" spans="1:161" ht="84.95" customHeight="1">
      <c r="A213" s="1" t="str">
        <f>行动模拟!A219</f>
        <v/>
      </c>
      <c r="B213" s="1">
        <f>IF(D213="",0,INDEX(回合状态!$B$7:$B$17,MATCH(DG213,回合状态!$A$7:$A$17,0)))</f>
        <v>0</v>
      </c>
      <c r="C213" s="1">
        <f>行动模拟!C219</f>
        <v>0</v>
      </c>
      <c r="D213" s="1" t="str">
        <f>IF(行动模拟!D219="","",行动模拟!D219)</f>
        <v/>
      </c>
      <c r="E213" s="1" t="str">
        <f>IF($D213="","",IFERROR(INDEX(技能数据库!$B$4:$B$38,MATCH($D213,技能数据库!$A$4:$A$38,0)),""))</f>
        <v/>
      </c>
      <c r="F213" s="1" t="str">
        <f>IF($D213="","",IFERROR(INDEX(技能数据库!$C$4:$C$38,MATCH($D213,技能数据库!$A$4:$A$38,0)),""))</f>
        <v/>
      </c>
      <c r="G213" s="1" t="str">
        <f>IF($D213="","",IFERROR(INDEX(技能数据库!$D$4:$D$38,MATCH($D213,技能数据库!$A$4:$A$38,0)),""))</f>
        <v/>
      </c>
      <c r="H213" s="1" t="str">
        <f>IF($D213="","",IFERROR(INDEX(技能数据库!$E$4:$E$38,MATCH($D213,技能数据库!$A$4:$A$38,0)),""))</f>
        <v/>
      </c>
      <c r="I213" s="1" t="str">
        <f>IF($D213="","",IFERROR(INDEX(技能数据库!$F$4:$F$38,MATCH($D213,技能数据库!$A$4:$A$38,0)),""))</f>
        <v/>
      </c>
      <c r="J213" s="1" t="str">
        <f>IF($D213="","",IFERROR(INDEX(技能数据库!$G$4:$G$38,MATCH($D213,技能数据库!$A$4:$A$38,0)),""))</f>
        <v/>
      </c>
      <c r="K213" s="1" t="str">
        <f>IF($D213="","",IFERROR(INDEX(技能数据库!$H$4:$H$38,MATCH($D213,技能数据库!$A$4:$A$38,0)),""))</f>
        <v/>
      </c>
      <c r="L213" s="1" t="str">
        <f>IF($D213="","",IFERROR(INDEX(技能数据库!$I$4:$I$38,MATCH($D213,技能数据库!$A$4:$A$38,0)),""))</f>
        <v/>
      </c>
      <c r="M213" s="1">
        <v>1</v>
      </c>
      <c r="N213" s="1"/>
      <c r="O213" s="1"/>
      <c r="P213" s="1"/>
      <c r="Q213" s="1">
        <f t="shared" si="210"/>
        <v>0</v>
      </c>
      <c r="R213" s="1">
        <v>0</v>
      </c>
      <c r="S213" s="1">
        <v>0</v>
      </c>
      <c r="T213" s="1">
        <f>行动模拟!I219</f>
        <v>0</v>
      </c>
      <c r="U213" s="1">
        <f>IF(FD213&lt;&gt;FD212,IF(BY212=1,IF(MIN(10,CA212+IF(AND(DG213&lt;&gt;DG212,DH212&lt;&gt;"洞穿",SUMIFS($FE$3:FE212,$DG$3:DG212,DG212)=0,BY212=1),3,0))&gt;=10,2,1),IF(BY212=2,IF(BZ212&lt;=1,0,2),0)),BY212)</f>
        <v>2</v>
      </c>
      <c r="V213" s="1">
        <f>IF(FD213&lt;&gt;FD212,IF(BY212=1,IF(MIN(10,CA212+IF(AND(DG213&lt;&gt;DG212,DH212&lt;&gt;"洞穿",SUMIFS($FE$3:FE212,$DG$3:DG212,DG212)=0,BY212=1),3,0))&gt;=10,2,0),IF(BY212=2,MAX(0,BZ212-1),0)),BZ212)</f>
        <v>1</v>
      </c>
      <c r="W213" s="1">
        <f>IF(AND(FD213&lt;&gt;FD212,BY212=2,BZ212&lt;=1),0,MIN(10,CA212+IF(AND(DG213&lt;&gt;DG212,DH212&lt;&gt;"洞穿",SUMIFS($FE$3:FE212,$DG$3:DG212,DG212)=0,BY212=1),3,0)))</f>
        <v>10</v>
      </c>
      <c r="X213" s="1">
        <f t="shared" si="252"/>
        <v>13</v>
      </c>
      <c r="Y213" s="1">
        <f t="shared" si="253"/>
        <v>0</v>
      </c>
      <c r="Z213" s="1">
        <f t="shared" si="254"/>
        <v>0</v>
      </c>
      <c r="AA213" s="1">
        <f t="shared" si="255"/>
        <v>0</v>
      </c>
      <c r="AB213" s="1">
        <f t="shared" si="256"/>
        <v>10</v>
      </c>
      <c r="AC213" s="1">
        <f t="shared" si="257"/>
        <v>1</v>
      </c>
      <c r="AD213" s="1">
        <f t="shared" si="258"/>
        <v>35</v>
      </c>
      <c r="AE213" s="1">
        <f>IF(D213="",0,IF(DG213&lt;&gt;DG212,IFERROR(INDEX(回合状态!$F$7:$F$17,MATCH(DG213,回合状态!$A$7:$A$17,0)),0),CI212))</f>
        <v>0</v>
      </c>
      <c r="AF213" s="1">
        <f t="shared" si="259"/>
        <v>0.875</v>
      </c>
      <c r="AG213" s="1">
        <f t="shared" si="260"/>
        <v>9</v>
      </c>
      <c r="AH213" s="1">
        <f t="shared" si="261"/>
        <v>9</v>
      </c>
      <c r="AI213" s="1">
        <f t="shared" si="262"/>
        <v>8</v>
      </c>
      <c r="AJ213" s="1">
        <f t="shared" si="263"/>
        <v>9</v>
      </c>
      <c r="AK213" s="1">
        <f t="shared" si="264"/>
        <v>8</v>
      </c>
      <c r="AL213" s="1">
        <f t="shared" si="265"/>
        <v>3</v>
      </c>
      <c r="AM213" s="1">
        <f t="shared" si="266"/>
        <v>30</v>
      </c>
      <c r="AN213" s="1">
        <f t="shared" si="267"/>
        <v>9</v>
      </c>
      <c r="AO213" s="1">
        <f t="shared" si="268"/>
        <v>0</v>
      </c>
      <c r="AP213" s="1" t="e">
        <f t="shared" si="269"/>
        <v>#VALUE!</v>
      </c>
      <c r="AQ213" s="1" t="e">
        <f t="shared" si="270"/>
        <v>#VALUE!</v>
      </c>
      <c r="AR213" s="1">
        <f t="shared" si="271"/>
        <v>0.3</v>
      </c>
      <c r="AS213" s="1">
        <f t="shared" si="272"/>
        <v>9</v>
      </c>
      <c r="AT213" s="1">
        <f t="shared" si="273"/>
        <v>0.3</v>
      </c>
      <c r="AU213" s="1">
        <f t="shared" si="274"/>
        <v>9</v>
      </c>
      <c r="AV213" s="1">
        <f>MIN(5,SUMIFS($EL$3:EL213,$B$3:B213,"&gt;="&amp;MAX(1,B213-2),$B$3:B213,"&lt;="&amp;B213)+EC213)</f>
        <v>0</v>
      </c>
      <c r="AW213" s="1">
        <f>MIN(6,SUMIFS($EY$3:EY212,$EX$3:EX212,"&gt;="&amp;MAX(1,EX213-Boss参数!$B$87+1),$EX$3:EX212,"&lt;="&amp;EX213))</f>
        <v>0</v>
      </c>
      <c r="AX213" s="1">
        <f>MIN(4,COUNTIFS($B$3:$B$212,"&gt;="&amp;MAX(1,$B213-2),$B$3:$B$212,"&lt;="&amp;$B213,$L$3:$L$212,"37_FOLLOW"))</f>
        <v>0</v>
      </c>
      <c r="AY213" s="1" t="str">
        <f>IF($E213="","",IF($E213="系统",0,ROUNDDOWN(INDEX(角色面板!$C$4:$C$7,MATCH($E213,角色面板!$A$4:$A$7,0))*(1+INDEX(角色面板!$C$11:$C$14,MATCH($E213,角色面板!$A$11:$A$14,0))+IF($E213="小瑞安侬",MAX(IF($B213&lt;=$AQ213,$AP213,0),IF(AND($L213="RHI_ATTACK",$EE213&gt;0),0.11+0.01*$G213,0)),0)+IF($E213="J",$AD213*Boss参数!$B$18,0))+IF(FD213&lt;=$AN213,MIN(Boss参数!$B$21,ROUNDDOWN(角色面板!$C$19*Boss参数!$B$20,0)),0)+IF(AND($B213&lt;=$AK213,$E213&lt;&gt;"小瑞安侬"),$DY213,0),0)))</f>
        <v/>
      </c>
      <c r="AZ213" s="1" t="str">
        <f>IF($E213="","",MAX(0,MIN(1,IFERROR(INDEX(角色面板!$G$18:$G$21,MATCH($E213,角色面板!$A$18:$A$21,0)),0)-FC213*Boss参数!$B$89-Boss参数!$E$4)))</f>
        <v/>
      </c>
      <c r="BA213" s="1" t="str">
        <f>IF(E213="","",(IF($E213="","",IF($E213="红弩箭",Boss参数!$B$80,IF($E213="J",Boss参数!$B$81,IFERROR(INDEX(角色面板!$H$18:$H$21,MATCH($E213,角色面板!$A$18:$A$21,0)),0)))+IF($B213&lt;=$AI213,Boss参数!$B$13,0)+MIN(30,$AM213)*Boss参数!$B$17+IF(AND($L213="LILYA_ULT",$X213&gt;=6),1,0)+IF(AND($Y213=1,$L213="LILYA_INSIGHT"),IF(MOD($AA213+1,3)=0,Boss参数!$B$83,Boss参数!$B$82),IF(AND($Y213=1,$L213="LILYA_FINISH"),Boss参数!$B$84,0))))-FC213*Boss参数!$B$90)</f>
        <v/>
      </c>
      <c r="BB213" s="1" t="str">
        <f>IF($E213="","",IFERROR(INDEX(角色面板!$M$18:$M$21,MATCH($E213,角色面板!$A$18:$A$21,0)),0)+$AW213*Boss参数!$B$12+IF($B213&lt;=$AG213,$AF213,0)+$EI213+IF($L213="LILYA_DIVE",IF($U213=1,IF($G213=1,0.3,IF($G213=2,0.4,0.5)),IF($U213=2,IF($G213=1,0.6,IF($G213=2,0.8,1)),0)),0)+$R213+IF(AND($E213="J",OR($L213="J_COUNTER",$L213="J_HARD")),Boss参数!$B$79,0)+IF(AND(OR(L213="J_COUNTER",L213="J_HARD"),FA213&gt;=Boss参数!$B$59),FA213*Boss参数!$B$40,0))</f>
        <v/>
      </c>
      <c r="BC213" s="1" t="e">
        <f>IF($E213="","",IFERROR(INDEX(角色面板!$K$18:$K$21,MATCH($E213,角色面板!$A$18:$A$21,0)),0)+IF($B213&lt;=$AH213,Boss参数!$B$46,0)+IF($E213="红弩箭",IF($U213=1,0.6,IF($U213=2,1.2,0))+$W213*0.06,0))-DI213*Boss参数!$B$23</f>
        <v>#VALUE!</v>
      </c>
      <c r="BD213" s="1" t="e">
        <f>IF($E213="","",IFERROR(INDEX(角色面板!$L$18:$L$21,MATCH($E213,角色面板!$A$18:$A$21,0)),0)+IF($B213&lt;=$AH213,Boss参数!$B$46,0)+IF($E213="J",$AL213*Boss参数!$B$16,0)+IF($E213="红弩箭",$X213*0.025,0)+IF(AND($L213="LILYA_ULT",$X213&gt;=6),1,0))-DI213*Boss参数!$B$23</f>
        <v>#VALUE!</v>
      </c>
      <c r="BE213" s="1" t="str">
        <f>IF($E213="","",IF($H213="洞知",IF($E213="红弩箭",$AO213*Boss参数!$B$15,0)+$AX213*Boss参数!$B$14,0))</f>
        <v/>
      </c>
      <c r="BF213" s="1">
        <f t="shared" si="211"/>
        <v>0</v>
      </c>
      <c r="BG213" s="1">
        <f>IF($D213="",0,IF(AND($L213&lt;&gt;"LILYA_DIVE",$L213&lt;&gt;"LILYA_ULT",$L213&lt;&gt;"LILYA_INSIGHT",$L213&lt;&gt;"LILYA_FINISH",$L213&lt;&gt;"37_FOLLOW",$L213&lt;&gt;"RHI_ATTACK",$L213&lt;&gt;"RHI_BERRY",$L213&lt;&gt;"J_COUNTER",$L213&lt;&gt;"J_ULT"),$J213,0)+IF($L213="LILYA_DIVE",$J213+IF($U213=1,IF($G213=1,6,IF($G213=2,12,18)),IF($U213=2,IF($G213=1,12,IF($G213=2,24,36)),0)),0)+IF($L213="LILYA_ULT",$J213+IF($X213&gt;=6,18,0),0)+IF($L213="LILYA_INSIGHT",IF($Y213=1,IF(MOD($AA213+1,3)=0,32,15),0),0)+IF($L213="LILYA_FINISH",IF($Y213=1,50+2.5*$Z213,0),0)+IF($L213="37_FOLLOW",$J213,0)+IF($L213="RHI_ATTACK",$J213*IF($B213&lt;=$AJ213,2,1),0)+IF($L213="RHI_BERRY",15+1.5*$AV213,0)+IF($L213="J_COUNTER",$J213+$AD213*Boss参数!$B$39,0)+IF($L213="J_ULT",$J213+Boss参数!$B$45*MAX(0,$AE213+$AD213-Boss参数!$I$4),0)+$S213)</f>
        <v>0</v>
      </c>
      <c r="BH213" s="1">
        <f t="shared" si="212"/>
        <v>0</v>
      </c>
      <c r="BI213" s="1" t="str">
        <f>IF(E213="","",IF(DT213=1,1+Boss参数!$B$8+AV213*Boss参数!$B$19,1))</f>
        <v/>
      </c>
      <c r="BJ213" s="1">
        <f>IF($I213="现实",Boss参数!$C$4,IF($I213="精神",Boss参数!$D$4,0))</f>
        <v>0</v>
      </c>
      <c r="BK213" s="1" t="str">
        <f>IF($E213="","",MAX($AY213*Boss参数!$B$9,$AY213-$BJ213*(1-$BF213)))</f>
        <v/>
      </c>
      <c r="BL213" s="1">
        <f>MAX(0,Boss参数!$F$4+IF(DT213=0,Boss参数!$B$27,0)-EJ213)</f>
        <v>1.25</v>
      </c>
      <c r="BM213" s="1">
        <f>Boss参数!$G$4+DU213-IF(Y213=1,Boss参数!$B$11,0)</f>
        <v>0.4</v>
      </c>
      <c r="BN213" s="1" t="str">
        <f>IF($E213="","",MAX(Boss参数!$B$10,1+IFERROR(INDEX(角色面板!$I$18:$I$21,MATCH($E213,角色面板!$A$18:$A$21,0)),0)+$BB213+Boss参数!$H$4-$BM213))</f>
        <v/>
      </c>
      <c r="BO213" s="1" t="str">
        <f>IF(E213="","",IF(OR(L213="J_COUNTER",L213="J_HARD"),MAX(0,1+INDEX(角色面板!$K$18:$K$21,MATCH(E213,角色面板!$A$18:$A$21,0))-DI213*Boss参数!$B$23+IF(OR(Boss参数!$B$43=1,L213="J_HARD"),IF(B213&lt;=AH213,Boss参数!$B$46,0),0)),MAX(0,IF(OR(H213="术法",L213="RHI_BERRY",AND(L213="37_FOLLOW",Boss参数!$B$31=1)),1+BC213,IF(H213="仪式",1+BD213,IF(H213="洞知",EK213,1))))))</f>
        <v/>
      </c>
      <c r="BP213" s="1" t="str">
        <f t="shared" si="213"/>
        <v/>
      </c>
      <c r="BQ213" s="1">
        <f t="shared" si="214"/>
        <v>0</v>
      </c>
      <c r="BR213" s="1">
        <f t="shared" si="215"/>
        <v>0</v>
      </c>
      <c r="BS213" s="1">
        <f>IF(BH213=0,0,ROUNDDOWN(AY213*BH213,0)*DV213*IF(Boss参数!$B$29=1,BN213,1)*IF(Boss参数!$B$33=1,BO213,1)*IF(Boss参数!$B$76=1,1-ES213,1))</f>
        <v>0</v>
      </c>
      <c r="BT213" s="1">
        <f t="shared" si="216"/>
        <v>0</v>
      </c>
      <c r="BU213" s="1">
        <f>IF(D213="",0,MIN(IF(Boss参数!$B$77=1,Boss参数!$B$63*Boss参数!$B$62,Boss参数!$B$61*Boss参数!$B$62),DW213+ROUNDDOWN(BS213,0)+ROUNDDOWN(DW213*Q213,0)))</f>
        <v>0</v>
      </c>
      <c r="BV213" s="1">
        <f>IF(D213="",0,MIN(IF(Boss参数!$B$77=1,Boss参数!$B$63*Boss参数!$B$62,Boss参数!$B$61*Boss参数!$B$62),DX213+ROUNDDOWN(BT213,0)+ROUNDDOWN(DX213*Q213,0)))</f>
        <v>0</v>
      </c>
      <c r="BW213" s="1">
        <f t="shared" si="217"/>
        <v>0</v>
      </c>
      <c r="BX213" s="1" t="str">
        <f t="shared" si="218"/>
        <v/>
      </c>
      <c r="BY213" s="1">
        <f t="shared" si="219"/>
        <v>2</v>
      </c>
      <c r="BZ213" s="1">
        <f t="shared" si="220"/>
        <v>1</v>
      </c>
      <c r="CA213" s="1">
        <f>MIN(10,W213+IF(AND(L213="LILYA_COBRA",COUNTIF($L$3:L213,"LILYA_COBRA")=1),5,0)+IF(AND(L213="LILYA_DIVE",U213=1,COUNTIFS($DG$3:DG213,DG213,$L$3:L213,"LILYA_DIVE")=1),2,0)+IF(AND(FE213=1,U213=1),3,0))</f>
        <v>10</v>
      </c>
      <c r="CB213" s="1">
        <f>MIN(20,MAX(0,X213+IF(L213="LILYA_COBRA",IF(COUNTIF($L$3:L213,"LILYA_COBRA")=1,6,IF(U213=1,MAX(1,G213),IF(U213=2,2*MAX(1,G213),0))),0)+IF(AND(Y213=1,E213="红弩箭",L213&lt;&gt;"ENTER_INSIGHT"),1,0)-IF(AND(L213="LILYA_ULT",X213&gt;=6),6,0)))</f>
        <v>13</v>
      </c>
      <c r="CC213" s="1">
        <f t="shared" si="221"/>
        <v>0</v>
      </c>
      <c r="CD213" s="1">
        <f t="shared" si="222"/>
        <v>0</v>
      </c>
      <c r="CE213" s="1">
        <f t="shared" si="223"/>
        <v>0</v>
      </c>
      <c r="CF213" s="1">
        <f t="shared" si="224"/>
        <v>10</v>
      </c>
      <c r="CG213" s="1">
        <f t="shared" si="225"/>
        <v>1</v>
      </c>
      <c r="CH213" s="1">
        <f>MIN(35,AD213+IF(L213="J_HARD",6,0)+IF(L213="J_COUNTER",Boss参数!$B$30,0))</f>
        <v>35</v>
      </c>
      <c r="CI213" s="1">
        <f>MIN(Boss参数!$I$4,AE213+IF(L213="J_HARD",6,0)+IF(L213="J_ULT",AD213,0)+IF(L213="J_COUNTER",Boss参数!$B$30,0))</f>
        <v>0</v>
      </c>
      <c r="CJ213" s="1">
        <f>IF(L213="J_ULT",AD213*Boss参数!$B$41,IF(B213&lt;=AG213,AF213,0))</f>
        <v>0.875</v>
      </c>
      <c r="CK213" s="1">
        <f t="shared" si="226"/>
        <v>9</v>
      </c>
      <c r="CL213" s="1">
        <f t="shared" si="227"/>
        <v>9</v>
      </c>
      <c r="CM213" s="1">
        <f t="shared" si="228"/>
        <v>8</v>
      </c>
      <c r="CN213" s="1">
        <f t="shared" si="229"/>
        <v>9</v>
      </c>
      <c r="CO213" s="1">
        <f t="shared" si="230"/>
        <v>8</v>
      </c>
      <c r="CP213" s="1">
        <f t="shared" si="231"/>
        <v>3</v>
      </c>
      <c r="CQ213" s="1">
        <f t="shared" si="232"/>
        <v>30</v>
      </c>
      <c r="CR213" s="1">
        <f t="shared" si="233"/>
        <v>9</v>
      </c>
      <c r="CS213" s="1">
        <f t="shared" si="234"/>
        <v>0</v>
      </c>
      <c r="CT213" s="1" t="e">
        <f t="shared" si="235"/>
        <v>#VALUE!</v>
      </c>
      <c r="CU213" s="1" t="e">
        <f t="shared" si="236"/>
        <v>#VALUE!</v>
      </c>
      <c r="CV213" s="1">
        <f t="shared" si="237"/>
        <v>0.3</v>
      </c>
      <c r="CW213" s="1">
        <f t="shared" si="238"/>
        <v>9</v>
      </c>
      <c r="CX213" s="1">
        <f t="shared" si="239"/>
        <v>0.3</v>
      </c>
      <c r="CY213" s="1">
        <f t="shared" si="240"/>
        <v>9</v>
      </c>
      <c r="CZ213" s="1"/>
      <c r="DA213" s="1"/>
      <c r="DB213" s="1"/>
      <c r="DC213" s="1"/>
      <c r="DD213" s="1"/>
      <c r="DE213" s="1"/>
      <c r="DF213" s="1"/>
      <c r="DG213" s="1" t="str">
        <f>IF(D213="","",行动模拟!B219)</f>
        <v/>
      </c>
      <c r="DH213" s="1" t="str">
        <f>IF(L213="END_TURN","回合结束",IF(D213="","",IF(INDEX(回合状态!$C$7:$C$17,MATCH(DG213,回合状态!$A$7:$A$17,0))="洞穿","洞穿",IF(OR(L213="J_COUNTER",L213="BOSS_ACTION",L213="BOSS_CONSERVATIVE"),"敌方",IF(AND(L213="37_FOLLOW",DG213=DG212,DH212="敌方"),"敌方",IF(INDEX(回合状态!$C$7:$C$17,MATCH(DG213,回合状态!$A$7:$A$17,0))="普通","出牌",INDEX(回合状态!$C$7:$C$17,MATCH(DG213,回合状态!$A$7:$A$17,0))))))))</f>
        <v/>
      </c>
      <c r="DI213" s="1">
        <f t="shared" si="241"/>
        <v>0</v>
      </c>
      <c r="DJ213" s="1">
        <f>IF(D213="",0,MIN(Boss参数!$B$25,IF(OR(AND(DH213="敌方",OR(DH212&lt;&gt;"敌方",DG213&lt;&gt;DG212)),AND(L213="END_TURN",DH213&lt;&gt;"洞穿"),AND(DG213&lt;&gt;DG212,DH212&lt;&gt;"洞穿",L212&lt;&gt;"END_TURN",COUNTIFS($DG$3:DG212,DG212,$DH$3:DH212,"敌方")=0)),EW213,DN212)))</f>
        <v>0</v>
      </c>
      <c r="DK213" s="1">
        <f>IF(D213="",0,MIN(Boss参数!$B$25,IF(OR(AND(DH213="敌方",OR(DH212&lt;&gt;"敌方",DG213&lt;&gt;DG212)),AND(L213="END_TURN",DH213&lt;&gt;"洞穿"),AND(DG213&lt;&gt;DG212,DH212&lt;&gt;"洞穿",L212&lt;&gt;"END_TURN",COUNTIFS($DG$3:DG212,DG212,$DH$3:DH212,"敌方")=0)),EW213,DO212)))</f>
        <v>0</v>
      </c>
      <c r="DL213" s="1">
        <f>IF(D213="",0,MIN(Boss参数!$B$25,IF(OR(AND(DH213="敌方",OR(DH212&lt;&gt;"敌方",DG213&lt;&gt;DG212)),AND(L213="END_TURN",DH213&lt;&gt;"洞穿"),AND(DG213&lt;&gt;DG212,DH212&lt;&gt;"洞穿",L212&lt;&gt;"END_TURN",COUNTIFS($DG$3:DG212,DG212,$DH$3:DH212,"敌方")=0)),EW213,DP212)))</f>
        <v>0</v>
      </c>
      <c r="DM213" s="1">
        <f>IF(D213="",0,MIN(Boss参数!$B$25,IF(OR(AND(DH213="敌方",OR(DH212&lt;&gt;"敌方",DG213&lt;&gt;DG212)),AND(L213="END_TURN",DH213&lt;&gt;"洞穿"),AND(DG213&lt;&gt;DG212,DH212&lt;&gt;"洞穿",L212&lt;&gt;"END_TURN",COUNTIFS($DG$3:DG212,DG212,$DH$3:DH212,"敌方")=0)),EW213,DQ212)))</f>
        <v>0</v>
      </c>
      <c r="DN213" s="1">
        <f>MAX(0,MIN(Boss参数!$B$25,DJ213+DR213)-IF(E213="红弩箭",2*DR213,0))</f>
        <v>0</v>
      </c>
      <c r="DO213" s="1">
        <f>MAX(0,MIN(Boss参数!$B$25,DK213+DR213)-IF(E213="37",2*DR213,0))</f>
        <v>0</v>
      </c>
      <c r="DP213" s="1">
        <f>MAX(0,MIN(Boss参数!$B$25,DL213+DR213)-IF(E213="小瑞安侬",2*DR213,0))</f>
        <v>0</v>
      </c>
      <c r="DQ213" s="1">
        <f>MAX(0,MIN(Boss参数!$B$25,DM213+DR213)-IF(E213="J",2*DR213,0))</f>
        <v>0</v>
      </c>
      <c r="DR213" s="1">
        <f t="shared" si="242"/>
        <v>0</v>
      </c>
      <c r="DS213" s="1">
        <f t="shared" si="243"/>
        <v>0</v>
      </c>
      <c r="DT213" s="1">
        <f>IF(OR(E213="",E213="系统"),0,IF(OR(AND(DS213=1,Boss参数!$B$32=1),L213="RHI_BERRY",OR(AND(INDEX(角色面板!$B$18:$B$21,MATCH(E213,角色面板!$A$18:$A$21,0))="星",Boss参数!$B$4="岩"),AND(INDEX(角色面板!$B$18:$B$21,MATCH(E213,角色面板!$A$18:$A$21,0))="岩",Boss参数!$B$4="兽"),AND(INDEX(角色面板!$B$18:$B$21,MATCH(E213,角色面板!$A$18:$A$21,0))="兽",Boss参数!$B$4="木"),AND(INDEX(角色面板!$B$18:$B$21,MATCH(E213,角色面板!$A$18:$A$21,0))="木",Boss参数!$B$4="星"),AND(INDEX(角色面板!$B$18:$B$21,MATCH(E213,角色面板!$A$18:$A$21,0))="智",Boss参数!$B$4="灵"),AND(INDEX(角色面板!$B$18:$B$21,MATCH(E213,角色面板!$A$18:$A$21,0))="灵",Boss参数!$B$4="智"))),1,0))</f>
        <v>0</v>
      </c>
      <c r="DU213" s="1">
        <f>IF(D213="",0,INDEX(回合状态!$E$7:$E$17,MATCH(DG213,回合状态!$A$7:$A$17,0))+IF(AND(DH213="敌方",OR(INDEX(回合状态!$C$7:$C$17,MATCH(DG213,回合状态!$A$7:$A$17,0))="普通",INDEX(回合状态!$C$7:$C$17,MATCH(DG213,回合状态!$A$7:$A$17,0))="额外")),0.05,0))</f>
        <v>0</v>
      </c>
      <c r="DV213" s="1">
        <f>MAX(Boss参数!$B$28,1+IF(AND(E213="37",AC213&gt;0,BH213&gt;0),Boss参数!$B$42,0)-DI213*Boss参数!$B$24+EA213-ER213)</f>
        <v>9.9999999999999978E-2</v>
      </c>
      <c r="DW213" s="1">
        <f>MIN(IF(Boss参数!$B$77=1,Boss参数!$B$63*Boss参数!$B$62,Boss参数!$B$61*Boss参数!$B$62),ROUNDDOWN(BQ213*(1-ES213),0))</f>
        <v>0</v>
      </c>
      <c r="DX213" s="1">
        <f>MIN(IF(Boss参数!$B$77=1,Boss参数!$B$63*Boss参数!$B$62,Boss参数!$B$61*Boss参数!$B$62),ROUNDDOWN(BR213*(1-ES213),0))</f>
        <v>0</v>
      </c>
      <c r="DY213" s="1">
        <f t="shared" si="275"/>
        <v>250</v>
      </c>
      <c r="DZ213" s="1">
        <f>IF(L213="RHI_ULT",MIN(Boss参数!$B$48,ROUNDDOWN(AY213*Boss参数!$B$47,0)),DY213)</f>
        <v>250</v>
      </c>
      <c r="EA213" s="1">
        <v>0</v>
      </c>
      <c r="EB213" s="1">
        <f t="shared" si="244"/>
        <v>0</v>
      </c>
      <c r="EC213" s="1">
        <f>SUMIFS($EB$3:EB213,$B$3:B213,"&gt;="&amp;MAX(1,B213-2),$B$3:B213,"&lt;="&amp;B213)*Boss参数!$B$51</f>
        <v>0</v>
      </c>
      <c r="ED213" s="1">
        <f>IF(D213="",EG212,IF(AND(DG213&lt;&gt;DG212,DH213&lt;&gt;"洞穿"),MIN(Boss参数!$B$55,EG212+2),EG212))</f>
        <v>0</v>
      </c>
      <c r="EE213" s="1">
        <f t="shared" si="245"/>
        <v>0</v>
      </c>
      <c r="EF213" s="1">
        <f>IF(AND(OR(L213="END_TURN",AND(DH213="敌方",OR(DH212&lt;&gt;"敌方",DG213&lt;&gt;DG212))),SUMIFS($EF$3:EF212,$DG$3:DG212,DG213)=0),MIN(1,MAX(0,ED213-EE213)),0)</f>
        <v>0</v>
      </c>
      <c r="EG213" s="1">
        <f t="shared" si="246"/>
        <v>0</v>
      </c>
      <c r="EH213" s="1">
        <f>Boss参数!$B$53-IF(Y213=1,Boss参数!$B$54,0)</f>
        <v>0</v>
      </c>
      <c r="EI213" s="1">
        <f t="shared" si="247"/>
        <v>0.15</v>
      </c>
      <c r="EJ213" s="1">
        <f t="shared" si="248"/>
        <v>0.15</v>
      </c>
      <c r="EK213" s="1" t="e">
        <f t="shared" si="249"/>
        <v>#VALUE!</v>
      </c>
      <c r="EL213" s="1">
        <f t="shared" si="276"/>
        <v>0</v>
      </c>
      <c r="EM213" s="1">
        <f>IF(AND(DG213&lt;&gt;DG212,DH213="洞穿"),0,IF(L213="ENTER_INSIGHT",Boss参数!$B$57,EO212))</f>
        <v>0</v>
      </c>
      <c r="EN213" s="1">
        <f>IF(AND(Y213=1,H213="洞知",EM213&gt;0),Boss参数!$B$56,0)</f>
        <v>0</v>
      </c>
      <c r="EO213" s="1">
        <f t="shared" si="250"/>
        <v>0</v>
      </c>
      <c r="EP213" s="1">
        <f t="shared" si="277"/>
        <v>23210479</v>
      </c>
      <c r="EQ213" s="1">
        <f>ROUNDDOWN(EP213/Boss参数!$B$62,0)</f>
        <v>232</v>
      </c>
      <c r="ER213" s="1">
        <f>IF(EQ213&gt;=Boss参数!$B$66,Boss参数!$B$69,IF(EQ213&gt;=Boss参数!$B$65,Boss参数!$B$68,IF(EQ213&gt;=Boss参数!$B$64,Boss参数!$B$67,0)))</f>
        <v>0.9</v>
      </c>
      <c r="ES213" s="1">
        <f>MIN(1,IF(EQ213&gt;=Boss参数!$B$66,Boss参数!$B$72+ROUNDDOWN((EQ213-Boss参数!$B$66)/Boss参数!$B$73,0)*Boss参数!$B$74,IF(EQ213&gt;=Boss参数!$B$65,Boss参数!$B$71,IF(EQ213&gt;=Boss参数!$B$64,Boss参数!$B$70,0))))</f>
        <v>0.65</v>
      </c>
      <c r="ET213" s="1">
        <f>MIN(Boss参数!$B$61*Boss参数!$B$62,EP213+IF(AND(Boss参数!$B$60=1,ISNUMBER(验证表!H219)),验证表!H219,EU213))</f>
        <v>23210479</v>
      </c>
      <c r="EU213" s="1">
        <f>IF(D213="",0,IF(验证表!G219="是",BV213,IF(验证表!G219="否",BU213,BW213)))</f>
        <v>0</v>
      </c>
      <c r="EV213" s="1">
        <f>IF(EQ213&gt;=Boss参数!$B$66,2,IF(EQ213&gt;=Boss参数!$B$65,1,0))</f>
        <v>2</v>
      </c>
      <c r="EW213" s="1">
        <f t="shared" si="251"/>
        <v>3</v>
      </c>
      <c r="EX213" s="1">
        <f>IF(D213="",0,INDEX(回合状态!$D$7:$D$17,MATCH(DG213,回合状态!$A$7:$A$17,0)))</f>
        <v>0</v>
      </c>
      <c r="EY213" s="1">
        <f>IF(OR(L213="RHI_ATTACK",L213="RHI_BUFF"),1,IF(L213="RHI_ULT",Boss参数!$B$52,0))</f>
        <v>0</v>
      </c>
      <c r="EZ213" s="1">
        <f>MIN(6,SUMIFS($EY$3:EY213,$EX$3:EX213,"&gt;="&amp;MAX(1,EX213-Boss参数!$B$87+1),$EX$3:EX213,"&lt;="&amp;EX213))</f>
        <v>0</v>
      </c>
      <c r="FA213" s="1">
        <f t="shared" si="278"/>
        <v>0</v>
      </c>
      <c r="FB213" s="17">
        <f>IF(L213="BOSS_CONSERVATIVE",B213+Boss参数!$B$91,FB212)</f>
        <v>7</v>
      </c>
      <c r="FC213" s="17">
        <f t="shared" si="279"/>
        <v>0</v>
      </c>
      <c r="FD213" s="17">
        <f>IF(D213="",FD212,FD212+IF(AND(DG213&lt;&gt;DG212,INDEX(回合状态!$C$7:$C$17,MATCH(DG213,回合状态!$A$7:$A$17,0))&lt;&gt;"洞穿"),1,0))</f>
        <v>8</v>
      </c>
      <c r="FE213" s="17">
        <f>IF(D213="",0,IF(AND(OR(L213="END_TURN",DH213="敌方"),INDEX(回合状态!$C$7:$C$17,MATCH(DG213,回合状态!$A$7:$A$17,0))&lt;&gt;"洞穿",SUMIFS($FE$3:FE212,$DG$3:DG212,DG213)=0),1,0))</f>
        <v>0</v>
      </c>
    </row>
    <row r="214" spans="1:161" ht="84.95" customHeight="1">
      <c r="A214" s="1" t="str">
        <f>行动模拟!A220</f>
        <v/>
      </c>
      <c r="B214" s="1">
        <f>IF(D214="",0,INDEX(回合状态!$B$7:$B$17,MATCH(DG214,回合状态!$A$7:$A$17,0)))</f>
        <v>0</v>
      </c>
      <c r="C214" s="1">
        <f>行动模拟!C220</f>
        <v>0</v>
      </c>
      <c r="D214" s="1" t="str">
        <f>IF(行动模拟!D220="","",行动模拟!D220)</f>
        <v/>
      </c>
      <c r="E214" s="1" t="str">
        <f>IF($D214="","",IFERROR(INDEX(技能数据库!$B$4:$B$38,MATCH($D214,技能数据库!$A$4:$A$38,0)),""))</f>
        <v/>
      </c>
      <c r="F214" s="1" t="str">
        <f>IF($D214="","",IFERROR(INDEX(技能数据库!$C$4:$C$38,MATCH($D214,技能数据库!$A$4:$A$38,0)),""))</f>
        <v/>
      </c>
      <c r="G214" s="1" t="str">
        <f>IF($D214="","",IFERROR(INDEX(技能数据库!$D$4:$D$38,MATCH($D214,技能数据库!$A$4:$A$38,0)),""))</f>
        <v/>
      </c>
      <c r="H214" s="1" t="str">
        <f>IF($D214="","",IFERROR(INDEX(技能数据库!$E$4:$E$38,MATCH($D214,技能数据库!$A$4:$A$38,0)),""))</f>
        <v/>
      </c>
      <c r="I214" s="1" t="str">
        <f>IF($D214="","",IFERROR(INDEX(技能数据库!$F$4:$F$38,MATCH($D214,技能数据库!$A$4:$A$38,0)),""))</f>
        <v/>
      </c>
      <c r="J214" s="1" t="str">
        <f>IF($D214="","",IFERROR(INDEX(技能数据库!$G$4:$G$38,MATCH($D214,技能数据库!$A$4:$A$38,0)),""))</f>
        <v/>
      </c>
      <c r="K214" s="1" t="str">
        <f>IF($D214="","",IFERROR(INDEX(技能数据库!$H$4:$H$38,MATCH($D214,技能数据库!$A$4:$A$38,0)),""))</f>
        <v/>
      </c>
      <c r="L214" s="1" t="str">
        <f>IF($D214="","",IFERROR(INDEX(技能数据库!$I$4:$I$38,MATCH($D214,技能数据库!$A$4:$A$38,0)),""))</f>
        <v/>
      </c>
      <c r="M214" s="1">
        <v>1</v>
      </c>
      <c r="N214" s="1"/>
      <c r="O214" s="1"/>
      <c r="P214" s="1"/>
      <c r="Q214" s="1">
        <f t="shared" si="210"/>
        <v>0</v>
      </c>
      <c r="R214" s="1">
        <v>0</v>
      </c>
      <c r="S214" s="1">
        <v>0</v>
      </c>
      <c r="T214" s="1">
        <f>行动模拟!I220</f>
        <v>0</v>
      </c>
      <c r="U214" s="1">
        <f>IF(FD214&lt;&gt;FD213,IF(BY213=1,IF(MIN(10,CA213+IF(AND(DG214&lt;&gt;DG213,DH213&lt;&gt;"洞穿",SUMIFS($FE$3:FE213,$DG$3:DG213,DG213)=0,BY213=1),3,0))&gt;=10,2,1),IF(BY213=2,IF(BZ213&lt;=1,0,2),0)),BY213)</f>
        <v>2</v>
      </c>
      <c r="V214" s="1">
        <f>IF(FD214&lt;&gt;FD213,IF(BY213=1,IF(MIN(10,CA213+IF(AND(DG214&lt;&gt;DG213,DH213&lt;&gt;"洞穿",SUMIFS($FE$3:FE213,$DG$3:DG213,DG213)=0,BY213=1),3,0))&gt;=10,2,0),IF(BY213=2,MAX(0,BZ213-1),0)),BZ213)</f>
        <v>1</v>
      </c>
      <c r="W214" s="1">
        <f>IF(AND(FD214&lt;&gt;FD213,BY213=2,BZ213&lt;=1),0,MIN(10,CA213+IF(AND(DG214&lt;&gt;DG213,DH213&lt;&gt;"洞穿",SUMIFS($FE$3:FE213,$DG$3:DG213,DG213)=0,BY213=1),3,0)))</f>
        <v>10</v>
      </c>
      <c r="X214" s="1">
        <f t="shared" si="252"/>
        <v>13</v>
      </c>
      <c r="Y214" s="1">
        <f t="shared" si="253"/>
        <v>0</v>
      </c>
      <c r="Z214" s="1">
        <f t="shared" si="254"/>
        <v>0</v>
      </c>
      <c r="AA214" s="1">
        <f t="shared" si="255"/>
        <v>0</v>
      </c>
      <c r="AB214" s="1">
        <f t="shared" si="256"/>
        <v>10</v>
      </c>
      <c r="AC214" s="1">
        <f t="shared" si="257"/>
        <v>1</v>
      </c>
      <c r="AD214" s="1">
        <f t="shared" si="258"/>
        <v>35</v>
      </c>
      <c r="AE214" s="1">
        <f>IF(D214="",0,IF(DG214&lt;&gt;DG213,IFERROR(INDEX(回合状态!$F$7:$F$17,MATCH(DG214,回合状态!$A$7:$A$17,0)),0),CI213))</f>
        <v>0</v>
      </c>
      <c r="AF214" s="1">
        <f t="shared" si="259"/>
        <v>0.875</v>
      </c>
      <c r="AG214" s="1">
        <f t="shared" si="260"/>
        <v>9</v>
      </c>
      <c r="AH214" s="1">
        <f t="shared" si="261"/>
        <v>9</v>
      </c>
      <c r="AI214" s="1">
        <f t="shared" si="262"/>
        <v>8</v>
      </c>
      <c r="AJ214" s="1">
        <f t="shared" si="263"/>
        <v>9</v>
      </c>
      <c r="AK214" s="1">
        <f t="shared" si="264"/>
        <v>8</v>
      </c>
      <c r="AL214" s="1">
        <f t="shared" si="265"/>
        <v>3</v>
      </c>
      <c r="AM214" s="1">
        <f t="shared" si="266"/>
        <v>30</v>
      </c>
      <c r="AN214" s="1">
        <f t="shared" si="267"/>
        <v>9</v>
      </c>
      <c r="AO214" s="1">
        <f t="shared" si="268"/>
        <v>0</v>
      </c>
      <c r="AP214" s="1" t="e">
        <f t="shared" si="269"/>
        <v>#VALUE!</v>
      </c>
      <c r="AQ214" s="1" t="e">
        <f t="shared" si="270"/>
        <v>#VALUE!</v>
      </c>
      <c r="AR214" s="1">
        <f t="shared" si="271"/>
        <v>0.3</v>
      </c>
      <c r="AS214" s="1">
        <f t="shared" si="272"/>
        <v>9</v>
      </c>
      <c r="AT214" s="1">
        <f t="shared" si="273"/>
        <v>0.3</v>
      </c>
      <c r="AU214" s="1">
        <f t="shared" si="274"/>
        <v>9</v>
      </c>
      <c r="AV214" s="1">
        <f>MIN(5,SUMIFS($EL$3:EL214,$B$3:B214,"&gt;="&amp;MAX(1,B214-2),$B$3:B214,"&lt;="&amp;B214)+EC214)</f>
        <v>0</v>
      </c>
      <c r="AW214" s="1">
        <f>MIN(6,SUMIFS($EY$3:EY213,$EX$3:EX213,"&gt;="&amp;MAX(1,EX214-Boss参数!$B$87+1),$EX$3:EX213,"&lt;="&amp;EX214))</f>
        <v>0</v>
      </c>
      <c r="AX214" s="1">
        <f>MIN(4,COUNTIFS($B$3:$B$213,"&gt;="&amp;MAX(1,$B214-2),$B$3:$B$213,"&lt;="&amp;$B214,$L$3:$L$213,"37_FOLLOW"))</f>
        <v>0</v>
      </c>
      <c r="AY214" s="1" t="str">
        <f>IF($E214="","",IF($E214="系统",0,ROUNDDOWN(INDEX(角色面板!$C$4:$C$7,MATCH($E214,角色面板!$A$4:$A$7,0))*(1+INDEX(角色面板!$C$11:$C$14,MATCH($E214,角色面板!$A$11:$A$14,0))+IF($E214="小瑞安侬",MAX(IF($B214&lt;=$AQ214,$AP214,0),IF(AND($L214="RHI_ATTACK",$EE214&gt;0),0.11+0.01*$G214,0)),0)+IF($E214="J",$AD214*Boss参数!$B$18,0))+IF(FD214&lt;=$AN214,MIN(Boss参数!$B$21,ROUNDDOWN(角色面板!$C$19*Boss参数!$B$20,0)),0)+IF(AND($B214&lt;=$AK214,$E214&lt;&gt;"小瑞安侬"),$DY214,0),0)))</f>
        <v/>
      </c>
      <c r="AZ214" s="1" t="str">
        <f>IF($E214="","",MAX(0,MIN(1,IFERROR(INDEX(角色面板!$G$18:$G$21,MATCH($E214,角色面板!$A$18:$A$21,0)),0)-FC214*Boss参数!$B$89-Boss参数!$E$4)))</f>
        <v/>
      </c>
      <c r="BA214" s="1" t="str">
        <f>IF(E214="","",(IF($E214="","",IF($E214="红弩箭",Boss参数!$B$80,IF($E214="J",Boss参数!$B$81,IFERROR(INDEX(角色面板!$H$18:$H$21,MATCH($E214,角色面板!$A$18:$A$21,0)),0)))+IF($B214&lt;=$AI214,Boss参数!$B$13,0)+MIN(30,$AM214)*Boss参数!$B$17+IF(AND($L214="LILYA_ULT",$X214&gt;=6),1,0)+IF(AND($Y214=1,$L214="LILYA_INSIGHT"),IF(MOD($AA214+1,3)=0,Boss参数!$B$83,Boss参数!$B$82),IF(AND($Y214=1,$L214="LILYA_FINISH"),Boss参数!$B$84,0))))-FC214*Boss参数!$B$90)</f>
        <v/>
      </c>
      <c r="BB214" s="1" t="str">
        <f>IF($E214="","",IFERROR(INDEX(角色面板!$M$18:$M$21,MATCH($E214,角色面板!$A$18:$A$21,0)),0)+$AW214*Boss参数!$B$12+IF($B214&lt;=$AG214,$AF214,0)+$EI214+IF($L214="LILYA_DIVE",IF($U214=1,IF($G214=1,0.3,IF($G214=2,0.4,0.5)),IF($U214=2,IF($G214=1,0.6,IF($G214=2,0.8,1)),0)),0)+$R214+IF(AND($E214="J",OR($L214="J_COUNTER",$L214="J_HARD")),Boss参数!$B$79,0)+IF(AND(OR(L214="J_COUNTER",L214="J_HARD"),FA214&gt;=Boss参数!$B$59),FA214*Boss参数!$B$40,0))</f>
        <v/>
      </c>
      <c r="BC214" s="1" t="e">
        <f>IF($E214="","",IFERROR(INDEX(角色面板!$K$18:$K$21,MATCH($E214,角色面板!$A$18:$A$21,0)),0)+IF($B214&lt;=$AH214,Boss参数!$B$46,0)+IF($E214="红弩箭",IF($U214=1,0.6,IF($U214=2,1.2,0))+$W214*0.06,0))-DI214*Boss参数!$B$23</f>
        <v>#VALUE!</v>
      </c>
      <c r="BD214" s="1" t="e">
        <f>IF($E214="","",IFERROR(INDEX(角色面板!$L$18:$L$21,MATCH($E214,角色面板!$A$18:$A$21,0)),0)+IF($B214&lt;=$AH214,Boss参数!$B$46,0)+IF($E214="J",$AL214*Boss参数!$B$16,0)+IF($E214="红弩箭",$X214*0.025,0)+IF(AND($L214="LILYA_ULT",$X214&gt;=6),1,0))-DI214*Boss参数!$B$23</f>
        <v>#VALUE!</v>
      </c>
      <c r="BE214" s="1" t="str">
        <f>IF($E214="","",IF($H214="洞知",IF($E214="红弩箭",$AO214*Boss参数!$B$15,0)+$AX214*Boss参数!$B$14,0))</f>
        <v/>
      </c>
      <c r="BF214" s="1">
        <f t="shared" si="211"/>
        <v>0</v>
      </c>
      <c r="BG214" s="1">
        <f>IF($D214="",0,IF(AND($L214&lt;&gt;"LILYA_DIVE",$L214&lt;&gt;"LILYA_ULT",$L214&lt;&gt;"LILYA_INSIGHT",$L214&lt;&gt;"LILYA_FINISH",$L214&lt;&gt;"37_FOLLOW",$L214&lt;&gt;"RHI_ATTACK",$L214&lt;&gt;"RHI_BERRY",$L214&lt;&gt;"J_COUNTER",$L214&lt;&gt;"J_ULT"),$J214,0)+IF($L214="LILYA_DIVE",$J214+IF($U214=1,IF($G214=1,6,IF($G214=2,12,18)),IF($U214=2,IF($G214=1,12,IF($G214=2,24,36)),0)),0)+IF($L214="LILYA_ULT",$J214+IF($X214&gt;=6,18,0),0)+IF($L214="LILYA_INSIGHT",IF($Y214=1,IF(MOD($AA214+1,3)=0,32,15),0),0)+IF($L214="LILYA_FINISH",IF($Y214=1,50+2.5*$Z214,0),0)+IF($L214="37_FOLLOW",$J214,0)+IF($L214="RHI_ATTACK",$J214*IF($B214&lt;=$AJ214,2,1),0)+IF($L214="RHI_BERRY",15+1.5*$AV214,0)+IF($L214="J_COUNTER",$J214+$AD214*Boss参数!$B$39,0)+IF($L214="J_ULT",$J214+Boss参数!$B$45*MAX(0,$AE214+$AD214-Boss参数!$I$4),0)+$S214)</f>
        <v>0</v>
      </c>
      <c r="BH214" s="1">
        <f t="shared" si="212"/>
        <v>0</v>
      </c>
      <c r="BI214" s="1" t="str">
        <f>IF(E214="","",IF(DT214=1,1+Boss参数!$B$8+AV214*Boss参数!$B$19,1))</f>
        <v/>
      </c>
      <c r="BJ214" s="1">
        <f>IF($I214="现实",Boss参数!$C$4,IF($I214="精神",Boss参数!$D$4,0))</f>
        <v>0</v>
      </c>
      <c r="BK214" s="1" t="str">
        <f>IF($E214="","",MAX($AY214*Boss参数!$B$9,$AY214-$BJ214*(1-$BF214)))</f>
        <v/>
      </c>
      <c r="BL214" s="1">
        <f>MAX(0,Boss参数!$F$4+IF(DT214=0,Boss参数!$B$27,0)-EJ214)</f>
        <v>1.25</v>
      </c>
      <c r="BM214" s="1">
        <f>Boss参数!$G$4+DU214-IF(Y214=1,Boss参数!$B$11,0)</f>
        <v>0.4</v>
      </c>
      <c r="BN214" s="1" t="str">
        <f>IF($E214="","",MAX(Boss参数!$B$10,1+IFERROR(INDEX(角色面板!$I$18:$I$21,MATCH($E214,角色面板!$A$18:$A$21,0)),0)+$BB214+Boss参数!$H$4-$BM214))</f>
        <v/>
      </c>
      <c r="BO214" s="1" t="str">
        <f>IF(E214="","",IF(OR(L214="J_COUNTER",L214="J_HARD"),MAX(0,1+INDEX(角色面板!$K$18:$K$21,MATCH(E214,角色面板!$A$18:$A$21,0))-DI214*Boss参数!$B$23+IF(OR(Boss参数!$B$43=1,L214="J_HARD"),IF(B214&lt;=AH214,Boss参数!$B$46,0),0)),MAX(0,IF(OR(H214="术法",L214="RHI_BERRY",AND(L214="37_FOLLOW",Boss参数!$B$31=1)),1+BC214,IF(H214="仪式",1+BD214,IF(H214="洞知",EK214,1))))))</f>
        <v/>
      </c>
      <c r="BP214" s="1" t="str">
        <f t="shared" si="213"/>
        <v/>
      </c>
      <c r="BQ214" s="1">
        <f t="shared" si="214"/>
        <v>0</v>
      </c>
      <c r="BR214" s="1">
        <f t="shared" si="215"/>
        <v>0</v>
      </c>
      <c r="BS214" s="1">
        <f>IF(BH214=0,0,ROUNDDOWN(AY214*BH214,0)*DV214*IF(Boss参数!$B$29=1,BN214,1)*IF(Boss参数!$B$33=1,BO214,1)*IF(Boss参数!$B$76=1,1-ES214,1))</f>
        <v>0</v>
      </c>
      <c r="BT214" s="1">
        <f t="shared" si="216"/>
        <v>0</v>
      </c>
      <c r="BU214" s="1">
        <f>IF(D214="",0,MIN(IF(Boss参数!$B$77=1,Boss参数!$B$63*Boss参数!$B$62,Boss参数!$B$61*Boss参数!$B$62),DW214+ROUNDDOWN(BS214,0)+ROUNDDOWN(DW214*Q214,0)))</f>
        <v>0</v>
      </c>
      <c r="BV214" s="1">
        <f>IF(D214="",0,MIN(IF(Boss参数!$B$77=1,Boss参数!$B$63*Boss参数!$B$62,Boss参数!$B$61*Boss参数!$B$62),DX214+ROUNDDOWN(BT214,0)+ROUNDDOWN(DX214*Q214,0)))</f>
        <v>0</v>
      </c>
      <c r="BW214" s="1">
        <f t="shared" si="217"/>
        <v>0</v>
      </c>
      <c r="BX214" s="1" t="str">
        <f t="shared" si="218"/>
        <v/>
      </c>
      <c r="BY214" s="1">
        <f t="shared" si="219"/>
        <v>2</v>
      </c>
      <c r="BZ214" s="1">
        <f t="shared" si="220"/>
        <v>1</v>
      </c>
      <c r="CA214" s="1">
        <f>MIN(10,W214+IF(AND(L214="LILYA_COBRA",COUNTIF($L$3:L214,"LILYA_COBRA")=1),5,0)+IF(AND(L214="LILYA_DIVE",U214=1,COUNTIFS($DG$3:DG214,DG214,$L$3:L214,"LILYA_DIVE")=1),2,0)+IF(AND(FE214=1,U214=1),3,0))</f>
        <v>10</v>
      </c>
      <c r="CB214" s="1">
        <f>MIN(20,MAX(0,X214+IF(L214="LILYA_COBRA",IF(COUNTIF($L$3:L214,"LILYA_COBRA")=1,6,IF(U214=1,MAX(1,G214),IF(U214=2,2*MAX(1,G214),0))),0)+IF(AND(Y214=1,E214="红弩箭",L214&lt;&gt;"ENTER_INSIGHT"),1,0)-IF(AND(L214="LILYA_ULT",X214&gt;=6),6,0)))</f>
        <v>13</v>
      </c>
      <c r="CC214" s="1">
        <f t="shared" si="221"/>
        <v>0</v>
      </c>
      <c r="CD214" s="1">
        <f t="shared" si="222"/>
        <v>0</v>
      </c>
      <c r="CE214" s="1">
        <f t="shared" si="223"/>
        <v>0</v>
      </c>
      <c r="CF214" s="1">
        <f t="shared" si="224"/>
        <v>10</v>
      </c>
      <c r="CG214" s="1">
        <f t="shared" si="225"/>
        <v>1</v>
      </c>
      <c r="CH214" s="1">
        <f>MIN(35,AD214+IF(L214="J_HARD",6,0)+IF(L214="J_COUNTER",Boss参数!$B$30,0))</f>
        <v>35</v>
      </c>
      <c r="CI214" s="1">
        <f>MIN(Boss参数!$I$4,AE214+IF(L214="J_HARD",6,0)+IF(L214="J_ULT",AD214,0)+IF(L214="J_COUNTER",Boss参数!$B$30,0))</f>
        <v>0</v>
      </c>
      <c r="CJ214" s="1">
        <f>IF(L214="J_ULT",AD214*Boss参数!$B$41,IF(B214&lt;=AG214,AF214,0))</f>
        <v>0.875</v>
      </c>
      <c r="CK214" s="1">
        <f t="shared" si="226"/>
        <v>9</v>
      </c>
      <c r="CL214" s="1">
        <f t="shared" si="227"/>
        <v>9</v>
      </c>
      <c r="CM214" s="1">
        <f t="shared" si="228"/>
        <v>8</v>
      </c>
      <c r="CN214" s="1">
        <f t="shared" si="229"/>
        <v>9</v>
      </c>
      <c r="CO214" s="1">
        <f t="shared" si="230"/>
        <v>8</v>
      </c>
      <c r="CP214" s="1">
        <f t="shared" si="231"/>
        <v>3</v>
      </c>
      <c r="CQ214" s="1">
        <f t="shared" si="232"/>
        <v>30</v>
      </c>
      <c r="CR214" s="1">
        <f t="shared" si="233"/>
        <v>9</v>
      </c>
      <c r="CS214" s="1">
        <f t="shared" si="234"/>
        <v>0</v>
      </c>
      <c r="CT214" s="1" t="e">
        <f t="shared" si="235"/>
        <v>#VALUE!</v>
      </c>
      <c r="CU214" s="1" t="e">
        <f t="shared" si="236"/>
        <v>#VALUE!</v>
      </c>
      <c r="CV214" s="1">
        <f t="shared" si="237"/>
        <v>0.3</v>
      </c>
      <c r="CW214" s="1">
        <f t="shared" si="238"/>
        <v>9</v>
      </c>
      <c r="CX214" s="1">
        <f t="shared" si="239"/>
        <v>0.3</v>
      </c>
      <c r="CY214" s="1">
        <f t="shared" si="240"/>
        <v>9</v>
      </c>
      <c r="CZ214" s="1"/>
      <c r="DA214" s="1"/>
      <c r="DB214" s="1"/>
      <c r="DC214" s="1"/>
      <c r="DD214" s="1"/>
      <c r="DE214" s="1"/>
      <c r="DF214" s="1"/>
      <c r="DG214" s="1" t="str">
        <f>IF(D214="","",行动模拟!B220)</f>
        <v/>
      </c>
      <c r="DH214" s="1" t="str">
        <f>IF(L214="END_TURN","回合结束",IF(D214="","",IF(INDEX(回合状态!$C$7:$C$17,MATCH(DG214,回合状态!$A$7:$A$17,0))="洞穿","洞穿",IF(OR(L214="J_COUNTER",L214="BOSS_ACTION",L214="BOSS_CONSERVATIVE"),"敌方",IF(AND(L214="37_FOLLOW",DG214=DG213,DH213="敌方"),"敌方",IF(INDEX(回合状态!$C$7:$C$17,MATCH(DG214,回合状态!$A$7:$A$17,0))="普通","出牌",INDEX(回合状态!$C$7:$C$17,MATCH(DG214,回合状态!$A$7:$A$17,0))))))))</f>
        <v/>
      </c>
      <c r="DI214" s="1">
        <f t="shared" si="241"/>
        <v>0</v>
      </c>
      <c r="DJ214" s="1">
        <f>IF(D214="",0,MIN(Boss参数!$B$25,IF(OR(AND(DH214="敌方",OR(DH213&lt;&gt;"敌方",DG214&lt;&gt;DG213)),AND(L214="END_TURN",DH214&lt;&gt;"洞穿"),AND(DG214&lt;&gt;DG213,DH213&lt;&gt;"洞穿",L213&lt;&gt;"END_TURN",COUNTIFS($DG$3:DG213,DG213,$DH$3:DH213,"敌方")=0)),EW214,DN213)))</f>
        <v>0</v>
      </c>
      <c r="DK214" s="1">
        <f>IF(D214="",0,MIN(Boss参数!$B$25,IF(OR(AND(DH214="敌方",OR(DH213&lt;&gt;"敌方",DG214&lt;&gt;DG213)),AND(L214="END_TURN",DH214&lt;&gt;"洞穿"),AND(DG214&lt;&gt;DG213,DH213&lt;&gt;"洞穿",L213&lt;&gt;"END_TURN",COUNTIFS($DG$3:DG213,DG213,$DH$3:DH213,"敌方")=0)),EW214,DO213)))</f>
        <v>0</v>
      </c>
      <c r="DL214" s="1">
        <f>IF(D214="",0,MIN(Boss参数!$B$25,IF(OR(AND(DH214="敌方",OR(DH213&lt;&gt;"敌方",DG214&lt;&gt;DG213)),AND(L214="END_TURN",DH214&lt;&gt;"洞穿"),AND(DG214&lt;&gt;DG213,DH213&lt;&gt;"洞穿",L213&lt;&gt;"END_TURN",COUNTIFS($DG$3:DG213,DG213,$DH$3:DH213,"敌方")=0)),EW214,DP213)))</f>
        <v>0</v>
      </c>
      <c r="DM214" s="1">
        <f>IF(D214="",0,MIN(Boss参数!$B$25,IF(OR(AND(DH214="敌方",OR(DH213&lt;&gt;"敌方",DG214&lt;&gt;DG213)),AND(L214="END_TURN",DH214&lt;&gt;"洞穿"),AND(DG214&lt;&gt;DG213,DH213&lt;&gt;"洞穿",L213&lt;&gt;"END_TURN",COUNTIFS($DG$3:DG213,DG213,$DH$3:DH213,"敌方")=0)),EW214,DQ213)))</f>
        <v>0</v>
      </c>
      <c r="DN214" s="1">
        <f>MAX(0,MIN(Boss参数!$B$25,DJ214+DR214)-IF(E214="红弩箭",2*DR214,0))</f>
        <v>0</v>
      </c>
      <c r="DO214" s="1">
        <f>MAX(0,MIN(Boss参数!$B$25,DK214+DR214)-IF(E214="37",2*DR214,0))</f>
        <v>0</v>
      </c>
      <c r="DP214" s="1">
        <f>MAX(0,MIN(Boss参数!$B$25,DL214+DR214)-IF(E214="小瑞安侬",2*DR214,0))</f>
        <v>0</v>
      </c>
      <c r="DQ214" s="1">
        <f>MAX(0,MIN(Boss参数!$B$25,DM214+DR214)-IF(E214="J",2*DR214,0))</f>
        <v>0</v>
      </c>
      <c r="DR214" s="1">
        <f t="shared" si="242"/>
        <v>0</v>
      </c>
      <c r="DS214" s="1">
        <f t="shared" si="243"/>
        <v>0</v>
      </c>
      <c r="DT214" s="1">
        <f>IF(OR(E214="",E214="系统"),0,IF(OR(AND(DS214=1,Boss参数!$B$32=1),L214="RHI_BERRY",OR(AND(INDEX(角色面板!$B$18:$B$21,MATCH(E214,角色面板!$A$18:$A$21,0))="星",Boss参数!$B$4="岩"),AND(INDEX(角色面板!$B$18:$B$21,MATCH(E214,角色面板!$A$18:$A$21,0))="岩",Boss参数!$B$4="兽"),AND(INDEX(角色面板!$B$18:$B$21,MATCH(E214,角色面板!$A$18:$A$21,0))="兽",Boss参数!$B$4="木"),AND(INDEX(角色面板!$B$18:$B$21,MATCH(E214,角色面板!$A$18:$A$21,0))="木",Boss参数!$B$4="星"),AND(INDEX(角色面板!$B$18:$B$21,MATCH(E214,角色面板!$A$18:$A$21,0))="智",Boss参数!$B$4="灵"),AND(INDEX(角色面板!$B$18:$B$21,MATCH(E214,角色面板!$A$18:$A$21,0))="灵",Boss参数!$B$4="智"))),1,0))</f>
        <v>0</v>
      </c>
      <c r="DU214" s="1">
        <f>IF(D214="",0,INDEX(回合状态!$E$7:$E$17,MATCH(DG214,回合状态!$A$7:$A$17,0))+IF(AND(DH214="敌方",OR(INDEX(回合状态!$C$7:$C$17,MATCH(DG214,回合状态!$A$7:$A$17,0))="普通",INDEX(回合状态!$C$7:$C$17,MATCH(DG214,回合状态!$A$7:$A$17,0))="额外")),0.05,0))</f>
        <v>0</v>
      </c>
      <c r="DV214" s="1">
        <f>MAX(Boss参数!$B$28,1+IF(AND(E214="37",AC214&gt;0,BH214&gt;0),Boss参数!$B$42,0)-DI214*Boss参数!$B$24+EA214-ER214)</f>
        <v>9.9999999999999978E-2</v>
      </c>
      <c r="DW214" s="1">
        <f>MIN(IF(Boss参数!$B$77=1,Boss参数!$B$63*Boss参数!$B$62,Boss参数!$B$61*Boss参数!$B$62),ROUNDDOWN(BQ214*(1-ES214),0))</f>
        <v>0</v>
      </c>
      <c r="DX214" s="1">
        <f>MIN(IF(Boss参数!$B$77=1,Boss参数!$B$63*Boss参数!$B$62,Boss参数!$B$61*Boss参数!$B$62),ROUNDDOWN(BR214*(1-ES214),0))</f>
        <v>0</v>
      </c>
      <c r="DY214" s="1">
        <f t="shared" si="275"/>
        <v>250</v>
      </c>
      <c r="DZ214" s="1">
        <f>IF(L214="RHI_ULT",MIN(Boss参数!$B$48,ROUNDDOWN(AY214*Boss参数!$B$47,0)),DY214)</f>
        <v>250</v>
      </c>
      <c r="EA214" s="1">
        <v>0</v>
      </c>
      <c r="EB214" s="1">
        <f t="shared" si="244"/>
        <v>0</v>
      </c>
      <c r="EC214" s="1">
        <f>SUMIFS($EB$3:EB214,$B$3:B214,"&gt;="&amp;MAX(1,B214-2),$B$3:B214,"&lt;="&amp;B214)*Boss参数!$B$51</f>
        <v>0</v>
      </c>
      <c r="ED214" s="1">
        <f>IF(D214="",EG213,IF(AND(DG214&lt;&gt;DG213,DH214&lt;&gt;"洞穿"),MIN(Boss参数!$B$55,EG213+2),EG213))</f>
        <v>0</v>
      </c>
      <c r="EE214" s="1">
        <f t="shared" si="245"/>
        <v>0</v>
      </c>
      <c r="EF214" s="1">
        <f>IF(AND(OR(L214="END_TURN",AND(DH214="敌方",OR(DH213&lt;&gt;"敌方",DG214&lt;&gt;DG213))),SUMIFS($EF$3:EF213,$DG$3:DG213,DG214)=0),MIN(1,MAX(0,ED214-EE214)),0)</f>
        <v>0</v>
      </c>
      <c r="EG214" s="1">
        <f t="shared" si="246"/>
        <v>0</v>
      </c>
      <c r="EH214" s="1">
        <f>Boss参数!$B$53-IF(Y214=1,Boss参数!$B$54,0)</f>
        <v>0</v>
      </c>
      <c r="EI214" s="1">
        <f t="shared" si="247"/>
        <v>0.15</v>
      </c>
      <c r="EJ214" s="1">
        <f t="shared" si="248"/>
        <v>0.15</v>
      </c>
      <c r="EK214" s="1" t="e">
        <f t="shared" si="249"/>
        <v>#VALUE!</v>
      </c>
      <c r="EL214" s="1">
        <f t="shared" si="276"/>
        <v>0</v>
      </c>
      <c r="EM214" s="1">
        <f>IF(AND(DG214&lt;&gt;DG213,DH214="洞穿"),0,IF(L214="ENTER_INSIGHT",Boss参数!$B$57,EO213))</f>
        <v>0</v>
      </c>
      <c r="EN214" s="1">
        <f>IF(AND(Y214=1,H214="洞知",EM214&gt;0),Boss参数!$B$56,0)</f>
        <v>0</v>
      </c>
      <c r="EO214" s="1">
        <f t="shared" si="250"/>
        <v>0</v>
      </c>
      <c r="EP214" s="1">
        <f t="shared" si="277"/>
        <v>23210479</v>
      </c>
      <c r="EQ214" s="1">
        <f>ROUNDDOWN(EP214/Boss参数!$B$62,0)</f>
        <v>232</v>
      </c>
      <c r="ER214" s="1">
        <f>IF(EQ214&gt;=Boss参数!$B$66,Boss参数!$B$69,IF(EQ214&gt;=Boss参数!$B$65,Boss参数!$B$68,IF(EQ214&gt;=Boss参数!$B$64,Boss参数!$B$67,0)))</f>
        <v>0.9</v>
      </c>
      <c r="ES214" s="1">
        <f>MIN(1,IF(EQ214&gt;=Boss参数!$B$66,Boss参数!$B$72+ROUNDDOWN((EQ214-Boss参数!$B$66)/Boss参数!$B$73,0)*Boss参数!$B$74,IF(EQ214&gt;=Boss参数!$B$65,Boss参数!$B$71,IF(EQ214&gt;=Boss参数!$B$64,Boss参数!$B$70,0))))</f>
        <v>0.65</v>
      </c>
      <c r="ET214" s="1">
        <f>MIN(Boss参数!$B$61*Boss参数!$B$62,EP214+IF(AND(Boss参数!$B$60=1,ISNUMBER(验证表!H220)),验证表!H220,EU214))</f>
        <v>23210479</v>
      </c>
      <c r="EU214" s="1">
        <f>IF(D214="",0,IF(验证表!G220="是",BV214,IF(验证表!G220="否",BU214,BW214)))</f>
        <v>0</v>
      </c>
      <c r="EV214" s="1">
        <f>IF(EQ214&gt;=Boss参数!$B$66,2,IF(EQ214&gt;=Boss参数!$B$65,1,0))</f>
        <v>2</v>
      </c>
      <c r="EW214" s="1">
        <f t="shared" si="251"/>
        <v>3</v>
      </c>
      <c r="EX214" s="1">
        <f>IF(D214="",0,INDEX(回合状态!$D$7:$D$17,MATCH(DG214,回合状态!$A$7:$A$17,0)))</f>
        <v>0</v>
      </c>
      <c r="EY214" s="1">
        <f>IF(OR(L214="RHI_ATTACK",L214="RHI_BUFF"),1,IF(L214="RHI_ULT",Boss参数!$B$52,0))</f>
        <v>0</v>
      </c>
      <c r="EZ214" s="1">
        <f>MIN(6,SUMIFS($EY$3:EY214,$EX$3:EX214,"&gt;="&amp;MAX(1,EX214-Boss参数!$B$87+1),$EX$3:EX214,"&lt;="&amp;EX214))</f>
        <v>0</v>
      </c>
      <c r="FA214" s="1">
        <f t="shared" si="278"/>
        <v>0</v>
      </c>
      <c r="FB214" s="17">
        <f>IF(L214="BOSS_CONSERVATIVE",B214+Boss参数!$B$91,FB213)</f>
        <v>7</v>
      </c>
      <c r="FC214" s="17">
        <f t="shared" si="279"/>
        <v>0</v>
      </c>
      <c r="FD214" s="17">
        <f>IF(D214="",FD213,FD213+IF(AND(DG214&lt;&gt;DG213,INDEX(回合状态!$C$7:$C$17,MATCH(DG214,回合状态!$A$7:$A$17,0))&lt;&gt;"洞穿"),1,0))</f>
        <v>8</v>
      </c>
      <c r="FE214" s="17">
        <f>IF(D214="",0,IF(AND(OR(L214="END_TURN",DH214="敌方"),INDEX(回合状态!$C$7:$C$17,MATCH(DG214,回合状态!$A$7:$A$17,0))&lt;&gt;"洞穿",SUMIFS($FE$3:FE213,$DG$3:DG213,DG214)=0),1,0))</f>
        <v>0</v>
      </c>
    </row>
    <row r="215" spans="1:161" ht="84.95" customHeight="1">
      <c r="A215" s="1" t="str">
        <f>行动模拟!A221</f>
        <v/>
      </c>
      <c r="B215" s="1">
        <f>IF(D215="",0,INDEX(回合状态!$B$7:$B$17,MATCH(DG215,回合状态!$A$7:$A$17,0)))</f>
        <v>0</v>
      </c>
      <c r="C215" s="1">
        <f>行动模拟!C221</f>
        <v>0</v>
      </c>
      <c r="D215" s="1" t="str">
        <f>IF(行动模拟!D221="","",行动模拟!D221)</f>
        <v/>
      </c>
      <c r="E215" s="1" t="str">
        <f>IF($D215="","",IFERROR(INDEX(技能数据库!$B$4:$B$38,MATCH($D215,技能数据库!$A$4:$A$38,0)),""))</f>
        <v/>
      </c>
      <c r="F215" s="1" t="str">
        <f>IF($D215="","",IFERROR(INDEX(技能数据库!$C$4:$C$38,MATCH($D215,技能数据库!$A$4:$A$38,0)),""))</f>
        <v/>
      </c>
      <c r="G215" s="1" t="str">
        <f>IF($D215="","",IFERROR(INDEX(技能数据库!$D$4:$D$38,MATCH($D215,技能数据库!$A$4:$A$38,0)),""))</f>
        <v/>
      </c>
      <c r="H215" s="1" t="str">
        <f>IF($D215="","",IFERROR(INDEX(技能数据库!$E$4:$E$38,MATCH($D215,技能数据库!$A$4:$A$38,0)),""))</f>
        <v/>
      </c>
      <c r="I215" s="1" t="str">
        <f>IF($D215="","",IFERROR(INDEX(技能数据库!$F$4:$F$38,MATCH($D215,技能数据库!$A$4:$A$38,0)),""))</f>
        <v/>
      </c>
      <c r="J215" s="1" t="str">
        <f>IF($D215="","",IFERROR(INDEX(技能数据库!$G$4:$G$38,MATCH($D215,技能数据库!$A$4:$A$38,0)),""))</f>
        <v/>
      </c>
      <c r="K215" s="1" t="str">
        <f>IF($D215="","",IFERROR(INDEX(技能数据库!$H$4:$H$38,MATCH($D215,技能数据库!$A$4:$A$38,0)),""))</f>
        <v/>
      </c>
      <c r="L215" s="1" t="str">
        <f>IF($D215="","",IFERROR(INDEX(技能数据库!$I$4:$I$38,MATCH($D215,技能数据库!$A$4:$A$38,0)),""))</f>
        <v/>
      </c>
      <c r="M215" s="1">
        <v>1</v>
      </c>
      <c r="N215" s="1"/>
      <c r="O215" s="1"/>
      <c r="P215" s="1"/>
      <c r="Q215" s="1">
        <f t="shared" si="210"/>
        <v>0</v>
      </c>
      <c r="R215" s="1">
        <v>0</v>
      </c>
      <c r="S215" s="1">
        <v>0</v>
      </c>
      <c r="T215" s="1">
        <f>行动模拟!I221</f>
        <v>0</v>
      </c>
      <c r="U215" s="1">
        <f>IF(FD215&lt;&gt;FD214,IF(BY214=1,IF(MIN(10,CA214+IF(AND(DG215&lt;&gt;DG214,DH214&lt;&gt;"洞穿",SUMIFS($FE$3:FE214,$DG$3:DG214,DG214)=0,BY214=1),3,0))&gt;=10,2,1),IF(BY214=2,IF(BZ214&lt;=1,0,2),0)),BY214)</f>
        <v>2</v>
      </c>
      <c r="V215" s="1">
        <f>IF(FD215&lt;&gt;FD214,IF(BY214=1,IF(MIN(10,CA214+IF(AND(DG215&lt;&gt;DG214,DH214&lt;&gt;"洞穿",SUMIFS($FE$3:FE214,$DG$3:DG214,DG214)=0,BY214=1),3,0))&gt;=10,2,0),IF(BY214=2,MAX(0,BZ214-1),0)),BZ214)</f>
        <v>1</v>
      </c>
      <c r="W215" s="1">
        <f>IF(AND(FD215&lt;&gt;FD214,BY214=2,BZ214&lt;=1),0,MIN(10,CA214+IF(AND(DG215&lt;&gt;DG214,DH214&lt;&gt;"洞穿",SUMIFS($FE$3:FE214,$DG$3:DG214,DG214)=0,BY214=1),3,0)))</f>
        <v>10</v>
      </c>
      <c r="X215" s="1">
        <f t="shared" si="252"/>
        <v>13</v>
      </c>
      <c r="Y215" s="1">
        <f t="shared" si="253"/>
        <v>0</v>
      </c>
      <c r="Z215" s="1">
        <f t="shared" si="254"/>
        <v>0</v>
      </c>
      <c r="AA215" s="1">
        <f t="shared" si="255"/>
        <v>0</v>
      </c>
      <c r="AB215" s="1">
        <f t="shared" si="256"/>
        <v>10</v>
      </c>
      <c r="AC215" s="1">
        <f t="shared" si="257"/>
        <v>1</v>
      </c>
      <c r="AD215" s="1">
        <f t="shared" si="258"/>
        <v>35</v>
      </c>
      <c r="AE215" s="1">
        <f>IF(D215="",0,IF(DG215&lt;&gt;DG214,IFERROR(INDEX(回合状态!$F$7:$F$17,MATCH(DG215,回合状态!$A$7:$A$17,0)),0),CI214))</f>
        <v>0</v>
      </c>
      <c r="AF215" s="1">
        <f t="shared" si="259"/>
        <v>0.875</v>
      </c>
      <c r="AG215" s="1">
        <f t="shared" si="260"/>
        <v>9</v>
      </c>
      <c r="AH215" s="1">
        <f t="shared" si="261"/>
        <v>9</v>
      </c>
      <c r="AI215" s="1">
        <f t="shared" si="262"/>
        <v>8</v>
      </c>
      <c r="AJ215" s="1">
        <f t="shared" si="263"/>
        <v>9</v>
      </c>
      <c r="AK215" s="1">
        <f t="shared" si="264"/>
        <v>8</v>
      </c>
      <c r="AL215" s="1">
        <f t="shared" si="265"/>
        <v>3</v>
      </c>
      <c r="AM215" s="1">
        <f t="shared" si="266"/>
        <v>30</v>
      </c>
      <c r="AN215" s="1">
        <f t="shared" si="267"/>
        <v>9</v>
      </c>
      <c r="AO215" s="1">
        <f t="shared" si="268"/>
        <v>0</v>
      </c>
      <c r="AP215" s="1" t="e">
        <f t="shared" si="269"/>
        <v>#VALUE!</v>
      </c>
      <c r="AQ215" s="1" t="e">
        <f t="shared" si="270"/>
        <v>#VALUE!</v>
      </c>
      <c r="AR215" s="1">
        <f t="shared" si="271"/>
        <v>0.3</v>
      </c>
      <c r="AS215" s="1">
        <f t="shared" si="272"/>
        <v>9</v>
      </c>
      <c r="AT215" s="1">
        <f t="shared" si="273"/>
        <v>0.3</v>
      </c>
      <c r="AU215" s="1">
        <f t="shared" si="274"/>
        <v>9</v>
      </c>
      <c r="AV215" s="1">
        <f>MIN(5,SUMIFS($EL$3:EL215,$B$3:B215,"&gt;="&amp;MAX(1,B215-2),$B$3:B215,"&lt;="&amp;B215)+EC215)</f>
        <v>0</v>
      </c>
      <c r="AW215" s="1">
        <f>MIN(6,SUMIFS($EY$3:EY214,$EX$3:EX214,"&gt;="&amp;MAX(1,EX215-Boss参数!$B$87+1),$EX$3:EX214,"&lt;="&amp;EX215))</f>
        <v>0</v>
      </c>
      <c r="AX215" s="1">
        <f>MIN(4,COUNTIFS($B$3:$B$214,"&gt;="&amp;MAX(1,$B215-2),$B$3:$B$214,"&lt;="&amp;$B215,$L$3:$L$214,"37_FOLLOW"))</f>
        <v>0</v>
      </c>
      <c r="AY215" s="1" t="str">
        <f>IF($E215="","",IF($E215="系统",0,ROUNDDOWN(INDEX(角色面板!$C$4:$C$7,MATCH($E215,角色面板!$A$4:$A$7,0))*(1+INDEX(角色面板!$C$11:$C$14,MATCH($E215,角色面板!$A$11:$A$14,0))+IF($E215="小瑞安侬",MAX(IF($B215&lt;=$AQ215,$AP215,0),IF(AND($L215="RHI_ATTACK",$EE215&gt;0),0.11+0.01*$G215,0)),0)+IF($E215="J",$AD215*Boss参数!$B$18,0))+IF(FD215&lt;=$AN215,MIN(Boss参数!$B$21,ROUNDDOWN(角色面板!$C$19*Boss参数!$B$20,0)),0)+IF(AND($B215&lt;=$AK215,$E215&lt;&gt;"小瑞安侬"),$DY215,0),0)))</f>
        <v/>
      </c>
      <c r="AZ215" s="1" t="str">
        <f>IF($E215="","",MAX(0,MIN(1,IFERROR(INDEX(角色面板!$G$18:$G$21,MATCH($E215,角色面板!$A$18:$A$21,0)),0)-FC215*Boss参数!$B$89-Boss参数!$E$4)))</f>
        <v/>
      </c>
      <c r="BA215" s="1" t="str">
        <f>IF(E215="","",(IF($E215="","",IF($E215="红弩箭",Boss参数!$B$80,IF($E215="J",Boss参数!$B$81,IFERROR(INDEX(角色面板!$H$18:$H$21,MATCH($E215,角色面板!$A$18:$A$21,0)),0)))+IF($B215&lt;=$AI215,Boss参数!$B$13,0)+MIN(30,$AM215)*Boss参数!$B$17+IF(AND($L215="LILYA_ULT",$X215&gt;=6),1,0)+IF(AND($Y215=1,$L215="LILYA_INSIGHT"),IF(MOD($AA215+1,3)=0,Boss参数!$B$83,Boss参数!$B$82),IF(AND($Y215=1,$L215="LILYA_FINISH"),Boss参数!$B$84,0))))-FC215*Boss参数!$B$90)</f>
        <v/>
      </c>
      <c r="BB215" s="1" t="str">
        <f>IF($E215="","",IFERROR(INDEX(角色面板!$M$18:$M$21,MATCH($E215,角色面板!$A$18:$A$21,0)),0)+$AW215*Boss参数!$B$12+IF($B215&lt;=$AG215,$AF215,0)+$EI215+IF($L215="LILYA_DIVE",IF($U215=1,IF($G215=1,0.3,IF($G215=2,0.4,0.5)),IF($U215=2,IF($G215=1,0.6,IF($G215=2,0.8,1)),0)),0)+$R215+IF(AND($E215="J",OR($L215="J_COUNTER",$L215="J_HARD")),Boss参数!$B$79,0)+IF(AND(OR(L215="J_COUNTER",L215="J_HARD"),FA215&gt;=Boss参数!$B$59),FA215*Boss参数!$B$40,0))</f>
        <v/>
      </c>
      <c r="BC215" s="1" t="e">
        <f>IF($E215="","",IFERROR(INDEX(角色面板!$K$18:$K$21,MATCH($E215,角色面板!$A$18:$A$21,0)),0)+IF($B215&lt;=$AH215,Boss参数!$B$46,0)+IF($E215="红弩箭",IF($U215=1,0.6,IF($U215=2,1.2,0))+$W215*0.06,0))-DI215*Boss参数!$B$23</f>
        <v>#VALUE!</v>
      </c>
      <c r="BD215" s="1" t="e">
        <f>IF($E215="","",IFERROR(INDEX(角色面板!$L$18:$L$21,MATCH($E215,角色面板!$A$18:$A$21,0)),0)+IF($B215&lt;=$AH215,Boss参数!$B$46,0)+IF($E215="J",$AL215*Boss参数!$B$16,0)+IF($E215="红弩箭",$X215*0.025,0)+IF(AND($L215="LILYA_ULT",$X215&gt;=6),1,0))-DI215*Boss参数!$B$23</f>
        <v>#VALUE!</v>
      </c>
      <c r="BE215" s="1" t="str">
        <f>IF($E215="","",IF($H215="洞知",IF($E215="红弩箭",$AO215*Boss参数!$B$15,0)+$AX215*Boss参数!$B$14,0))</f>
        <v/>
      </c>
      <c r="BF215" s="1">
        <f t="shared" si="211"/>
        <v>0</v>
      </c>
      <c r="BG215" s="1">
        <f>IF($D215="",0,IF(AND($L215&lt;&gt;"LILYA_DIVE",$L215&lt;&gt;"LILYA_ULT",$L215&lt;&gt;"LILYA_INSIGHT",$L215&lt;&gt;"LILYA_FINISH",$L215&lt;&gt;"37_FOLLOW",$L215&lt;&gt;"RHI_ATTACK",$L215&lt;&gt;"RHI_BERRY",$L215&lt;&gt;"J_COUNTER",$L215&lt;&gt;"J_ULT"),$J215,0)+IF($L215="LILYA_DIVE",$J215+IF($U215=1,IF($G215=1,6,IF($G215=2,12,18)),IF($U215=2,IF($G215=1,12,IF($G215=2,24,36)),0)),0)+IF($L215="LILYA_ULT",$J215+IF($X215&gt;=6,18,0),0)+IF($L215="LILYA_INSIGHT",IF($Y215=1,IF(MOD($AA215+1,3)=0,32,15),0),0)+IF($L215="LILYA_FINISH",IF($Y215=1,50+2.5*$Z215,0),0)+IF($L215="37_FOLLOW",$J215,0)+IF($L215="RHI_ATTACK",$J215*IF($B215&lt;=$AJ215,2,1),0)+IF($L215="RHI_BERRY",15+1.5*$AV215,0)+IF($L215="J_COUNTER",$J215+$AD215*Boss参数!$B$39,0)+IF($L215="J_ULT",$J215+Boss参数!$B$45*MAX(0,$AE215+$AD215-Boss参数!$I$4),0)+$S215)</f>
        <v>0</v>
      </c>
      <c r="BH215" s="1">
        <f t="shared" si="212"/>
        <v>0</v>
      </c>
      <c r="BI215" s="1" t="str">
        <f>IF(E215="","",IF(DT215=1,1+Boss参数!$B$8+AV215*Boss参数!$B$19,1))</f>
        <v/>
      </c>
      <c r="BJ215" s="1">
        <f>IF($I215="现实",Boss参数!$C$4,IF($I215="精神",Boss参数!$D$4,0))</f>
        <v>0</v>
      </c>
      <c r="BK215" s="1" t="str">
        <f>IF($E215="","",MAX($AY215*Boss参数!$B$9,$AY215-$BJ215*(1-$BF215)))</f>
        <v/>
      </c>
      <c r="BL215" s="1">
        <f>MAX(0,Boss参数!$F$4+IF(DT215=0,Boss参数!$B$27,0)-EJ215)</f>
        <v>1.25</v>
      </c>
      <c r="BM215" s="1">
        <f>Boss参数!$G$4+DU215-IF(Y215=1,Boss参数!$B$11,0)</f>
        <v>0.4</v>
      </c>
      <c r="BN215" s="1" t="str">
        <f>IF($E215="","",MAX(Boss参数!$B$10,1+IFERROR(INDEX(角色面板!$I$18:$I$21,MATCH($E215,角色面板!$A$18:$A$21,0)),0)+$BB215+Boss参数!$H$4-$BM215))</f>
        <v/>
      </c>
      <c r="BO215" s="1" t="str">
        <f>IF(E215="","",IF(OR(L215="J_COUNTER",L215="J_HARD"),MAX(0,1+INDEX(角色面板!$K$18:$K$21,MATCH(E215,角色面板!$A$18:$A$21,0))-DI215*Boss参数!$B$23+IF(OR(Boss参数!$B$43=1,L215="J_HARD"),IF(B215&lt;=AH215,Boss参数!$B$46,0),0)),MAX(0,IF(OR(H215="术法",L215="RHI_BERRY",AND(L215="37_FOLLOW",Boss参数!$B$31=1)),1+BC215,IF(H215="仪式",1+BD215,IF(H215="洞知",EK215,1))))))</f>
        <v/>
      </c>
      <c r="BP215" s="1" t="str">
        <f t="shared" si="213"/>
        <v/>
      </c>
      <c r="BQ215" s="1">
        <f t="shared" si="214"/>
        <v>0</v>
      </c>
      <c r="BR215" s="1">
        <f t="shared" si="215"/>
        <v>0</v>
      </c>
      <c r="BS215" s="1">
        <f>IF(BH215=0,0,ROUNDDOWN(AY215*BH215,0)*DV215*IF(Boss参数!$B$29=1,BN215,1)*IF(Boss参数!$B$33=1,BO215,1)*IF(Boss参数!$B$76=1,1-ES215,1))</f>
        <v>0</v>
      </c>
      <c r="BT215" s="1">
        <f t="shared" si="216"/>
        <v>0</v>
      </c>
      <c r="BU215" s="1">
        <f>IF(D215="",0,MIN(IF(Boss参数!$B$77=1,Boss参数!$B$63*Boss参数!$B$62,Boss参数!$B$61*Boss参数!$B$62),DW215+ROUNDDOWN(BS215,0)+ROUNDDOWN(DW215*Q215,0)))</f>
        <v>0</v>
      </c>
      <c r="BV215" s="1">
        <f>IF(D215="",0,MIN(IF(Boss参数!$B$77=1,Boss参数!$B$63*Boss参数!$B$62,Boss参数!$B$61*Boss参数!$B$62),DX215+ROUNDDOWN(BT215,0)+ROUNDDOWN(DX215*Q215,0)))</f>
        <v>0</v>
      </c>
      <c r="BW215" s="1">
        <f t="shared" si="217"/>
        <v>0</v>
      </c>
      <c r="BX215" s="1" t="str">
        <f t="shared" si="218"/>
        <v/>
      </c>
      <c r="BY215" s="1">
        <f t="shared" si="219"/>
        <v>2</v>
      </c>
      <c r="BZ215" s="1">
        <f t="shared" si="220"/>
        <v>1</v>
      </c>
      <c r="CA215" s="1">
        <f>MIN(10,W215+IF(AND(L215="LILYA_COBRA",COUNTIF($L$3:L215,"LILYA_COBRA")=1),5,0)+IF(AND(L215="LILYA_DIVE",U215=1,COUNTIFS($DG$3:DG215,DG215,$L$3:L215,"LILYA_DIVE")=1),2,0)+IF(AND(FE215=1,U215=1),3,0))</f>
        <v>10</v>
      </c>
      <c r="CB215" s="1">
        <f>MIN(20,MAX(0,X215+IF(L215="LILYA_COBRA",IF(COUNTIF($L$3:L215,"LILYA_COBRA")=1,6,IF(U215=1,MAX(1,G215),IF(U215=2,2*MAX(1,G215),0))),0)+IF(AND(Y215=1,E215="红弩箭",L215&lt;&gt;"ENTER_INSIGHT"),1,0)-IF(AND(L215="LILYA_ULT",X215&gt;=6),6,0)))</f>
        <v>13</v>
      </c>
      <c r="CC215" s="1">
        <f t="shared" si="221"/>
        <v>0</v>
      </c>
      <c r="CD215" s="1">
        <f t="shared" si="222"/>
        <v>0</v>
      </c>
      <c r="CE215" s="1">
        <f t="shared" si="223"/>
        <v>0</v>
      </c>
      <c r="CF215" s="1">
        <f t="shared" si="224"/>
        <v>10</v>
      </c>
      <c r="CG215" s="1">
        <f t="shared" si="225"/>
        <v>1</v>
      </c>
      <c r="CH215" s="1">
        <f>MIN(35,AD215+IF(L215="J_HARD",6,0)+IF(L215="J_COUNTER",Boss参数!$B$30,0))</f>
        <v>35</v>
      </c>
      <c r="CI215" s="1">
        <f>MIN(Boss参数!$I$4,AE215+IF(L215="J_HARD",6,0)+IF(L215="J_ULT",AD215,0)+IF(L215="J_COUNTER",Boss参数!$B$30,0))</f>
        <v>0</v>
      </c>
      <c r="CJ215" s="1">
        <f>IF(L215="J_ULT",AD215*Boss参数!$B$41,IF(B215&lt;=AG215,AF215,0))</f>
        <v>0.875</v>
      </c>
      <c r="CK215" s="1">
        <f t="shared" si="226"/>
        <v>9</v>
      </c>
      <c r="CL215" s="1">
        <f t="shared" si="227"/>
        <v>9</v>
      </c>
      <c r="CM215" s="1">
        <f t="shared" si="228"/>
        <v>8</v>
      </c>
      <c r="CN215" s="1">
        <f t="shared" si="229"/>
        <v>9</v>
      </c>
      <c r="CO215" s="1">
        <f t="shared" si="230"/>
        <v>8</v>
      </c>
      <c r="CP215" s="1">
        <f t="shared" si="231"/>
        <v>3</v>
      </c>
      <c r="CQ215" s="1">
        <f t="shared" si="232"/>
        <v>30</v>
      </c>
      <c r="CR215" s="1">
        <f t="shared" si="233"/>
        <v>9</v>
      </c>
      <c r="CS215" s="1">
        <f t="shared" si="234"/>
        <v>0</v>
      </c>
      <c r="CT215" s="1" t="e">
        <f t="shared" si="235"/>
        <v>#VALUE!</v>
      </c>
      <c r="CU215" s="1" t="e">
        <f t="shared" si="236"/>
        <v>#VALUE!</v>
      </c>
      <c r="CV215" s="1">
        <f t="shared" si="237"/>
        <v>0.3</v>
      </c>
      <c r="CW215" s="1">
        <f t="shared" si="238"/>
        <v>9</v>
      </c>
      <c r="CX215" s="1">
        <f t="shared" si="239"/>
        <v>0.3</v>
      </c>
      <c r="CY215" s="1">
        <f t="shared" si="240"/>
        <v>9</v>
      </c>
      <c r="CZ215" s="1"/>
      <c r="DA215" s="1"/>
      <c r="DB215" s="1"/>
      <c r="DC215" s="1"/>
      <c r="DD215" s="1"/>
      <c r="DE215" s="1"/>
      <c r="DF215" s="1"/>
      <c r="DG215" s="1" t="str">
        <f>IF(D215="","",行动模拟!B221)</f>
        <v/>
      </c>
      <c r="DH215" s="1" t="str">
        <f>IF(L215="END_TURN","回合结束",IF(D215="","",IF(INDEX(回合状态!$C$7:$C$17,MATCH(DG215,回合状态!$A$7:$A$17,0))="洞穿","洞穿",IF(OR(L215="J_COUNTER",L215="BOSS_ACTION",L215="BOSS_CONSERVATIVE"),"敌方",IF(AND(L215="37_FOLLOW",DG215=DG214,DH214="敌方"),"敌方",IF(INDEX(回合状态!$C$7:$C$17,MATCH(DG215,回合状态!$A$7:$A$17,0))="普通","出牌",INDEX(回合状态!$C$7:$C$17,MATCH(DG215,回合状态!$A$7:$A$17,0))))))))</f>
        <v/>
      </c>
      <c r="DI215" s="1">
        <f t="shared" si="241"/>
        <v>0</v>
      </c>
      <c r="DJ215" s="1">
        <f>IF(D215="",0,MIN(Boss参数!$B$25,IF(OR(AND(DH215="敌方",OR(DH214&lt;&gt;"敌方",DG215&lt;&gt;DG214)),AND(L215="END_TURN",DH215&lt;&gt;"洞穿"),AND(DG215&lt;&gt;DG214,DH214&lt;&gt;"洞穿",L214&lt;&gt;"END_TURN",COUNTIFS($DG$3:DG214,DG214,$DH$3:DH214,"敌方")=0)),EW215,DN214)))</f>
        <v>0</v>
      </c>
      <c r="DK215" s="1">
        <f>IF(D215="",0,MIN(Boss参数!$B$25,IF(OR(AND(DH215="敌方",OR(DH214&lt;&gt;"敌方",DG215&lt;&gt;DG214)),AND(L215="END_TURN",DH215&lt;&gt;"洞穿"),AND(DG215&lt;&gt;DG214,DH214&lt;&gt;"洞穿",L214&lt;&gt;"END_TURN",COUNTIFS($DG$3:DG214,DG214,$DH$3:DH214,"敌方")=0)),EW215,DO214)))</f>
        <v>0</v>
      </c>
      <c r="DL215" s="1">
        <f>IF(D215="",0,MIN(Boss参数!$B$25,IF(OR(AND(DH215="敌方",OR(DH214&lt;&gt;"敌方",DG215&lt;&gt;DG214)),AND(L215="END_TURN",DH215&lt;&gt;"洞穿"),AND(DG215&lt;&gt;DG214,DH214&lt;&gt;"洞穿",L214&lt;&gt;"END_TURN",COUNTIFS($DG$3:DG214,DG214,$DH$3:DH214,"敌方")=0)),EW215,DP214)))</f>
        <v>0</v>
      </c>
      <c r="DM215" s="1">
        <f>IF(D215="",0,MIN(Boss参数!$B$25,IF(OR(AND(DH215="敌方",OR(DH214&lt;&gt;"敌方",DG215&lt;&gt;DG214)),AND(L215="END_TURN",DH215&lt;&gt;"洞穿"),AND(DG215&lt;&gt;DG214,DH214&lt;&gt;"洞穿",L214&lt;&gt;"END_TURN",COUNTIFS($DG$3:DG214,DG214,$DH$3:DH214,"敌方")=0)),EW215,DQ214)))</f>
        <v>0</v>
      </c>
      <c r="DN215" s="1">
        <f>MAX(0,MIN(Boss参数!$B$25,DJ215+DR215)-IF(E215="红弩箭",2*DR215,0))</f>
        <v>0</v>
      </c>
      <c r="DO215" s="1">
        <f>MAX(0,MIN(Boss参数!$B$25,DK215+DR215)-IF(E215="37",2*DR215,0))</f>
        <v>0</v>
      </c>
      <c r="DP215" s="1">
        <f>MAX(0,MIN(Boss参数!$B$25,DL215+DR215)-IF(E215="小瑞安侬",2*DR215,0))</f>
        <v>0</v>
      </c>
      <c r="DQ215" s="1">
        <f>MAX(0,MIN(Boss参数!$B$25,DM215+DR215)-IF(E215="J",2*DR215,0))</f>
        <v>0</v>
      </c>
      <c r="DR215" s="1">
        <f t="shared" si="242"/>
        <v>0</v>
      </c>
      <c r="DS215" s="1">
        <f t="shared" si="243"/>
        <v>0</v>
      </c>
      <c r="DT215" s="1">
        <f>IF(OR(E215="",E215="系统"),0,IF(OR(AND(DS215=1,Boss参数!$B$32=1),L215="RHI_BERRY",OR(AND(INDEX(角色面板!$B$18:$B$21,MATCH(E215,角色面板!$A$18:$A$21,0))="星",Boss参数!$B$4="岩"),AND(INDEX(角色面板!$B$18:$B$21,MATCH(E215,角色面板!$A$18:$A$21,0))="岩",Boss参数!$B$4="兽"),AND(INDEX(角色面板!$B$18:$B$21,MATCH(E215,角色面板!$A$18:$A$21,0))="兽",Boss参数!$B$4="木"),AND(INDEX(角色面板!$B$18:$B$21,MATCH(E215,角色面板!$A$18:$A$21,0))="木",Boss参数!$B$4="星"),AND(INDEX(角色面板!$B$18:$B$21,MATCH(E215,角色面板!$A$18:$A$21,0))="智",Boss参数!$B$4="灵"),AND(INDEX(角色面板!$B$18:$B$21,MATCH(E215,角色面板!$A$18:$A$21,0))="灵",Boss参数!$B$4="智"))),1,0))</f>
        <v>0</v>
      </c>
      <c r="DU215" s="1">
        <f>IF(D215="",0,INDEX(回合状态!$E$7:$E$17,MATCH(DG215,回合状态!$A$7:$A$17,0))+IF(AND(DH215="敌方",OR(INDEX(回合状态!$C$7:$C$17,MATCH(DG215,回合状态!$A$7:$A$17,0))="普通",INDEX(回合状态!$C$7:$C$17,MATCH(DG215,回合状态!$A$7:$A$17,0))="额外")),0.05,0))</f>
        <v>0</v>
      </c>
      <c r="DV215" s="1">
        <f>MAX(Boss参数!$B$28,1+IF(AND(E215="37",AC215&gt;0,BH215&gt;0),Boss参数!$B$42,0)-DI215*Boss参数!$B$24+EA215-ER215)</f>
        <v>9.9999999999999978E-2</v>
      </c>
      <c r="DW215" s="1">
        <f>MIN(IF(Boss参数!$B$77=1,Boss参数!$B$63*Boss参数!$B$62,Boss参数!$B$61*Boss参数!$B$62),ROUNDDOWN(BQ215*(1-ES215),0))</f>
        <v>0</v>
      </c>
      <c r="DX215" s="1">
        <f>MIN(IF(Boss参数!$B$77=1,Boss参数!$B$63*Boss参数!$B$62,Boss参数!$B$61*Boss参数!$B$62),ROUNDDOWN(BR215*(1-ES215),0))</f>
        <v>0</v>
      </c>
      <c r="DY215" s="1">
        <f t="shared" si="275"/>
        <v>250</v>
      </c>
      <c r="DZ215" s="1">
        <f>IF(L215="RHI_ULT",MIN(Boss参数!$B$48,ROUNDDOWN(AY215*Boss参数!$B$47,0)),DY215)</f>
        <v>250</v>
      </c>
      <c r="EA215" s="1">
        <v>0</v>
      </c>
      <c r="EB215" s="1">
        <f t="shared" si="244"/>
        <v>0</v>
      </c>
      <c r="EC215" s="1">
        <f>SUMIFS($EB$3:EB215,$B$3:B215,"&gt;="&amp;MAX(1,B215-2),$B$3:B215,"&lt;="&amp;B215)*Boss参数!$B$51</f>
        <v>0</v>
      </c>
      <c r="ED215" s="1">
        <f>IF(D215="",EG214,IF(AND(DG215&lt;&gt;DG214,DH215&lt;&gt;"洞穿"),MIN(Boss参数!$B$55,EG214+2),EG214))</f>
        <v>0</v>
      </c>
      <c r="EE215" s="1">
        <f t="shared" si="245"/>
        <v>0</v>
      </c>
      <c r="EF215" s="1">
        <f>IF(AND(OR(L215="END_TURN",AND(DH215="敌方",OR(DH214&lt;&gt;"敌方",DG215&lt;&gt;DG214))),SUMIFS($EF$3:EF214,$DG$3:DG214,DG215)=0),MIN(1,MAX(0,ED215-EE215)),0)</f>
        <v>0</v>
      </c>
      <c r="EG215" s="1">
        <f t="shared" si="246"/>
        <v>0</v>
      </c>
      <c r="EH215" s="1">
        <f>Boss参数!$B$53-IF(Y215=1,Boss参数!$B$54,0)</f>
        <v>0</v>
      </c>
      <c r="EI215" s="1">
        <f t="shared" si="247"/>
        <v>0.15</v>
      </c>
      <c r="EJ215" s="1">
        <f t="shared" si="248"/>
        <v>0.15</v>
      </c>
      <c r="EK215" s="1" t="e">
        <f t="shared" si="249"/>
        <v>#VALUE!</v>
      </c>
      <c r="EL215" s="1">
        <f t="shared" si="276"/>
        <v>0</v>
      </c>
      <c r="EM215" s="1">
        <f>IF(AND(DG215&lt;&gt;DG214,DH215="洞穿"),0,IF(L215="ENTER_INSIGHT",Boss参数!$B$57,EO214))</f>
        <v>0</v>
      </c>
      <c r="EN215" s="1">
        <f>IF(AND(Y215=1,H215="洞知",EM215&gt;0),Boss参数!$B$56,0)</f>
        <v>0</v>
      </c>
      <c r="EO215" s="1">
        <f t="shared" si="250"/>
        <v>0</v>
      </c>
      <c r="EP215" s="1">
        <f t="shared" si="277"/>
        <v>23210479</v>
      </c>
      <c r="EQ215" s="1">
        <f>ROUNDDOWN(EP215/Boss参数!$B$62,0)</f>
        <v>232</v>
      </c>
      <c r="ER215" s="1">
        <f>IF(EQ215&gt;=Boss参数!$B$66,Boss参数!$B$69,IF(EQ215&gt;=Boss参数!$B$65,Boss参数!$B$68,IF(EQ215&gt;=Boss参数!$B$64,Boss参数!$B$67,0)))</f>
        <v>0.9</v>
      </c>
      <c r="ES215" s="1">
        <f>MIN(1,IF(EQ215&gt;=Boss参数!$B$66,Boss参数!$B$72+ROUNDDOWN((EQ215-Boss参数!$B$66)/Boss参数!$B$73,0)*Boss参数!$B$74,IF(EQ215&gt;=Boss参数!$B$65,Boss参数!$B$71,IF(EQ215&gt;=Boss参数!$B$64,Boss参数!$B$70,0))))</f>
        <v>0.65</v>
      </c>
      <c r="ET215" s="1">
        <f>MIN(Boss参数!$B$61*Boss参数!$B$62,EP215+IF(AND(Boss参数!$B$60=1,ISNUMBER(验证表!H221)),验证表!H221,EU215))</f>
        <v>23210479</v>
      </c>
      <c r="EU215" s="1">
        <f>IF(D215="",0,IF(验证表!G221="是",BV215,IF(验证表!G221="否",BU215,BW215)))</f>
        <v>0</v>
      </c>
      <c r="EV215" s="1">
        <f>IF(EQ215&gt;=Boss参数!$B$66,2,IF(EQ215&gt;=Boss参数!$B$65,1,0))</f>
        <v>2</v>
      </c>
      <c r="EW215" s="1">
        <f t="shared" si="251"/>
        <v>3</v>
      </c>
      <c r="EX215" s="1">
        <f>IF(D215="",0,INDEX(回合状态!$D$7:$D$17,MATCH(DG215,回合状态!$A$7:$A$17,0)))</f>
        <v>0</v>
      </c>
      <c r="EY215" s="1">
        <f>IF(OR(L215="RHI_ATTACK",L215="RHI_BUFF"),1,IF(L215="RHI_ULT",Boss参数!$B$52,0))</f>
        <v>0</v>
      </c>
      <c r="EZ215" s="1">
        <f>MIN(6,SUMIFS($EY$3:EY215,$EX$3:EX215,"&gt;="&amp;MAX(1,EX215-Boss参数!$B$87+1),$EX$3:EX215,"&lt;="&amp;EX215))</f>
        <v>0</v>
      </c>
      <c r="FA215" s="1">
        <f t="shared" si="278"/>
        <v>0</v>
      </c>
      <c r="FB215" s="17">
        <f>IF(L215="BOSS_CONSERVATIVE",B215+Boss参数!$B$91,FB214)</f>
        <v>7</v>
      </c>
      <c r="FC215" s="17">
        <f t="shared" si="279"/>
        <v>0</v>
      </c>
      <c r="FD215" s="17">
        <f>IF(D215="",FD214,FD214+IF(AND(DG215&lt;&gt;DG214,INDEX(回合状态!$C$7:$C$17,MATCH(DG215,回合状态!$A$7:$A$17,0))&lt;&gt;"洞穿"),1,0))</f>
        <v>8</v>
      </c>
      <c r="FE215" s="17">
        <f>IF(D215="",0,IF(AND(OR(L215="END_TURN",DH215="敌方"),INDEX(回合状态!$C$7:$C$17,MATCH(DG215,回合状态!$A$7:$A$17,0))&lt;&gt;"洞穿",SUMIFS($FE$3:FE214,$DG$3:DG214,DG215)=0),1,0))</f>
        <v>0</v>
      </c>
    </row>
    <row r="216" spans="1:161" ht="84.95" customHeight="1">
      <c r="A216" s="1" t="str">
        <f>行动模拟!A222</f>
        <v/>
      </c>
      <c r="B216" s="1">
        <f>IF(D216="",0,INDEX(回合状态!$B$7:$B$17,MATCH(DG216,回合状态!$A$7:$A$17,0)))</f>
        <v>0</v>
      </c>
      <c r="C216" s="1">
        <f>行动模拟!C222</f>
        <v>0</v>
      </c>
      <c r="D216" s="1" t="str">
        <f>IF(行动模拟!D222="","",行动模拟!D222)</f>
        <v/>
      </c>
      <c r="E216" s="1" t="str">
        <f>IF($D216="","",IFERROR(INDEX(技能数据库!$B$4:$B$38,MATCH($D216,技能数据库!$A$4:$A$38,0)),""))</f>
        <v/>
      </c>
      <c r="F216" s="1" t="str">
        <f>IF($D216="","",IFERROR(INDEX(技能数据库!$C$4:$C$38,MATCH($D216,技能数据库!$A$4:$A$38,0)),""))</f>
        <v/>
      </c>
      <c r="G216" s="1" t="str">
        <f>IF($D216="","",IFERROR(INDEX(技能数据库!$D$4:$D$38,MATCH($D216,技能数据库!$A$4:$A$38,0)),""))</f>
        <v/>
      </c>
      <c r="H216" s="1" t="str">
        <f>IF($D216="","",IFERROR(INDEX(技能数据库!$E$4:$E$38,MATCH($D216,技能数据库!$A$4:$A$38,0)),""))</f>
        <v/>
      </c>
      <c r="I216" s="1" t="str">
        <f>IF($D216="","",IFERROR(INDEX(技能数据库!$F$4:$F$38,MATCH($D216,技能数据库!$A$4:$A$38,0)),""))</f>
        <v/>
      </c>
      <c r="J216" s="1" t="str">
        <f>IF($D216="","",IFERROR(INDEX(技能数据库!$G$4:$G$38,MATCH($D216,技能数据库!$A$4:$A$38,0)),""))</f>
        <v/>
      </c>
      <c r="K216" s="1" t="str">
        <f>IF($D216="","",IFERROR(INDEX(技能数据库!$H$4:$H$38,MATCH($D216,技能数据库!$A$4:$A$38,0)),""))</f>
        <v/>
      </c>
      <c r="L216" s="1" t="str">
        <f>IF($D216="","",IFERROR(INDEX(技能数据库!$I$4:$I$38,MATCH($D216,技能数据库!$A$4:$A$38,0)),""))</f>
        <v/>
      </c>
      <c r="M216" s="1">
        <v>1</v>
      </c>
      <c r="N216" s="1"/>
      <c r="O216" s="1"/>
      <c r="P216" s="1"/>
      <c r="Q216" s="1">
        <f t="shared" si="210"/>
        <v>0</v>
      </c>
      <c r="R216" s="1">
        <v>0</v>
      </c>
      <c r="S216" s="1">
        <v>0</v>
      </c>
      <c r="T216" s="1">
        <f>行动模拟!I222</f>
        <v>0</v>
      </c>
      <c r="U216" s="1">
        <f>IF(FD216&lt;&gt;FD215,IF(BY215=1,IF(MIN(10,CA215+IF(AND(DG216&lt;&gt;DG215,DH215&lt;&gt;"洞穿",SUMIFS($FE$3:FE215,$DG$3:DG215,DG215)=0,BY215=1),3,0))&gt;=10,2,1),IF(BY215=2,IF(BZ215&lt;=1,0,2),0)),BY215)</f>
        <v>2</v>
      </c>
      <c r="V216" s="1">
        <f>IF(FD216&lt;&gt;FD215,IF(BY215=1,IF(MIN(10,CA215+IF(AND(DG216&lt;&gt;DG215,DH215&lt;&gt;"洞穿",SUMIFS($FE$3:FE215,$DG$3:DG215,DG215)=0,BY215=1),3,0))&gt;=10,2,0),IF(BY215=2,MAX(0,BZ215-1),0)),BZ215)</f>
        <v>1</v>
      </c>
      <c r="W216" s="1">
        <f>IF(AND(FD216&lt;&gt;FD215,BY215=2,BZ215&lt;=1),0,MIN(10,CA215+IF(AND(DG216&lt;&gt;DG215,DH215&lt;&gt;"洞穿",SUMIFS($FE$3:FE215,$DG$3:DG215,DG215)=0,BY215=1),3,0)))</f>
        <v>10</v>
      </c>
      <c r="X216" s="1">
        <f t="shared" si="252"/>
        <v>13</v>
      </c>
      <c r="Y216" s="1">
        <f t="shared" si="253"/>
        <v>0</v>
      </c>
      <c r="Z216" s="1">
        <f t="shared" si="254"/>
        <v>0</v>
      </c>
      <c r="AA216" s="1">
        <f t="shared" si="255"/>
        <v>0</v>
      </c>
      <c r="AB216" s="1">
        <f t="shared" si="256"/>
        <v>10</v>
      </c>
      <c r="AC216" s="1">
        <f t="shared" si="257"/>
        <v>1</v>
      </c>
      <c r="AD216" s="1">
        <f t="shared" si="258"/>
        <v>35</v>
      </c>
      <c r="AE216" s="1">
        <f>IF(D216="",0,IF(DG216&lt;&gt;DG215,IFERROR(INDEX(回合状态!$F$7:$F$17,MATCH(DG216,回合状态!$A$7:$A$17,0)),0),CI215))</f>
        <v>0</v>
      </c>
      <c r="AF216" s="1">
        <f t="shared" si="259"/>
        <v>0.875</v>
      </c>
      <c r="AG216" s="1">
        <f t="shared" si="260"/>
        <v>9</v>
      </c>
      <c r="AH216" s="1">
        <f t="shared" si="261"/>
        <v>9</v>
      </c>
      <c r="AI216" s="1">
        <f t="shared" si="262"/>
        <v>8</v>
      </c>
      <c r="AJ216" s="1">
        <f t="shared" si="263"/>
        <v>9</v>
      </c>
      <c r="AK216" s="1">
        <f t="shared" si="264"/>
        <v>8</v>
      </c>
      <c r="AL216" s="1">
        <f t="shared" si="265"/>
        <v>3</v>
      </c>
      <c r="AM216" s="1">
        <f t="shared" si="266"/>
        <v>30</v>
      </c>
      <c r="AN216" s="1">
        <f t="shared" si="267"/>
        <v>9</v>
      </c>
      <c r="AO216" s="1">
        <f t="shared" si="268"/>
        <v>0</v>
      </c>
      <c r="AP216" s="1" t="e">
        <f t="shared" si="269"/>
        <v>#VALUE!</v>
      </c>
      <c r="AQ216" s="1" t="e">
        <f t="shared" si="270"/>
        <v>#VALUE!</v>
      </c>
      <c r="AR216" s="1">
        <f t="shared" si="271"/>
        <v>0.3</v>
      </c>
      <c r="AS216" s="1">
        <f t="shared" si="272"/>
        <v>9</v>
      </c>
      <c r="AT216" s="1">
        <f t="shared" si="273"/>
        <v>0.3</v>
      </c>
      <c r="AU216" s="1">
        <f t="shared" si="274"/>
        <v>9</v>
      </c>
      <c r="AV216" s="1">
        <f>MIN(5,SUMIFS($EL$3:EL216,$B$3:B216,"&gt;="&amp;MAX(1,B216-2),$B$3:B216,"&lt;="&amp;B216)+EC216)</f>
        <v>0</v>
      </c>
      <c r="AW216" s="1">
        <f>MIN(6,SUMIFS($EY$3:EY215,$EX$3:EX215,"&gt;="&amp;MAX(1,EX216-Boss参数!$B$87+1),$EX$3:EX215,"&lt;="&amp;EX216))</f>
        <v>0</v>
      </c>
      <c r="AX216" s="1">
        <f>MIN(4,COUNTIFS($B$3:$B$215,"&gt;="&amp;MAX(1,$B216-2),$B$3:$B$215,"&lt;="&amp;$B216,$L$3:$L$215,"37_FOLLOW"))</f>
        <v>0</v>
      </c>
      <c r="AY216" s="1" t="str">
        <f>IF($E216="","",IF($E216="系统",0,ROUNDDOWN(INDEX(角色面板!$C$4:$C$7,MATCH($E216,角色面板!$A$4:$A$7,0))*(1+INDEX(角色面板!$C$11:$C$14,MATCH($E216,角色面板!$A$11:$A$14,0))+IF($E216="小瑞安侬",MAX(IF($B216&lt;=$AQ216,$AP216,0),IF(AND($L216="RHI_ATTACK",$EE216&gt;0),0.11+0.01*$G216,0)),0)+IF($E216="J",$AD216*Boss参数!$B$18,0))+IF(FD216&lt;=$AN216,MIN(Boss参数!$B$21,ROUNDDOWN(角色面板!$C$19*Boss参数!$B$20,0)),0)+IF(AND($B216&lt;=$AK216,$E216&lt;&gt;"小瑞安侬"),$DY216,0),0)))</f>
        <v/>
      </c>
      <c r="AZ216" s="1" t="str">
        <f>IF($E216="","",MAX(0,MIN(1,IFERROR(INDEX(角色面板!$G$18:$G$21,MATCH($E216,角色面板!$A$18:$A$21,0)),0)-FC216*Boss参数!$B$89-Boss参数!$E$4)))</f>
        <v/>
      </c>
      <c r="BA216" s="1" t="str">
        <f>IF(E216="","",(IF($E216="","",IF($E216="红弩箭",Boss参数!$B$80,IF($E216="J",Boss参数!$B$81,IFERROR(INDEX(角色面板!$H$18:$H$21,MATCH($E216,角色面板!$A$18:$A$21,0)),0)))+IF($B216&lt;=$AI216,Boss参数!$B$13,0)+MIN(30,$AM216)*Boss参数!$B$17+IF(AND($L216="LILYA_ULT",$X216&gt;=6),1,0)+IF(AND($Y216=1,$L216="LILYA_INSIGHT"),IF(MOD($AA216+1,3)=0,Boss参数!$B$83,Boss参数!$B$82),IF(AND($Y216=1,$L216="LILYA_FINISH"),Boss参数!$B$84,0))))-FC216*Boss参数!$B$90)</f>
        <v/>
      </c>
      <c r="BB216" s="1" t="str">
        <f>IF($E216="","",IFERROR(INDEX(角色面板!$M$18:$M$21,MATCH($E216,角色面板!$A$18:$A$21,0)),0)+$AW216*Boss参数!$B$12+IF($B216&lt;=$AG216,$AF216,0)+$EI216+IF($L216="LILYA_DIVE",IF($U216=1,IF($G216=1,0.3,IF($G216=2,0.4,0.5)),IF($U216=2,IF($G216=1,0.6,IF($G216=2,0.8,1)),0)),0)+$R216+IF(AND($E216="J",OR($L216="J_COUNTER",$L216="J_HARD")),Boss参数!$B$79,0)+IF(AND(OR(L216="J_COUNTER",L216="J_HARD"),FA216&gt;=Boss参数!$B$59),FA216*Boss参数!$B$40,0))</f>
        <v/>
      </c>
      <c r="BC216" s="1" t="e">
        <f>IF($E216="","",IFERROR(INDEX(角色面板!$K$18:$K$21,MATCH($E216,角色面板!$A$18:$A$21,0)),0)+IF($B216&lt;=$AH216,Boss参数!$B$46,0)+IF($E216="红弩箭",IF($U216=1,0.6,IF($U216=2,1.2,0))+$W216*0.06,0))-DI216*Boss参数!$B$23</f>
        <v>#VALUE!</v>
      </c>
      <c r="BD216" s="1" t="e">
        <f>IF($E216="","",IFERROR(INDEX(角色面板!$L$18:$L$21,MATCH($E216,角色面板!$A$18:$A$21,0)),0)+IF($B216&lt;=$AH216,Boss参数!$B$46,0)+IF($E216="J",$AL216*Boss参数!$B$16,0)+IF($E216="红弩箭",$X216*0.025,0)+IF(AND($L216="LILYA_ULT",$X216&gt;=6),1,0))-DI216*Boss参数!$B$23</f>
        <v>#VALUE!</v>
      </c>
      <c r="BE216" s="1" t="str">
        <f>IF($E216="","",IF($H216="洞知",IF($E216="红弩箭",$AO216*Boss参数!$B$15,0)+$AX216*Boss参数!$B$14,0))</f>
        <v/>
      </c>
      <c r="BF216" s="1">
        <f t="shared" si="211"/>
        <v>0</v>
      </c>
      <c r="BG216" s="1">
        <f>IF($D216="",0,IF(AND($L216&lt;&gt;"LILYA_DIVE",$L216&lt;&gt;"LILYA_ULT",$L216&lt;&gt;"LILYA_INSIGHT",$L216&lt;&gt;"LILYA_FINISH",$L216&lt;&gt;"37_FOLLOW",$L216&lt;&gt;"RHI_ATTACK",$L216&lt;&gt;"RHI_BERRY",$L216&lt;&gt;"J_COUNTER",$L216&lt;&gt;"J_ULT"),$J216,0)+IF($L216="LILYA_DIVE",$J216+IF($U216=1,IF($G216=1,6,IF($G216=2,12,18)),IF($U216=2,IF($G216=1,12,IF($G216=2,24,36)),0)),0)+IF($L216="LILYA_ULT",$J216+IF($X216&gt;=6,18,0),0)+IF($L216="LILYA_INSIGHT",IF($Y216=1,IF(MOD($AA216+1,3)=0,32,15),0),0)+IF($L216="LILYA_FINISH",IF($Y216=1,50+2.5*$Z216,0),0)+IF($L216="37_FOLLOW",$J216,0)+IF($L216="RHI_ATTACK",$J216*IF($B216&lt;=$AJ216,2,1),0)+IF($L216="RHI_BERRY",15+1.5*$AV216,0)+IF($L216="J_COUNTER",$J216+$AD216*Boss参数!$B$39,0)+IF($L216="J_ULT",$J216+Boss参数!$B$45*MAX(0,$AE216+$AD216-Boss参数!$I$4),0)+$S216)</f>
        <v>0</v>
      </c>
      <c r="BH216" s="1">
        <f t="shared" si="212"/>
        <v>0</v>
      </c>
      <c r="BI216" s="1" t="str">
        <f>IF(E216="","",IF(DT216=1,1+Boss参数!$B$8+AV216*Boss参数!$B$19,1))</f>
        <v/>
      </c>
      <c r="BJ216" s="1">
        <f>IF($I216="现实",Boss参数!$C$4,IF($I216="精神",Boss参数!$D$4,0))</f>
        <v>0</v>
      </c>
      <c r="BK216" s="1" t="str">
        <f>IF($E216="","",MAX($AY216*Boss参数!$B$9,$AY216-$BJ216*(1-$BF216)))</f>
        <v/>
      </c>
      <c r="BL216" s="1">
        <f>MAX(0,Boss参数!$F$4+IF(DT216=0,Boss参数!$B$27,0)-EJ216)</f>
        <v>1.25</v>
      </c>
      <c r="BM216" s="1">
        <f>Boss参数!$G$4+DU216-IF(Y216=1,Boss参数!$B$11,0)</f>
        <v>0.4</v>
      </c>
      <c r="BN216" s="1" t="str">
        <f>IF($E216="","",MAX(Boss参数!$B$10,1+IFERROR(INDEX(角色面板!$I$18:$I$21,MATCH($E216,角色面板!$A$18:$A$21,0)),0)+$BB216+Boss参数!$H$4-$BM216))</f>
        <v/>
      </c>
      <c r="BO216" s="1" t="str">
        <f>IF(E216="","",IF(OR(L216="J_COUNTER",L216="J_HARD"),MAX(0,1+INDEX(角色面板!$K$18:$K$21,MATCH(E216,角色面板!$A$18:$A$21,0))-DI216*Boss参数!$B$23+IF(OR(Boss参数!$B$43=1,L216="J_HARD"),IF(B216&lt;=AH216,Boss参数!$B$46,0),0)),MAX(0,IF(OR(H216="术法",L216="RHI_BERRY",AND(L216="37_FOLLOW",Boss参数!$B$31=1)),1+BC216,IF(H216="仪式",1+BD216,IF(H216="洞知",EK216,1))))))</f>
        <v/>
      </c>
      <c r="BP216" s="1" t="str">
        <f t="shared" si="213"/>
        <v/>
      </c>
      <c r="BQ216" s="1">
        <f t="shared" si="214"/>
        <v>0</v>
      </c>
      <c r="BR216" s="1">
        <f t="shared" si="215"/>
        <v>0</v>
      </c>
      <c r="BS216" s="1">
        <f>IF(BH216=0,0,ROUNDDOWN(AY216*BH216,0)*DV216*IF(Boss参数!$B$29=1,BN216,1)*IF(Boss参数!$B$33=1,BO216,1)*IF(Boss参数!$B$76=1,1-ES216,1))</f>
        <v>0</v>
      </c>
      <c r="BT216" s="1">
        <f t="shared" si="216"/>
        <v>0</v>
      </c>
      <c r="BU216" s="1">
        <f>IF(D216="",0,MIN(IF(Boss参数!$B$77=1,Boss参数!$B$63*Boss参数!$B$62,Boss参数!$B$61*Boss参数!$B$62),DW216+ROUNDDOWN(BS216,0)+ROUNDDOWN(DW216*Q216,0)))</f>
        <v>0</v>
      </c>
      <c r="BV216" s="1">
        <f>IF(D216="",0,MIN(IF(Boss参数!$B$77=1,Boss参数!$B$63*Boss参数!$B$62,Boss参数!$B$61*Boss参数!$B$62),DX216+ROUNDDOWN(BT216,0)+ROUNDDOWN(DX216*Q216,0)))</f>
        <v>0</v>
      </c>
      <c r="BW216" s="1">
        <f t="shared" si="217"/>
        <v>0</v>
      </c>
      <c r="BX216" s="1" t="str">
        <f t="shared" si="218"/>
        <v/>
      </c>
      <c r="BY216" s="1">
        <f t="shared" si="219"/>
        <v>2</v>
      </c>
      <c r="BZ216" s="1">
        <f t="shared" si="220"/>
        <v>1</v>
      </c>
      <c r="CA216" s="1">
        <f>MIN(10,W216+IF(AND(L216="LILYA_COBRA",COUNTIF($L$3:L216,"LILYA_COBRA")=1),5,0)+IF(AND(L216="LILYA_DIVE",U216=1,COUNTIFS($DG$3:DG216,DG216,$L$3:L216,"LILYA_DIVE")=1),2,0)+IF(AND(FE216=1,U216=1),3,0))</f>
        <v>10</v>
      </c>
      <c r="CB216" s="1">
        <f>MIN(20,MAX(0,X216+IF(L216="LILYA_COBRA",IF(COUNTIF($L$3:L216,"LILYA_COBRA")=1,6,IF(U216=1,MAX(1,G216),IF(U216=2,2*MAX(1,G216),0))),0)+IF(AND(Y216=1,E216="红弩箭",L216&lt;&gt;"ENTER_INSIGHT"),1,0)-IF(AND(L216="LILYA_ULT",X216&gt;=6),6,0)))</f>
        <v>13</v>
      </c>
      <c r="CC216" s="1">
        <f t="shared" si="221"/>
        <v>0</v>
      </c>
      <c r="CD216" s="1">
        <f t="shared" si="222"/>
        <v>0</v>
      </c>
      <c r="CE216" s="1">
        <f t="shared" si="223"/>
        <v>0</v>
      </c>
      <c r="CF216" s="1">
        <f t="shared" si="224"/>
        <v>10</v>
      </c>
      <c r="CG216" s="1">
        <f t="shared" si="225"/>
        <v>1</v>
      </c>
      <c r="CH216" s="1">
        <f>MIN(35,AD216+IF(L216="J_HARD",6,0)+IF(L216="J_COUNTER",Boss参数!$B$30,0))</f>
        <v>35</v>
      </c>
      <c r="CI216" s="1">
        <f>MIN(Boss参数!$I$4,AE216+IF(L216="J_HARD",6,0)+IF(L216="J_ULT",AD216,0)+IF(L216="J_COUNTER",Boss参数!$B$30,0))</f>
        <v>0</v>
      </c>
      <c r="CJ216" s="1">
        <f>IF(L216="J_ULT",AD216*Boss参数!$B$41,IF(B216&lt;=AG216,AF216,0))</f>
        <v>0.875</v>
      </c>
      <c r="CK216" s="1">
        <f t="shared" si="226"/>
        <v>9</v>
      </c>
      <c r="CL216" s="1">
        <f t="shared" si="227"/>
        <v>9</v>
      </c>
      <c r="CM216" s="1">
        <f t="shared" si="228"/>
        <v>8</v>
      </c>
      <c r="CN216" s="1">
        <f t="shared" si="229"/>
        <v>9</v>
      </c>
      <c r="CO216" s="1">
        <f t="shared" si="230"/>
        <v>8</v>
      </c>
      <c r="CP216" s="1">
        <f t="shared" si="231"/>
        <v>3</v>
      </c>
      <c r="CQ216" s="1">
        <f t="shared" si="232"/>
        <v>30</v>
      </c>
      <c r="CR216" s="1">
        <f t="shared" si="233"/>
        <v>9</v>
      </c>
      <c r="CS216" s="1">
        <f t="shared" si="234"/>
        <v>0</v>
      </c>
      <c r="CT216" s="1" t="e">
        <f t="shared" si="235"/>
        <v>#VALUE!</v>
      </c>
      <c r="CU216" s="1" t="e">
        <f t="shared" si="236"/>
        <v>#VALUE!</v>
      </c>
      <c r="CV216" s="1">
        <f t="shared" si="237"/>
        <v>0.3</v>
      </c>
      <c r="CW216" s="1">
        <f t="shared" si="238"/>
        <v>9</v>
      </c>
      <c r="CX216" s="1">
        <f t="shared" si="239"/>
        <v>0.3</v>
      </c>
      <c r="CY216" s="1">
        <f t="shared" si="240"/>
        <v>9</v>
      </c>
      <c r="CZ216" s="1"/>
      <c r="DA216" s="1"/>
      <c r="DB216" s="1"/>
      <c r="DC216" s="1"/>
      <c r="DD216" s="1"/>
      <c r="DE216" s="1"/>
      <c r="DF216" s="1"/>
      <c r="DG216" s="1" t="str">
        <f>IF(D216="","",行动模拟!B222)</f>
        <v/>
      </c>
      <c r="DH216" s="1" t="str">
        <f>IF(L216="END_TURN","回合结束",IF(D216="","",IF(INDEX(回合状态!$C$7:$C$17,MATCH(DG216,回合状态!$A$7:$A$17,0))="洞穿","洞穿",IF(OR(L216="J_COUNTER",L216="BOSS_ACTION",L216="BOSS_CONSERVATIVE"),"敌方",IF(AND(L216="37_FOLLOW",DG216=DG215,DH215="敌方"),"敌方",IF(INDEX(回合状态!$C$7:$C$17,MATCH(DG216,回合状态!$A$7:$A$17,0))="普通","出牌",INDEX(回合状态!$C$7:$C$17,MATCH(DG216,回合状态!$A$7:$A$17,0))))))))</f>
        <v/>
      </c>
      <c r="DI216" s="1">
        <f t="shared" si="241"/>
        <v>0</v>
      </c>
      <c r="DJ216" s="1">
        <f>IF(D216="",0,MIN(Boss参数!$B$25,IF(OR(AND(DH216="敌方",OR(DH215&lt;&gt;"敌方",DG216&lt;&gt;DG215)),AND(L216="END_TURN",DH216&lt;&gt;"洞穿"),AND(DG216&lt;&gt;DG215,DH215&lt;&gt;"洞穿",L215&lt;&gt;"END_TURN",COUNTIFS($DG$3:DG215,DG215,$DH$3:DH215,"敌方")=0)),EW216,DN215)))</f>
        <v>0</v>
      </c>
      <c r="DK216" s="1">
        <f>IF(D216="",0,MIN(Boss参数!$B$25,IF(OR(AND(DH216="敌方",OR(DH215&lt;&gt;"敌方",DG216&lt;&gt;DG215)),AND(L216="END_TURN",DH216&lt;&gt;"洞穿"),AND(DG216&lt;&gt;DG215,DH215&lt;&gt;"洞穿",L215&lt;&gt;"END_TURN",COUNTIFS($DG$3:DG215,DG215,$DH$3:DH215,"敌方")=0)),EW216,DO215)))</f>
        <v>0</v>
      </c>
      <c r="DL216" s="1">
        <f>IF(D216="",0,MIN(Boss参数!$B$25,IF(OR(AND(DH216="敌方",OR(DH215&lt;&gt;"敌方",DG216&lt;&gt;DG215)),AND(L216="END_TURN",DH216&lt;&gt;"洞穿"),AND(DG216&lt;&gt;DG215,DH215&lt;&gt;"洞穿",L215&lt;&gt;"END_TURN",COUNTIFS($DG$3:DG215,DG215,$DH$3:DH215,"敌方")=0)),EW216,DP215)))</f>
        <v>0</v>
      </c>
      <c r="DM216" s="1">
        <f>IF(D216="",0,MIN(Boss参数!$B$25,IF(OR(AND(DH216="敌方",OR(DH215&lt;&gt;"敌方",DG216&lt;&gt;DG215)),AND(L216="END_TURN",DH216&lt;&gt;"洞穿"),AND(DG216&lt;&gt;DG215,DH215&lt;&gt;"洞穿",L215&lt;&gt;"END_TURN",COUNTIFS($DG$3:DG215,DG215,$DH$3:DH215,"敌方")=0)),EW216,DQ215)))</f>
        <v>0</v>
      </c>
      <c r="DN216" s="1">
        <f>MAX(0,MIN(Boss参数!$B$25,DJ216+DR216)-IF(E216="红弩箭",2*DR216,0))</f>
        <v>0</v>
      </c>
      <c r="DO216" s="1">
        <f>MAX(0,MIN(Boss参数!$B$25,DK216+DR216)-IF(E216="37",2*DR216,0))</f>
        <v>0</v>
      </c>
      <c r="DP216" s="1">
        <f>MAX(0,MIN(Boss参数!$B$25,DL216+DR216)-IF(E216="小瑞安侬",2*DR216,0))</f>
        <v>0</v>
      </c>
      <c r="DQ216" s="1">
        <f>MAX(0,MIN(Boss参数!$B$25,DM216+DR216)-IF(E216="J",2*DR216,0))</f>
        <v>0</v>
      </c>
      <c r="DR216" s="1">
        <f t="shared" si="242"/>
        <v>0</v>
      </c>
      <c r="DS216" s="1">
        <f t="shared" si="243"/>
        <v>0</v>
      </c>
      <c r="DT216" s="1">
        <f>IF(OR(E216="",E216="系统"),0,IF(OR(AND(DS216=1,Boss参数!$B$32=1),L216="RHI_BERRY",OR(AND(INDEX(角色面板!$B$18:$B$21,MATCH(E216,角色面板!$A$18:$A$21,0))="星",Boss参数!$B$4="岩"),AND(INDEX(角色面板!$B$18:$B$21,MATCH(E216,角色面板!$A$18:$A$21,0))="岩",Boss参数!$B$4="兽"),AND(INDEX(角色面板!$B$18:$B$21,MATCH(E216,角色面板!$A$18:$A$21,0))="兽",Boss参数!$B$4="木"),AND(INDEX(角色面板!$B$18:$B$21,MATCH(E216,角色面板!$A$18:$A$21,0))="木",Boss参数!$B$4="星"),AND(INDEX(角色面板!$B$18:$B$21,MATCH(E216,角色面板!$A$18:$A$21,0))="智",Boss参数!$B$4="灵"),AND(INDEX(角色面板!$B$18:$B$21,MATCH(E216,角色面板!$A$18:$A$21,0))="灵",Boss参数!$B$4="智"))),1,0))</f>
        <v>0</v>
      </c>
      <c r="DU216" s="1">
        <f>IF(D216="",0,INDEX(回合状态!$E$7:$E$17,MATCH(DG216,回合状态!$A$7:$A$17,0))+IF(AND(DH216="敌方",OR(INDEX(回合状态!$C$7:$C$17,MATCH(DG216,回合状态!$A$7:$A$17,0))="普通",INDEX(回合状态!$C$7:$C$17,MATCH(DG216,回合状态!$A$7:$A$17,0))="额外")),0.05,0))</f>
        <v>0</v>
      </c>
      <c r="DV216" s="1">
        <f>MAX(Boss参数!$B$28,1+IF(AND(E216="37",AC216&gt;0,BH216&gt;0),Boss参数!$B$42,0)-DI216*Boss参数!$B$24+EA216-ER216)</f>
        <v>9.9999999999999978E-2</v>
      </c>
      <c r="DW216" s="1">
        <f>MIN(IF(Boss参数!$B$77=1,Boss参数!$B$63*Boss参数!$B$62,Boss参数!$B$61*Boss参数!$B$62),ROUNDDOWN(BQ216*(1-ES216),0))</f>
        <v>0</v>
      </c>
      <c r="DX216" s="1">
        <f>MIN(IF(Boss参数!$B$77=1,Boss参数!$B$63*Boss参数!$B$62,Boss参数!$B$61*Boss参数!$B$62),ROUNDDOWN(BR216*(1-ES216),0))</f>
        <v>0</v>
      </c>
      <c r="DY216" s="1">
        <f t="shared" si="275"/>
        <v>250</v>
      </c>
      <c r="DZ216" s="1">
        <f>IF(L216="RHI_ULT",MIN(Boss参数!$B$48,ROUNDDOWN(AY216*Boss参数!$B$47,0)),DY216)</f>
        <v>250</v>
      </c>
      <c r="EA216" s="1">
        <v>0</v>
      </c>
      <c r="EB216" s="1">
        <f t="shared" si="244"/>
        <v>0</v>
      </c>
      <c r="EC216" s="1">
        <f>SUMIFS($EB$3:EB216,$B$3:B216,"&gt;="&amp;MAX(1,B216-2),$B$3:B216,"&lt;="&amp;B216)*Boss参数!$B$51</f>
        <v>0</v>
      </c>
      <c r="ED216" s="1">
        <f>IF(D216="",EG215,IF(AND(DG216&lt;&gt;DG215,DH216&lt;&gt;"洞穿"),MIN(Boss参数!$B$55,EG215+2),EG215))</f>
        <v>0</v>
      </c>
      <c r="EE216" s="1">
        <f t="shared" si="245"/>
        <v>0</v>
      </c>
      <c r="EF216" s="1">
        <f>IF(AND(OR(L216="END_TURN",AND(DH216="敌方",OR(DH215&lt;&gt;"敌方",DG216&lt;&gt;DG215))),SUMIFS($EF$3:EF215,$DG$3:DG215,DG216)=0),MIN(1,MAX(0,ED216-EE216)),0)</f>
        <v>0</v>
      </c>
      <c r="EG216" s="1">
        <f t="shared" si="246"/>
        <v>0</v>
      </c>
      <c r="EH216" s="1">
        <f>Boss参数!$B$53-IF(Y216=1,Boss参数!$B$54,0)</f>
        <v>0</v>
      </c>
      <c r="EI216" s="1">
        <f t="shared" si="247"/>
        <v>0.15</v>
      </c>
      <c r="EJ216" s="1">
        <f t="shared" si="248"/>
        <v>0.15</v>
      </c>
      <c r="EK216" s="1" t="e">
        <f t="shared" si="249"/>
        <v>#VALUE!</v>
      </c>
      <c r="EL216" s="1">
        <f t="shared" si="276"/>
        <v>0</v>
      </c>
      <c r="EM216" s="1">
        <f>IF(AND(DG216&lt;&gt;DG215,DH216="洞穿"),0,IF(L216="ENTER_INSIGHT",Boss参数!$B$57,EO215))</f>
        <v>0</v>
      </c>
      <c r="EN216" s="1">
        <f>IF(AND(Y216=1,H216="洞知",EM216&gt;0),Boss参数!$B$56,0)</f>
        <v>0</v>
      </c>
      <c r="EO216" s="1">
        <f t="shared" si="250"/>
        <v>0</v>
      </c>
      <c r="EP216" s="1">
        <f t="shared" si="277"/>
        <v>23210479</v>
      </c>
      <c r="EQ216" s="1">
        <f>ROUNDDOWN(EP216/Boss参数!$B$62,0)</f>
        <v>232</v>
      </c>
      <c r="ER216" s="1">
        <f>IF(EQ216&gt;=Boss参数!$B$66,Boss参数!$B$69,IF(EQ216&gt;=Boss参数!$B$65,Boss参数!$B$68,IF(EQ216&gt;=Boss参数!$B$64,Boss参数!$B$67,0)))</f>
        <v>0.9</v>
      </c>
      <c r="ES216" s="1">
        <f>MIN(1,IF(EQ216&gt;=Boss参数!$B$66,Boss参数!$B$72+ROUNDDOWN((EQ216-Boss参数!$B$66)/Boss参数!$B$73,0)*Boss参数!$B$74,IF(EQ216&gt;=Boss参数!$B$65,Boss参数!$B$71,IF(EQ216&gt;=Boss参数!$B$64,Boss参数!$B$70,0))))</f>
        <v>0.65</v>
      </c>
      <c r="ET216" s="1">
        <f>MIN(Boss参数!$B$61*Boss参数!$B$62,EP216+IF(AND(Boss参数!$B$60=1,ISNUMBER(验证表!H222)),验证表!H222,EU216))</f>
        <v>23210479</v>
      </c>
      <c r="EU216" s="1">
        <f>IF(D216="",0,IF(验证表!G222="是",BV216,IF(验证表!G222="否",BU216,BW216)))</f>
        <v>0</v>
      </c>
      <c r="EV216" s="1">
        <f>IF(EQ216&gt;=Boss参数!$B$66,2,IF(EQ216&gt;=Boss参数!$B$65,1,0))</f>
        <v>2</v>
      </c>
      <c r="EW216" s="1">
        <f t="shared" si="251"/>
        <v>3</v>
      </c>
      <c r="EX216" s="1">
        <f>IF(D216="",0,INDEX(回合状态!$D$7:$D$17,MATCH(DG216,回合状态!$A$7:$A$17,0)))</f>
        <v>0</v>
      </c>
      <c r="EY216" s="1">
        <f>IF(OR(L216="RHI_ATTACK",L216="RHI_BUFF"),1,IF(L216="RHI_ULT",Boss参数!$B$52,0))</f>
        <v>0</v>
      </c>
      <c r="EZ216" s="1">
        <f>MIN(6,SUMIFS($EY$3:EY216,$EX$3:EX216,"&gt;="&amp;MAX(1,EX216-Boss参数!$B$87+1),$EX$3:EX216,"&lt;="&amp;EX216))</f>
        <v>0</v>
      </c>
      <c r="FA216" s="1">
        <f t="shared" si="278"/>
        <v>0</v>
      </c>
      <c r="FB216" s="17">
        <f>IF(L216="BOSS_CONSERVATIVE",B216+Boss参数!$B$91,FB215)</f>
        <v>7</v>
      </c>
      <c r="FC216" s="17">
        <f t="shared" si="279"/>
        <v>0</v>
      </c>
      <c r="FD216" s="17">
        <f>IF(D216="",FD215,FD215+IF(AND(DG216&lt;&gt;DG215,INDEX(回合状态!$C$7:$C$17,MATCH(DG216,回合状态!$A$7:$A$17,0))&lt;&gt;"洞穿"),1,0))</f>
        <v>8</v>
      </c>
      <c r="FE216" s="17">
        <f>IF(D216="",0,IF(AND(OR(L216="END_TURN",DH216="敌方"),INDEX(回合状态!$C$7:$C$17,MATCH(DG216,回合状态!$A$7:$A$17,0))&lt;&gt;"洞穿",SUMIFS($FE$3:FE215,$DG$3:DG215,DG216)=0),1,0))</f>
        <v>0</v>
      </c>
    </row>
    <row r="217" spans="1:161" ht="84.95" customHeight="1">
      <c r="A217" s="1" t="str">
        <f>行动模拟!A223</f>
        <v/>
      </c>
      <c r="B217" s="1">
        <f>IF(D217="",0,INDEX(回合状态!$B$7:$B$17,MATCH(DG217,回合状态!$A$7:$A$17,0)))</f>
        <v>0</v>
      </c>
      <c r="C217" s="1">
        <f>行动模拟!C223</f>
        <v>0</v>
      </c>
      <c r="D217" s="1" t="str">
        <f>IF(行动模拟!D223="","",行动模拟!D223)</f>
        <v/>
      </c>
      <c r="E217" s="1" t="str">
        <f>IF($D217="","",IFERROR(INDEX(技能数据库!$B$4:$B$38,MATCH($D217,技能数据库!$A$4:$A$38,0)),""))</f>
        <v/>
      </c>
      <c r="F217" s="1" t="str">
        <f>IF($D217="","",IFERROR(INDEX(技能数据库!$C$4:$C$38,MATCH($D217,技能数据库!$A$4:$A$38,0)),""))</f>
        <v/>
      </c>
      <c r="G217" s="1" t="str">
        <f>IF($D217="","",IFERROR(INDEX(技能数据库!$D$4:$D$38,MATCH($D217,技能数据库!$A$4:$A$38,0)),""))</f>
        <v/>
      </c>
      <c r="H217" s="1" t="str">
        <f>IF($D217="","",IFERROR(INDEX(技能数据库!$E$4:$E$38,MATCH($D217,技能数据库!$A$4:$A$38,0)),""))</f>
        <v/>
      </c>
      <c r="I217" s="1" t="str">
        <f>IF($D217="","",IFERROR(INDEX(技能数据库!$F$4:$F$38,MATCH($D217,技能数据库!$A$4:$A$38,0)),""))</f>
        <v/>
      </c>
      <c r="J217" s="1" t="str">
        <f>IF($D217="","",IFERROR(INDEX(技能数据库!$G$4:$G$38,MATCH($D217,技能数据库!$A$4:$A$38,0)),""))</f>
        <v/>
      </c>
      <c r="K217" s="1" t="str">
        <f>IF($D217="","",IFERROR(INDEX(技能数据库!$H$4:$H$38,MATCH($D217,技能数据库!$A$4:$A$38,0)),""))</f>
        <v/>
      </c>
      <c r="L217" s="1" t="str">
        <f>IF($D217="","",IFERROR(INDEX(技能数据库!$I$4:$I$38,MATCH($D217,技能数据库!$A$4:$A$38,0)),""))</f>
        <v/>
      </c>
      <c r="M217" s="1">
        <v>1</v>
      </c>
      <c r="N217" s="1"/>
      <c r="O217" s="1"/>
      <c r="P217" s="1"/>
      <c r="Q217" s="1">
        <f t="shared" si="210"/>
        <v>0</v>
      </c>
      <c r="R217" s="1">
        <v>0</v>
      </c>
      <c r="S217" s="1">
        <v>0</v>
      </c>
      <c r="T217" s="1">
        <f>行动模拟!I223</f>
        <v>0</v>
      </c>
      <c r="U217" s="1">
        <f>IF(FD217&lt;&gt;FD216,IF(BY216=1,IF(MIN(10,CA216+IF(AND(DG217&lt;&gt;DG216,DH216&lt;&gt;"洞穿",SUMIFS($FE$3:FE216,$DG$3:DG216,DG216)=0,BY216=1),3,0))&gt;=10,2,1),IF(BY216=2,IF(BZ216&lt;=1,0,2),0)),BY216)</f>
        <v>2</v>
      </c>
      <c r="V217" s="1">
        <f>IF(FD217&lt;&gt;FD216,IF(BY216=1,IF(MIN(10,CA216+IF(AND(DG217&lt;&gt;DG216,DH216&lt;&gt;"洞穿",SUMIFS($FE$3:FE216,$DG$3:DG216,DG216)=0,BY216=1),3,0))&gt;=10,2,0),IF(BY216=2,MAX(0,BZ216-1),0)),BZ216)</f>
        <v>1</v>
      </c>
      <c r="W217" s="1">
        <f>IF(AND(FD217&lt;&gt;FD216,BY216=2,BZ216&lt;=1),0,MIN(10,CA216+IF(AND(DG217&lt;&gt;DG216,DH216&lt;&gt;"洞穿",SUMIFS($FE$3:FE216,$DG$3:DG216,DG216)=0,BY216=1),3,0)))</f>
        <v>10</v>
      </c>
      <c r="X217" s="1">
        <f t="shared" si="252"/>
        <v>13</v>
      </c>
      <c r="Y217" s="1">
        <f t="shared" si="253"/>
        <v>0</v>
      </c>
      <c r="Z217" s="1">
        <f t="shared" si="254"/>
        <v>0</v>
      </c>
      <c r="AA217" s="1">
        <f t="shared" si="255"/>
        <v>0</v>
      </c>
      <c r="AB217" s="1">
        <f t="shared" si="256"/>
        <v>10</v>
      </c>
      <c r="AC217" s="1">
        <f t="shared" si="257"/>
        <v>1</v>
      </c>
      <c r="AD217" s="1">
        <f t="shared" si="258"/>
        <v>35</v>
      </c>
      <c r="AE217" s="1">
        <f>IF(D217="",0,IF(DG217&lt;&gt;DG216,IFERROR(INDEX(回合状态!$F$7:$F$17,MATCH(DG217,回合状态!$A$7:$A$17,0)),0),CI216))</f>
        <v>0</v>
      </c>
      <c r="AF217" s="1">
        <f t="shared" si="259"/>
        <v>0.875</v>
      </c>
      <c r="AG217" s="1">
        <f t="shared" si="260"/>
        <v>9</v>
      </c>
      <c r="AH217" s="1">
        <f t="shared" si="261"/>
        <v>9</v>
      </c>
      <c r="AI217" s="1">
        <f t="shared" si="262"/>
        <v>8</v>
      </c>
      <c r="AJ217" s="1">
        <f t="shared" si="263"/>
        <v>9</v>
      </c>
      <c r="AK217" s="1">
        <f t="shared" si="264"/>
        <v>8</v>
      </c>
      <c r="AL217" s="1">
        <f t="shared" si="265"/>
        <v>3</v>
      </c>
      <c r="AM217" s="1">
        <f t="shared" si="266"/>
        <v>30</v>
      </c>
      <c r="AN217" s="1">
        <f t="shared" si="267"/>
        <v>9</v>
      </c>
      <c r="AO217" s="1">
        <f t="shared" si="268"/>
        <v>0</v>
      </c>
      <c r="AP217" s="1" t="e">
        <f t="shared" si="269"/>
        <v>#VALUE!</v>
      </c>
      <c r="AQ217" s="1" t="e">
        <f t="shared" si="270"/>
        <v>#VALUE!</v>
      </c>
      <c r="AR217" s="1">
        <f t="shared" si="271"/>
        <v>0.3</v>
      </c>
      <c r="AS217" s="1">
        <f t="shared" si="272"/>
        <v>9</v>
      </c>
      <c r="AT217" s="1">
        <f t="shared" si="273"/>
        <v>0.3</v>
      </c>
      <c r="AU217" s="1">
        <f t="shared" si="274"/>
        <v>9</v>
      </c>
      <c r="AV217" s="1">
        <f>MIN(5,SUMIFS($EL$3:EL217,$B$3:B217,"&gt;="&amp;MAX(1,B217-2),$B$3:B217,"&lt;="&amp;B217)+EC217)</f>
        <v>0</v>
      </c>
      <c r="AW217" s="1">
        <f>MIN(6,SUMIFS($EY$3:EY216,$EX$3:EX216,"&gt;="&amp;MAX(1,EX217-Boss参数!$B$87+1),$EX$3:EX216,"&lt;="&amp;EX217))</f>
        <v>0</v>
      </c>
      <c r="AX217" s="1">
        <f>MIN(4,COUNTIFS($B$3:$B$216,"&gt;="&amp;MAX(1,$B217-2),$B$3:$B$216,"&lt;="&amp;$B217,$L$3:$L$216,"37_FOLLOW"))</f>
        <v>0</v>
      </c>
      <c r="AY217" s="1" t="str">
        <f>IF($E217="","",IF($E217="系统",0,ROUNDDOWN(INDEX(角色面板!$C$4:$C$7,MATCH($E217,角色面板!$A$4:$A$7,0))*(1+INDEX(角色面板!$C$11:$C$14,MATCH($E217,角色面板!$A$11:$A$14,0))+IF($E217="小瑞安侬",MAX(IF($B217&lt;=$AQ217,$AP217,0),IF(AND($L217="RHI_ATTACK",$EE217&gt;0),0.11+0.01*$G217,0)),0)+IF($E217="J",$AD217*Boss参数!$B$18,0))+IF(FD217&lt;=$AN217,MIN(Boss参数!$B$21,ROUNDDOWN(角色面板!$C$19*Boss参数!$B$20,0)),0)+IF(AND($B217&lt;=$AK217,$E217&lt;&gt;"小瑞安侬"),$DY217,0),0)))</f>
        <v/>
      </c>
      <c r="AZ217" s="1" t="str">
        <f>IF($E217="","",MAX(0,MIN(1,IFERROR(INDEX(角色面板!$G$18:$G$21,MATCH($E217,角色面板!$A$18:$A$21,0)),0)-FC217*Boss参数!$B$89-Boss参数!$E$4)))</f>
        <v/>
      </c>
      <c r="BA217" s="1" t="str">
        <f>IF(E217="","",(IF($E217="","",IF($E217="红弩箭",Boss参数!$B$80,IF($E217="J",Boss参数!$B$81,IFERROR(INDEX(角色面板!$H$18:$H$21,MATCH($E217,角色面板!$A$18:$A$21,0)),0)))+IF($B217&lt;=$AI217,Boss参数!$B$13,0)+MIN(30,$AM217)*Boss参数!$B$17+IF(AND($L217="LILYA_ULT",$X217&gt;=6),1,0)+IF(AND($Y217=1,$L217="LILYA_INSIGHT"),IF(MOD($AA217+1,3)=0,Boss参数!$B$83,Boss参数!$B$82),IF(AND($Y217=1,$L217="LILYA_FINISH"),Boss参数!$B$84,0))))-FC217*Boss参数!$B$90)</f>
        <v/>
      </c>
      <c r="BB217" s="1" t="str">
        <f>IF($E217="","",IFERROR(INDEX(角色面板!$M$18:$M$21,MATCH($E217,角色面板!$A$18:$A$21,0)),0)+$AW217*Boss参数!$B$12+IF($B217&lt;=$AG217,$AF217,0)+$EI217+IF($L217="LILYA_DIVE",IF($U217=1,IF($G217=1,0.3,IF($G217=2,0.4,0.5)),IF($U217=2,IF($G217=1,0.6,IF($G217=2,0.8,1)),0)),0)+$R217+IF(AND($E217="J",OR($L217="J_COUNTER",$L217="J_HARD")),Boss参数!$B$79,0)+IF(AND(OR(L217="J_COUNTER",L217="J_HARD"),FA217&gt;=Boss参数!$B$59),FA217*Boss参数!$B$40,0))</f>
        <v/>
      </c>
      <c r="BC217" s="1" t="e">
        <f>IF($E217="","",IFERROR(INDEX(角色面板!$K$18:$K$21,MATCH($E217,角色面板!$A$18:$A$21,0)),0)+IF($B217&lt;=$AH217,Boss参数!$B$46,0)+IF($E217="红弩箭",IF($U217=1,0.6,IF($U217=2,1.2,0))+$W217*0.06,0))-DI217*Boss参数!$B$23</f>
        <v>#VALUE!</v>
      </c>
      <c r="BD217" s="1" t="e">
        <f>IF($E217="","",IFERROR(INDEX(角色面板!$L$18:$L$21,MATCH($E217,角色面板!$A$18:$A$21,0)),0)+IF($B217&lt;=$AH217,Boss参数!$B$46,0)+IF($E217="J",$AL217*Boss参数!$B$16,0)+IF($E217="红弩箭",$X217*0.025,0)+IF(AND($L217="LILYA_ULT",$X217&gt;=6),1,0))-DI217*Boss参数!$B$23</f>
        <v>#VALUE!</v>
      </c>
      <c r="BE217" s="1" t="str">
        <f>IF($E217="","",IF($H217="洞知",IF($E217="红弩箭",$AO217*Boss参数!$B$15,0)+$AX217*Boss参数!$B$14,0))</f>
        <v/>
      </c>
      <c r="BF217" s="1">
        <f t="shared" si="211"/>
        <v>0</v>
      </c>
      <c r="BG217" s="1">
        <f>IF($D217="",0,IF(AND($L217&lt;&gt;"LILYA_DIVE",$L217&lt;&gt;"LILYA_ULT",$L217&lt;&gt;"LILYA_INSIGHT",$L217&lt;&gt;"LILYA_FINISH",$L217&lt;&gt;"37_FOLLOW",$L217&lt;&gt;"RHI_ATTACK",$L217&lt;&gt;"RHI_BERRY",$L217&lt;&gt;"J_COUNTER",$L217&lt;&gt;"J_ULT"),$J217,0)+IF($L217="LILYA_DIVE",$J217+IF($U217=1,IF($G217=1,6,IF($G217=2,12,18)),IF($U217=2,IF($G217=1,12,IF($G217=2,24,36)),0)),0)+IF($L217="LILYA_ULT",$J217+IF($X217&gt;=6,18,0),0)+IF($L217="LILYA_INSIGHT",IF($Y217=1,IF(MOD($AA217+1,3)=0,32,15),0),0)+IF($L217="LILYA_FINISH",IF($Y217=1,50+2.5*$Z217,0),0)+IF($L217="37_FOLLOW",$J217,0)+IF($L217="RHI_ATTACK",$J217*IF($B217&lt;=$AJ217,2,1),0)+IF($L217="RHI_BERRY",15+1.5*$AV217,0)+IF($L217="J_COUNTER",$J217+$AD217*Boss参数!$B$39,0)+IF($L217="J_ULT",$J217+Boss参数!$B$45*MAX(0,$AE217+$AD217-Boss参数!$I$4),0)+$S217)</f>
        <v>0</v>
      </c>
      <c r="BH217" s="1">
        <f t="shared" si="212"/>
        <v>0</v>
      </c>
      <c r="BI217" s="1" t="str">
        <f>IF(E217="","",IF(DT217=1,1+Boss参数!$B$8+AV217*Boss参数!$B$19,1))</f>
        <v/>
      </c>
      <c r="BJ217" s="1">
        <f>IF($I217="现实",Boss参数!$C$4,IF($I217="精神",Boss参数!$D$4,0))</f>
        <v>0</v>
      </c>
      <c r="BK217" s="1" t="str">
        <f>IF($E217="","",MAX($AY217*Boss参数!$B$9,$AY217-$BJ217*(1-$BF217)))</f>
        <v/>
      </c>
      <c r="BL217" s="1">
        <f>MAX(0,Boss参数!$F$4+IF(DT217=0,Boss参数!$B$27,0)-EJ217)</f>
        <v>1.25</v>
      </c>
      <c r="BM217" s="1">
        <f>Boss参数!$G$4+DU217-IF(Y217=1,Boss参数!$B$11,0)</f>
        <v>0.4</v>
      </c>
      <c r="BN217" s="1" t="str">
        <f>IF($E217="","",MAX(Boss参数!$B$10,1+IFERROR(INDEX(角色面板!$I$18:$I$21,MATCH($E217,角色面板!$A$18:$A$21,0)),0)+$BB217+Boss参数!$H$4-$BM217))</f>
        <v/>
      </c>
      <c r="BO217" s="1" t="str">
        <f>IF(E217="","",IF(OR(L217="J_COUNTER",L217="J_HARD"),MAX(0,1+INDEX(角色面板!$K$18:$K$21,MATCH(E217,角色面板!$A$18:$A$21,0))-DI217*Boss参数!$B$23+IF(OR(Boss参数!$B$43=1,L217="J_HARD"),IF(B217&lt;=AH217,Boss参数!$B$46,0),0)),MAX(0,IF(OR(H217="术法",L217="RHI_BERRY",AND(L217="37_FOLLOW",Boss参数!$B$31=1)),1+BC217,IF(H217="仪式",1+BD217,IF(H217="洞知",EK217,1))))))</f>
        <v/>
      </c>
      <c r="BP217" s="1" t="str">
        <f t="shared" si="213"/>
        <v/>
      </c>
      <c r="BQ217" s="1">
        <f t="shared" si="214"/>
        <v>0</v>
      </c>
      <c r="BR217" s="1">
        <f t="shared" si="215"/>
        <v>0</v>
      </c>
      <c r="BS217" s="1">
        <f>IF(BH217=0,0,ROUNDDOWN(AY217*BH217,0)*DV217*IF(Boss参数!$B$29=1,BN217,1)*IF(Boss参数!$B$33=1,BO217,1)*IF(Boss参数!$B$76=1,1-ES217,1))</f>
        <v>0</v>
      </c>
      <c r="BT217" s="1">
        <f t="shared" si="216"/>
        <v>0</v>
      </c>
      <c r="BU217" s="1">
        <f>IF(D217="",0,MIN(IF(Boss参数!$B$77=1,Boss参数!$B$63*Boss参数!$B$62,Boss参数!$B$61*Boss参数!$B$62),DW217+ROUNDDOWN(BS217,0)+ROUNDDOWN(DW217*Q217,0)))</f>
        <v>0</v>
      </c>
      <c r="BV217" s="1">
        <f>IF(D217="",0,MIN(IF(Boss参数!$B$77=1,Boss参数!$B$63*Boss参数!$B$62,Boss参数!$B$61*Boss参数!$B$62),DX217+ROUNDDOWN(BT217,0)+ROUNDDOWN(DX217*Q217,0)))</f>
        <v>0</v>
      </c>
      <c r="BW217" s="1">
        <f t="shared" si="217"/>
        <v>0</v>
      </c>
      <c r="BX217" s="1" t="str">
        <f t="shared" si="218"/>
        <v/>
      </c>
      <c r="BY217" s="1">
        <f t="shared" si="219"/>
        <v>2</v>
      </c>
      <c r="BZ217" s="1">
        <f t="shared" si="220"/>
        <v>1</v>
      </c>
      <c r="CA217" s="1">
        <f>MIN(10,W217+IF(AND(L217="LILYA_COBRA",COUNTIF($L$3:L217,"LILYA_COBRA")=1),5,0)+IF(AND(L217="LILYA_DIVE",U217=1,COUNTIFS($DG$3:DG217,DG217,$L$3:L217,"LILYA_DIVE")=1),2,0)+IF(AND(FE217=1,U217=1),3,0))</f>
        <v>10</v>
      </c>
      <c r="CB217" s="1">
        <f>MIN(20,MAX(0,X217+IF(L217="LILYA_COBRA",IF(COUNTIF($L$3:L217,"LILYA_COBRA")=1,6,IF(U217=1,MAX(1,G217),IF(U217=2,2*MAX(1,G217),0))),0)+IF(AND(Y217=1,E217="红弩箭",L217&lt;&gt;"ENTER_INSIGHT"),1,0)-IF(AND(L217="LILYA_ULT",X217&gt;=6),6,0)))</f>
        <v>13</v>
      </c>
      <c r="CC217" s="1">
        <f t="shared" si="221"/>
        <v>0</v>
      </c>
      <c r="CD217" s="1">
        <f t="shared" si="222"/>
        <v>0</v>
      </c>
      <c r="CE217" s="1">
        <f t="shared" si="223"/>
        <v>0</v>
      </c>
      <c r="CF217" s="1">
        <f t="shared" si="224"/>
        <v>10</v>
      </c>
      <c r="CG217" s="1">
        <f t="shared" si="225"/>
        <v>1</v>
      </c>
      <c r="CH217" s="1">
        <f>MIN(35,AD217+IF(L217="J_HARD",6,0)+IF(L217="J_COUNTER",Boss参数!$B$30,0))</f>
        <v>35</v>
      </c>
      <c r="CI217" s="1">
        <f>MIN(Boss参数!$I$4,AE217+IF(L217="J_HARD",6,0)+IF(L217="J_ULT",AD217,0)+IF(L217="J_COUNTER",Boss参数!$B$30,0))</f>
        <v>0</v>
      </c>
      <c r="CJ217" s="1">
        <f>IF(L217="J_ULT",AD217*Boss参数!$B$41,IF(B217&lt;=AG217,AF217,0))</f>
        <v>0.875</v>
      </c>
      <c r="CK217" s="1">
        <f t="shared" si="226"/>
        <v>9</v>
      </c>
      <c r="CL217" s="1">
        <f t="shared" si="227"/>
        <v>9</v>
      </c>
      <c r="CM217" s="1">
        <f t="shared" si="228"/>
        <v>8</v>
      </c>
      <c r="CN217" s="1">
        <f t="shared" si="229"/>
        <v>9</v>
      </c>
      <c r="CO217" s="1">
        <f t="shared" si="230"/>
        <v>8</v>
      </c>
      <c r="CP217" s="1">
        <f t="shared" si="231"/>
        <v>3</v>
      </c>
      <c r="CQ217" s="1">
        <f t="shared" si="232"/>
        <v>30</v>
      </c>
      <c r="CR217" s="1">
        <f t="shared" si="233"/>
        <v>9</v>
      </c>
      <c r="CS217" s="1">
        <f t="shared" si="234"/>
        <v>0</v>
      </c>
      <c r="CT217" s="1" t="e">
        <f t="shared" si="235"/>
        <v>#VALUE!</v>
      </c>
      <c r="CU217" s="1" t="e">
        <f t="shared" si="236"/>
        <v>#VALUE!</v>
      </c>
      <c r="CV217" s="1">
        <f t="shared" si="237"/>
        <v>0.3</v>
      </c>
      <c r="CW217" s="1">
        <f t="shared" si="238"/>
        <v>9</v>
      </c>
      <c r="CX217" s="1">
        <f t="shared" si="239"/>
        <v>0.3</v>
      </c>
      <c r="CY217" s="1">
        <f t="shared" si="240"/>
        <v>9</v>
      </c>
      <c r="CZ217" s="1"/>
      <c r="DA217" s="1"/>
      <c r="DB217" s="1"/>
      <c r="DC217" s="1"/>
      <c r="DD217" s="1"/>
      <c r="DE217" s="1"/>
      <c r="DF217" s="1"/>
      <c r="DG217" s="1" t="str">
        <f>IF(D217="","",行动模拟!B223)</f>
        <v/>
      </c>
      <c r="DH217" s="1" t="str">
        <f>IF(L217="END_TURN","回合结束",IF(D217="","",IF(INDEX(回合状态!$C$7:$C$17,MATCH(DG217,回合状态!$A$7:$A$17,0))="洞穿","洞穿",IF(OR(L217="J_COUNTER",L217="BOSS_ACTION",L217="BOSS_CONSERVATIVE"),"敌方",IF(AND(L217="37_FOLLOW",DG217=DG216,DH216="敌方"),"敌方",IF(INDEX(回合状态!$C$7:$C$17,MATCH(DG217,回合状态!$A$7:$A$17,0))="普通","出牌",INDEX(回合状态!$C$7:$C$17,MATCH(DG217,回合状态!$A$7:$A$17,0))))))))</f>
        <v/>
      </c>
      <c r="DI217" s="1">
        <f t="shared" si="241"/>
        <v>0</v>
      </c>
      <c r="DJ217" s="1">
        <f>IF(D217="",0,MIN(Boss参数!$B$25,IF(OR(AND(DH217="敌方",OR(DH216&lt;&gt;"敌方",DG217&lt;&gt;DG216)),AND(L217="END_TURN",DH217&lt;&gt;"洞穿"),AND(DG217&lt;&gt;DG216,DH216&lt;&gt;"洞穿",L216&lt;&gt;"END_TURN",COUNTIFS($DG$3:DG216,DG216,$DH$3:DH216,"敌方")=0)),EW217,DN216)))</f>
        <v>0</v>
      </c>
      <c r="DK217" s="1">
        <f>IF(D217="",0,MIN(Boss参数!$B$25,IF(OR(AND(DH217="敌方",OR(DH216&lt;&gt;"敌方",DG217&lt;&gt;DG216)),AND(L217="END_TURN",DH217&lt;&gt;"洞穿"),AND(DG217&lt;&gt;DG216,DH216&lt;&gt;"洞穿",L216&lt;&gt;"END_TURN",COUNTIFS($DG$3:DG216,DG216,$DH$3:DH216,"敌方")=0)),EW217,DO216)))</f>
        <v>0</v>
      </c>
      <c r="DL217" s="1">
        <f>IF(D217="",0,MIN(Boss参数!$B$25,IF(OR(AND(DH217="敌方",OR(DH216&lt;&gt;"敌方",DG217&lt;&gt;DG216)),AND(L217="END_TURN",DH217&lt;&gt;"洞穿"),AND(DG217&lt;&gt;DG216,DH216&lt;&gt;"洞穿",L216&lt;&gt;"END_TURN",COUNTIFS($DG$3:DG216,DG216,$DH$3:DH216,"敌方")=0)),EW217,DP216)))</f>
        <v>0</v>
      </c>
      <c r="DM217" s="1">
        <f>IF(D217="",0,MIN(Boss参数!$B$25,IF(OR(AND(DH217="敌方",OR(DH216&lt;&gt;"敌方",DG217&lt;&gt;DG216)),AND(L217="END_TURN",DH217&lt;&gt;"洞穿"),AND(DG217&lt;&gt;DG216,DH216&lt;&gt;"洞穿",L216&lt;&gt;"END_TURN",COUNTIFS($DG$3:DG216,DG216,$DH$3:DH216,"敌方")=0)),EW217,DQ216)))</f>
        <v>0</v>
      </c>
      <c r="DN217" s="1">
        <f>MAX(0,MIN(Boss参数!$B$25,DJ217+DR217)-IF(E217="红弩箭",2*DR217,0))</f>
        <v>0</v>
      </c>
      <c r="DO217" s="1">
        <f>MAX(0,MIN(Boss参数!$B$25,DK217+DR217)-IF(E217="37",2*DR217,0))</f>
        <v>0</v>
      </c>
      <c r="DP217" s="1">
        <f>MAX(0,MIN(Boss参数!$B$25,DL217+DR217)-IF(E217="小瑞安侬",2*DR217,0))</f>
        <v>0</v>
      </c>
      <c r="DQ217" s="1">
        <f>MAX(0,MIN(Boss参数!$B$25,DM217+DR217)-IF(E217="J",2*DR217,0))</f>
        <v>0</v>
      </c>
      <c r="DR217" s="1">
        <f t="shared" si="242"/>
        <v>0</v>
      </c>
      <c r="DS217" s="1">
        <f t="shared" si="243"/>
        <v>0</v>
      </c>
      <c r="DT217" s="1">
        <f>IF(OR(E217="",E217="系统"),0,IF(OR(AND(DS217=1,Boss参数!$B$32=1),L217="RHI_BERRY",OR(AND(INDEX(角色面板!$B$18:$B$21,MATCH(E217,角色面板!$A$18:$A$21,0))="星",Boss参数!$B$4="岩"),AND(INDEX(角色面板!$B$18:$B$21,MATCH(E217,角色面板!$A$18:$A$21,0))="岩",Boss参数!$B$4="兽"),AND(INDEX(角色面板!$B$18:$B$21,MATCH(E217,角色面板!$A$18:$A$21,0))="兽",Boss参数!$B$4="木"),AND(INDEX(角色面板!$B$18:$B$21,MATCH(E217,角色面板!$A$18:$A$21,0))="木",Boss参数!$B$4="星"),AND(INDEX(角色面板!$B$18:$B$21,MATCH(E217,角色面板!$A$18:$A$21,0))="智",Boss参数!$B$4="灵"),AND(INDEX(角色面板!$B$18:$B$21,MATCH(E217,角色面板!$A$18:$A$21,0))="灵",Boss参数!$B$4="智"))),1,0))</f>
        <v>0</v>
      </c>
      <c r="DU217" s="1">
        <f>IF(D217="",0,INDEX(回合状态!$E$7:$E$17,MATCH(DG217,回合状态!$A$7:$A$17,0))+IF(AND(DH217="敌方",OR(INDEX(回合状态!$C$7:$C$17,MATCH(DG217,回合状态!$A$7:$A$17,0))="普通",INDEX(回合状态!$C$7:$C$17,MATCH(DG217,回合状态!$A$7:$A$17,0))="额外")),0.05,0))</f>
        <v>0</v>
      </c>
      <c r="DV217" s="1">
        <f>MAX(Boss参数!$B$28,1+IF(AND(E217="37",AC217&gt;0,BH217&gt;0),Boss参数!$B$42,0)-DI217*Boss参数!$B$24+EA217-ER217)</f>
        <v>9.9999999999999978E-2</v>
      </c>
      <c r="DW217" s="1">
        <f>MIN(IF(Boss参数!$B$77=1,Boss参数!$B$63*Boss参数!$B$62,Boss参数!$B$61*Boss参数!$B$62),ROUNDDOWN(BQ217*(1-ES217),0))</f>
        <v>0</v>
      </c>
      <c r="DX217" s="1">
        <f>MIN(IF(Boss参数!$B$77=1,Boss参数!$B$63*Boss参数!$B$62,Boss参数!$B$61*Boss参数!$B$62),ROUNDDOWN(BR217*(1-ES217),0))</f>
        <v>0</v>
      </c>
      <c r="DY217" s="1">
        <f t="shared" si="275"/>
        <v>250</v>
      </c>
      <c r="DZ217" s="1">
        <f>IF(L217="RHI_ULT",MIN(Boss参数!$B$48,ROUNDDOWN(AY217*Boss参数!$B$47,0)),DY217)</f>
        <v>250</v>
      </c>
      <c r="EA217" s="1">
        <v>0</v>
      </c>
      <c r="EB217" s="1">
        <f t="shared" si="244"/>
        <v>0</v>
      </c>
      <c r="EC217" s="1">
        <f>SUMIFS($EB$3:EB217,$B$3:B217,"&gt;="&amp;MAX(1,B217-2),$B$3:B217,"&lt;="&amp;B217)*Boss参数!$B$51</f>
        <v>0</v>
      </c>
      <c r="ED217" s="1">
        <f>IF(D217="",EG216,IF(AND(DG217&lt;&gt;DG216,DH217&lt;&gt;"洞穿"),MIN(Boss参数!$B$55,EG216+2),EG216))</f>
        <v>0</v>
      </c>
      <c r="EE217" s="1">
        <f t="shared" si="245"/>
        <v>0</v>
      </c>
      <c r="EF217" s="1">
        <f>IF(AND(OR(L217="END_TURN",AND(DH217="敌方",OR(DH216&lt;&gt;"敌方",DG217&lt;&gt;DG216))),SUMIFS($EF$3:EF216,$DG$3:DG216,DG217)=0),MIN(1,MAX(0,ED217-EE217)),0)</f>
        <v>0</v>
      </c>
      <c r="EG217" s="1">
        <f t="shared" si="246"/>
        <v>0</v>
      </c>
      <c r="EH217" s="1">
        <f>Boss参数!$B$53-IF(Y217=1,Boss参数!$B$54,0)</f>
        <v>0</v>
      </c>
      <c r="EI217" s="1">
        <f t="shared" si="247"/>
        <v>0.15</v>
      </c>
      <c r="EJ217" s="1">
        <f t="shared" si="248"/>
        <v>0.15</v>
      </c>
      <c r="EK217" s="1" t="e">
        <f t="shared" si="249"/>
        <v>#VALUE!</v>
      </c>
      <c r="EL217" s="1">
        <f t="shared" si="276"/>
        <v>0</v>
      </c>
      <c r="EM217" s="1">
        <f>IF(AND(DG217&lt;&gt;DG216,DH217="洞穿"),0,IF(L217="ENTER_INSIGHT",Boss参数!$B$57,EO216))</f>
        <v>0</v>
      </c>
      <c r="EN217" s="1">
        <f>IF(AND(Y217=1,H217="洞知",EM217&gt;0),Boss参数!$B$56,0)</f>
        <v>0</v>
      </c>
      <c r="EO217" s="1">
        <f t="shared" si="250"/>
        <v>0</v>
      </c>
      <c r="EP217" s="1">
        <f t="shared" si="277"/>
        <v>23210479</v>
      </c>
      <c r="EQ217" s="1">
        <f>ROUNDDOWN(EP217/Boss参数!$B$62,0)</f>
        <v>232</v>
      </c>
      <c r="ER217" s="1">
        <f>IF(EQ217&gt;=Boss参数!$B$66,Boss参数!$B$69,IF(EQ217&gt;=Boss参数!$B$65,Boss参数!$B$68,IF(EQ217&gt;=Boss参数!$B$64,Boss参数!$B$67,0)))</f>
        <v>0.9</v>
      </c>
      <c r="ES217" s="1">
        <f>MIN(1,IF(EQ217&gt;=Boss参数!$B$66,Boss参数!$B$72+ROUNDDOWN((EQ217-Boss参数!$B$66)/Boss参数!$B$73,0)*Boss参数!$B$74,IF(EQ217&gt;=Boss参数!$B$65,Boss参数!$B$71,IF(EQ217&gt;=Boss参数!$B$64,Boss参数!$B$70,0))))</f>
        <v>0.65</v>
      </c>
      <c r="ET217" s="1">
        <f>MIN(Boss参数!$B$61*Boss参数!$B$62,EP217+IF(AND(Boss参数!$B$60=1,ISNUMBER(验证表!H223)),验证表!H223,EU217))</f>
        <v>23210479</v>
      </c>
      <c r="EU217" s="1">
        <f>IF(D217="",0,IF(验证表!G223="是",BV217,IF(验证表!G223="否",BU217,BW217)))</f>
        <v>0</v>
      </c>
      <c r="EV217" s="1">
        <f>IF(EQ217&gt;=Boss参数!$B$66,2,IF(EQ217&gt;=Boss参数!$B$65,1,0))</f>
        <v>2</v>
      </c>
      <c r="EW217" s="1">
        <f t="shared" si="251"/>
        <v>3</v>
      </c>
      <c r="EX217" s="1">
        <f>IF(D217="",0,INDEX(回合状态!$D$7:$D$17,MATCH(DG217,回合状态!$A$7:$A$17,0)))</f>
        <v>0</v>
      </c>
      <c r="EY217" s="1">
        <f>IF(OR(L217="RHI_ATTACK",L217="RHI_BUFF"),1,IF(L217="RHI_ULT",Boss参数!$B$52,0))</f>
        <v>0</v>
      </c>
      <c r="EZ217" s="1">
        <f>MIN(6,SUMIFS($EY$3:EY217,$EX$3:EX217,"&gt;="&amp;MAX(1,EX217-Boss参数!$B$87+1),$EX$3:EX217,"&lt;="&amp;EX217))</f>
        <v>0</v>
      </c>
      <c r="FA217" s="1">
        <f t="shared" si="278"/>
        <v>0</v>
      </c>
      <c r="FB217" s="17">
        <f>IF(L217="BOSS_CONSERVATIVE",B217+Boss参数!$B$91,FB216)</f>
        <v>7</v>
      </c>
      <c r="FC217" s="17">
        <f t="shared" si="279"/>
        <v>0</v>
      </c>
      <c r="FD217" s="17">
        <f>IF(D217="",FD216,FD216+IF(AND(DG217&lt;&gt;DG216,INDEX(回合状态!$C$7:$C$17,MATCH(DG217,回合状态!$A$7:$A$17,0))&lt;&gt;"洞穿"),1,0))</f>
        <v>8</v>
      </c>
      <c r="FE217" s="17">
        <f>IF(D217="",0,IF(AND(OR(L217="END_TURN",DH217="敌方"),INDEX(回合状态!$C$7:$C$17,MATCH(DG217,回合状态!$A$7:$A$17,0))&lt;&gt;"洞穿",SUMIFS($FE$3:FE216,$DG$3:DG216,DG217)=0),1,0))</f>
        <v>0</v>
      </c>
    </row>
    <row r="218" spans="1:161" ht="84.95" customHeight="1">
      <c r="A218" s="1" t="str">
        <f>行动模拟!A224</f>
        <v/>
      </c>
      <c r="B218" s="1">
        <f>IF(D218="",0,INDEX(回合状态!$B$7:$B$17,MATCH(DG218,回合状态!$A$7:$A$17,0)))</f>
        <v>0</v>
      </c>
      <c r="C218" s="1">
        <f>行动模拟!C224</f>
        <v>0</v>
      </c>
      <c r="D218" s="1" t="str">
        <f>IF(行动模拟!D224="","",行动模拟!D224)</f>
        <v/>
      </c>
      <c r="E218" s="1" t="str">
        <f>IF($D218="","",IFERROR(INDEX(技能数据库!$B$4:$B$38,MATCH($D218,技能数据库!$A$4:$A$38,0)),""))</f>
        <v/>
      </c>
      <c r="F218" s="1" t="str">
        <f>IF($D218="","",IFERROR(INDEX(技能数据库!$C$4:$C$38,MATCH($D218,技能数据库!$A$4:$A$38,0)),""))</f>
        <v/>
      </c>
      <c r="G218" s="1" t="str">
        <f>IF($D218="","",IFERROR(INDEX(技能数据库!$D$4:$D$38,MATCH($D218,技能数据库!$A$4:$A$38,0)),""))</f>
        <v/>
      </c>
      <c r="H218" s="1" t="str">
        <f>IF($D218="","",IFERROR(INDEX(技能数据库!$E$4:$E$38,MATCH($D218,技能数据库!$A$4:$A$38,0)),""))</f>
        <v/>
      </c>
      <c r="I218" s="1" t="str">
        <f>IF($D218="","",IFERROR(INDEX(技能数据库!$F$4:$F$38,MATCH($D218,技能数据库!$A$4:$A$38,0)),""))</f>
        <v/>
      </c>
      <c r="J218" s="1" t="str">
        <f>IF($D218="","",IFERROR(INDEX(技能数据库!$G$4:$G$38,MATCH($D218,技能数据库!$A$4:$A$38,0)),""))</f>
        <v/>
      </c>
      <c r="K218" s="1" t="str">
        <f>IF($D218="","",IFERROR(INDEX(技能数据库!$H$4:$H$38,MATCH($D218,技能数据库!$A$4:$A$38,0)),""))</f>
        <v/>
      </c>
      <c r="L218" s="1" t="str">
        <f>IF($D218="","",IFERROR(INDEX(技能数据库!$I$4:$I$38,MATCH($D218,技能数据库!$A$4:$A$38,0)),""))</f>
        <v/>
      </c>
      <c r="M218" s="1">
        <v>1</v>
      </c>
      <c r="N218" s="1"/>
      <c r="O218" s="1"/>
      <c r="P218" s="1"/>
      <c r="Q218" s="1">
        <f t="shared" si="210"/>
        <v>0</v>
      </c>
      <c r="R218" s="1">
        <v>0</v>
      </c>
      <c r="S218" s="1">
        <v>0</v>
      </c>
      <c r="T218" s="1">
        <f>行动模拟!I224</f>
        <v>0</v>
      </c>
      <c r="U218" s="1">
        <f>IF(FD218&lt;&gt;FD217,IF(BY217=1,IF(MIN(10,CA217+IF(AND(DG218&lt;&gt;DG217,DH217&lt;&gt;"洞穿",SUMIFS($FE$3:FE217,$DG$3:DG217,DG217)=0,BY217=1),3,0))&gt;=10,2,1),IF(BY217=2,IF(BZ217&lt;=1,0,2),0)),BY217)</f>
        <v>2</v>
      </c>
      <c r="V218" s="1">
        <f>IF(FD218&lt;&gt;FD217,IF(BY217=1,IF(MIN(10,CA217+IF(AND(DG218&lt;&gt;DG217,DH217&lt;&gt;"洞穿",SUMIFS($FE$3:FE217,$DG$3:DG217,DG217)=0,BY217=1),3,0))&gt;=10,2,0),IF(BY217=2,MAX(0,BZ217-1),0)),BZ217)</f>
        <v>1</v>
      </c>
      <c r="W218" s="1">
        <f>IF(AND(FD218&lt;&gt;FD217,BY217=2,BZ217&lt;=1),0,MIN(10,CA217+IF(AND(DG218&lt;&gt;DG217,DH217&lt;&gt;"洞穿",SUMIFS($FE$3:FE217,$DG$3:DG217,DG217)=0,BY217=1),3,0)))</f>
        <v>10</v>
      </c>
      <c r="X218" s="1">
        <f t="shared" si="252"/>
        <v>13</v>
      </c>
      <c r="Y218" s="1">
        <f t="shared" si="253"/>
        <v>0</v>
      </c>
      <c r="Z218" s="1">
        <f t="shared" si="254"/>
        <v>0</v>
      </c>
      <c r="AA218" s="1">
        <f t="shared" si="255"/>
        <v>0</v>
      </c>
      <c r="AB218" s="1">
        <f t="shared" si="256"/>
        <v>10</v>
      </c>
      <c r="AC218" s="1">
        <f t="shared" si="257"/>
        <v>1</v>
      </c>
      <c r="AD218" s="1">
        <f t="shared" si="258"/>
        <v>35</v>
      </c>
      <c r="AE218" s="1">
        <f>IF(D218="",0,IF(DG218&lt;&gt;DG217,IFERROR(INDEX(回合状态!$F$7:$F$17,MATCH(DG218,回合状态!$A$7:$A$17,0)),0),CI217))</f>
        <v>0</v>
      </c>
      <c r="AF218" s="1">
        <f t="shared" si="259"/>
        <v>0.875</v>
      </c>
      <c r="AG218" s="1">
        <f t="shared" si="260"/>
        <v>9</v>
      </c>
      <c r="AH218" s="1">
        <f t="shared" si="261"/>
        <v>9</v>
      </c>
      <c r="AI218" s="1">
        <f t="shared" si="262"/>
        <v>8</v>
      </c>
      <c r="AJ218" s="1">
        <f t="shared" si="263"/>
        <v>9</v>
      </c>
      <c r="AK218" s="1">
        <f t="shared" si="264"/>
        <v>8</v>
      </c>
      <c r="AL218" s="1">
        <f t="shared" si="265"/>
        <v>3</v>
      </c>
      <c r="AM218" s="1">
        <f t="shared" si="266"/>
        <v>30</v>
      </c>
      <c r="AN218" s="1">
        <f t="shared" si="267"/>
        <v>9</v>
      </c>
      <c r="AO218" s="1">
        <f t="shared" si="268"/>
        <v>0</v>
      </c>
      <c r="AP218" s="1" t="e">
        <f t="shared" si="269"/>
        <v>#VALUE!</v>
      </c>
      <c r="AQ218" s="1" t="e">
        <f t="shared" si="270"/>
        <v>#VALUE!</v>
      </c>
      <c r="AR218" s="1">
        <f t="shared" si="271"/>
        <v>0.3</v>
      </c>
      <c r="AS218" s="1">
        <f t="shared" si="272"/>
        <v>9</v>
      </c>
      <c r="AT218" s="1">
        <f t="shared" si="273"/>
        <v>0.3</v>
      </c>
      <c r="AU218" s="1">
        <f t="shared" si="274"/>
        <v>9</v>
      </c>
      <c r="AV218" s="1">
        <f>MIN(5,SUMIFS($EL$3:EL218,$B$3:B218,"&gt;="&amp;MAX(1,B218-2),$B$3:B218,"&lt;="&amp;B218)+EC218)</f>
        <v>0</v>
      </c>
      <c r="AW218" s="1">
        <f>MIN(6,SUMIFS($EY$3:EY217,$EX$3:EX217,"&gt;="&amp;MAX(1,EX218-Boss参数!$B$87+1),$EX$3:EX217,"&lt;="&amp;EX218))</f>
        <v>0</v>
      </c>
      <c r="AX218" s="1">
        <f>MIN(4,COUNTIFS($B$3:$B$217,"&gt;="&amp;MAX(1,$B218-2),$B$3:$B$217,"&lt;="&amp;$B218,$L$3:$L$217,"37_FOLLOW"))</f>
        <v>0</v>
      </c>
      <c r="AY218" s="1" t="str">
        <f>IF($E218="","",IF($E218="系统",0,ROUNDDOWN(INDEX(角色面板!$C$4:$C$7,MATCH($E218,角色面板!$A$4:$A$7,0))*(1+INDEX(角色面板!$C$11:$C$14,MATCH($E218,角色面板!$A$11:$A$14,0))+IF($E218="小瑞安侬",MAX(IF($B218&lt;=$AQ218,$AP218,0),IF(AND($L218="RHI_ATTACK",$EE218&gt;0),0.11+0.01*$G218,0)),0)+IF($E218="J",$AD218*Boss参数!$B$18,0))+IF(FD218&lt;=$AN218,MIN(Boss参数!$B$21,ROUNDDOWN(角色面板!$C$19*Boss参数!$B$20,0)),0)+IF(AND($B218&lt;=$AK218,$E218&lt;&gt;"小瑞安侬"),$DY218,0),0)))</f>
        <v/>
      </c>
      <c r="AZ218" s="1" t="str">
        <f>IF($E218="","",MAX(0,MIN(1,IFERROR(INDEX(角色面板!$G$18:$G$21,MATCH($E218,角色面板!$A$18:$A$21,0)),0)-FC218*Boss参数!$B$89-Boss参数!$E$4)))</f>
        <v/>
      </c>
      <c r="BA218" s="1" t="str">
        <f>IF(E218="","",(IF($E218="","",IF($E218="红弩箭",Boss参数!$B$80,IF($E218="J",Boss参数!$B$81,IFERROR(INDEX(角色面板!$H$18:$H$21,MATCH($E218,角色面板!$A$18:$A$21,0)),0)))+IF($B218&lt;=$AI218,Boss参数!$B$13,0)+MIN(30,$AM218)*Boss参数!$B$17+IF(AND($L218="LILYA_ULT",$X218&gt;=6),1,0)+IF(AND($Y218=1,$L218="LILYA_INSIGHT"),IF(MOD($AA218+1,3)=0,Boss参数!$B$83,Boss参数!$B$82),IF(AND($Y218=1,$L218="LILYA_FINISH"),Boss参数!$B$84,0))))-FC218*Boss参数!$B$90)</f>
        <v/>
      </c>
      <c r="BB218" s="1" t="str">
        <f>IF($E218="","",IFERROR(INDEX(角色面板!$M$18:$M$21,MATCH($E218,角色面板!$A$18:$A$21,0)),0)+$AW218*Boss参数!$B$12+IF($B218&lt;=$AG218,$AF218,0)+$EI218+IF($L218="LILYA_DIVE",IF($U218=1,IF($G218=1,0.3,IF($G218=2,0.4,0.5)),IF($U218=2,IF($G218=1,0.6,IF($G218=2,0.8,1)),0)),0)+$R218+IF(AND($E218="J",OR($L218="J_COUNTER",$L218="J_HARD")),Boss参数!$B$79,0)+IF(AND(OR(L218="J_COUNTER",L218="J_HARD"),FA218&gt;=Boss参数!$B$59),FA218*Boss参数!$B$40,0))</f>
        <v/>
      </c>
      <c r="BC218" s="1" t="e">
        <f>IF($E218="","",IFERROR(INDEX(角色面板!$K$18:$K$21,MATCH($E218,角色面板!$A$18:$A$21,0)),0)+IF($B218&lt;=$AH218,Boss参数!$B$46,0)+IF($E218="红弩箭",IF($U218=1,0.6,IF($U218=2,1.2,0))+$W218*0.06,0))-DI218*Boss参数!$B$23</f>
        <v>#VALUE!</v>
      </c>
      <c r="BD218" s="1" t="e">
        <f>IF($E218="","",IFERROR(INDEX(角色面板!$L$18:$L$21,MATCH($E218,角色面板!$A$18:$A$21,0)),0)+IF($B218&lt;=$AH218,Boss参数!$B$46,0)+IF($E218="J",$AL218*Boss参数!$B$16,0)+IF($E218="红弩箭",$X218*0.025,0)+IF(AND($L218="LILYA_ULT",$X218&gt;=6),1,0))-DI218*Boss参数!$B$23</f>
        <v>#VALUE!</v>
      </c>
      <c r="BE218" s="1" t="str">
        <f>IF($E218="","",IF($H218="洞知",IF($E218="红弩箭",$AO218*Boss参数!$B$15,0)+$AX218*Boss参数!$B$14,0))</f>
        <v/>
      </c>
      <c r="BF218" s="1">
        <f t="shared" si="211"/>
        <v>0</v>
      </c>
      <c r="BG218" s="1">
        <f>IF($D218="",0,IF(AND($L218&lt;&gt;"LILYA_DIVE",$L218&lt;&gt;"LILYA_ULT",$L218&lt;&gt;"LILYA_INSIGHT",$L218&lt;&gt;"LILYA_FINISH",$L218&lt;&gt;"37_FOLLOW",$L218&lt;&gt;"RHI_ATTACK",$L218&lt;&gt;"RHI_BERRY",$L218&lt;&gt;"J_COUNTER",$L218&lt;&gt;"J_ULT"),$J218,0)+IF($L218="LILYA_DIVE",$J218+IF($U218=1,IF($G218=1,6,IF($G218=2,12,18)),IF($U218=2,IF($G218=1,12,IF($G218=2,24,36)),0)),0)+IF($L218="LILYA_ULT",$J218+IF($X218&gt;=6,18,0),0)+IF($L218="LILYA_INSIGHT",IF($Y218=1,IF(MOD($AA218+1,3)=0,32,15),0),0)+IF($L218="LILYA_FINISH",IF($Y218=1,50+2.5*$Z218,0),0)+IF($L218="37_FOLLOW",$J218,0)+IF($L218="RHI_ATTACK",$J218*IF($B218&lt;=$AJ218,2,1),0)+IF($L218="RHI_BERRY",15+1.5*$AV218,0)+IF($L218="J_COUNTER",$J218+$AD218*Boss参数!$B$39,0)+IF($L218="J_ULT",$J218+Boss参数!$B$45*MAX(0,$AE218+$AD218-Boss参数!$I$4),0)+$S218)</f>
        <v>0</v>
      </c>
      <c r="BH218" s="1">
        <f t="shared" si="212"/>
        <v>0</v>
      </c>
      <c r="BI218" s="1" t="str">
        <f>IF(E218="","",IF(DT218=1,1+Boss参数!$B$8+AV218*Boss参数!$B$19,1))</f>
        <v/>
      </c>
      <c r="BJ218" s="1">
        <f>IF($I218="现实",Boss参数!$C$4,IF($I218="精神",Boss参数!$D$4,0))</f>
        <v>0</v>
      </c>
      <c r="BK218" s="1" t="str">
        <f>IF($E218="","",MAX($AY218*Boss参数!$B$9,$AY218-$BJ218*(1-$BF218)))</f>
        <v/>
      </c>
      <c r="BL218" s="1">
        <f>MAX(0,Boss参数!$F$4+IF(DT218=0,Boss参数!$B$27,0)-EJ218)</f>
        <v>1.25</v>
      </c>
      <c r="BM218" s="1">
        <f>Boss参数!$G$4+DU218-IF(Y218=1,Boss参数!$B$11,0)</f>
        <v>0.4</v>
      </c>
      <c r="BN218" s="1" t="str">
        <f>IF($E218="","",MAX(Boss参数!$B$10,1+IFERROR(INDEX(角色面板!$I$18:$I$21,MATCH($E218,角色面板!$A$18:$A$21,0)),0)+$BB218+Boss参数!$H$4-$BM218))</f>
        <v/>
      </c>
      <c r="BO218" s="1" t="str">
        <f>IF(E218="","",IF(OR(L218="J_COUNTER",L218="J_HARD"),MAX(0,1+INDEX(角色面板!$K$18:$K$21,MATCH(E218,角色面板!$A$18:$A$21,0))-DI218*Boss参数!$B$23+IF(OR(Boss参数!$B$43=1,L218="J_HARD"),IF(B218&lt;=AH218,Boss参数!$B$46,0),0)),MAX(0,IF(OR(H218="术法",L218="RHI_BERRY",AND(L218="37_FOLLOW",Boss参数!$B$31=1)),1+BC218,IF(H218="仪式",1+BD218,IF(H218="洞知",EK218,1))))))</f>
        <v/>
      </c>
      <c r="BP218" s="1" t="str">
        <f t="shared" si="213"/>
        <v/>
      </c>
      <c r="BQ218" s="1">
        <f t="shared" si="214"/>
        <v>0</v>
      </c>
      <c r="BR218" s="1">
        <f t="shared" si="215"/>
        <v>0</v>
      </c>
      <c r="BS218" s="1">
        <f>IF(BH218=0,0,ROUNDDOWN(AY218*BH218,0)*DV218*IF(Boss参数!$B$29=1,BN218,1)*IF(Boss参数!$B$33=1,BO218,1)*IF(Boss参数!$B$76=1,1-ES218,1))</f>
        <v>0</v>
      </c>
      <c r="BT218" s="1">
        <f t="shared" si="216"/>
        <v>0</v>
      </c>
      <c r="BU218" s="1">
        <f>IF(D218="",0,MIN(IF(Boss参数!$B$77=1,Boss参数!$B$63*Boss参数!$B$62,Boss参数!$B$61*Boss参数!$B$62),DW218+ROUNDDOWN(BS218,0)+ROUNDDOWN(DW218*Q218,0)))</f>
        <v>0</v>
      </c>
      <c r="BV218" s="1">
        <f>IF(D218="",0,MIN(IF(Boss参数!$B$77=1,Boss参数!$B$63*Boss参数!$B$62,Boss参数!$B$61*Boss参数!$B$62),DX218+ROUNDDOWN(BT218,0)+ROUNDDOWN(DX218*Q218,0)))</f>
        <v>0</v>
      </c>
      <c r="BW218" s="1">
        <f t="shared" si="217"/>
        <v>0</v>
      </c>
      <c r="BX218" s="1" t="str">
        <f t="shared" si="218"/>
        <v/>
      </c>
      <c r="BY218" s="1">
        <f t="shared" si="219"/>
        <v>2</v>
      </c>
      <c r="BZ218" s="1">
        <f t="shared" si="220"/>
        <v>1</v>
      </c>
      <c r="CA218" s="1">
        <f>MIN(10,W218+IF(AND(L218="LILYA_COBRA",COUNTIF($L$3:L218,"LILYA_COBRA")=1),5,0)+IF(AND(L218="LILYA_DIVE",U218=1,COUNTIFS($DG$3:DG218,DG218,$L$3:L218,"LILYA_DIVE")=1),2,0)+IF(AND(FE218=1,U218=1),3,0))</f>
        <v>10</v>
      </c>
      <c r="CB218" s="1">
        <f>MIN(20,MAX(0,X218+IF(L218="LILYA_COBRA",IF(COUNTIF($L$3:L218,"LILYA_COBRA")=1,6,IF(U218=1,MAX(1,G218),IF(U218=2,2*MAX(1,G218),0))),0)+IF(AND(Y218=1,E218="红弩箭",L218&lt;&gt;"ENTER_INSIGHT"),1,0)-IF(AND(L218="LILYA_ULT",X218&gt;=6),6,0)))</f>
        <v>13</v>
      </c>
      <c r="CC218" s="1">
        <f t="shared" si="221"/>
        <v>0</v>
      </c>
      <c r="CD218" s="1">
        <f t="shared" si="222"/>
        <v>0</v>
      </c>
      <c r="CE218" s="1">
        <f t="shared" si="223"/>
        <v>0</v>
      </c>
      <c r="CF218" s="1">
        <f t="shared" si="224"/>
        <v>10</v>
      </c>
      <c r="CG218" s="1">
        <f t="shared" si="225"/>
        <v>1</v>
      </c>
      <c r="CH218" s="1">
        <f>MIN(35,AD218+IF(L218="J_HARD",6,0)+IF(L218="J_COUNTER",Boss参数!$B$30,0))</f>
        <v>35</v>
      </c>
      <c r="CI218" s="1">
        <f>MIN(Boss参数!$I$4,AE218+IF(L218="J_HARD",6,0)+IF(L218="J_ULT",AD218,0)+IF(L218="J_COUNTER",Boss参数!$B$30,0))</f>
        <v>0</v>
      </c>
      <c r="CJ218" s="1">
        <f>IF(L218="J_ULT",AD218*Boss参数!$B$41,IF(B218&lt;=AG218,AF218,0))</f>
        <v>0.875</v>
      </c>
      <c r="CK218" s="1">
        <f t="shared" si="226"/>
        <v>9</v>
      </c>
      <c r="CL218" s="1">
        <f t="shared" si="227"/>
        <v>9</v>
      </c>
      <c r="CM218" s="1">
        <f t="shared" si="228"/>
        <v>8</v>
      </c>
      <c r="CN218" s="1">
        <f t="shared" si="229"/>
        <v>9</v>
      </c>
      <c r="CO218" s="1">
        <f t="shared" si="230"/>
        <v>8</v>
      </c>
      <c r="CP218" s="1">
        <f t="shared" si="231"/>
        <v>3</v>
      </c>
      <c r="CQ218" s="1">
        <f t="shared" si="232"/>
        <v>30</v>
      </c>
      <c r="CR218" s="1">
        <f t="shared" si="233"/>
        <v>9</v>
      </c>
      <c r="CS218" s="1">
        <f t="shared" si="234"/>
        <v>0</v>
      </c>
      <c r="CT218" s="1" t="e">
        <f t="shared" si="235"/>
        <v>#VALUE!</v>
      </c>
      <c r="CU218" s="1" t="e">
        <f t="shared" si="236"/>
        <v>#VALUE!</v>
      </c>
      <c r="CV218" s="1">
        <f t="shared" si="237"/>
        <v>0.3</v>
      </c>
      <c r="CW218" s="1">
        <f t="shared" si="238"/>
        <v>9</v>
      </c>
      <c r="CX218" s="1">
        <f t="shared" si="239"/>
        <v>0.3</v>
      </c>
      <c r="CY218" s="1">
        <f t="shared" si="240"/>
        <v>9</v>
      </c>
      <c r="CZ218" s="1"/>
      <c r="DA218" s="1"/>
      <c r="DB218" s="1"/>
      <c r="DC218" s="1"/>
      <c r="DD218" s="1"/>
      <c r="DE218" s="1"/>
      <c r="DF218" s="1"/>
      <c r="DG218" s="1" t="str">
        <f>IF(D218="","",行动模拟!B224)</f>
        <v/>
      </c>
      <c r="DH218" s="1" t="str">
        <f>IF(L218="END_TURN","回合结束",IF(D218="","",IF(INDEX(回合状态!$C$7:$C$17,MATCH(DG218,回合状态!$A$7:$A$17,0))="洞穿","洞穿",IF(OR(L218="J_COUNTER",L218="BOSS_ACTION",L218="BOSS_CONSERVATIVE"),"敌方",IF(AND(L218="37_FOLLOW",DG218=DG217,DH217="敌方"),"敌方",IF(INDEX(回合状态!$C$7:$C$17,MATCH(DG218,回合状态!$A$7:$A$17,0))="普通","出牌",INDEX(回合状态!$C$7:$C$17,MATCH(DG218,回合状态!$A$7:$A$17,0))))))))</f>
        <v/>
      </c>
      <c r="DI218" s="1">
        <f t="shared" si="241"/>
        <v>0</v>
      </c>
      <c r="DJ218" s="1">
        <f>IF(D218="",0,MIN(Boss参数!$B$25,IF(OR(AND(DH218="敌方",OR(DH217&lt;&gt;"敌方",DG218&lt;&gt;DG217)),AND(L218="END_TURN",DH218&lt;&gt;"洞穿"),AND(DG218&lt;&gt;DG217,DH217&lt;&gt;"洞穿",L217&lt;&gt;"END_TURN",COUNTIFS($DG$3:DG217,DG217,$DH$3:DH217,"敌方")=0)),EW218,DN217)))</f>
        <v>0</v>
      </c>
      <c r="DK218" s="1">
        <f>IF(D218="",0,MIN(Boss参数!$B$25,IF(OR(AND(DH218="敌方",OR(DH217&lt;&gt;"敌方",DG218&lt;&gt;DG217)),AND(L218="END_TURN",DH218&lt;&gt;"洞穿"),AND(DG218&lt;&gt;DG217,DH217&lt;&gt;"洞穿",L217&lt;&gt;"END_TURN",COUNTIFS($DG$3:DG217,DG217,$DH$3:DH217,"敌方")=0)),EW218,DO217)))</f>
        <v>0</v>
      </c>
      <c r="DL218" s="1">
        <f>IF(D218="",0,MIN(Boss参数!$B$25,IF(OR(AND(DH218="敌方",OR(DH217&lt;&gt;"敌方",DG218&lt;&gt;DG217)),AND(L218="END_TURN",DH218&lt;&gt;"洞穿"),AND(DG218&lt;&gt;DG217,DH217&lt;&gt;"洞穿",L217&lt;&gt;"END_TURN",COUNTIFS($DG$3:DG217,DG217,$DH$3:DH217,"敌方")=0)),EW218,DP217)))</f>
        <v>0</v>
      </c>
      <c r="DM218" s="1">
        <f>IF(D218="",0,MIN(Boss参数!$B$25,IF(OR(AND(DH218="敌方",OR(DH217&lt;&gt;"敌方",DG218&lt;&gt;DG217)),AND(L218="END_TURN",DH218&lt;&gt;"洞穿"),AND(DG218&lt;&gt;DG217,DH217&lt;&gt;"洞穿",L217&lt;&gt;"END_TURN",COUNTIFS($DG$3:DG217,DG217,$DH$3:DH217,"敌方")=0)),EW218,DQ217)))</f>
        <v>0</v>
      </c>
      <c r="DN218" s="1">
        <f>MAX(0,MIN(Boss参数!$B$25,DJ218+DR218)-IF(E218="红弩箭",2*DR218,0))</f>
        <v>0</v>
      </c>
      <c r="DO218" s="1">
        <f>MAX(0,MIN(Boss参数!$B$25,DK218+DR218)-IF(E218="37",2*DR218,0))</f>
        <v>0</v>
      </c>
      <c r="DP218" s="1">
        <f>MAX(0,MIN(Boss参数!$B$25,DL218+DR218)-IF(E218="小瑞安侬",2*DR218,0))</f>
        <v>0</v>
      </c>
      <c r="DQ218" s="1">
        <f>MAX(0,MIN(Boss参数!$B$25,DM218+DR218)-IF(E218="J",2*DR218,0))</f>
        <v>0</v>
      </c>
      <c r="DR218" s="1">
        <f t="shared" si="242"/>
        <v>0</v>
      </c>
      <c r="DS218" s="1">
        <f t="shared" si="243"/>
        <v>0</v>
      </c>
      <c r="DT218" s="1">
        <f>IF(OR(E218="",E218="系统"),0,IF(OR(AND(DS218=1,Boss参数!$B$32=1),L218="RHI_BERRY",OR(AND(INDEX(角色面板!$B$18:$B$21,MATCH(E218,角色面板!$A$18:$A$21,0))="星",Boss参数!$B$4="岩"),AND(INDEX(角色面板!$B$18:$B$21,MATCH(E218,角色面板!$A$18:$A$21,0))="岩",Boss参数!$B$4="兽"),AND(INDEX(角色面板!$B$18:$B$21,MATCH(E218,角色面板!$A$18:$A$21,0))="兽",Boss参数!$B$4="木"),AND(INDEX(角色面板!$B$18:$B$21,MATCH(E218,角色面板!$A$18:$A$21,0))="木",Boss参数!$B$4="星"),AND(INDEX(角色面板!$B$18:$B$21,MATCH(E218,角色面板!$A$18:$A$21,0))="智",Boss参数!$B$4="灵"),AND(INDEX(角色面板!$B$18:$B$21,MATCH(E218,角色面板!$A$18:$A$21,0))="灵",Boss参数!$B$4="智"))),1,0))</f>
        <v>0</v>
      </c>
      <c r="DU218" s="1">
        <f>IF(D218="",0,INDEX(回合状态!$E$7:$E$17,MATCH(DG218,回合状态!$A$7:$A$17,0))+IF(AND(DH218="敌方",OR(INDEX(回合状态!$C$7:$C$17,MATCH(DG218,回合状态!$A$7:$A$17,0))="普通",INDEX(回合状态!$C$7:$C$17,MATCH(DG218,回合状态!$A$7:$A$17,0))="额外")),0.05,0))</f>
        <v>0</v>
      </c>
      <c r="DV218" s="1">
        <f>MAX(Boss参数!$B$28,1+IF(AND(E218="37",AC218&gt;0,BH218&gt;0),Boss参数!$B$42,0)-DI218*Boss参数!$B$24+EA218-ER218)</f>
        <v>9.9999999999999978E-2</v>
      </c>
      <c r="DW218" s="1">
        <f>MIN(IF(Boss参数!$B$77=1,Boss参数!$B$63*Boss参数!$B$62,Boss参数!$B$61*Boss参数!$B$62),ROUNDDOWN(BQ218*(1-ES218),0))</f>
        <v>0</v>
      </c>
      <c r="DX218" s="1">
        <f>MIN(IF(Boss参数!$B$77=1,Boss参数!$B$63*Boss参数!$B$62,Boss参数!$B$61*Boss参数!$B$62),ROUNDDOWN(BR218*(1-ES218),0))</f>
        <v>0</v>
      </c>
      <c r="DY218" s="1">
        <f t="shared" si="275"/>
        <v>250</v>
      </c>
      <c r="DZ218" s="1">
        <f>IF(L218="RHI_ULT",MIN(Boss参数!$B$48,ROUNDDOWN(AY218*Boss参数!$B$47,0)),DY218)</f>
        <v>250</v>
      </c>
      <c r="EA218" s="1">
        <v>0</v>
      </c>
      <c r="EB218" s="1">
        <f t="shared" si="244"/>
        <v>0</v>
      </c>
      <c r="EC218" s="1">
        <f>SUMIFS($EB$3:EB218,$B$3:B218,"&gt;="&amp;MAX(1,B218-2),$B$3:B218,"&lt;="&amp;B218)*Boss参数!$B$51</f>
        <v>0</v>
      </c>
      <c r="ED218" s="1">
        <f>IF(D218="",EG217,IF(AND(DG218&lt;&gt;DG217,DH218&lt;&gt;"洞穿"),MIN(Boss参数!$B$55,EG217+2),EG217))</f>
        <v>0</v>
      </c>
      <c r="EE218" s="1">
        <f t="shared" si="245"/>
        <v>0</v>
      </c>
      <c r="EF218" s="1">
        <f>IF(AND(OR(L218="END_TURN",AND(DH218="敌方",OR(DH217&lt;&gt;"敌方",DG218&lt;&gt;DG217))),SUMIFS($EF$3:EF217,$DG$3:DG217,DG218)=0),MIN(1,MAX(0,ED218-EE218)),0)</f>
        <v>0</v>
      </c>
      <c r="EG218" s="1">
        <f t="shared" si="246"/>
        <v>0</v>
      </c>
      <c r="EH218" s="1">
        <f>Boss参数!$B$53-IF(Y218=1,Boss参数!$B$54,0)</f>
        <v>0</v>
      </c>
      <c r="EI218" s="1">
        <f t="shared" si="247"/>
        <v>0.15</v>
      </c>
      <c r="EJ218" s="1">
        <f t="shared" si="248"/>
        <v>0.15</v>
      </c>
      <c r="EK218" s="1" t="e">
        <f t="shared" si="249"/>
        <v>#VALUE!</v>
      </c>
      <c r="EL218" s="1">
        <f t="shared" si="276"/>
        <v>0</v>
      </c>
      <c r="EM218" s="1">
        <f>IF(AND(DG218&lt;&gt;DG217,DH218="洞穿"),0,IF(L218="ENTER_INSIGHT",Boss参数!$B$57,EO217))</f>
        <v>0</v>
      </c>
      <c r="EN218" s="1">
        <f>IF(AND(Y218=1,H218="洞知",EM218&gt;0),Boss参数!$B$56,0)</f>
        <v>0</v>
      </c>
      <c r="EO218" s="1">
        <f t="shared" si="250"/>
        <v>0</v>
      </c>
      <c r="EP218" s="1">
        <f t="shared" si="277"/>
        <v>23210479</v>
      </c>
      <c r="EQ218" s="1">
        <f>ROUNDDOWN(EP218/Boss参数!$B$62,0)</f>
        <v>232</v>
      </c>
      <c r="ER218" s="1">
        <f>IF(EQ218&gt;=Boss参数!$B$66,Boss参数!$B$69,IF(EQ218&gt;=Boss参数!$B$65,Boss参数!$B$68,IF(EQ218&gt;=Boss参数!$B$64,Boss参数!$B$67,0)))</f>
        <v>0.9</v>
      </c>
      <c r="ES218" s="1">
        <f>MIN(1,IF(EQ218&gt;=Boss参数!$B$66,Boss参数!$B$72+ROUNDDOWN((EQ218-Boss参数!$B$66)/Boss参数!$B$73,0)*Boss参数!$B$74,IF(EQ218&gt;=Boss参数!$B$65,Boss参数!$B$71,IF(EQ218&gt;=Boss参数!$B$64,Boss参数!$B$70,0))))</f>
        <v>0.65</v>
      </c>
      <c r="ET218" s="1">
        <f>MIN(Boss参数!$B$61*Boss参数!$B$62,EP218+IF(AND(Boss参数!$B$60=1,ISNUMBER(验证表!H224)),验证表!H224,EU218))</f>
        <v>23210479</v>
      </c>
      <c r="EU218" s="1">
        <f>IF(D218="",0,IF(验证表!G224="是",BV218,IF(验证表!G224="否",BU218,BW218)))</f>
        <v>0</v>
      </c>
      <c r="EV218" s="1">
        <f>IF(EQ218&gt;=Boss参数!$B$66,2,IF(EQ218&gt;=Boss参数!$B$65,1,0))</f>
        <v>2</v>
      </c>
      <c r="EW218" s="1">
        <f t="shared" si="251"/>
        <v>3</v>
      </c>
      <c r="EX218" s="1">
        <f>IF(D218="",0,INDEX(回合状态!$D$7:$D$17,MATCH(DG218,回合状态!$A$7:$A$17,0)))</f>
        <v>0</v>
      </c>
      <c r="EY218" s="1">
        <f>IF(OR(L218="RHI_ATTACK",L218="RHI_BUFF"),1,IF(L218="RHI_ULT",Boss参数!$B$52,0))</f>
        <v>0</v>
      </c>
      <c r="EZ218" s="1">
        <f>MIN(6,SUMIFS($EY$3:EY218,$EX$3:EX218,"&gt;="&amp;MAX(1,EX218-Boss参数!$B$87+1),$EX$3:EX218,"&lt;="&amp;EX218))</f>
        <v>0</v>
      </c>
      <c r="FA218" s="1">
        <f t="shared" si="278"/>
        <v>0</v>
      </c>
      <c r="FB218" s="17">
        <f>IF(L218="BOSS_CONSERVATIVE",B218+Boss参数!$B$91,FB217)</f>
        <v>7</v>
      </c>
      <c r="FC218" s="17">
        <f t="shared" si="279"/>
        <v>0</v>
      </c>
      <c r="FD218" s="17">
        <f>IF(D218="",FD217,FD217+IF(AND(DG218&lt;&gt;DG217,INDEX(回合状态!$C$7:$C$17,MATCH(DG218,回合状态!$A$7:$A$17,0))&lt;&gt;"洞穿"),1,0))</f>
        <v>8</v>
      </c>
      <c r="FE218" s="17">
        <f>IF(D218="",0,IF(AND(OR(L218="END_TURN",DH218="敌方"),INDEX(回合状态!$C$7:$C$17,MATCH(DG218,回合状态!$A$7:$A$17,0))&lt;&gt;"洞穿",SUMIFS($FE$3:FE217,$DG$3:DG217,DG218)=0),1,0))</f>
        <v>0</v>
      </c>
    </row>
    <row r="219" spans="1:161" ht="84.95" customHeight="1">
      <c r="A219" s="1" t="str">
        <f>行动模拟!A225</f>
        <v/>
      </c>
      <c r="B219" s="1">
        <f>IF(D219="",0,INDEX(回合状态!$B$7:$B$17,MATCH(DG219,回合状态!$A$7:$A$17,0)))</f>
        <v>0</v>
      </c>
      <c r="C219" s="1">
        <f>行动模拟!C225</f>
        <v>0</v>
      </c>
      <c r="D219" s="1" t="str">
        <f>IF(行动模拟!D225="","",行动模拟!D225)</f>
        <v/>
      </c>
      <c r="E219" s="1" t="str">
        <f>IF($D219="","",IFERROR(INDEX(技能数据库!$B$4:$B$38,MATCH($D219,技能数据库!$A$4:$A$38,0)),""))</f>
        <v/>
      </c>
      <c r="F219" s="1" t="str">
        <f>IF($D219="","",IFERROR(INDEX(技能数据库!$C$4:$C$38,MATCH($D219,技能数据库!$A$4:$A$38,0)),""))</f>
        <v/>
      </c>
      <c r="G219" s="1" t="str">
        <f>IF($D219="","",IFERROR(INDEX(技能数据库!$D$4:$D$38,MATCH($D219,技能数据库!$A$4:$A$38,0)),""))</f>
        <v/>
      </c>
      <c r="H219" s="1" t="str">
        <f>IF($D219="","",IFERROR(INDEX(技能数据库!$E$4:$E$38,MATCH($D219,技能数据库!$A$4:$A$38,0)),""))</f>
        <v/>
      </c>
      <c r="I219" s="1" t="str">
        <f>IF($D219="","",IFERROR(INDEX(技能数据库!$F$4:$F$38,MATCH($D219,技能数据库!$A$4:$A$38,0)),""))</f>
        <v/>
      </c>
      <c r="J219" s="1" t="str">
        <f>IF($D219="","",IFERROR(INDEX(技能数据库!$G$4:$G$38,MATCH($D219,技能数据库!$A$4:$A$38,0)),""))</f>
        <v/>
      </c>
      <c r="K219" s="1" t="str">
        <f>IF($D219="","",IFERROR(INDEX(技能数据库!$H$4:$H$38,MATCH($D219,技能数据库!$A$4:$A$38,0)),""))</f>
        <v/>
      </c>
      <c r="L219" s="1" t="str">
        <f>IF($D219="","",IFERROR(INDEX(技能数据库!$I$4:$I$38,MATCH($D219,技能数据库!$A$4:$A$38,0)),""))</f>
        <v/>
      </c>
      <c r="M219" s="1">
        <v>1</v>
      </c>
      <c r="N219" s="1"/>
      <c r="O219" s="1"/>
      <c r="P219" s="1"/>
      <c r="Q219" s="1">
        <f t="shared" si="210"/>
        <v>0</v>
      </c>
      <c r="R219" s="1">
        <v>0</v>
      </c>
      <c r="S219" s="1">
        <v>0</v>
      </c>
      <c r="T219" s="1">
        <f>行动模拟!I225</f>
        <v>0</v>
      </c>
      <c r="U219" s="1">
        <f>IF(FD219&lt;&gt;FD218,IF(BY218=1,IF(MIN(10,CA218+IF(AND(DG219&lt;&gt;DG218,DH218&lt;&gt;"洞穿",SUMIFS($FE$3:FE218,$DG$3:DG218,DG218)=0,BY218=1),3,0))&gt;=10,2,1),IF(BY218=2,IF(BZ218&lt;=1,0,2),0)),BY218)</f>
        <v>2</v>
      </c>
      <c r="V219" s="1">
        <f>IF(FD219&lt;&gt;FD218,IF(BY218=1,IF(MIN(10,CA218+IF(AND(DG219&lt;&gt;DG218,DH218&lt;&gt;"洞穿",SUMIFS($FE$3:FE218,$DG$3:DG218,DG218)=0,BY218=1),3,0))&gt;=10,2,0),IF(BY218=2,MAX(0,BZ218-1),0)),BZ218)</f>
        <v>1</v>
      </c>
      <c r="W219" s="1">
        <f>IF(AND(FD219&lt;&gt;FD218,BY218=2,BZ218&lt;=1),0,MIN(10,CA218+IF(AND(DG219&lt;&gt;DG218,DH218&lt;&gt;"洞穿",SUMIFS($FE$3:FE218,$DG$3:DG218,DG218)=0,BY218=1),3,0)))</f>
        <v>10</v>
      </c>
      <c r="X219" s="1">
        <f t="shared" si="252"/>
        <v>13</v>
      </c>
      <c r="Y219" s="1">
        <f t="shared" si="253"/>
        <v>0</v>
      </c>
      <c r="Z219" s="1">
        <f t="shared" si="254"/>
        <v>0</v>
      </c>
      <c r="AA219" s="1">
        <f t="shared" si="255"/>
        <v>0</v>
      </c>
      <c r="AB219" s="1">
        <f t="shared" si="256"/>
        <v>10</v>
      </c>
      <c r="AC219" s="1">
        <f t="shared" si="257"/>
        <v>1</v>
      </c>
      <c r="AD219" s="1">
        <f t="shared" si="258"/>
        <v>35</v>
      </c>
      <c r="AE219" s="1">
        <f>IF(D219="",0,IF(DG219&lt;&gt;DG218,IFERROR(INDEX(回合状态!$F$7:$F$17,MATCH(DG219,回合状态!$A$7:$A$17,0)),0),CI218))</f>
        <v>0</v>
      </c>
      <c r="AF219" s="1">
        <f t="shared" si="259"/>
        <v>0.875</v>
      </c>
      <c r="AG219" s="1">
        <f t="shared" si="260"/>
        <v>9</v>
      </c>
      <c r="AH219" s="1">
        <f t="shared" si="261"/>
        <v>9</v>
      </c>
      <c r="AI219" s="1">
        <f t="shared" si="262"/>
        <v>8</v>
      </c>
      <c r="AJ219" s="1">
        <f t="shared" si="263"/>
        <v>9</v>
      </c>
      <c r="AK219" s="1">
        <f t="shared" si="264"/>
        <v>8</v>
      </c>
      <c r="AL219" s="1">
        <f t="shared" si="265"/>
        <v>3</v>
      </c>
      <c r="AM219" s="1">
        <f t="shared" si="266"/>
        <v>30</v>
      </c>
      <c r="AN219" s="1">
        <f t="shared" si="267"/>
        <v>9</v>
      </c>
      <c r="AO219" s="1">
        <f t="shared" si="268"/>
        <v>0</v>
      </c>
      <c r="AP219" s="1" t="e">
        <f t="shared" si="269"/>
        <v>#VALUE!</v>
      </c>
      <c r="AQ219" s="1" t="e">
        <f t="shared" si="270"/>
        <v>#VALUE!</v>
      </c>
      <c r="AR219" s="1">
        <f t="shared" si="271"/>
        <v>0.3</v>
      </c>
      <c r="AS219" s="1">
        <f t="shared" si="272"/>
        <v>9</v>
      </c>
      <c r="AT219" s="1">
        <f t="shared" si="273"/>
        <v>0.3</v>
      </c>
      <c r="AU219" s="1">
        <f t="shared" si="274"/>
        <v>9</v>
      </c>
      <c r="AV219" s="1">
        <f>MIN(5,SUMIFS($EL$3:EL219,$B$3:B219,"&gt;="&amp;MAX(1,B219-2),$B$3:B219,"&lt;="&amp;B219)+EC219)</f>
        <v>0</v>
      </c>
      <c r="AW219" s="1">
        <f>MIN(6,SUMIFS($EY$3:EY218,$EX$3:EX218,"&gt;="&amp;MAX(1,EX219-Boss参数!$B$87+1),$EX$3:EX218,"&lt;="&amp;EX219))</f>
        <v>0</v>
      </c>
      <c r="AX219" s="1">
        <f>MIN(4,COUNTIFS($B$3:$B$218,"&gt;="&amp;MAX(1,$B219-2),$B$3:$B$218,"&lt;="&amp;$B219,$L$3:$L$218,"37_FOLLOW"))</f>
        <v>0</v>
      </c>
      <c r="AY219" s="1" t="str">
        <f>IF($E219="","",IF($E219="系统",0,ROUNDDOWN(INDEX(角色面板!$C$4:$C$7,MATCH($E219,角色面板!$A$4:$A$7,0))*(1+INDEX(角色面板!$C$11:$C$14,MATCH($E219,角色面板!$A$11:$A$14,0))+IF($E219="小瑞安侬",MAX(IF($B219&lt;=$AQ219,$AP219,0),IF(AND($L219="RHI_ATTACK",$EE219&gt;0),0.11+0.01*$G219,0)),0)+IF($E219="J",$AD219*Boss参数!$B$18,0))+IF(FD219&lt;=$AN219,MIN(Boss参数!$B$21,ROUNDDOWN(角色面板!$C$19*Boss参数!$B$20,0)),0)+IF(AND($B219&lt;=$AK219,$E219&lt;&gt;"小瑞安侬"),$DY219,0),0)))</f>
        <v/>
      </c>
      <c r="AZ219" s="1" t="str">
        <f>IF($E219="","",MAX(0,MIN(1,IFERROR(INDEX(角色面板!$G$18:$G$21,MATCH($E219,角色面板!$A$18:$A$21,0)),0)-FC219*Boss参数!$B$89-Boss参数!$E$4)))</f>
        <v/>
      </c>
      <c r="BA219" s="1" t="str">
        <f>IF(E219="","",(IF($E219="","",IF($E219="红弩箭",Boss参数!$B$80,IF($E219="J",Boss参数!$B$81,IFERROR(INDEX(角色面板!$H$18:$H$21,MATCH($E219,角色面板!$A$18:$A$21,0)),0)))+IF($B219&lt;=$AI219,Boss参数!$B$13,0)+MIN(30,$AM219)*Boss参数!$B$17+IF(AND($L219="LILYA_ULT",$X219&gt;=6),1,0)+IF(AND($Y219=1,$L219="LILYA_INSIGHT"),IF(MOD($AA219+1,3)=0,Boss参数!$B$83,Boss参数!$B$82),IF(AND($Y219=1,$L219="LILYA_FINISH"),Boss参数!$B$84,0))))-FC219*Boss参数!$B$90)</f>
        <v/>
      </c>
      <c r="BB219" s="1" t="str">
        <f>IF($E219="","",IFERROR(INDEX(角色面板!$M$18:$M$21,MATCH($E219,角色面板!$A$18:$A$21,0)),0)+$AW219*Boss参数!$B$12+IF($B219&lt;=$AG219,$AF219,0)+$EI219+IF($L219="LILYA_DIVE",IF($U219=1,IF($G219=1,0.3,IF($G219=2,0.4,0.5)),IF($U219=2,IF($G219=1,0.6,IF($G219=2,0.8,1)),0)),0)+$R219+IF(AND($E219="J",OR($L219="J_COUNTER",$L219="J_HARD")),Boss参数!$B$79,0)+IF(AND(OR(L219="J_COUNTER",L219="J_HARD"),FA219&gt;=Boss参数!$B$59),FA219*Boss参数!$B$40,0))</f>
        <v/>
      </c>
      <c r="BC219" s="1" t="e">
        <f>IF($E219="","",IFERROR(INDEX(角色面板!$K$18:$K$21,MATCH($E219,角色面板!$A$18:$A$21,0)),0)+IF($B219&lt;=$AH219,Boss参数!$B$46,0)+IF($E219="红弩箭",IF($U219=1,0.6,IF($U219=2,1.2,0))+$W219*0.06,0))-DI219*Boss参数!$B$23</f>
        <v>#VALUE!</v>
      </c>
      <c r="BD219" s="1" t="e">
        <f>IF($E219="","",IFERROR(INDEX(角色面板!$L$18:$L$21,MATCH($E219,角色面板!$A$18:$A$21,0)),0)+IF($B219&lt;=$AH219,Boss参数!$B$46,0)+IF($E219="J",$AL219*Boss参数!$B$16,0)+IF($E219="红弩箭",$X219*0.025,0)+IF(AND($L219="LILYA_ULT",$X219&gt;=6),1,0))-DI219*Boss参数!$B$23</f>
        <v>#VALUE!</v>
      </c>
      <c r="BE219" s="1" t="str">
        <f>IF($E219="","",IF($H219="洞知",IF($E219="红弩箭",$AO219*Boss参数!$B$15,0)+$AX219*Boss参数!$B$14,0))</f>
        <v/>
      </c>
      <c r="BF219" s="1">
        <f t="shared" si="211"/>
        <v>0</v>
      </c>
      <c r="BG219" s="1">
        <f>IF($D219="",0,IF(AND($L219&lt;&gt;"LILYA_DIVE",$L219&lt;&gt;"LILYA_ULT",$L219&lt;&gt;"LILYA_INSIGHT",$L219&lt;&gt;"LILYA_FINISH",$L219&lt;&gt;"37_FOLLOW",$L219&lt;&gt;"RHI_ATTACK",$L219&lt;&gt;"RHI_BERRY",$L219&lt;&gt;"J_COUNTER",$L219&lt;&gt;"J_ULT"),$J219,0)+IF($L219="LILYA_DIVE",$J219+IF($U219=1,IF($G219=1,6,IF($G219=2,12,18)),IF($U219=2,IF($G219=1,12,IF($G219=2,24,36)),0)),0)+IF($L219="LILYA_ULT",$J219+IF($X219&gt;=6,18,0),0)+IF($L219="LILYA_INSIGHT",IF($Y219=1,IF(MOD($AA219+1,3)=0,32,15),0),0)+IF($L219="LILYA_FINISH",IF($Y219=1,50+2.5*$Z219,0),0)+IF($L219="37_FOLLOW",$J219,0)+IF($L219="RHI_ATTACK",$J219*IF($B219&lt;=$AJ219,2,1),0)+IF($L219="RHI_BERRY",15+1.5*$AV219,0)+IF($L219="J_COUNTER",$J219+$AD219*Boss参数!$B$39,0)+IF($L219="J_ULT",$J219+Boss参数!$B$45*MAX(0,$AE219+$AD219-Boss参数!$I$4),0)+$S219)</f>
        <v>0</v>
      </c>
      <c r="BH219" s="1">
        <f t="shared" si="212"/>
        <v>0</v>
      </c>
      <c r="BI219" s="1" t="str">
        <f>IF(E219="","",IF(DT219=1,1+Boss参数!$B$8+AV219*Boss参数!$B$19,1))</f>
        <v/>
      </c>
      <c r="BJ219" s="1">
        <f>IF($I219="现实",Boss参数!$C$4,IF($I219="精神",Boss参数!$D$4,0))</f>
        <v>0</v>
      </c>
      <c r="BK219" s="1" t="str">
        <f>IF($E219="","",MAX($AY219*Boss参数!$B$9,$AY219-$BJ219*(1-$BF219)))</f>
        <v/>
      </c>
      <c r="BL219" s="1">
        <f>MAX(0,Boss参数!$F$4+IF(DT219=0,Boss参数!$B$27,0)-EJ219)</f>
        <v>1.25</v>
      </c>
      <c r="BM219" s="1">
        <f>Boss参数!$G$4+DU219-IF(Y219=1,Boss参数!$B$11,0)</f>
        <v>0.4</v>
      </c>
      <c r="BN219" s="1" t="str">
        <f>IF($E219="","",MAX(Boss参数!$B$10,1+IFERROR(INDEX(角色面板!$I$18:$I$21,MATCH($E219,角色面板!$A$18:$A$21,0)),0)+$BB219+Boss参数!$H$4-$BM219))</f>
        <v/>
      </c>
      <c r="BO219" s="1" t="str">
        <f>IF(E219="","",IF(OR(L219="J_COUNTER",L219="J_HARD"),MAX(0,1+INDEX(角色面板!$K$18:$K$21,MATCH(E219,角色面板!$A$18:$A$21,0))-DI219*Boss参数!$B$23+IF(OR(Boss参数!$B$43=1,L219="J_HARD"),IF(B219&lt;=AH219,Boss参数!$B$46,0),0)),MAX(0,IF(OR(H219="术法",L219="RHI_BERRY",AND(L219="37_FOLLOW",Boss参数!$B$31=1)),1+BC219,IF(H219="仪式",1+BD219,IF(H219="洞知",EK219,1))))))</f>
        <v/>
      </c>
      <c r="BP219" s="1" t="str">
        <f t="shared" si="213"/>
        <v/>
      </c>
      <c r="BQ219" s="1">
        <f t="shared" si="214"/>
        <v>0</v>
      </c>
      <c r="BR219" s="1">
        <f t="shared" si="215"/>
        <v>0</v>
      </c>
      <c r="BS219" s="1">
        <f>IF(BH219=0,0,ROUNDDOWN(AY219*BH219,0)*DV219*IF(Boss参数!$B$29=1,BN219,1)*IF(Boss参数!$B$33=1,BO219,1)*IF(Boss参数!$B$76=1,1-ES219,1))</f>
        <v>0</v>
      </c>
      <c r="BT219" s="1">
        <f t="shared" si="216"/>
        <v>0</v>
      </c>
      <c r="BU219" s="1">
        <f>IF(D219="",0,MIN(IF(Boss参数!$B$77=1,Boss参数!$B$63*Boss参数!$B$62,Boss参数!$B$61*Boss参数!$B$62),DW219+ROUNDDOWN(BS219,0)+ROUNDDOWN(DW219*Q219,0)))</f>
        <v>0</v>
      </c>
      <c r="BV219" s="1">
        <f>IF(D219="",0,MIN(IF(Boss参数!$B$77=1,Boss参数!$B$63*Boss参数!$B$62,Boss参数!$B$61*Boss参数!$B$62),DX219+ROUNDDOWN(BT219,0)+ROUNDDOWN(DX219*Q219,0)))</f>
        <v>0</v>
      </c>
      <c r="BW219" s="1">
        <f t="shared" si="217"/>
        <v>0</v>
      </c>
      <c r="BX219" s="1" t="str">
        <f t="shared" si="218"/>
        <v/>
      </c>
      <c r="BY219" s="1">
        <f t="shared" si="219"/>
        <v>2</v>
      </c>
      <c r="BZ219" s="1">
        <f t="shared" si="220"/>
        <v>1</v>
      </c>
      <c r="CA219" s="1">
        <f>MIN(10,W219+IF(AND(L219="LILYA_COBRA",COUNTIF($L$3:L219,"LILYA_COBRA")=1),5,0)+IF(AND(L219="LILYA_DIVE",U219=1,COUNTIFS($DG$3:DG219,DG219,$L$3:L219,"LILYA_DIVE")=1),2,0)+IF(AND(FE219=1,U219=1),3,0))</f>
        <v>10</v>
      </c>
      <c r="CB219" s="1">
        <f>MIN(20,MAX(0,X219+IF(L219="LILYA_COBRA",IF(COUNTIF($L$3:L219,"LILYA_COBRA")=1,6,IF(U219=1,MAX(1,G219),IF(U219=2,2*MAX(1,G219),0))),0)+IF(AND(Y219=1,E219="红弩箭",L219&lt;&gt;"ENTER_INSIGHT"),1,0)-IF(AND(L219="LILYA_ULT",X219&gt;=6),6,0)))</f>
        <v>13</v>
      </c>
      <c r="CC219" s="1">
        <f t="shared" si="221"/>
        <v>0</v>
      </c>
      <c r="CD219" s="1">
        <f t="shared" si="222"/>
        <v>0</v>
      </c>
      <c r="CE219" s="1">
        <f t="shared" si="223"/>
        <v>0</v>
      </c>
      <c r="CF219" s="1">
        <f t="shared" si="224"/>
        <v>10</v>
      </c>
      <c r="CG219" s="1">
        <f t="shared" si="225"/>
        <v>1</v>
      </c>
      <c r="CH219" s="1">
        <f>MIN(35,AD219+IF(L219="J_HARD",6,0)+IF(L219="J_COUNTER",Boss参数!$B$30,0))</f>
        <v>35</v>
      </c>
      <c r="CI219" s="1">
        <f>MIN(Boss参数!$I$4,AE219+IF(L219="J_HARD",6,0)+IF(L219="J_ULT",AD219,0)+IF(L219="J_COUNTER",Boss参数!$B$30,0))</f>
        <v>0</v>
      </c>
      <c r="CJ219" s="1">
        <f>IF(L219="J_ULT",AD219*Boss参数!$B$41,IF(B219&lt;=AG219,AF219,0))</f>
        <v>0.875</v>
      </c>
      <c r="CK219" s="1">
        <f t="shared" si="226"/>
        <v>9</v>
      </c>
      <c r="CL219" s="1">
        <f t="shared" si="227"/>
        <v>9</v>
      </c>
      <c r="CM219" s="1">
        <f t="shared" si="228"/>
        <v>8</v>
      </c>
      <c r="CN219" s="1">
        <f t="shared" si="229"/>
        <v>9</v>
      </c>
      <c r="CO219" s="1">
        <f t="shared" si="230"/>
        <v>8</v>
      </c>
      <c r="CP219" s="1">
        <f t="shared" si="231"/>
        <v>3</v>
      </c>
      <c r="CQ219" s="1">
        <f t="shared" si="232"/>
        <v>30</v>
      </c>
      <c r="CR219" s="1">
        <f t="shared" si="233"/>
        <v>9</v>
      </c>
      <c r="CS219" s="1">
        <f t="shared" si="234"/>
        <v>0</v>
      </c>
      <c r="CT219" s="1" t="e">
        <f t="shared" si="235"/>
        <v>#VALUE!</v>
      </c>
      <c r="CU219" s="1" t="e">
        <f t="shared" si="236"/>
        <v>#VALUE!</v>
      </c>
      <c r="CV219" s="1">
        <f t="shared" si="237"/>
        <v>0.3</v>
      </c>
      <c r="CW219" s="1">
        <f t="shared" si="238"/>
        <v>9</v>
      </c>
      <c r="CX219" s="1">
        <f t="shared" si="239"/>
        <v>0.3</v>
      </c>
      <c r="CY219" s="1">
        <f t="shared" si="240"/>
        <v>9</v>
      </c>
      <c r="CZ219" s="1"/>
      <c r="DA219" s="1"/>
      <c r="DB219" s="1"/>
      <c r="DC219" s="1"/>
      <c r="DD219" s="1"/>
      <c r="DE219" s="1"/>
      <c r="DF219" s="1"/>
      <c r="DG219" s="1" t="str">
        <f>IF(D219="","",行动模拟!B225)</f>
        <v/>
      </c>
      <c r="DH219" s="1" t="str">
        <f>IF(L219="END_TURN","回合结束",IF(D219="","",IF(INDEX(回合状态!$C$7:$C$17,MATCH(DG219,回合状态!$A$7:$A$17,0))="洞穿","洞穿",IF(OR(L219="J_COUNTER",L219="BOSS_ACTION",L219="BOSS_CONSERVATIVE"),"敌方",IF(AND(L219="37_FOLLOW",DG219=DG218,DH218="敌方"),"敌方",IF(INDEX(回合状态!$C$7:$C$17,MATCH(DG219,回合状态!$A$7:$A$17,0))="普通","出牌",INDEX(回合状态!$C$7:$C$17,MATCH(DG219,回合状态!$A$7:$A$17,0))))))))</f>
        <v/>
      </c>
      <c r="DI219" s="1">
        <f t="shared" si="241"/>
        <v>0</v>
      </c>
      <c r="DJ219" s="1">
        <f>IF(D219="",0,MIN(Boss参数!$B$25,IF(OR(AND(DH219="敌方",OR(DH218&lt;&gt;"敌方",DG219&lt;&gt;DG218)),AND(L219="END_TURN",DH219&lt;&gt;"洞穿"),AND(DG219&lt;&gt;DG218,DH218&lt;&gt;"洞穿",L218&lt;&gt;"END_TURN",COUNTIFS($DG$3:DG218,DG218,$DH$3:DH218,"敌方")=0)),EW219,DN218)))</f>
        <v>0</v>
      </c>
      <c r="DK219" s="1">
        <f>IF(D219="",0,MIN(Boss参数!$B$25,IF(OR(AND(DH219="敌方",OR(DH218&lt;&gt;"敌方",DG219&lt;&gt;DG218)),AND(L219="END_TURN",DH219&lt;&gt;"洞穿"),AND(DG219&lt;&gt;DG218,DH218&lt;&gt;"洞穿",L218&lt;&gt;"END_TURN",COUNTIFS($DG$3:DG218,DG218,$DH$3:DH218,"敌方")=0)),EW219,DO218)))</f>
        <v>0</v>
      </c>
      <c r="DL219" s="1">
        <f>IF(D219="",0,MIN(Boss参数!$B$25,IF(OR(AND(DH219="敌方",OR(DH218&lt;&gt;"敌方",DG219&lt;&gt;DG218)),AND(L219="END_TURN",DH219&lt;&gt;"洞穿"),AND(DG219&lt;&gt;DG218,DH218&lt;&gt;"洞穿",L218&lt;&gt;"END_TURN",COUNTIFS($DG$3:DG218,DG218,$DH$3:DH218,"敌方")=0)),EW219,DP218)))</f>
        <v>0</v>
      </c>
      <c r="DM219" s="1">
        <f>IF(D219="",0,MIN(Boss参数!$B$25,IF(OR(AND(DH219="敌方",OR(DH218&lt;&gt;"敌方",DG219&lt;&gt;DG218)),AND(L219="END_TURN",DH219&lt;&gt;"洞穿"),AND(DG219&lt;&gt;DG218,DH218&lt;&gt;"洞穿",L218&lt;&gt;"END_TURN",COUNTIFS($DG$3:DG218,DG218,$DH$3:DH218,"敌方")=0)),EW219,DQ218)))</f>
        <v>0</v>
      </c>
      <c r="DN219" s="1">
        <f>MAX(0,MIN(Boss参数!$B$25,DJ219+DR219)-IF(E219="红弩箭",2*DR219,0))</f>
        <v>0</v>
      </c>
      <c r="DO219" s="1">
        <f>MAX(0,MIN(Boss参数!$B$25,DK219+DR219)-IF(E219="37",2*DR219,0))</f>
        <v>0</v>
      </c>
      <c r="DP219" s="1">
        <f>MAX(0,MIN(Boss参数!$B$25,DL219+DR219)-IF(E219="小瑞安侬",2*DR219,0))</f>
        <v>0</v>
      </c>
      <c r="DQ219" s="1">
        <f>MAX(0,MIN(Boss参数!$B$25,DM219+DR219)-IF(E219="J",2*DR219,0))</f>
        <v>0</v>
      </c>
      <c r="DR219" s="1">
        <f t="shared" si="242"/>
        <v>0</v>
      </c>
      <c r="DS219" s="1">
        <f t="shared" si="243"/>
        <v>0</v>
      </c>
      <c r="DT219" s="1">
        <f>IF(OR(E219="",E219="系统"),0,IF(OR(AND(DS219=1,Boss参数!$B$32=1),L219="RHI_BERRY",OR(AND(INDEX(角色面板!$B$18:$B$21,MATCH(E219,角色面板!$A$18:$A$21,0))="星",Boss参数!$B$4="岩"),AND(INDEX(角色面板!$B$18:$B$21,MATCH(E219,角色面板!$A$18:$A$21,0))="岩",Boss参数!$B$4="兽"),AND(INDEX(角色面板!$B$18:$B$21,MATCH(E219,角色面板!$A$18:$A$21,0))="兽",Boss参数!$B$4="木"),AND(INDEX(角色面板!$B$18:$B$21,MATCH(E219,角色面板!$A$18:$A$21,0))="木",Boss参数!$B$4="星"),AND(INDEX(角色面板!$B$18:$B$21,MATCH(E219,角色面板!$A$18:$A$21,0))="智",Boss参数!$B$4="灵"),AND(INDEX(角色面板!$B$18:$B$21,MATCH(E219,角色面板!$A$18:$A$21,0))="灵",Boss参数!$B$4="智"))),1,0))</f>
        <v>0</v>
      </c>
      <c r="DU219" s="1">
        <f>IF(D219="",0,INDEX(回合状态!$E$7:$E$17,MATCH(DG219,回合状态!$A$7:$A$17,0))+IF(AND(DH219="敌方",OR(INDEX(回合状态!$C$7:$C$17,MATCH(DG219,回合状态!$A$7:$A$17,0))="普通",INDEX(回合状态!$C$7:$C$17,MATCH(DG219,回合状态!$A$7:$A$17,0))="额外")),0.05,0))</f>
        <v>0</v>
      </c>
      <c r="DV219" s="1">
        <f>MAX(Boss参数!$B$28,1+IF(AND(E219="37",AC219&gt;0,BH219&gt;0),Boss参数!$B$42,0)-DI219*Boss参数!$B$24+EA219-ER219)</f>
        <v>9.9999999999999978E-2</v>
      </c>
      <c r="DW219" s="1">
        <f>MIN(IF(Boss参数!$B$77=1,Boss参数!$B$63*Boss参数!$B$62,Boss参数!$B$61*Boss参数!$B$62),ROUNDDOWN(BQ219*(1-ES219),0))</f>
        <v>0</v>
      </c>
      <c r="DX219" s="1">
        <f>MIN(IF(Boss参数!$B$77=1,Boss参数!$B$63*Boss参数!$B$62,Boss参数!$B$61*Boss参数!$B$62),ROUNDDOWN(BR219*(1-ES219),0))</f>
        <v>0</v>
      </c>
      <c r="DY219" s="1">
        <f t="shared" si="275"/>
        <v>250</v>
      </c>
      <c r="DZ219" s="1">
        <f>IF(L219="RHI_ULT",MIN(Boss参数!$B$48,ROUNDDOWN(AY219*Boss参数!$B$47,0)),DY219)</f>
        <v>250</v>
      </c>
      <c r="EA219" s="1">
        <v>0</v>
      </c>
      <c r="EB219" s="1">
        <f t="shared" si="244"/>
        <v>0</v>
      </c>
      <c r="EC219" s="1">
        <f>SUMIFS($EB$3:EB219,$B$3:B219,"&gt;="&amp;MAX(1,B219-2),$B$3:B219,"&lt;="&amp;B219)*Boss参数!$B$51</f>
        <v>0</v>
      </c>
      <c r="ED219" s="1">
        <f>IF(D219="",EG218,IF(AND(DG219&lt;&gt;DG218,DH219&lt;&gt;"洞穿"),MIN(Boss参数!$B$55,EG218+2),EG218))</f>
        <v>0</v>
      </c>
      <c r="EE219" s="1">
        <f t="shared" si="245"/>
        <v>0</v>
      </c>
      <c r="EF219" s="1">
        <f>IF(AND(OR(L219="END_TURN",AND(DH219="敌方",OR(DH218&lt;&gt;"敌方",DG219&lt;&gt;DG218))),SUMIFS($EF$3:EF218,$DG$3:DG218,DG219)=0),MIN(1,MAX(0,ED219-EE219)),0)</f>
        <v>0</v>
      </c>
      <c r="EG219" s="1">
        <f t="shared" si="246"/>
        <v>0</v>
      </c>
      <c r="EH219" s="1">
        <f>Boss参数!$B$53-IF(Y219=1,Boss参数!$B$54,0)</f>
        <v>0</v>
      </c>
      <c r="EI219" s="1">
        <f t="shared" si="247"/>
        <v>0.15</v>
      </c>
      <c r="EJ219" s="1">
        <f t="shared" si="248"/>
        <v>0.15</v>
      </c>
      <c r="EK219" s="1" t="e">
        <f t="shared" si="249"/>
        <v>#VALUE!</v>
      </c>
      <c r="EL219" s="1">
        <f t="shared" si="276"/>
        <v>0</v>
      </c>
      <c r="EM219" s="1">
        <f>IF(AND(DG219&lt;&gt;DG218,DH219="洞穿"),0,IF(L219="ENTER_INSIGHT",Boss参数!$B$57,EO218))</f>
        <v>0</v>
      </c>
      <c r="EN219" s="1">
        <f>IF(AND(Y219=1,H219="洞知",EM219&gt;0),Boss参数!$B$56,0)</f>
        <v>0</v>
      </c>
      <c r="EO219" s="1">
        <f t="shared" si="250"/>
        <v>0</v>
      </c>
      <c r="EP219" s="1">
        <f t="shared" si="277"/>
        <v>23210479</v>
      </c>
      <c r="EQ219" s="1">
        <f>ROUNDDOWN(EP219/Boss参数!$B$62,0)</f>
        <v>232</v>
      </c>
      <c r="ER219" s="1">
        <f>IF(EQ219&gt;=Boss参数!$B$66,Boss参数!$B$69,IF(EQ219&gt;=Boss参数!$B$65,Boss参数!$B$68,IF(EQ219&gt;=Boss参数!$B$64,Boss参数!$B$67,0)))</f>
        <v>0.9</v>
      </c>
      <c r="ES219" s="1">
        <f>MIN(1,IF(EQ219&gt;=Boss参数!$B$66,Boss参数!$B$72+ROUNDDOWN((EQ219-Boss参数!$B$66)/Boss参数!$B$73,0)*Boss参数!$B$74,IF(EQ219&gt;=Boss参数!$B$65,Boss参数!$B$71,IF(EQ219&gt;=Boss参数!$B$64,Boss参数!$B$70,0))))</f>
        <v>0.65</v>
      </c>
      <c r="ET219" s="1">
        <f>MIN(Boss参数!$B$61*Boss参数!$B$62,EP219+IF(AND(Boss参数!$B$60=1,ISNUMBER(验证表!H225)),验证表!H225,EU219))</f>
        <v>23210479</v>
      </c>
      <c r="EU219" s="1">
        <f>IF(D219="",0,IF(验证表!G225="是",BV219,IF(验证表!G225="否",BU219,BW219)))</f>
        <v>0</v>
      </c>
      <c r="EV219" s="1">
        <f>IF(EQ219&gt;=Boss参数!$B$66,2,IF(EQ219&gt;=Boss参数!$B$65,1,0))</f>
        <v>2</v>
      </c>
      <c r="EW219" s="1">
        <f t="shared" si="251"/>
        <v>3</v>
      </c>
      <c r="EX219" s="1">
        <f>IF(D219="",0,INDEX(回合状态!$D$7:$D$17,MATCH(DG219,回合状态!$A$7:$A$17,0)))</f>
        <v>0</v>
      </c>
      <c r="EY219" s="1">
        <f>IF(OR(L219="RHI_ATTACK",L219="RHI_BUFF"),1,IF(L219="RHI_ULT",Boss参数!$B$52,0))</f>
        <v>0</v>
      </c>
      <c r="EZ219" s="1">
        <f>MIN(6,SUMIFS($EY$3:EY219,$EX$3:EX219,"&gt;="&amp;MAX(1,EX219-Boss参数!$B$87+1),$EX$3:EX219,"&lt;="&amp;EX219))</f>
        <v>0</v>
      </c>
      <c r="FA219" s="1">
        <f t="shared" si="278"/>
        <v>0</v>
      </c>
      <c r="FB219" s="17">
        <f>IF(L219="BOSS_CONSERVATIVE",B219+Boss参数!$B$91,FB218)</f>
        <v>7</v>
      </c>
      <c r="FC219" s="17">
        <f t="shared" si="279"/>
        <v>0</v>
      </c>
      <c r="FD219" s="17">
        <f>IF(D219="",FD218,FD218+IF(AND(DG219&lt;&gt;DG218,INDEX(回合状态!$C$7:$C$17,MATCH(DG219,回合状态!$A$7:$A$17,0))&lt;&gt;"洞穿"),1,0))</f>
        <v>8</v>
      </c>
      <c r="FE219" s="17">
        <f>IF(D219="",0,IF(AND(OR(L219="END_TURN",DH219="敌方"),INDEX(回合状态!$C$7:$C$17,MATCH(DG219,回合状态!$A$7:$A$17,0))&lt;&gt;"洞穿",SUMIFS($FE$3:FE218,$DG$3:DG218,DG219)=0),1,0))</f>
        <v>0</v>
      </c>
    </row>
    <row r="220" spans="1:161" ht="84.95" customHeight="1">
      <c r="A220" s="1" t="str">
        <f>行动模拟!A226</f>
        <v/>
      </c>
      <c r="B220" s="1">
        <f>IF(D220="",0,INDEX(回合状态!$B$7:$B$17,MATCH(DG220,回合状态!$A$7:$A$17,0)))</f>
        <v>0</v>
      </c>
      <c r="C220" s="1">
        <f>行动模拟!C226</f>
        <v>0</v>
      </c>
      <c r="D220" s="1" t="str">
        <f>IF(行动模拟!D226="","",行动模拟!D226)</f>
        <v/>
      </c>
      <c r="E220" s="1" t="str">
        <f>IF($D220="","",IFERROR(INDEX(技能数据库!$B$4:$B$38,MATCH($D220,技能数据库!$A$4:$A$38,0)),""))</f>
        <v/>
      </c>
      <c r="F220" s="1" t="str">
        <f>IF($D220="","",IFERROR(INDEX(技能数据库!$C$4:$C$38,MATCH($D220,技能数据库!$A$4:$A$38,0)),""))</f>
        <v/>
      </c>
      <c r="G220" s="1" t="str">
        <f>IF($D220="","",IFERROR(INDEX(技能数据库!$D$4:$D$38,MATCH($D220,技能数据库!$A$4:$A$38,0)),""))</f>
        <v/>
      </c>
      <c r="H220" s="1" t="str">
        <f>IF($D220="","",IFERROR(INDEX(技能数据库!$E$4:$E$38,MATCH($D220,技能数据库!$A$4:$A$38,0)),""))</f>
        <v/>
      </c>
      <c r="I220" s="1" t="str">
        <f>IF($D220="","",IFERROR(INDEX(技能数据库!$F$4:$F$38,MATCH($D220,技能数据库!$A$4:$A$38,0)),""))</f>
        <v/>
      </c>
      <c r="J220" s="1" t="str">
        <f>IF($D220="","",IFERROR(INDEX(技能数据库!$G$4:$G$38,MATCH($D220,技能数据库!$A$4:$A$38,0)),""))</f>
        <v/>
      </c>
      <c r="K220" s="1" t="str">
        <f>IF($D220="","",IFERROR(INDEX(技能数据库!$H$4:$H$38,MATCH($D220,技能数据库!$A$4:$A$38,0)),""))</f>
        <v/>
      </c>
      <c r="L220" s="1" t="str">
        <f>IF($D220="","",IFERROR(INDEX(技能数据库!$I$4:$I$38,MATCH($D220,技能数据库!$A$4:$A$38,0)),""))</f>
        <v/>
      </c>
      <c r="M220" s="1">
        <v>1</v>
      </c>
      <c r="N220" s="1"/>
      <c r="O220" s="1"/>
      <c r="P220" s="1"/>
      <c r="Q220" s="1">
        <f t="shared" si="210"/>
        <v>0</v>
      </c>
      <c r="R220" s="1">
        <v>0</v>
      </c>
      <c r="S220" s="1">
        <v>0</v>
      </c>
      <c r="T220" s="1">
        <f>行动模拟!I226</f>
        <v>0</v>
      </c>
      <c r="U220" s="1">
        <f>IF(FD220&lt;&gt;FD219,IF(BY219=1,IF(MIN(10,CA219+IF(AND(DG220&lt;&gt;DG219,DH219&lt;&gt;"洞穿",SUMIFS($FE$3:FE219,$DG$3:DG219,DG219)=0,BY219=1),3,0))&gt;=10,2,1),IF(BY219=2,IF(BZ219&lt;=1,0,2),0)),BY219)</f>
        <v>2</v>
      </c>
      <c r="V220" s="1">
        <f>IF(FD220&lt;&gt;FD219,IF(BY219=1,IF(MIN(10,CA219+IF(AND(DG220&lt;&gt;DG219,DH219&lt;&gt;"洞穿",SUMIFS($FE$3:FE219,$DG$3:DG219,DG219)=0,BY219=1),3,0))&gt;=10,2,0),IF(BY219=2,MAX(0,BZ219-1),0)),BZ219)</f>
        <v>1</v>
      </c>
      <c r="W220" s="1">
        <f>IF(AND(FD220&lt;&gt;FD219,BY219=2,BZ219&lt;=1),0,MIN(10,CA219+IF(AND(DG220&lt;&gt;DG219,DH219&lt;&gt;"洞穿",SUMIFS($FE$3:FE219,$DG$3:DG219,DG219)=0,BY219=1),3,0)))</f>
        <v>10</v>
      </c>
      <c r="X220" s="1">
        <f t="shared" si="252"/>
        <v>13</v>
      </c>
      <c r="Y220" s="1">
        <f t="shared" si="253"/>
        <v>0</v>
      </c>
      <c r="Z220" s="1">
        <f t="shared" si="254"/>
        <v>0</v>
      </c>
      <c r="AA220" s="1">
        <f t="shared" si="255"/>
        <v>0</v>
      </c>
      <c r="AB220" s="1">
        <f t="shared" si="256"/>
        <v>10</v>
      </c>
      <c r="AC220" s="1">
        <f t="shared" si="257"/>
        <v>1</v>
      </c>
      <c r="AD220" s="1">
        <f t="shared" si="258"/>
        <v>35</v>
      </c>
      <c r="AE220" s="1">
        <f>IF(D220="",0,IF(DG220&lt;&gt;DG219,IFERROR(INDEX(回合状态!$F$7:$F$17,MATCH(DG220,回合状态!$A$7:$A$17,0)),0),CI219))</f>
        <v>0</v>
      </c>
      <c r="AF220" s="1">
        <f t="shared" si="259"/>
        <v>0.875</v>
      </c>
      <c r="AG220" s="1">
        <f t="shared" si="260"/>
        <v>9</v>
      </c>
      <c r="AH220" s="1">
        <f t="shared" si="261"/>
        <v>9</v>
      </c>
      <c r="AI220" s="1">
        <f t="shared" si="262"/>
        <v>8</v>
      </c>
      <c r="AJ220" s="1">
        <f t="shared" si="263"/>
        <v>9</v>
      </c>
      <c r="AK220" s="1">
        <f t="shared" si="264"/>
        <v>8</v>
      </c>
      <c r="AL220" s="1">
        <f t="shared" si="265"/>
        <v>3</v>
      </c>
      <c r="AM220" s="1">
        <f t="shared" si="266"/>
        <v>30</v>
      </c>
      <c r="AN220" s="1">
        <f t="shared" si="267"/>
        <v>9</v>
      </c>
      <c r="AO220" s="1">
        <f t="shared" si="268"/>
        <v>0</v>
      </c>
      <c r="AP220" s="1" t="e">
        <f t="shared" si="269"/>
        <v>#VALUE!</v>
      </c>
      <c r="AQ220" s="1" t="e">
        <f t="shared" si="270"/>
        <v>#VALUE!</v>
      </c>
      <c r="AR220" s="1">
        <f t="shared" si="271"/>
        <v>0.3</v>
      </c>
      <c r="AS220" s="1">
        <f t="shared" si="272"/>
        <v>9</v>
      </c>
      <c r="AT220" s="1">
        <f t="shared" si="273"/>
        <v>0.3</v>
      </c>
      <c r="AU220" s="1">
        <f t="shared" si="274"/>
        <v>9</v>
      </c>
      <c r="AV220" s="1">
        <f>MIN(5,SUMIFS($EL$3:EL220,$B$3:B220,"&gt;="&amp;MAX(1,B220-2),$B$3:B220,"&lt;="&amp;B220)+EC220)</f>
        <v>0</v>
      </c>
      <c r="AW220" s="1">
        <f>MIN(6,SUMIFS($EY$3:EY219,$EX$3:EX219,"&gt;="&amp;MAX(1,EX220-Boss参数!$B$87+1),$EX$3:EX219,"&lt;="&amp;EX220))</f>
        <v>0</v>
      </c>
      <c r="AX220" s="1">
        <f>MIN(4,COUNTIFS($B$3:$B$219,"&gt;="&amp;MAX(1,$B220-2),$B$3:$B$219,"&lt;="&amp;$B220,$L$3:$L$219,"37_FOLLOW"))</f>
        <v>0</v>
      </c>
      <c r="AY220" s="1" t="str">
        <f>IF($E220="","",IF($E220="系统",0,ROUNDDOWN(INDEX(角色面板!$C$4:$C$7,MATCH($E220,角色面板!$A$4:$A$7,0))*(1+INDEX(角色面板!$C$11:$C$14,MATCH($E220,角色面板!$A$11:$A$14,0))+IF($E220="小瑞安侬",MAX(IF($B220&lt;=$AQ220,$AP220,0),IF(AND($L220="RHI_ATTACK",$EE220&gt;0),0.11+0.01*$G220,0)),0)+IF($E220="J",$AD220*Boss参数!$B$18,0))+IF(FD220&lt;=$AN220,MIN(Boss参数!$B$21,ROUNDDOWN(角色面板!$C$19*Boss参数!$B$20,0)),0)+IF(AND($B220&lt;=$AK220,$E220&lt;&gt;"小瑞安侬"),$DY220,0),0)))</f>
        <v/>
      </c>
      <c r="AZ220" s="1" t="str">
        <f>IF($E220="","",MAX(0,MIN(1,IFERROR(INDEX(角色面板!$G$18:$G$21,MATCH($E220,角色面板!$A$18:$A$21,0)),0)-FC220*Boss参数!$B$89-Boss参数!$E$4)))</f>
        <v/>
      </c>
      <c r="BA220" s="1" t="str">
        <f>IF(E220="","",(IF($E220="","",IF($E220="红弩箭",Boss参数!$B$80,IF($E220="J",Boss参数!$B$81,IFERROR(INDEX(角色面板!$H$18:$H$21,MATCH($E220,角色面板!$A$18:$A$21,0)),0)))+IF($B220&lt;=$AI220,Boss参数!$B$13,0)+MIN(30,$AM220)*Boss参数!$B$17+IF(AND($L220="LILYA_ULT",$X220&gt;=6),1,0)+IF(AND($Y220=1,$L220="LILYA_INSIGHT"),IF(MOD($AA220+1,3)=0,Boss参数!$B$83,Boss参数!$B$82),IF(AND($Y220=1,$L220="LILYA_FINISH"),Boss参数!$B$84,0))))-FC220*Boss参数!$B$90)</f>
        <v/>
      </c>
      <c r="BB220" s="1" t="str">
        <f>IF($E220="","",IFERROR(INDEX(角色面板!$M$18:$M$21,MATCH($E220,角色面板!$A$18:$A$21,0)),0)+$AW220*Boss参数!$B$12+IF($B220&lt;=$AG220,$AF220,0)+$EI220+IF($L220="LILYA_DIVE",IF($U220=1,IF($G220=1,0.3,IF($G220=2,0.4,0.5)),IF($U220=2,IF($G220=1,0.6,IF($G220=2,0.8,1)),0)),0)+$R220+IF(AND($E220="J",OR($L220="J_COUNTER",$L220="J_HARD")),Boss参数!$B$79,0)+IF(AND(OR(L220="J_COUNTER",L220="J_HARD"),FA220&gt;=Boss参数!$B$59),FA220*Boss参数!$B$40,0))</f>
        <v/>
      </c>
      <c r="BC220" s="1" t="e">
        <f>IF($E220="","",IFERROR(INDEX(角色面板!$K$18:$K$21,MATCH($E220,角色面板!$A$18:$A$21,0)),0)+IF($B220&lt;=$AH220,Boss参数!$B$46,0)+IF($E220="红弩箭",IF($U220=1,0.6,IF($U220=2,1.2,0))+$W220*0.06,0))-DI220*Boss参数!$B$23</f>
        <v>#VALUE!</v>
      </c>
      <c r="BD220" s="1" t="e">
        <f>IF($E220="","",IFERROR(INDEX(角色面板!$L$18:$L$21,MATCH($E220,角色面板!$A$18:$A$21,0)),0)+IF($B220&lt;=$AH220,Boss参数!$B$46,0)+IF($E220="J",$AL220*Boss参数!$B$16,0)+IF($E220="红弩箭",$X220*0.025,0)+IF(AND($L220="LILYA_ULT",$X220&gt;=6),1,0))-DI220*Boss参数!$B$23</f>
        <v>#VALUE!</v>
      </c>
      <c r="BE220" s="1" t="str">
        <f>IF($E220="","",IF($H220="洞知",IF($E220="红弩箭",$AO220*Boss参数!$B$15,0)+$AX220*Boss参数!$B$14,0))</f>
        <v/>
      </c>
      <c r="BF220" s="1">
        <f t="shared" si="211"/>
        <v>0</v>
      </c>
      <c r="BG220" s="1">
        <f>IF($D220="",0,IF(AND($L220&lt;&gt;"LILYA_DIVE",$L220&lt;&gt;"LILYA_ULT",$L220&lt;&gt;"LILYA_INSIGHT",$L220&lt;&gt;"LILYA_FINISH",$L220&lt;&gt;"37_FOLLOW",$L220&lt;&gt;"RHI_ATTACK",$L220&lt;&gt;"RHI_BERRY",$L220&lt;&gt;"J_COUNTER",$L220&lt;&gt;"J_ULT"),$J220,0)+IF($L220="LILYA_DIVE",$J220+IF($U220=1,IF($G220=1,6,IF($G220=2,12,18)),IF($U220=2,IF($G220=1,12,IF($G220=2,24,36)),0)),0)+IF($L220="LILYA_ULT",$J220+IF($X220&gt;=6,18,0),0)+IF($L220="LILYA_INSIGHT",IF($Y220=1,IF(MOD($AA220+1,3)=0,32,15),0),0)+IF($L220="LILYA_FINISH",IF($Y220=1,50+2.5*$Z220,0),0)+IF($L220="37_FOLLOW",$J220,0)+IF($L220="RHI_ATTACK",$J220*IF($B220&lt;=$AJ220,2,1),0)+IF($L220="RHI_BERRY",15+1.5*$AV220,0)+IF($L220="J_COUNTER",$J220+$AD220*Boss参数!$B$39,0)+IF($L220="J_ULT",$J220+Boss参数!$B$45*MAX(0,$AE220+$AD220-Boss参数!$I$4),0)+$S220)</f>
        <v>0</v>
      </c>
      <c r="BH220" s="1">
        <f t="shared" si="212"/>
        <v>0</v>
      </c>
      <c r="BI220" s="1" t="str">
        <f>IF(E220="","",IF(DT220=1,1+Boss参数!$B$8+AV220*Boss参数!$B$19,1))</f>
        <v/>
      </c>
      <c r="BJ220" s="1">
        <f>IF($I220="现实",Boss参数!$C$4,IF($I220="精神",Boss参数!$D$4,0))</f>
        <v>0</v>
      </c>
      <c r="BK220" s="1" t="str">
        <f>IF($E220="","",MAX($AY220*Boss参数!$B$9,$AY220-$BJ220*(1-$BF220)))</f>
        <v/>
      </c>
      <c r="BL220" s="1">
        <f>MAX(0,Boss参数!$F$4+IF(DT220=0,Boss参数!$B$27,0)-EJ220)</f>
        <v>1.25</v>
      </c>
      <c r="BM220" s="1">
        <f>Boss参数!$G$4+DU220-IF(Y220=1,Boss参数!$B$11,0)</f>
        <v>0.4</v>
      </c>
      <c r="BN220" s="1" t="str">
        <f>IF($E220="","",MAX(Boss参数!$B$10,1+IFERROR(INDEX(角色面板!$I$18:$I$21,MATCH($E220,角色面板!$A$18:$A$21,0)),0)+$BB220+Boss参数!$H$4-$BM220))</f>
        <v/>
      </c>
      <c r="BO220" s="1" t="str">
        <f>IF(E220="","",IF(OR(L220="J_COUNTER",L220="J_HARD"),MAX(0,1+INDEX(角色面板!$K$18:$K$21,MATCH(E220,角色面板!$A$18:$A$21,0))-DI220*Boss参数!$B$23+IF(OR(Boss参数!$B$43=1,L220="J_HARD"),IF(B220&lt;=AH220,Boss参数!$B$46,0),0)),MAX(0,IF(OR(H220="术法",L220="RHI_BERRY",AND(L220="37_FOLLOW",Boss参数!$B$31=1)),1+BC220,IF(H220="仪式",1+BD220,IF(H220="洞知",EK220,1))))))</f>
        <v/>
      </c>
      <c r="BP220" s="1" t="str">
        <f t="shared" si="213"/>
        <v/>
      </c>
      <c r="BQ220" s="1">
        <f t="shared" si="214"/>
        <v>0</v>
      </c>
      <c r="BR220" s="1">
        <f t="shared" si="215"/>
        <v>0</v>
      </c>
      <c r="BS220" s="1">
        <f>IF(BH220=0,0,ROUNDDOWN(AY220*BH220,0)*DV220*IF(Boss参数!$B$29=1,BN220,1)*IF(Boss参数!$B$33=1,BO220,1)*IF(Boss参数!$B$76=1,1-ES220,1))</f>
        <v>0</v>
      </c>
      <c r="BT220" s="1">
        <f t="shared" si="216"/>
        <v>0</v>
      </c>
      <c r="BU220" s="1">
        <f>IF(D220="",0,MIN(IF(Boss参数!$B$77=1,Boss参数!$B$63*Boss参数!$B$62,Boss参数!$B$61*Boss参数!$B$62),DW220+ROUNDDOWN(BS220,0)+ROUNDDOWN(DW220*Q220,0)))</f>
        <v>0</v>
      </c>
      <c r="BV220" s="1">
        <f>IF(D220="",0,MIN(IF(Boss参数!$B$77=1,Boss参数!$B$63*Boss参数!$B$62,Boss参数!$B$61*Boss参数!$B$62),DX220+ROUNDDOWN(BT220,0)+ROUNDDOWN(DX220*Q220,0)))</f>
        <v>0</v>
      </c>
      <c r="BW220" s="1">
        <f t="shared" si="217"/>
        <v>0</v>
      </c>
      <c r="BX220" s="1" t="str">
        <f t="shared" si="218"/>
        <v/>
      </c>
      <c r="BY220" s="1">
        <f t="shared" si="219"/>
        <v>2</v>
      </c>
      <c r="BZ220" s="1">
        <f t="shared" si="220"/>
        <v>1</v>
      </c>
      <c r="CA220" s="1">
        <f>MIN(10,W220+IF(AND(L220="LILYA_COBRA",COUNTIF($L$3:L220,"LILYA_COBRA")=1),5,0)+IF(AND(L220="LILYA_DIVE",U220=1,COUNTIFS($DG$3:DG220,DG220,$L$3:L220,"LILYA_DIVE")=1),2,0)+IF(AND(FE220=1,U220=1),3,0))</f>
        <v>10</v>
      </c>
      <c r="CB220" s="1">
        <f>MIN(20,MAX(0,X220+IF(L220="LILYA_COBRA",IF(COUNTIF($L$3:L220,"LILYA_COBRA")=1,6,IF(U220=1,MAX(1,G220),IF(U220=2,2*MAX(1,G220),0))),0)+IF(AND(Y220=1,E220="红弩箭",L220&lt;&gt;"ENTER_INSIGHT"),1,0)-IF(AND(L220="LILYA_ULT",X220&gt;=6),6,0)))</f>
        <v>13</v>
      </c>
      <c r="CC220" s="1">
        <f t="shared" si="221"/>
        <v>0</v>
      </c>
      <c r="CD220" s="1">
        <f t="shared" si="222"/>
        <v>0</v>
      </c>
      <c r="CE220" s="1">
        <f t="shared" si="223"/>
        <v>0</v>
      </c>
      <c r="CF220" s="1">
        <f t="shared" si="224"/>
        <v>10</v>
      </c>
      <c r="CG220" s="1">
        <f t="shared" si="225"/>
        <v>1</v>
      </c>
      <c r="CH220" s="1">
        <f>MIN(35,AD220+IF(L220="J_HARD",6,0)+IF(L220="J_COUNTER",Boss参数!$B$30,0))</f>
        <v>35</v>
      </c>
      <c r="CI220" s="1">
        <f>MIN(Boss参数!$I$4,AE220+IF(L220="J_HARD",6,0)+IF(L220="J_ULT",AD220,0)+IF(L220="J_COUNTER",Boss参数!$B$30,0))</f>
        <v>0</v>
      </c>
      <c r="CJ220" s="1">
        <f>IF(L220="J_ULT",AD220*Boss参数!$B$41,IF(B220&lt;=AG220,AF220,0))</f>
        <v>0.875</v>
      </c>
      <c r="CK220" s="1">
        <f t="shared" si="226"/>
        <v>9</v>
      </c>
      <c r="CL220" s="1">
        <f t="shared" si="227"/>
        <v>9</v>
      </c>
      <c r="CM220" s="1">
        <f t="shared" si="228"/>
        <v>8</v>
      </c>
      <c r="CN220" s="1">
        <f t="shared" si="229"/>
        <v>9</v>
      </c>
      <c r="CO220" s="1">
        <f t="shared" si="230"/>
        <v>8</v>
      </c>
      <c r="CP220" s="1">
        <f t="shared" si="231"/>
        <v>3</v>
      </c>
      <c r="CQ220" s="1">
        <f t="shared" si="232"/>
        <v>30</v>
      </c>
      <c r="CR220" s="1">
        <f t="shared" si="233"/>
        <v>9</v>
      </c>
      <c r="CS220" s="1">
        <f t="shared" si="234"/>
        <v>0</v>
      </c>
      <c r="CT220" s="1" t="e">
        <f t="shared" si="235"/>
        <v>#VALUE!</v>
      </c>
      <c r="CU220" s="1" t="e">
        <f t="shared" si="236"/>
        <v>#VALUE!</v>
      </c>
      <c r="CV220" s="1">
        <f t="shared" si="237"/>
        <v>0.3</v>
      </c>
      <c r="CW220" s="1">
        <f t="shared" si="238"/>
        <v>9</v>
      </c>
      <c r="CX220" s="1">
        <f t="shared" si="239"/>
        <v>0.3</v>
      </c>
      <c r="CY220" s="1">
        <f t="shared" si="240"/>
        <v>9</v>
      </c>
      <c r="CZ220" s="1"/>
      <c r="DA220" s="1"/>
      <c r="DB220" s="1"/>
      <c r="DC220" s="1"/>
      <c r="DD220" s="1"/>
      <c r="DE220" s="1"/>
      <c r="DF220" s="1"/>
      <c r="DG220" s="1" t="str">
        <f>IF(D220="","",行动模拟!B226)</f>
        <v/>
      </c>
      <c r="DH220" s="1" t="str">
        <f>IF(L220="END_TURN","回合结束",IF(D220="","",IF(INDEX(回合状态!$C$7:$C$17,MATCH(DG220,回合状态!$A$7:$A$17,0))="洞穿","洞穿",IF(OR(L220="J_COUNTER",L220="BOSS_ACTION",L220="BOSS_CONSERVATIVE"),"敌方",IF(AND(L220="37_FOLLOW",DG220=DG219,DH219="敌方"),"敌方",IF(INDEX(回合状态!$C$7:$C$17,MATCH(DG220,回合状态!$A$7:$A$17,0))="普通","出牌",INDEX(回合状态!$C$7:$C$17,MATCH(DG220,回合状态!$A$7:$A$17,0))))))))</f>
        <v/>
      </c>
      <c r="DI220" s="1">
        <f t="shared" si="241"/>
        <v>0</v>
      </c>
      <c r="DJ220" s="1">
        <f>IF(D220="",0,MIN(Boss参数!$B$25,IF(OR(AND(DH220="敌方",OR(DH219&lt;&gt;"敌方",DG220&lt;&gt;DG219)),AND(L220="END_TURN",DH220&lt;&gt;"洞穿"),AND(DG220&lt;&gt;DG219,DH219&lt;&gt;"洞穿",L219&lt;&gt;"END_TURN",COUNTIFS($DG$3:DG219,DG219,$DH$3:DH219,"敌方")=0)),EW220,DN219)))</f>
        <v>0</v>
      </c>
      <c r="DK220" s="1">
        <f>IF(D220="",0,MIN(Boss参数!$B$25,IF(OR(AND(DH220="敌方",OR(DH219&lt;&gt;"敌方",DG220&lt;&gt;DG219)),AND(L220="END_TURN",DH220&lt;&gt;"洞穿"),AND(DG220&lt;&gt;DG219,DH219&lt;&gt;"洞穿",L219&lt;&gt;"END_TURN",COUNTIFS($DG$3:DG219,DG219,$DH$3:DH219,"敌方")=0)),EW220,DO219)))</f>
        <v>0</v>
      </c>
      <c r="DL220" s="1">
        <f>IF(D220="",0,MIN(Boss参数!$B$25,IF(OR(AND(DH220="敌方",OR(DH219&lt;&gt;"敌方",DG220&lt;&gt;DG219)),AND(L220="END_TURN",DH220&lt;&gt;"洞穿"),AND(DG220&lt;&gt;DG219,DH219&lt;&gt;"洞穿",L219&lt;&gt;"END_TURN",COUNTIFS($DG$3:DG219,DG219,$DH$3:DH219,"敌方")=0)),EW220,DP219)))</f>
        <v>0</v>
      </c>
      <c r="DM220" s="1">
        <f>IF(D220="",0,MIN(Boss参数!$B$25,IF(OR(AND(DH220="敌方",OR(DH219&lt;&gt;"敌方",DG220&lt;&gt;DG219)),AND(L220="END_TURN",DH220&lt;&gt;"洞穿"),AND(DG220&lt;&gt;DG219,DH219&lt;&gt;"洞穿",L219&lt;&gt;"END_TURN",COUNTIFS($DG$3:DG219,DG219,$DH$3:DH219,"敌方")=0)),EW220,DQ219)))</f>
        <v>0</v>
      </c>
      <c r="DN220" s="1">
        <f>MAX(0,MIN(Boss参数!$B$25,DJ220+DR220)-IF(E220="红弩箭",2*DR220,0))</f>
        <v>0</v>
      </c>
      <c r="DO220" s="1">
        <f>MAX(0,MIN(Boss参数!$B$25,DK220+DR220)-IF(E220="37",2*DR220,0))</f>
        <v>0</v>
      </c>
      <c r="DP220" s="1">
        <f>MAX(0,MIN(Boss参数!$B$25,DL220+DR220)-IF(E220="小瑞安侬",2*DR220,0))</f>
        <v>0</v>
      </c>
      <c r="DQ220" s="1">
        <f>MAX(0,MIN(Boss参数!$B$25,DM220+DR220)-IF(E220="J",2*DR220,0))</f>
        <v>0</v>
      </c>
      <c r="DR220" s="1">
        <f t="shared" si="242"/>
        <v>0</v>
      </c>
      <c r="DS220" s="1">
        <f t="shared" si="243"/>
        <v>0</v>
      </c>
      <c r="DT220" s="1">
        <f>IF(OR(E220="",E220="系统"),0,IF(OR(AND(DS220=1,Boss参数!$B$32=1),L220="RHI_BERRY",OR(AND(INDEX(角色面板!$B$18:$B$21,MATCH(E220,角色面板!$A$18:$A$21,0))="星",Boss参数!$B$4="岩"),AND(INDEX(角色面板!$B$18:$B$21,MATCH(E220,角色面板!$A$18:$A$21,0))="岩",Boss参数!$B$4="兽"),AND(INDEX(角色面板!$B$18:$B$21,MATCH(E220,角色面板!$A$18:$A$21,0))="兽",Boss参数!$B$4="木"),AND(INDEX(角色面板!$B$18:$B$21,MATCH(E220,角色面板!$A$18:$A$21,0))="木",Boss参数!$B$4="星"),AND(INDEX(角色面板!$B$18:$B$21,MATCH(E220,角色面板!$A$18:$A$21,0))="智",Boss参数!$B$4="灵"),AND(INDEX(角色面板!$B$18:$B$21,MATCH(E220,角色面板!$A$18:$A$21,0))="灵",Boss参数!$B$4="智"))),1,0))</f>
        <v>0</v>
      </c>
      <c r="DU220" s="1">
        <f>IF(D220="",0,INDEX(回合状态!$E$7:$E$17,MATCH(DG220,回合状态!$A$7:$A$17,0))+IF(AND(DH220="敌方",OR(INDEX(回合状态!$C$7:$C$17,MATCH(DG220,回合状态!$A$7:$A$17,0))="普通",INDEX(回合状态!$C$7:$C$17,MATCH(DG220,回合状态!$A$7:$A$17,0))="额外")),0.05,0))</f>
        <v>0</v>
      </c>
      <c r="DV220" s="1">
        <f>MAX(Boss参数!$B$28,1+IF(AND(E220="37",AC220&gt;0,BH220&gt;0),Boss参数!$B$42,0)-DI220*Boss参数!$B$24+EA220-ER220)</f>
        <v>9.9999999999999978E-2</v>
      </c>
      <c r="DW220" s="1">
        <f>MIN(IF(Boss参数!$B$77=1,Boss参数!$B$63*Boss参数!$B$62,Boss参数!$B$61*Boss参数!$B$62),ROUNDDOWN(BQ220*(1-ES220),0))</f>
        <v>0</v>
      </c>
      <c r="DX220" s="1">
        <f>MIN(IF(Boss参数!$B$77=1,Boss参数!$B$63*Boss参数!$B$62,Boss参数!$B$61*Boss参数!$B$62),ROUNDDOWN(BR220*(1-ES220),0))</f>
        <v>0</v>
      </c>
      <c r="DY220" s="1">
        <f t="shared" si="275"/>
        <v>250</v>
      </c>
      <c r="DZ220" s="1">
        <f>IF(L220="RHI_ULT",MIN(Boss参数!$B$48,ROUNDDOWN(AY220*Boss参数!$B$47,0)),DY220)</f>
        <v>250</v>
      </c>
      <c r="EA220" s="1">
        <v>0</v>
      </c>
      <c r="EB220" s="1">
        <f t="shared" si="244"/>
        <v>0</v>
      </c>
      <c r="EC220" s="1">
        <f>SUMIFS($EB$3:EB220,$B$3:B220,"&gt;="&amp;MAX(1,B220-2),$B$3:B220,"&lt;="&amp;B220)*Boss参数!$B$51</f>
        <v>0</v>
      </c>
      <c r="ED220" s="1">
        <f>IF(D220="",EG219,IF(AND(DG220&lt;&gt;DG219,DH220&lt;&gt;"洞穿"),MIN(Boss参数!$B$55,EG219+2),EG219))</f>
        <v>0</v>
      </c>
      <c r="EE220" s="1">
        <f t="shared" si="245"/>
        <v>0</v>
      </c>
      <c r="EF220" s="1">
        <f>IF(AND(OR(L220="END_TURN",AND(DH220="敌方",OR(DH219&lt;&gt;"敌方",DG220&lt;&gt;DG219))),SUMIFS($EF$3:EF219,$DG$3:DG219,DG220)=0),MIN(1,MAX(0,ED220-EE220)),0)</f>
        <v>0</v>
      </c>
      <c r="EG220" s="1">
        <f t="shared" si="246"/>
        <v>0</v>
      </c>
      <c r="EH220" s="1">
        <f>Boss参数!$B$53-IF(Y220=1,Boss参数!$B$54,0)</f>
        <v>0</v>
      </c>
      <c r="EI220" s="1">
        <f t="shared" si="247"/>
        <v>0.15</v>
      </c>
      <c r="EJ220" s="1">
        <f t="shared" si="248"/>
        <v>0.15</v>
      </c>
      <c r="EK220" s="1" t="e">
        <f t="shared" si="249"/>
        <v>#VALUE!</v>
      </c>
      <c r="EL220" s="1">
        <f t="shared" si="276"/>
        <v>0</v>
      </c>
      <c r="EM220" s="1">
        <f>IF(AND(DG220&lt;&gt;DG219,DH220="洞穿"),0,IF(L220="ENTER_INSIGHT",Boss参数!$B$57,EO219))</f>
        <v>0</v>
      </c>
      <c r="EN220" s="1">
        <f>IF(AND(Y220=1,H220="洞知",EM220&gt;0),Boss参数!$B$56,0)</f>
        <v>0</v>
      </c>
      <c r="EO220" s="1">
        <f t="shared" si="250"/>
        <v>0</v>
      </c>
      <c r="EP220" s="1">
        <f t="shared" si="277"/>
        <v>23210479</v>
      </c>
      <c r="EQ220" s="1">
        <f>ROUNDDOWN(EP220/Boss参数!$B$62,0)</f>
        <v>232</v>
      </c>
      <c r="ER220" s="1">
        <f>IF(EQ220&gt;=Boss参数!$B$66,Boss参数!$B$69,IF(EQ220&gt;=Boss参数!$B$65,Boss参数!$B$68,IF(EQ220&gt;=Boss参数!$B$64,Boss参数!$B$67,0)))</f>
        <v>0.9</v>
      </c>
      <c r="ES220" s="1">
        <f>MIN(1,IF(EQ220&gt;=Boss参数!$B$66,Boss参数!$B$72+ROUNDDOWN((EQ220-Boss参数!$B$66)/Boss参数!$B$73,0)*Boss参数!$B$74,IF(EQ220&gt;=Boss参数!$B$65,Boss参数!$B$71,IF(EQ220&gt;=Boss参数!$B$64,Boss参数!$B$70,0))))</f>
        <v>0.65</v>
      </c>
      <c r="ET220" s="1">
        <f>MIN(Boss参数!$B$61*Boss参数!$B$62,EP220+IF(AND(Boss参数!$B$60=1,ISNUMBER(验证表!H226)),验证表!H226,EU220))</f>
        <v>23210479</v>
      </c>
      <c r="EU220" s="1">
        <f>IF(D220="",0,IF(验证表!G226="是",BV220,IF(验证表!G226="否",BU220,BW220)))</f>
        <v>0</v>
      </c>
      <c r="EV220" s="1">
        <f>IF(EQ220&gt;=Boss参数!$B$66,2,IF(EQ220&gt;=Boss参数!$B$65,1,0))</f>
        <v>2</v>
      </c>
      <c r="EW220" s="1">
        <f t="shared" si="251"/>
        <v>3</v>
      </c>
      <c r="EX220" s="1">
        <f>IF(D220="",0,INDEX(回合状态!$D$7:$D$17,MATCH(DG220,回合状态!$A$7:$A$17,0)))</f>
        <v>0</v>
      </c>
      <c r="EY220" s="1">
        <f>IF(OR(L220="RHI_ATTACK",L220="RHI_BUFF"),1,IF(L220="RHI_ULT",Boss参数!$B$52,0))</f>
        <v>0</v>
      </c>
      <c r="EZ220" s="1">
        <f>MIN(6,SUMIFS($EY$3:EY220,$EX$3:EX220,"&gt;="&amp;MAX(1,EX220-Boss参数!$B$87+1),$EX$3:EX220,"&lt;="&amp;EX220))</f>
        <v>0</v>
      </c>
      <c r="FA220" s="1">
        <f t="shared" si="278"/>
        <v>0</v>
      </c>
      <c r="FB220" s="17">
        <f>IF(L220="BOSS_CONSERVATIVE",B220+Boss参数!$B$91,FB219)</f>
        <v>7</v>
      </c>
      <c r="FC220" s="17">
        <f t="shared" si="279"/>
        <v>0</v>
      </c>
      <c r="FD220" s="17">
        <f>IF(D220="",FD219,FD219+IF(AND(DG220&lt;&gt;DG219,INDEX(回合状态!$C$7:$C$17,MATCH(DG220,回合状态!$A$7:$A$17,0))&lt;&gt;"洞穿"),1,0))</f>
        <v>8</v>
      </c>
      <c r="FE220" s="17">
        <f>IF(D220="",0,IF(AND(OR(L220="END_TURN",DH220="敌方"),INDEX(回合状态!$C$7:$C$17,MATCH(DG220,回合状态!$A$7:$A$17,0))&lt;&gt;"洞穿",SUMIFS($FE$3:FE219,$DG$3:DG219,DG220)=0),1,0))</f>
        <v>0</v>
      </c>
    </row>
    <row r="221" spans="1:161" ht="84.95" customHeight="1">
      <c r="A221" s="1" t="str">
        <f>行动模拟!A227</f>
        <v/>
      </c>
      <c r="B221" s="1">
        <f>IF(D221="",0,INDEX(回合状态!$B$7:$B$17,MATCH(DG221,回合状态!$A$7:$A$17,0)))</f>
        <v>0</v>
      </c>
      <c r="C221" s="1">
        <f>行动模拟!C227</f>
        <v>0</v>
      </c>
      <c r="D221" s="1" t="str">
        <f>IF(行动模拟!D227="","",行动模拟!D227)</f>
        <v/>
      </c>
      <c r="E221" s="1" t="str">
        <f>IF($D221="","",IFERROR(INDEX(技能数据库!$B$4:$B$38,MATCH($D221,技能数据库!$A$4:$A$38,0)),""))</f>
        <v/>
      </c>
      <c r="F221" s="1" t="str">
        <f>IF($D221="","",IFERROR(INDEX(技能数据库!$C$4:$C$38,MATCH($D221,技能数据库!$A$4:$A$38,0)),""))</f>
        <v/>
      </c>
      <c r="G221" s="1" t="str">
        <f>IF($D221="","",IFERROR(INDEX(技能数据库!$D$4:$D$38,MATCH($D221,技能数据库!$A$4:$A$38,0)),""))</f>
        <v/>
      </c>
      <c r="H221" s="1" t="str">
        <f>IF($D221="","",IFERROR(INDEX(技能数据库!$E$4:$E$38,MATCH($D221,技能数据库!$A$4:$A$38,0)),""))</f>
        <v/>
      </c>
      <c r="I221" s="1" t="str">
        <f>IF($D221="","",IFERROR(INDEX(技能数据库!$F$4:$F$38,MATCH($D221,技能数据库!$A$4:$A$38,0)),""))</f>
        <v/>
      </c>
      <c r="J221" s="1" t="str">
        <f>IF($D221="","",IFERROR(INDEX(技能数据库!$G$4:$G$38,MATCH($D221,技能数据库!$A$4:$A$38,0)),""))</f>
        <v/>
      </c>
      <c r="K221" s="1" t="str">
        <f>IF($D221="","",IFERROR(INDEX(技能数据库!$H$4:$H$38,MATCH($D221,技能数据库!$A$4:$A$38,0)),""))</f>
        <v/>
      </c>
      <c r="L221" s="1" t="str">
        <f>IF($D221="","",IFERROR(INDEX(技能数据库!$I$4:$I$38,MATCH($D221,技能数据库!$A$4:$A$38,0)),""))</f>
        <v/>
      </c>
      <c r="M221" s="1">
        <v>1</v>
      </c>
      <c r="N221" s="1"/>
      <c r="O221" s="1"/>
      <c r="P221" s="1"/>
      <c r="Q221" s="1">
        <f t="shared" si="210"/>
        <v>0</v>
      </c>
      <c r="R221" s="1">
        <v>0</v>
      </c>
      <c r="S221" s="1">
        <v>0</v>
      </c>
      <c r="T221" s="1">
        <f>行动模拟!I227</f>
        <v>0</v>
      </c>
      <c r="U221" s="1">
        <f>IF(FD221&lt;&gt;FD220,IF(BY220=1,IF(MIN(10,CA220+IF(AND(DG221&lt;&gt;DG220,DH220&lt;&gt;"洞穿",SUMIFS($FE$3:FE220,$DG$3:DG220,DG220)=0,BY220=1),3,0))&gt;=10,2,1),IF(BY220=2,IF(BZ220&lt;=1,0,2),0)),BY220)</f>
        <v>2</v>
      </c>
      <c r="V221" s="1">
        <f>IF(FD221&lt;&gt;FD220,IF(BY220=1,IF(MIN(10,CA220+IF(AND(DG221&lt;&gt;DG220,DH220&lt;&gt;"洞穿",SUMIFS($FE$3:FE220,$DG$3:DG220,DG220)=0,BY220=1),3,0))&gt;=10,2,0),IF(BY220=2,MAX(0,BZ220-1),0)),BZ220)</f>
        <v>1</v>
      </c>
      <c r="W221" s="1">
        <f>IF(AND(FD221&lt;&gt;FD220,BY220=2,BZ220&lt;=1),0,MIN(10,CA220+IF(AND(DG221&lt;&gt;DG220,DH220&lt;&gt;"洞穿",SUMIFS($FE$3:FE220,$DG$3:DG220,DG220)=0,BY220=1),3,0)))</f>
        <v>10</v>
      </c>
      <c r="X221" s="1">
        <f t="shared" si="252"/>
        <v>13</v>
      </c>
      <c r="Y221" s="1">
        <f t="shared" si="253"/>
        <v>0</v>
      </c>
      <c r="Z221" s="1">
        <f t="shared" si="254"/>
        <v>0</v>
      </c>
      <c r="AA221" s="1">
        <f t="shared" si="255"/>
        <v>0</v>
      </c>
      <c r="AB221" s="1">
        <f t="shared" si="256"/>
        <v>10</v>
      </c>
      <c r="AC221" s="1">
        <f t="shared" si="257"/>
        <v>1</v>
      </c>
      <c r="AD221" s="1">
        <f t="shared" si="258"/>
        <v>35</v>
      </c>
      <c r="AE221" s="1">
        <f>IF(D221="",0,IF(DG221&lt;&gt;DG220,IFERROR(INDEX(回合状态!$F$7:$F$17,MATCH(DG221,回合状态!$A$7:$A$17,0)),0),CI220))</f>
        <v>0</v>
      </c>
      <c r="AF221" s="1">
        <f t="shared" si="259"/>
        <v>0.875</v>
      </c>
      <c r="AG221" s="1">
        <f t="shared" si="260"/>
        <v>9</v>
      </c>
      <c r="AH221" s="1">
        <f t="shared" si="261"/>
        <v>9</v>
      </c>
      <c r="AI221" s="1">
        <f t="shared" si="262"/>
        <v>8</v>
      </c>
      <c r="AJ221" s="1">
        <f t="shared" si="263"/>
        <v>9</v>
      </c>
      <c r="AK221" s="1">
        <f t="shared" si="264"/>
        <v>8</v>
      </c>
      <c r="AL221" s="1">
        <f t="shared" si="265"/>
        <v>3</v>
      </c>
      <c r="AM221" s="1">
        <f t="shared" si="266"/>
        <v>30</v>
      </c>
      <c r="AN221" s="1">
        <f t="shared" si="267"/>
        <v>9</v>
      </c>
      <c r="AO221" s="1">
        <f t="shared" si="268"/>
        <v>0</v>
      </c>
      <c r="AP221" s="1" t="e">
        <f t="shared" si="269"/>
        <v>#VALUE!</v>
      </c>
      <c r="AQ221" s="1" t="e">
        <f t="shared" si="270"/>
        <v>#VALUE!</v>
      </c>
      <c r="AR221" s="1">
        <f t="shared" si="271"/>
        <v>0.3</v>
      </c>
      <c r="AS221" s="1">
        <f t="shared" si="272"/>
        <v>9</v>
      </c>
      <c r="AT221" s="1">
        <f t="shared" si="273"/>
        <v>0.3</v>
      </c>
      <c r="AU221" s="1">
        <f t="shared" si="274"/>
        <v>9</v>
      </c>
      <c r="AV221" s="1">
        <f>MIN(5,SUMIFS($EL$3:EL221,$B$3:B221,"&gt;="&amp;MAX(1,B221-2),$B$3:B221,"&lt;="&amp;B221)+EC221)</f>
        <v>0</v>
      </c>
      <c r="AW221" s="1">
        <f>MIN(6,SUMIFS($EY$3:EY220,$EX$3:EX220,"&gt;="&amp;MAX(1,EX221-Boss参数!$B$87+1),$EX$3:EX220,"&lt;="&amp;EX221))</f>
        <v>0</v>
      </c>
      <c r="AX221" s="1">
        <f>MIN(4,COUNTIFS($B$3:$B$220,"&gt;="&amp;MAX(1,$B221-2),$B$3:$B$220,"&lt;="&amp;$B221,$L$3:$L$220,"37_FOLLOW"))</f>
        <v>0</v>
      </c>
      <c r="AY221" s="1" t="str">
        <f>IF($E221="","",IF($E221="系统",0,ROUNDDOWN(INDEX(角色面板!$C$4:$C$7,MATCH($E221,角色面板!$A$4:$A$7,0))*(1+INDEX(角色面板!$C$11:$C$14,MATCH($E221,角色面板!$A$11:$A$14,0))+IF($E221="小瑞安侬",MAX(IF($B221&lt;=$AQ221,$AP221,0),IF(AND($L221="RHI_ATTACK",$EE221&gt;0),0.11+0.01*$G221,0)),0)+IF($E221="J",$AD221*Boss参数!$B$18,0))+IF(FD221&lt;=$AN221,MIN(Boss参数!$B$21,ROUNDDOWN(角色面板!$C$19*Boss参数!$B$20,0)),0)+IF(AND($B221&lt;=$AK221,$E221&lt;&gt;"小瑞安侬"),$DY221,0),0)))</f>
        <v/>
      </c>
      <c r="AZ221" s="1" t="str">
        <f>IF($E221="","",MAX(0,MIN(1,IFERROR(INDEX(角色面板!$G$18:$G$21,MATCH($E221,角色面板!$A$18:$A$21,0)),0)-FC221*Boss参数!$B$89-Boss参数!$E$4)))</f>
        <v/>
      </c>
      <c r="BA221" s="1" t="str">
        <f>IF(E221="","",(IF($E221="","",IF($E221="红弩箭",Boss参数!$B$80,IF($E221="J",Boss参数!$B$81,IFERROR(INDEX(角色面板!$H$18:$H$21,MATCH($E221,角色面板!$A$18:$A$21,0)),0)))+IF($B221&lt;=$AI221,Boss参数!$B$13,0)+MIN(30,$AM221)*Boss参数!$B$17+IF(AND($L221="LILYA_ULT",$X221&gt;=6),1,0)+IF(AND($Y221=1,$L221="LILYA_INSIGHT"),IF(MOD($AA221+1,3)=0,Boss参数!$B$83,Boss参数!$B$82),IF(AND($Y221=1,$L221="LILYA_FINISH"),Boss参数!$B$84,0))))-FC221*Boss参数!$B$90)</f>
        <v/>
      </c>
      <c r="BB221" s="1" t="str">
        <f>IF($E221="","",IFERROR(INDEX(角色面板!$M$18:$M$21,MATCH($E221,角色面板!$A$18:$A$21,0)),0)+$AW221*Boss参数!$B$12+IF($B221&lt;=$AG221,$AF221,0)+$EI221+IF($L221="LILYA_DIVE",IF($U221=1,IF($G221=1,0.3,IF($G221=2,0.4,0.5)),IF($U221=2,IF($G221=1,0.6,IF($G221=2,0.8,1)),0)),0)+$R221+IF(AND($E221="J",OR($L221="J_COUNTER",$L221="J_HARD")),Boss参数!$B$79,0)+IF(AND(OR(L221="J_COUNTER",L221="J_HARD"),FA221&gt;=Boss参数!$B$59),FA221*Boss参数!$B$40,0))</f>
        <v/>
      </c>
      <c r="BC221" s="1" t="e">
        <f>IF($E221="","",IFERROR(INDEX(角色面板!$K$18:$K$21,MATCH($E221,角色面板!$A$18:$A$21,0)),0)+IF($B221&lt;=$AH221,Boss参数!$B$46,0)+IF($E221="红弩箭",IF($U221=1,0.6,IF($U221=2,1.2,0))+$W221*0.06,0))-DI221*Boss参数!$B$23</f>
        <v>#VALUE!</v>
      </c>
      <c r="BD221" s="1" t="e">
        <f>IF($E221="","",IFERROR(INDEX(角色面板!$L$18:$L$21,MATCH($E221,角色面板!$A$18:$A$21,0)),0)+IF($B221&lt;=$AH221,Boss参数!$B$46,0)+IF($E221="J",$AL221*Boss参数!$B$16,0)+IF($E221="红弩箭",$X221*0.025,0)+IF(AND($L221="LILYA_ULT",$X221&gt;=6),1,0))-DI221*Boss参数!$B$23</f>
        <v>#VALUE!</v>
      </c>
      <c r="BE221" s="1" t="str">
        <f>IF($E221="","",IF($H221="洞知",IF($E221="红弩箭",$AO221*Boss参数!$B$15,0)+$AX221*Boss参数!$B$14,0))</f>
        <v/>
      </c>
      <c r="BF221" s="1">
        <f t="shared" si="211"/>
        <v>0</v>
      </c>
      <c r="BG221" s="1">
        <f>IF($D221="",0,IF(AND($L221&lt;&gt;"LILYA_DIVE",$L221&lt;&gt;"LILYA_ULT",$L221&lt;&gt;"LILYA_INSIGHT",$L221&lt;&gt;"LILYA_FINISH",$L221&lt;&gt;"37_FOLLOW",$L221&lt;&gt;"RHI_ATTACK",$L221&lt;&gt;"RHI_BERRY",$L221&lt;&gt;"J_COUNTER",$L221&lt;&gt;"J_ULT"),$J221,0)+IF($L221="LILYA_DIVE",$J221+IF($U221=1,IF($G221=1,6,IF($G221=2,12,18)),IF($U221=2,IF($G221=1,12,IF($G221=2,24,36)),0)),0)+IF($L221="LILYA_ULT",$J221+IF($X221&gt;=6,18,0),0)+IF($L221="LILYA_INSIGHT",IF($Y221=1,IF(MOD($AA221+1,3)=0,32,15),0),0)+IF($L221="LILYA_FINISH",IF($Y221=1,50+2.5*$Z221,0),0)+IF($L221="37_FOLLOW",$J221,0)+IF($L221="RHI_ATTACK",$J221*IF($B221&lt;=$AJ221,2,1),0)+IF($L221="RHI_BERRY",15+1.5*$AV221,0)+IF($L221="J_COUNTER",$J221+$AD221*Boss参数!$B$39,0)+IF($L221="J_ULT",$J221+Boss参数!$B$45*MAX(0,$AE221+$AD221-Boss参数!$I$4),0)+$S221)</f>
        <v>0</v>
      </c>
      <c r="BH221" s="1">
        <f t="shared" si="212"/>
        <v>0</v>
      </c>
      <c r="BI221" s="1" t="str">
        <f>IF(E221="","",IF(DT221=1,1+Boss参数!$B$8+AV221*Boss参数!$B$19,1))</f>
        <v/>
      </c>
      <c r="BJ221" s="1">
        <f>IF($I221="现实",Boss参数!$C$4,IF($I221="精神",Boss参数!$D$4,0))</f>
        <v>0</v>
      </c>
      <c r="BK221" s="1" t="str">
        <f>IF($E221="","",MAX($AY221*Boss参数!$B$9,$AY221-$BJ221*(1-$BF221)))</f>
        <v/>
      </c>
      <c r="BL221" s="1">
        <f>MAX(0,Boss参数!$F$4+IF(DT221=0,Boss参数!$B$27,0)-EJ221)</f>
        <v>1.25</v>
      </c>
      <c r="BM221" s="1">
        <f>Boss参数!$G$4+DU221-IF(Y221=1,Boss参数!$B$11,0)</f>
        <v>0.4</v>
      </c>
      <c r="BN221" s="1" t="str">
        <f>IF($E221="","",MAX(Boss参数!$B$10,1+IFERROR(INDEX(角色面板!$I$18:$I$21,MATCH($E221,角色面板!$A$18:$A$21,0)),0)+$BB221+Boss参数!$H$4-$BM221))</f>
        <v/>
      </c>
      <c r="BO221" s="1" t="str">
        <f>IF(E221="","",IF(OR(L221="J_COUNTER",L221="J_HARD"),MAX(0,1+INDEX(角色面板!$K$18:$K$21,MATCH(E221,角色面板!$A$18:$A$21,0))-DI221*Boss参数!$B$23+IF(OR(Boss参数!$B$43=1,L221="J_HARD"),IF(B221&lt;=AH221,Boss参数!$B$46,0),0)),MAX(0,IF(OR(H221="术法",L221="RHI_BERRY",AND(L221="37_FOLLOW",Boss参数!$B$31=1)),1+BC221,IF(H221="仪式",1+BD221,IF(H221="洞知",EK221,1))))))</f>
        <v/>
      </c>
      <c r="BP221" s="1" t="str">
        <f t="shared" si="213"/>
        <v/>
      </c>
      <c r="BQ221" s="1">
        <f t="shared" si="214"/>
        <v>0</v>
      </c>
      <c r="BR221" s="1">
        <f t="shared" si="215"/>
        <v>0</v>
      </c>
      <c r="BS221" s="1">
        <f>IF(BH221=0,0,ROUNDDOWN(AY221*BH221,0)*DV221*IF(Boss参数!$B$29=1,BN221,1)*IF(Boss参数!$B$33=1,BO221,1)*IF(Boss参数!$B$76=1,1-ES221,1))</f>
        <v>0</v>
      </c>
      <c r="BT221" s="1">
        <f t="shared" si="216"/>
        <v>0</v>
      </c>
      <c r="BU221" s="1">
        <f>IF(D221="",0,MIN(IF(Boss参数!$B$77=1,Boss参数!$B$63*Boss参数!$B$62,Boss参数!$B$61*Boss参数!$B$62),DW221+ROUNDDOWN(BS221,0)+ROUNDDOWN(DW221*Q221,0)))</f>
        <v>0</v>
      </c>
      <c r="BV221" s="1">
        <f>IF(D221="",0,MIN(IF(Boss参数!$B$77=1,Boss参数!$B$63*Boss参数!$B$62,Boss参数!$B$61*Boss参数!$B$62),DX221+ROUNDDOWN(BT221,0)+ROUNDDOWN(DX221*Q221,0)))</f>
        <v>0</v>
      </c>
      <c r="BW221" s="1">
        <f t="shared" si="217"/>
        <v>0</v>
      </c>
      <c r="BX221" s="1" t="str">
        <f t="shared" si="218"/>
        <v/>
      </c>
      <c r="BY221" s="1">
        <f t="shared" si="219"/>
        <v>2</v>
      </c>
      <c r="BZ221" s="1">
        <f t="shared" si="220"/>
        <v>1</v>
      </c>
      <c r="CA221" s="1">
        <f>MIN(10,W221+IF(AND(L221="LILYA_COBRA",COUNTIF($L$3:L221,"LILYA_COBRA")=1),5,0)+IF(AND(L221="LILYA_DIVE",U221=1,COUNTIFS($DG$3:DG221,DG221,$L$3:L221,"LILYA_DIVE")=1),2,0)+IF(AND(FE221=1,U221=1),3,0))</f>
        <v>10</v>
      </c>
      <c r="CB221" s="1">
        <f>MIN(20,MAX(0,X221+IF(L221="LILYA_COBRA",IF(COUNTIF($L$3:L221,"LILYA_COBRA")=1,6,IF(U221=1,MAX(1,G221),IF(U221=2,2*MAX(1,G221),0))),0)+IF(AND(Y221=1,E221="红弩箭",L221&lt;&gt;"ENTER_INSIGHT"),1,0)-IF(AND(L221="LILYA_ULT",X221&gt;=6),6,0)))</f>
        <v>13</v>
      </c>
      <c r="CC221" s="1">
        <f t="shared" si="221"/>
        <v>0</v>
      </c>
      <c r="CD221" s="1">
        <f t="shared" si="222"/>
        <v>0</v>
      </c>
      <c r="CE221" s="1">
        <f t="shared" si="223"/>
        <v>0</v>
      </c>
      <c r="CF221" s="1">
        <f t="shared" si="224"/>
        <v>10</v>
      </c>
      <c r="CG221" s="1">
        <f t="shared" si="225"/>
        <v>1</v>
      </c>
      <c r="CH221" s="1">
        <f>MIN(35,AD221+IF(L221="J_HARD",6,0)+IF(L221="J_COUNTER",Boss参数!$B$30,0))</f>
        <v>35</v>
      </c>
      <c r="CI221" s="1">
        <f>MIN(Boss参数!$I$4,AE221+IF(L221="J_HARD",6,0)+IF(L221="J_ULT",AD221,0)+IF(L221="J_COUNTER",Boss参数!$B$30,0))</f>
        <v>0</v>
      </c>
      <c r="CJ221" s="1">
        <f>IF(L221="J_ULT",AD221*Boss参数!$B$41,IF(B221&lt;=AG221,AF221,0))</f>
        <v>0.875</v>
      </c>
      <c r="CK221" s="1">
        <f t="shared" si="226"/>
        <v>9</v>
      </c>
      <c r="CL221" s="1">
        <f t="shared" si="227"/>
        <v>9</v>
      </c>
      <c r="CM221" s="1">
        <f t="shared" si="228"/>
        <v>8</v>
      </c>
      <c r="CN221" s="1">
        <f t="shared" si="229"/>
        <v>9</v>
      </c>
      <c r="CO221" s="1">
        <f t="shared" si="230"/>
        <v>8</v>
      </c>
      <c r="CP221" s="1">
        <f t="shared" si="231"/>
        <v>3</v>
      </c>
      <c r="CQ221" s="1">
        <f t="shared" si="232"/>
        <v>30</v>
      </c>
      <c r="CR221" s="1">
        <f t="shared" si="233"/>
        <v>9</v>
      </c>
      <c r="CS221" s="1">
        <f t="shared" si="234"/>
        <v>0</v>
      </c>
      <c r="CT221" s="1" t="e">
        <f t="shared" si="235"/>
        <v>#VALUE!</v>
      </c>
      <c r="CU221" s="1" t="e">
        <f t="shared" si="236"/>
        <v>#VALUE!</v>
      </c>
      <c r="CV221" s="1">
        <f t="shared" si="237"/>
        <v>0.3</v>
      </c>
      <c r="CW221" s="1">
        <f t="shared" si="238"/>
        <v>9</v>
      </c>
      <c r="CX221" s="1">
        <f t="shared" si="239"/>
        <v>0.3</v>
      </c>
      <c r="CY221" s="1">
        <f t="shared" si="240"/>
        <v>9</v>
      </c>
      <c r="CZ221" s="1"/>
      <c r="DA221" s="1"/>
      <c r="DB221" s="1"/>
      <c r="DC221" s="1"/>
      <c r="DD221" s="1"/>
      <c r="DE221" s="1"/>
      <c r="DF221" s="1"/>
      <c r="DG221" s="1" t="str">
        <f>IF(D221="","",行动模拟!B227)</f>
        <v/>
      </c>
      <c r="DH221" s="1" t="str">
        <f>IF(L221="END_TURN","回合结束",IF(D221="","",IF(INDEX(回合状态!$C$7:$C$17,MATCH(DG221,回合状态!$A$7:$A$17,0))="洞穿","洞穿",IF(OR(L221="J_COUNTER",L221="BOSS_ACTION",L221="BOSS_CONSERVATIVE"),"敌方",IF(AND(L221="37_FOLLOW",DG221=DG220,DH220="敌方"),"敌方",IF(INDEX(回合状态!$C$7:$C$17,MATCH(DG221,回合状态!$A$7:$A$17,0))="普通","出牌",INDEX(回合状态!$C$7:$C$17,MATCH(DG221,回合状态!$A$7:$A$17,0))))))))</f>
        <v/>
      </c>
      <c r="DI221" s="1">
        <f t="shared" si="241"/>
        <v>0</v>
      </c>
      <c r="DJ221" s="1">
        <f>IF(D221="",0,MIN(Boss参数!$B$25,IF(OR(AND(DH221="敌方",OR(DH220&lt;&gt;"敌方",DG221&lt;&gt;DG220)),AND(L221="END_TURN",DH221&lt;&gt;"洞穿"),AND(DG221&lt;&gt;DG220,DH220&lt;&gt;"洞穿",L220&lt;&gt;"END_TURN",COUNTIFS($DG$3:DG220,DG220,$DH$3:DH220,"敌方")=0)),EW221,DN220)))</f>
        <v>0</v>
      </c>
      <c r="DK221" s="1">
        <f>IF(D221="",0,MIN(Boss参数!$B$25,IF(OR(AND(DH221="敌方",OR(DH220&lt;&gt;"敌方",DG221&lt;&gt;DG220)),AND(L221="END_TURN",DH221&lt;&gt;"洞穿"),AND(DG221&lt;&gt;DG220,DH220&lt;&gt;"洞穿",L220&lt;&gt;"END_TURN",COUNTIFS($DG$3:DG220,DG220,$DH$3:DH220,"敌方")=0)),EW221,DO220)))</f>
        <v>0</v>
      </c>
      <c r="DL221" s="1">
        <f>IF(D221="",0,MIN(Boss参数!$B$25,IF(OR(AND(DH221="敌方",OR(DH220&lt;&gt;"敌方",DG221&lt;&gt;DG220)),AND(L221="END_TURN",DH221&lt;&gt;"洞穿"),AND(DG221&lt;&gt;DG220,DH220&lt;&gt;"洞穿",L220&lt;&gt;"END_TURN",COUNTIFS($DG$3:DG220,DG220,$DH$3:DH220,"敌方")=0)),EW221,DP220)))</f>
        <v>0</v>
      </c>
      <c r="DM221" s="1">
        <f>IF(D221="",0,MIN(Boss参数!$B$25,IF(OR(AND(DH221="敌方",OR(DH220&lt;&gt;"敌方",DG221&lt;&gt;DG220)),AND(L221="END_TURN",DH221&lt;&gt;"洞穿"),AND(DG221&lt;&gt;DG220,DH220&lt;&gt;"洞穿",L220&lt;&gt;"END_TURN",COUNTIFS($DG$3:DG220,DG220,$DH$3:DH220,"敌方")=0)),EW221,DQ220)))</f>
        <v>0</v>
      </c>
      <c r="DN221" s="1">
        <f>MAX(0,MIN(Boss参数!$B$25,DJ221+DR221)-IF(E221="红弩箭",2*DR221,0))</f>
        <v>0</v>
      </c>
      <c r="DO221" s="1">
        <f>MAX(0,MIN(Boss参数!$B$25,DK221+DR221)-IF(E221="37",2*DR221,0))</f>
        <v>0</v>
      </c>
      <c r="DP221" s="1">
        <f>MAX(0,MIN(Boss参数!$B$25,DL221+DR221)-IF(E221="小瑞安侬",2*DR221,0))</f>
        <v>0</v>
      </c>
      <c r="DQ221" s="1">
        <f>MAX(0,MIN(Boss参数!$B$25,DM221+DR221)-IF(E221="J",2*DR221,0))</f>
        <v>0</v>
      </c>
      <c r="DR221" s="1">
        <f t="shared" si="242"/>
        <v>0</v>
      </c>
      <c r="DS221" s="1">
        <f t="shared" si="243"/>
        <v>0</v>
      </c>
      <c r="DT221" s="1">
        <f>IF(OR(E221="",E221="系统"),0,IF(OR(AND(DS221=1,Boss参数!$B$32=1),L221="RHI_BERRY",OR(AND(INDEX(角色面板!$B$18:$B$21,MATCH(E221,角色面板!$A$18:$A$21,0))="星",Boss参数!$B$4="岩"),AND(INDEX(角色面板!$B$18:$B$21,MATCH(E221,角色面板!$A$18:$A$21,0))="岩",Boss参数!$B$4="兽"),AND(INDEX(角色面板!$B$18:$B$21,MATCH(E221,角色面板!$A$18:$A$21,0))="兽",Boss参数!$B$4="木"),AND(INDEX(角色面板!$B$18:$B$21,MATCH(E221,角色面板!$A$18:$A$21,0))="木",Boss参数!$B$4="星"),AND(INDEX(角色面板!$B$18:$B$21,MATCH(E221,角色面板!$A$18:$A$21,0))="智",Boss参数!$B$4="灵"),AND(INDEX(角色面板!$B$18:$B$21,MATCH(E221,角色面板!$A$18:$A$21,0))="灵",Boss参数!$B$4="智"))),1,0))</f>
        <v>0</v>
      </c>
      <c r="DU221" s="1">
        <f>IF(D221="",0,INDEX(回合状态!$E$7:$E$17,MATCH(DG221,回合状态!$A$7:$A$17,0))+IF(AND(DH221="敌方",OR(INDEX(回合状态!$C$7:$C$17,MATCH(DG221,回合状态!$A$7:$A$17,0))="普通",INDEX(回合状态!$C$7:$C$17,MATCH(DG221,回合状态!$A$7:$A$17,0))="额外")),0.05,0))</f>
        <v>0</v>
      </c>
      <c r="DV221" s="1">
        <f>MAX(Boss参数!$B$28,1+IF(AND(E221="37",AC221&gt;0,BH221&gt;0),Boss参数!$B$42,0)-DI221*Boss参数!$B$24+EA221-ER221)</f>
        <v>9.9999999999999978E-2</v>
      </c>
      <c r="DW221" s="1">
        <f>MIN(IF(Boss参数!$B$77=1,Boss参数!$B$63*Boss参数!$B$62,Boss参数!$B$61*Boss参数!$B$62),ROUNDDOWN(BQ221*(1-ES221),0))</f>
        <v>0</v>
      </c>
      <c r="DX221" s="1">
        <f>MIN(IF(Boss参数!$B$77=1,Boss参数!$B$63*Boss参数!$B$62,Boss参数!$B$61*Boss参数!$B$62),ROUNDDOWN(BR221*(1-ES221),0))</f>
        <v>0</v>
      </c>
      <c r="DY221" s="1">
        <f t="shared" si="275"/>
        <v>250</v>
      </c>
      <c r="DZ221" s="1">
        <f>IF(L221="RHI_ULT",MIN(Boss参数!$B$48,ROUNDDOWN(AY221*Boss参数!$B$47,0)),DY221)</f>
        <v>250</v>
      </c>
      <c r="EA221" s="1">
        <v>0</v>
      </c>
      <c r="EB221" s="1">
        <f t="shared" si="244"/>
        <v>0</v>
      </c>
      <c r="EC221" s="1">
        <f>SUMIFS($EB$3:EB221,$B$3:B221,"&gt;="&amp;MAX(1,B221-2),$B$3:B221,"&lt;="&amp;B221)*Boss参数!$B$51</f>
        <v>0</v>
      </c>
      <c r="ED221" s="1">
        <f>IF(D221="",EG220,IF(AND(DG221&lt;&gt;DG220,DH221&lt;&gt;"洞穿"),MIN(Boss参数!$B$55,EG220+2),EG220))</f>
        <v>0</v>
      </c>
      <c r="EE221" s="1">
        <f t="shared" si="245"/>
        <v>0</v>
      </c>
      <c r="EF221" s="1">
        <f>IF(AND(OR(L221="END_TURN",AND(DH221="敌方",OR(DH220&lt;&gt;"敌方",DG221&lt;&gt;DG220))),SUMIFS($EF$3:EF220,$DG$3:DG220,DG221)=0),MIN(1,MAX(0,ED221-EE221)),0)</f>
        <v>0</v>
      </c>
      <c r="EG221" s="1">
        <f t="shared" si="246"/>
        <v>0</v>
      </c>
      <c r="EH221" s="1">
        <f>Boss参数!$B$53-IF(Y221=1,Boss参数!$B$54,0)</f>
        <v>0</v>
      </c>
      <c r="EI221" s="1">
        <f t="shared" si="247"/>
        <v>0.15</v>
      </c>
      <c r="EJ221" s="1">
        <f t="shared" si="248"/>
        <v>0.15</v>
      </c>
      <c r="EK221" s="1" t="e">
        <f t="shared" si="249"/>
        <v>#VALUE!</v>
      </c>
      <c r="EL221" s="1">
        <f t="shared" si="276"/>
        <v>0</v>
      </c>
      <c r="EM221" s="1">
        <f>IF(AND(DG221&lt;&gt;DG220,DH221="洞穿"),0,IF(L221="ENTER_INSIGHT",Boss参数!$B$57,EO220))</f>
        <v>0</v>
      </c>
      <c r="EN221" s="1">
        <f>IF(AND(Y221=1,H221="洞知",EM221&gt;0),Boss参数!$B$56,0)</f>
        <v>0</v>
      </c>
      <c r="EO221" s="1">
        <f t="shared" si="250"/>
        <v>0</v>
      </c>
      <c r="EP221" s="1">
        <f t="shared" si="277"/>
        <v>23210479</v>
      </c>
      <c r="EQ221" s="1">
        <f>ROUNDDOWN(EP221/Boss参数!$B$62,0)</f>
        <v>232</v>
      </c>
      <c r="ER221" s="1">
        <f>IF(EQ221&gt;=Boss参数!$B$66,Boss参数!$B$69,IF(EQ221&gt;=Boss参数!$B$65,Boss参数!$B$68,IF(EQ221&gt;=Boss参数!$B$64,Boss参数!$B$67,0)))</f>
        <v>0.9</v>
      </c>
      <c r="ES221" s="1">
        <f>MIN(1,IF(EQ221&gt;=Boss参数!$B$66,Boss参数!$B$72+ROUNDDOWN((EQ221-Boss参数!$B$66)/Boss参数!$B$73,0)*Boss参数!$B$74,IF(EQ221&gt;=Boss参数!$B$65,Boss参数!$B$71,IF(EQ221&gt;=Boss参数!$B$64,Boss参数!$B$70,0))))</f>
        <v>0.65</v>
      </c>
      <c r="ET221" s="1">
        <f>MIN(Boss参数!$B$61*Boss参数!$B$62,EP221+IF(AND(Boss参数!$B$60=1,ISNUMBER(验证表!H227)),验证表!H227,EU221))</f>
        <v>23210479</v>
      </c>
      <c r="EU221" s="1">
        <f>IF(D221="",0,IF(验证表!G227="是",BV221,IF(验证表!G227="否",BU221,BW221)))</f>
        <v>0</v>
      </c>
      <c r="EV221" s="1">
        <f>IF(EQ221&gt;=Boss参数!$B$66,2,IF(EQ221&gt;=Boss参数!$B$65,1,0))</f>
        <v>2</v>
      </c>
      <c r="EW221" s="1">
        <f t="shared" si="251"/>
        <v>3</v>
      </c>
      <c r="EX221" s="1">
        <f>IF(D221="",0,INDEX(回合状态!$D$7:$D$17,MATCH(DG221,回合状态!$A$7:$A$17,0)))</f>
        <v>0</v>
      </c>
      <c r="EY221" s="1">
        <f>IF(OR(L221="RHI_ATTACK",L221="RHI_BUFF"),1,IF(L221="RHI_ULT",Boss参数!$B$52,0))</f>
        <v>0</v>
      </c>
      <c r="EZ221" s="1">
        <f>MIN(6,SUMIFS($EY$3:EY221,$EX$3:EX221,"&gt;="&amp;MAX(1,EX221-Boss参数!$B$87+1),$EX$3:EX221,"&lt;="&amp;EX221))</f>
        <v>0</v>
      </c>
      <c r="FA221" s="1">
        <f t="shared" si="278"/>
        <v>0</v>
      </c>
      <c r="FB221" s="17">
        <f>IF(L221="BOSS_CONSERVATIVE",B221+Boss参数!$B$91,FB220)</f>
        <v>7</v>
      </c>
      <c r="FC221" s="17">
        <f t="shared" si="279"/>
        <v>0</v>
      </c>
      <c r="FD221" s="17">
        <f>IF(D221="",FD220,FD220+IF(AND(DG221&lt;&gt;DG220,INDEX(回合状态!$C$7:$C$17,MATCH(DG221,回合状态!$A$7:$A$17,0))&lt;&gt;"洞穿"),1,0))</f>
        <v>8</v>
      </c>
      <c r="FE221" s="17">
        <f>IF(D221="",0,IF(AND(OR(L221="END_TURN",DH221="敌方"),INDEX(回合状态!$C$7:$C$17,MATCH(DG221,回合状态!$A$7:$A$17,0))&lt;&gt;"洞穿",SUMIFS($FE$3:FE220,$DG$3:DG220,DG221)=0),1,0))</f>
        <v>0</v>
      </c>
    </row>
    <row r="222" spans="1:161" ht="84.95" customHeight="1">
      <c r="A222" s="1" t="str">
        <f>行动模拟!A228</f>
        <v/>
      </c>
      <c r="B222" s="1">
        <f>IF(D222="",0,INDEX(回合状态!$B$7:$B$17,MATCH(DG222,回合状态!$A$7:$A$17,0)))</f>
        <v>0</v>
      </c>
      <c r="C222" s="1">
        <f>行动模拟!C228</f>
        <v>0</v>
      </c>
      <c r="D222" s="1" t="str">
        <f>IF(行动模拟!D228="","",行动模拟!D228)</f>
        <v/>
      </c>
      <c r="E222" s="1" t="str">
        <f>IF($D222="","",IFERROR(INDEX(技能数据库!$B$4:$B$38,MATCH($D222,技能数据库!$A$4:$A$38,0)),""))</f>
        <v/>
      </c>
      <c r="F222" s="1" t="str">
        <f>IF($D222="","",IFERROR(INDEX(技能数据库!$C$4:$C$38,MATCH($D222,技能数据库!$A$4:$A$38,0)),""))</f>
        <v/>
      </c>
      <c r="G222" s="1" t="str">
        <f>IF($D222="","",IFERROR(INDEX(技能数据库!$D$4:$D$38,MATCH($D222,技能数据库!$A$4:$A$38,0)),""))</f>
        <v/>
      </c>
      <c r="H222" s="1" t="str">
        <f>IF($D222="","",IFERROR(INDEX(技能数据库!$E$4:$E$38,MATCH($D222,技能数据库!$A$4:$A$38,0)),""))</f>
        <v/>
      </c>
      <c r="I222" s="1" t="str">
        <f>IF($D222="","",IFERROR(INDEX(技能数据库!$F$4:$F$38,MATCH($D222,技能数据库!$A$4:$A$38,0)),""))</f>
        <v/>
      </c>
      <c r="J222" s="1" t="str">
        <f>IF($D222="","",IFERROR(INDEX(技能数据库!$G$4:$G$38,MATCH($D222,技能数据库!$A$4:$A$38,0)),""))</f>
        <v/>
      </c>
      <c r="K222" s="1" t="str">
        <f>IF($D222="","",IFERROR(INDEX(技能数据库!$H$4:$H$38,MATCH($D222,技能数据库!$A$4:$A$38,0)),""))</f>
        <v/>
      </c>
      <c r="L222" s="1" t="str">
        <f>IF($D222="","",IFERROR(INDEX(技能数据库!$I$4:$I$38,MATCH($D222,技能数据库!$A$4:$A$38,0)),""))</f>
        <v/>
      </c>
      <c r="M222" s="1">
        <v>1</v>
      </c>
      <c r="N222" s="1"/>
      <c r="O222" s="1"/>
      <c r="P222" s="1"/>
      <c r="Q222" s="1">
        <f t="shared" si="210"/>
        <v>0</v>
      </c>
      <c r="R222" s="1">
        <v>0</v>
      </c>
      <c r="S222" s="1">
        <v>0</v>
      </c>
      <c r="T222" s="1">
        <f>行动模拟!I228</f>
        <v>0</v>
      </c>
      <c r="U222" s="1">
        <f>IF(FD222&lt;&gt;FD221,IF(BY221=1,IF(MIN(10,CA221+IF(AND(DG222&lt;&gt;DG221,DH221&lt;&gt;"洞穿",SUMIFS($FE$3:FE221,$DG$3:DG221,DG221)=0,BY221=1),3,0))&gt;=10,2,1),IF(BY221=2,IF(BZ221&lt;=1,0,2),0)),BY221)</f>
        <v>2</v>
      </c>
      <c r="V222" s="1">
        <f>IF(FD222&lt;&gt;FD221,IF(BY221=1,IF(MIN(10,CA221+IF(AND(DG222&lt;&gt;DG221,DH221&lt;&gt;"洞穿",SUMIFS($FE$3:FE221,$DG$3:DG221,DG221)=0,BY221=1),3,0))&gt;=10,2,0),IF(BY221=2,MAX(0,BZ221-1),0)),BZ221)</f>
        <v>1</v>
      </c>
      <c r="W222" s="1">
        <f>IF(AND(FD222&lt;&gt;FD221,BY221=2,BZ221&lt;=1),0,MIN(10,CA221+IF(AND(DG222&lt;&gt;DG221,DH221&lt;&gt;"洞穿",SUMIFS($FE$3:FE221,$DG$3:DG221,DG221)=0,BY221=1),3,0)))</f>
        <v>10</v>
      </c>
      <c r="X222" s="1">
        <f t="shared" si="252"/>
        <v>13</v>
      </c>
      <c r="Y222" s="1">
        <f t="shared" si="253"/>
        <v>0</v>
      </c>
      <c r="Z222" s="1">
        <f t="shared" si="254"/>
        <v>0</v>
      </c>
      <c r="AA222" s="1">
        <f t="shared" si="255"/>
        <v>0</v>
      </c>
      <c r="AB222" s="1">
        <f t="shared" si="256"/>
        <v>10</v>
      </c>
      <c r="AC222" s="1">
        <f t="shared" si="257"/>
        <v>1</v>
      </c>
      <c r="AD222" s="1">
        <f t="shared" si="258"/>
        <v>35</v>
      </c>
      <c r="AE222" s="1">
        <f>IF(D222="",0,IF(DG222&lt;&gt;DG221,IFERROR(INDEX(回合状态!$F$7:$F$17,MATCH(DG222,回合状态!$A$7:$A$17,0)),0),CI221))</f>
        <v>0</v>
      </c>
      <c r="AF222" s="1">
        <f t="shared" si="259"/>
        <v>0.875</v>
      </c>
      <c r="AG222" s="1">
        <f t="shared" si="260"/>
        <v>9</v>
      </c>
      <c r="AH222" s="1">
        <f t="shared" si="261"/>
        <v>9</v>
      </c>
      <c r="AI222" s="1">
        <f t="shared" si="262"/>
        <v>8</v>
      </c>
      <c r="AJ222" s="1">
        <f t="shared" si="263"/>
        <v>9</v>
      </c>
      <c r="AK222" s="1">
        <f t="shared" si="264"/>
        <v>8</v>
      </c>
      <c r="AL222" s="1">
        <f t="shared" si="265"/>
        <v>3</v>
      </c>
      <c r="AM222" s="1">
        <f t="shared" si="266"/>
        <v>30</v>
      </c>
      <c r="AN222" s="1">
        <f t="shared" si="267"/>
        <v>9</v>
      </c>
      <c r="AO222" s="1">
        <f t="shared" si="268"/>
        <v>0</v>
      </c>
      <c r="AP222" s="1" t="e">
        <f t="shared" si="269"/>
        <v>#VALUE!</v>
      </c>
      <c r="AQ222" s="1" t="e">
        <f t="shared" si="270"/>
        <v>#VALUE!</v>
      </c>
      <c r="AR222" s="1">
        <f t="shared" si="271"/>
        <v>0.3</v>
      </c>
      <c r="AS222" s="1">
        <f t="shared" si="272"/>
        <v>9</v>
      </c>
      <c r="AT222" s="1">
        <f t="shared" si="273"/>
        <v>0.3</v>
      </c>
      <c r="AU222" s="1">
        <f t="shared" si="274"/>
        <v>9</v>
      </c>
      <c r="AV222" s="1">
        <f>MIN(5,SUMIFS($EL$3:EL222,$B$3:B222,"&gt;="&amp;MAX(1,B222-2),$B$3:B222,"&lt;="&amp;B222)+EC222)</f>
        <v>0</v>
      </c>
      <c r="AW222" s="1">
        <f>MIN(6,SUMIFS($EY$3:EY221,$EX$3:EX221,"&gt;="&amp;MAX(1,EX222-Boss参数!$B$87+1),$EX$3:EX221,"&lt;="&amp;EX222))</f>
        <v>0</v>
      </c>
      <c r="AX222" s="1">
        <f>MIN(4,COUNTIFS($B$3:$B$221,"&gt;="&amp;MAX(1,$B222-2),$B$3:$B$221,"&lt;="&amp;$B222,$L$3:$L$221,"37_FOLLOW"))</f>
        <v>0</v>
      </c>
      <c r="AY222" s="1" t="str">
        <f>IF($E222="","",IF($E222="系统",0,ROUNDDOWN(INDEX(角色面板!$C$4:$C$7,MATCH($E222,角色面板!$A$4:$A$7,0))*(1+INDEX(角色面板!$C$11:$C$14,MATCH($E222,角色面板!$A$11:$A$14,0))+IF($E222="小瑞安侬",MAX(IF($B222&lt;=$AQ222,$AP222,0),IF(AND($L222="RHI_ATTACK",$EE222&gt;0),0.11+0.01*$G222,0)),0)+IF($E222="J",$AD222*Boss参数!$B$18,0))+IF(FD222&lt;=$AN222,MIN(Boss参数!$B$21,ROUNDDOWN(角色面板!$C$19*Boss参数!$B$20,0)),0)+IF(AND($B222&lt;=$AK222,$E222&lt;&gt;"小瑞安侬"),$DY222,0),0)))</f>
        <v/>
      </c>
      <c r="AZ222" s="1" t="str">
        <f>IF($E222="","",MAX(0,MIN(1,IFERROR(INDEX(角色面板!$G$18:$G$21,MATCH($E222,角色面板!$A$18:$A$21,0)),0)-FC222*Boss参数!$B$89-Boss参数!$E$4)))</f>
        <v/>
      </c>
      <c r="BA222" s="1" t="str">
        <f>IF(E222="","",(IF($E222="","",IF($E222="红弩箭",Boss参数!$B$80,IF($E222="J",Boss参数!$B$81,IFERROR(INDEX(角色面板!$H$18:$H$21,MATCH($E222,角色面板!$A$18:$A$21,0)),0)))+IF($B222&lt;=$AI222,Boss参数!$B$13,0)+MIN(30,$AM222)*Boss参数!$B$17+IF(AND($L222="LILYA_ULT",$X222&gt;=6),1,0)+IF(AND($Y222=1,$L222="LILYA_INSIGHT"),IF(MOD($AA222+1,3)=0,Boss参数!$B$83,Boss参数!$B$82),IF(AND($Y222=1,$L222="LILYA_FINISH"),Boss参数!$B$84,0))))-FC222*Boss参数!$B$90)</f>
        <v/>
      </c>
      <c r="BB222" s="1" t="str">
        <f>IF($E222="","",IFERROR(INDEX(角色面板!$M$18:$M$21,MATCH($E222,角色面板!$A$18:$A$21,0)),0)+$AW222*Boss参数!$B$12+IF($B222&lt;=$AG222,$AF222,0)+$EI222+IF($L222="LILYA_DIVE",IF($U222=1,IF($G222=1,0.3,IF($G222=2,0.4,0.5)),IF($U222=2,IF($G222=1,0.6,IF($G222=2,0.8,1)),0)),0)+$R222+IF(AND($E222="J",OR($L222="J_COUNTER",$L222="J_HARD")),Boss参数!$B$79,0)+IF(AND(OR(L222="J_COUNTER",L222="J_HARD"),FA222&gt;=Boss参数!$B$59),FA222*Boss参数!$B$40,0))</f>
        <v/>
      </c>
      <c r="BC222" s="1" t="e">
        <f>IF($E222="","",IFERROR(INDEX(角色面板!$K$18:$K$21,MATCH($E222,角色面板!$A$18:$A$21,0)),0)+IF($B222&lt;=$AH222,Boss参数!$B$46,0)+IF($E222="红弩箭",IF($U222=1,0.6,IF($U222=2,1.2,0))+$W222*0.06,0))-DI222*Boss参数!$B$23</f>
        <v>#VALUE!</v>
      </c>
      <c r="BD222" s="1" t="e">
        <f>IF($E222="","",IFERROR(INDEX(角色面板!$L$18:$L$21,MATCH($E222,角色面板!$A$18:$A$21,0)),0)+IF($B222&lt;=$AH222,Boss参数!$B$46,0)+IF($E222="J",$AL222*Boss参数!$B$16,0)+IF($E222="红弩箭",$X222*0.025,0)+IF(AND($L222="LILYA_ULT",$X222&gt;=6),1,0))-DI222*Boss参数!$B$23</f>
        <v>#VALUE!</v>
      </c>
      <c r="BE222" s="1" t="str">
        <f>IF($E222="","",IF($H222="洞知",IF($E222="红弩箭",$AO222*Boss参数!$B$15,0)+$AX222*Boss参数!$B$14,0))</f>
        <v/>
      </c>
      <c r="BF222" s="1">
        <f t="shared" si="211"/>
        <v>0</v>
      </c>
      <c r="BG222" s="1">
        <f>IF($D222="",0,IF(AND($L222&lt;&gt;"LILYA_DIVE",$L222&lt;&gt;"LILYA_ULT",$L222&lt;&gt;"LILYA_INSIGHT",$L222&lt;&gt;"LILYA_FINISH",$L222&lt;&gt;"37_FOLLOW",$L222&lt;&gt;"RHI_ATTACK",$L222&lt;&gt;"RHI_BERRY",$L222&lt;&gt;"J_COUNTER",$L222&lt;&gt;"J_ULT"),$J222,0)+IF($L222="LILYA_DIVE",$J222+IF($U222=1,IF($G222=1,6,IF($G222=2,12,18)),IF($U222=2,IF($G222=1,12,IF($G222=2,24,36)),0)),0)+IF($L222="LILYA_ULT",$J222+IF($X222&gt;=6,18,0),0)+IF($L222="LILYA_INSIGHT",IF($Y222=1,IF(MOD($AA222+1,3)=0,32,15),0),0)+IF($L222="LILYA_FINISH",IF($Y222=1,50+2.5*$Z222,0),0)+IF($L222="37_FOLLOW",$J222,0)+IF($L222="RHI_ATTACK",$J222*IF($B222&lt;=$AJ222,2,1),0)+IF($L222="RHI_BERRY",15+1.5*$AV222,0)+IF($L222="J_COUNTER",$J222+$AD222*Boss参数!$B$39,0)+IF($L222="J_ULT",$J222+Boss参数!$B$45*MAX(0,$AE222+$AD222-Boss参数!$I$4),0)+$S222)</f>
        <v>0</v>
      </c>
      <c r="BH222" s="1">
        <f t="shared" si="212"/>
        <v>0</v>
      </c>
      <c r="BI222" s="1" t="str">
        <f>IF(E222="","",IF(DT222=1,1+Boss参数!$B$8+AV222*Boss参数!$B$19,1))</f>
        <v/>
      </c>
      <c r="BJ222" s="1">
        <f>IF($I222="现实",Boss参数!$C$4,IF($I222="精神",Boss参数!$D$4,0))</f>
        <v>0</v>
      </c>
      <c r="BK222" s="1" t="str">
        <f>IF($E222="","",MAX($AY222*Boss参数!$B$9,$AY222-$BJ222*(1-$BF222)))</f>
        <v/>
      </c>
      <c r="BL222" s="1">
        <f>MAX(0,Boss参数!$F$4+IF(DT222=0,Boss参数!$B$27,0)-EJ222)</f>
        <v>1.25</v>
      </c>
      <c r="BM222" s="1">
        <f>Boss参数!$G$4+DU222-IF(Y222=1,Boss参数!$B$11,0)</f>
        <v>0.4</v>
      </c>
      <c r="BN222" s="1" t="str">
        <f>IF($E222="","",MAX(Boss参数!$B$10,1+IFERROR(INDEX(角色面板!$I$18:$I$21,MATCH($E222,角色面板!$A$18:$A$21,0)),0)+$BB222+Boss参数!$H$4-$BM222))</f>
        <v/>
      </c>
      <c r="BO222" s="1" t="str">
        <f>IF(E222="","",IF(OR(L222="J_COUNTER",L222="J_HARD"),MAX(0,1+INDEX(角色面板!$K$18:$K$21,MATCH(E222,角色面板!$A$18:$A$21,0))-DI222*Boss参数!$B$23+IF(OR(Boss参数!$B$43=1,L222="J_HARD"),IF(B222&lt;=AH222,Boss参数!$B$46,0),0)),MAX(0,IF(OR(H222="术法",L222="RHI_BERRY",AND(L222="37_FOLLOW",Boss参数!$B$31=1)),1+BC222,IF(H222="仪式",1+BD222,IF(H222="洞知",EK222,1))))))</f>
        <v/>
      </c>
      <c r="BP222" s="1" t="str">
        <f t="shared" si="213"/>
        <v/>
      </c>
      <c r="BQ222" s="1">
        <f t="shared" si="214"/>
        <v>0</v>
      </c>
      <c r="BR222" s="1">
        <f t="shared" si="215"/>
        <v>0</v>
      </c>
      <c r="BS222" s="1">
        <f>IF(BH222=0,0,ROUNDDOWN(AY222*BH222,0)*DV222*IF(Boss参数!$B$29=1,BN222,1)*IF(Boss参数!$B$33=1,BO222,1)*IF(Boss参数!$B$76=1,1-ES222,1))</f>
        <v>0</v>
      </c>
      <c r="BT222" s="1">
        <f t="shared" si="216"/>
        <v>0</v>
      </c>
      <c r="BU222" s="1">
        <f>IF(D222="",0,MIN(IF(Boss参数!$B$77=1,Boss参数!$B$63*Boss参数!$B$62,Boss参数!$B$61*Boss参数!$B$62),DW222+ROUNDDOWN(BS222,0)+ROUNDDOWN(DW222*Q222,0)))</f>
        <v>0</v>
      </c>
      <c r="BV222" s="1">
        <f>IF(D222="",0,MIN(IF(Boss参数!$B$77=1,Boss参数!$B$63*Boss参数!$B$62,Boss参数!$B$61*Boss参数!$B$62),DX222+ROUNDDOWN(BT222,0)+ROUNDDOWN(DX222*Q222,0)))</f>
        <v>0</v>
      </c>
      <c r="BW222" s="1">
        <f t="shared" si="217"/>
        <v>0</v>
      </c>
      <c r="BX222" s="1" t="str">
        <f t="shared" si="218"/>
        <v/>
      </c>
      <c r="BY222" s="1">
        <f t="shared" si="219"/>
        <v>2</v>
      </c>
      <c r="BZ222" s="1">
        <f t="shared" si="220"/>
        <v>1</v>
      </c>
      <c r="CA222" s="1">
        <f>MIN(10,W222+IF(AND(L222="LILYA_COBRA",COUNTIF($L$3:L222,"LILYA_COBRA")=1),5,0)+IF(AND(L222="LILYA_DIVE",U222=1,COUNTIFS($DG$3:DG222,DG222,$L$3:L222,"LILYA_DIVE")=1),2,0)+IF(AND(FE222=1,U222=1),3,0))</f>
        <v>10</v>
      </c>
      <c r="CB222" s="1">
        <f>MIN(20,MAX(0,X222+IF(L222="LILYA_COBRA",IF(COUNTIF($L$3:L222,"LILYA_COBRA")=1,6,IF(U222=1,MAX(1,G222),IF(U222=2,2*MAX(1,G222),0))),0)+IF(AND(Y222=1,E222="红弩箭",L222&lt;&gt;"ENTER_INSIGHT"),1,0)-IF(AND(L222="LILYA_ULT",X222&gt;=6),6,0)))</f>
        <v>13</v>
      </c>
      <c r="CC222" s="1">
        <f t="shared" si="221"/>
        <v>0</v>
      </c>
      <c r="CD222" s="1">
        <f t="shared" si="222"/>
        <v>0</v>
      </c>
      <c r="CE222" s="1">
        <f t="shared" si="223"/>
        <v>0</v>
      </c>
      <c r="CF222" s="1">
        <f t="shared" si="224"/>
        <v>10</v>
      </c>
      <c r="CG222" s="1">
        <f t="shared" si="225"/>
        <v>1</v>
      </c>
      <c r="CH222" s="1">
        <f>MIN(35,AD222+IF(L222="J_HARD",6,0)+IF(L222="J_COUNTER",Boss参数!$B$30,0))</f>
        <v>35</v>
      </c>
      <c r="CI222" s="1">
        <f>MIN(Boss参数!$I$4,AE222+IF(L222="J_HARD",6,0)+IF(L222="J_ULT",AD222,0)+IF(L222="J_COUNTER",Boss参数!$B$30,0))</f>
        <v>0</v>
      </c>
      <c r="CJ222" s="1">
        <f>IF(L222="J_ULT",AD222*Boss参数!$B$41,IF(B222&lt;=AG222,AF222,0))</f>
        <v>0.875</v>
      </c>
      <c r="CK222" s="1">
        <f t="shared" si="226"/>
        <v>9</v>
      </c>
      <c r="CL222" s="1">
        <f t="shared" si="227"/>
        <v>9</v>
      </c>
      <c r="CM222" s="1">
        <f t="shared" si="228"/>
        <v>8</v>
      </c>
      <c r="CN222" s="1">
        <f t="shared" si="229"/>
        <v>9</v>
      </c>
      <c r="CO222" s="1">
        <f t="shared" si="230"/>
        <v>8</v>
      </c>
      <c r="CP222" s="1">
        <f t="shared" si="231"/>
        <v>3</v>
      </c>
      <c r="CQ222" s="1">
        <f t="shared" si="232"/>
        <v>30</v>
      </c>
      <c r="CR222" s="1">
        <f t="shared" si="233"/>
        <v>9</v>
      </c>
      <c r="CS222" s="1">
        <f t="shared" si="234"/>
        <v>0</v>
      </c>
      <c r="CT222" s="1" t="e">
        <f t="shared" si="235"/>
        <v>#VALUE!</v>
      </c>
      <c r="CU222" s="1" t="e">
        <f t="shared" si="236"/>
        <v>#VALUE!</v>
      </c>
      <c r="CV222" s="1">
        <f t="shared" si="237"/>
        <v>0.3</v>
      </c>
      <c r="CW222" s="1">
        <f t="shared" si="238"/>
        <v>9</v>
      </c>
      <c r="CX222" s="1">
        <f t="shared" si="239"/>
        <v>0.3</v>
      </c>
      <c r="CY222" s="1">
        <f t="shared" si="240"/>
        <v>9</v>
      </c>
      <c r="CZ222" s="1"/>
      <c r="DA222" s="1"/>
      <c r="DB222" s="1"/>
      <c r="DC222" s="1"/>
      <c r="DD222" s="1"/>
      <c r="DE222" s="1"/>
      <c r="DF222" s="1"/>
      <c r="DG222" s="1" t="str">
        <f>IF(D222="","",行动模拟!B228)</f>
        <v/>
      </c>
      <c r="DH222" s="1" t="str">
        <f>IF(L222="END_TURN","回合结束",IF(D222="","",IF(INDEX(回合状态!$C$7:$C$17,MATCH(DG222,回合状态!$A$7:$A$17,0))="洞穿","洞穿",IF(OR(L222="J_COUNTER",L222="BOSS_ACTION",L222="BOSS_CONSERVATIVE"),"敌方",IF(AND(L222="37_FOLLOW",DG222=DG221,DH221="敌方"),"敌方",IF(INDEX(回合状态!$C$7:$C$17,MATCH(DG222,回合状态!$A$7:$A$17,0))="普通","出牌",INDEX(回合状态!$C$7:$C$17,MATCH(DG222,回合状态!$A$7:$A$17,0))))))))</f>
        <v/>
      </c>
      <c r="DI222" s="1">
        <f t="shared" si="241"/>
        <v>0</v>
      </c>
      <c r="DJ222" s="1">
        <f>IF(D222="",0,MIN(Boss参数!$B$25,IF(OR(AND(DH222="敌方",OR(DH221&lt;&gt;"敌方",DG222&lt;&gt;DG221)),AND(L222="END_TURN",DH222&lt;&gt;"洞穿"),AND(DG222&lt;&gt;DG221,DH221&lt;&gt;"洞穿",L221&lt;&gt;"END_TURN",COUNTIFS($DG$3:DG221,DG221,$DH$3:DH221,"敌方")=0)),EW222,DN221)))</f>
        <v>0</v>
      </c>
      <c r="DK222" s="1">
        <f>IF(D222="",0,MIN(Boss参数!$B$25,IF(OR(AND(DH222="敌方",OR(DH221&lt;&gt;"敌方",DG222&lt;&gt;DG221)),AND(L222="END_TURN",DH222&lt;&gt;"洞穿"),AND(DG222&lt;&gt;DG221,DH221&lt;&gt;"洞穿",L221&lt;&gt;"END_TURN",COUNTIFS($DG$3:DG221,DG221,$DH$3:DH221,"敌方")=0)),EW222,DO221)))</f>
        <v>0</v>
      </c>
      <c r="DL222" s="1">
        <f>IF(D222="",0,MIN(Boss参数!$B$25,IF(OR(AND(DH222="敌方",OR(DH221&lt;&gt;"敌方",DG222&lt;&gt;DG221)),AND(L222="END_TURN",DH222&lt;&gt;"洞穿"),AND(DG222&lt;&gt;DG221,DH221&lt;&gt;"洞穿",L221&lt;&gt;"END_TURN",COUNTIFS($DG$3:DG221,DG221,$DH$3:DH221,"敌方")=0)),EW222,DP221)))</f>
        <v>0</v>
      </c>
      <c r="DM222" s="1">
        <f>IF(D222="",0,MIN(Boss参数!$B$25,IF(OR(AND(DH222="敌方",OR(DH221&lt;&gt;"敌方",DG222&lt;&gt;DG221)),AND(L222="END_TURN",DH222&lt;&gt;"洞穿"),AND(DG222&lt;&gt;DG221,DH221&lt;&gt;"洞穿",L221&lt;&gt;"END_TURN",COUNTIFS($DG$3:DG221,DG221,$DH$3:DH221,"敌方")=0)),EW222,DQ221)))</f>
        <v>0</v>
      </c>
      <c r="DN222" s="1">
        <f>MAX(0,MIN(Boss参数!$B$25,DJ222+DR222)-IF(E222="红弩箭",2*DR222,0))</f>
        <v>0</v>
      </c>
      <c r="DO222" s="1">
        <f>MAX(0,MIN(Boss参数!$B$25,DK222+DR222)-IF(E222="37",2*DR222,0))</f>
        <v>0</v>
      </c>
      <c r="DP222" s="1">
        <f>MAX(0,MIN(Boss参数!$B$25,DL222+DR222)-IF(E222="小瑞安侬",2*DR222,0))</f>
        <v>0</v>
      </c>
      <c r="DQ222" s="1">
        <f>MAX(0,MIN(Boss参数!$B$25,DM222+DR222)-IF(E222="J",2*DR222,0))</f>
        <v>0</v>
      </c>
      <c r="DR222" s="1">
        <f t="shared" si="242"/>
        <v>0</v>
      </c>
      <c r="DS222" s="1">
        <f t="shared" si="243"/>
        <v>0</v>
      </c>
      <c r="DT222" s="1">
        <f>IF(OR(E222="",E222="系统"),0,IF(OR(AND(DS222=1,Boss参数!$B$32=1),L222="RHI_BERRY",OR(AND(INDEX(角色面板!$B$18:$B$21,MATCH(E222,角色面板!$A$18:$A$21,0))="星",Boss参数!$B$4="岩"),AND(INDEX(角色面板!$B$18:$B$21,MATCH(E222,角色面板!$A$18:$A$21,0))="岩",Boss参数!$B$4="兽"),AND(INDEX(角色面板!$B$18:$B$21,MATCH(E222,角色面板!$A$18:$A$21,0))="兽",Boss参数!$B$4="木"),AND(INDEX(角色面板!$B$18:$B$21,MATCH(E222,角色面板!$A$18:$A$21,0))="木",Boss参数!$B$4="星"),AND(INDEX(角色面板!$B$18:$B$21,MATCH(E222,角色面板!$A$18:$A$21,0))="智",Boss参数!$B$4="灵"),AND(INDEX(角色面板!$B$18:$B$21,MATCH(E222,角色面板!$A$18:$A$21,0))="灵",Boss参数!$B$4="智"))),1,0))</f>
        <v>0</v>
      </c>
      <c r="DU222" s="1">
        <f>IF(D222="",0,INDEX(回合状态!$E$7:$E$17,MATCH(DG222,回合状态!$A$7:$A$17,0))+IF(AND(DH222="敌方",OR(INDEX(回合状态!$C$7:$C$17,MATCH(DG222,回合状态!$A$7:$A$17,0))="普通",INDEX(回合状态!$C$7:$C$17,MATCH(DG222,回合状态!$A$7:$A$17,0))="额外")),0.05,0))</f>
        <v>0</v>
      </c>
      <c r="DV222" s="1">
        <f>MAX(Boss参数!$B$28,1+IF(AND(E222="37",AC222&gt;0,BH222&gt;0),Boss参数!$B$42,0)-DI222*Boss参数!$B$24+EA222-ER222)</f>
        <v>9.9999999999999978E-2</v>
      </c>
      <c r="DW222" s="1">
        <f>MIN(IF(Boss参数!$B$77=1,Boss参数!$B$63*Boss参数!$B$62,Boss参数!$B$61*Boss参数!$B$62),ROUNDDOWN(BQ222*(1-ES222),0))</f>
        <v>0</v>
      </c>
      <c r="DX222" s="1">
        <f>MIN(IF(Boss参数!$B$77=1,Boss参数!$B$63*Boss参数!$B$62,Boss参数!$B$61*Boss参数!$B$62),ROUNDDOWN(BR222*(1-ES222),0))</f>
        <v>0</v>
      </c>
      <c r="DY222" s="1">
        <f t="shared" si="275"/>
        <v>250</v>
      </c>
      <c r="DZ222" s="1">
        <f>IF(L222="RHI_ULT",MIN(Boss参数!$B$48,ROUNDDOWN(AY222*Boss参数!$B$47,0)),DY222)</f>
        <v>250</v>
      </c>
      <c r="EA222" s="1">
        <v>0</v>
      </c>
      <c r="EB222" s="1">
        <f t="shared" si="244"/>
        <v>0</v>
      </c>
      <c r="EC222" s="1">
        <f>SUMIFS($EB$3:EB222,$B$3:B222,"&gt;="&amp;MAX(1,B222-2),$B$3:B222,"&lt;="&amp;B222)*Boss参数!$B$51</f>
        <v>0</v>
      </c>
      <c r="ED222" s="1">
        <f>IF(D222="",EG221,IF(AND(DG222&lt;&gt;DG221,DH222&lt;&gt;"洞穿"),MIN(Boss参数!$B$55,EG221+2),EG221))</f>
        <v>0</v>
      </c>
      <c r="EE222" s="1">
        <f t="shared" si="245"/>
        <v>0</v>
      </c>
      <c r="EF222" s="1">
        <f>IF(AND(OR(L222="END_TURN",AND(DH222="敌方",OR(DH221&lt;&gt;"敌方",DG222&lt;&gt;DG221))),SUMIFS($EF$3:EF221,$DG$3:DG221,DG222)=0),MIN(1,MAX(0,ED222-EE222)),0)</f>
        <v>0</v>
      </c>
      <c r="EG222" s="1">
        <f t="shared" si="246"/>
        <v>0</v>
      </c>
      <c r="EH222" s="1">
        <f>Boss参数!$B$53-IF(Y222=1,Boss参数!$B$54,0)</f>
        <v>0</v>
      </c>
      <c r="EI222" s="1">
        <f t="shared" si="247"/>
        <v>0.15</v>
      </c>
      <c r="EJ222" s="1">
        <f t="shared" si="248"/>
        <v>0.15</v>
      </c>
      <c r="EK222" s="1" t="e">
        <f t="shared" si="249"/>
        <v>#VALUE!</v>
      </c>
      <c r="EL222" s="1">
        <f t="shared" si="276"/>
        <v>0</v>
      </c>
      <c r="EM222" s="1">
        <f>IF(AND(DG222&lt;&gt;DG221,DH222="洞穿"),0,IF(L222="ENTER_INSIGHT",Boss参数!$B$57,EO221))</f>
        <v>0</v>
      </c>
      <c r="EN222" s="1">
        <f>IF(AND(Y222=1,H222="洞知",EM222&gt;0),Boss参数!$B$56,0)</f>
        <v>0</v>
      </c>
      <c r="EO222" s="1">
        <f t="shared" si="250"/>
        <v>0</v>
      </c>
      <c r="EP222" s="1">
        <f t="shared" si="277"/>
        <v>23210479</v>
      </c>
      <c r="EQ222" s="1">
        <f>ROUNDDOWN(EP222/Boss参数!$B$62,0)</f>
        <v>232</v>
      </c>
      <c r="ER222" s="1">
        <f>IF(EQ222&gt;=Boss参数!$B$66,Boss参数!$B$69,IF(EQ222&gt;=Boss参数!$B$65,Boss参数!$B$68,IF(EQ222&gt;=Boss参数!$B$64,Boss参数!$B$67,0)))</f>
        <v>0.9</v>
      </c>
      <c r="ES222" s="1">
        <f>MIN(1,IF(EQ222&gt;=Boss参数!$B$66,Boss参数!$B$72+ROUNDDOWN((EQ222-Boss参数!$B$66)/Boss参数!$B$73,0)*Boss参数!$B$74,IF(EQ222&gt;=Boss参数!$B$65,Boss参数!$B$71,IF(EQ222&gt;=Boss参数!$B$64,Boss参数!$B$70,0))))</f>
        <v>0.65</v>
      </c>
      <c r="ET222" s="1">
        <f>MIN(Boss参数!$B$61*Boss参数!$B$62,EP222+IF(AND(Boss参数!$B$60=1,ISNUMBER(验证表!H228)),验证表!H228,EU222))</f>
        <v>23210479</v>
      </c>
      <c r="EU222" s="1">
        <f>IF(D222="",0,IF(验证表!G228="是",BV222,IF(验证表!G228="否",BU222,BW222)))</f>
        <v>0</v>
      </c>
      <c r="EV222" s="1">
        <f>IF(EQ222&gt;=Boss参数!$B$66,2,IF(EQ222&gt;=Boss参数!$B$65,1,0))</f>
        <v>2</v>
      </c>
      <c r="EW222" s="1">
        <f t="shared" si="251"/>
        <v>3</v>
      </c>
      <c r="EX222" s="1">
        <f>IF(D222="",0,INDEX(回合状态!$D$7:$D$17,MATCH(DG222,回合状态!$A$7:$A$17,0)))</f>
        <v>0</v>
      </c>
      <c r="EY222" s="1">
        <f>IF(OR(L222="RHI_ATTACK",L222="RHI_BUFF"),1,IF(L222="RHI_ULT",Boss参数!$B$52,0))</f>
        <v>0</v>
      </c>
      <c r="EZ222" s="1">
        <f>MIN(6,SUMIFS($EY$3:EY222,$EX$3:EX222,"&gt;="&amp;MAX(1,EX222-Boss参数!$B$87+1),$EX$3:EX222,"&lt;="&amp;EX222))</f>
        <v>0</v>
      </c>
      <c r="FA222" s="1">
        <f t="shared" si="278"/>
        <v>0</v>
      </c>
      <c r="FB222" s="17">
        <f>IF(L222="BOSS_CONSERVATIVE",B222+Boss参数!$B$91,FB221)</f>
        <v>7</v>
      </c>
      <c r="FC222" s="17">
        <f t="shared" si="279"/>
        <v>0</v>
      </c>
      <c r="FD222" s="17">
        <f>IF(D222="",FD221,FD221+IF(AND(DG222&lt;&gt;DG221,INDEX(回合状态!$C$7:$C$17,MATCH(DG222,回合状态!$A$7:$A$17,0))&lt;&gt;"洞穿"),1,0))</f>
        <v>8</v>
      </c>
      <c r="FE222" s="17">
        <f>IF(D222="",0,IF(AND(OR(L222="END_TURN",DH222="敌方"),INDEX(回合状态!$C$7:$C$17,MATCH(DG222,回合状态!$A$7:$A$17,0))&lt;&gt;"洞穿",SUMIFS($FE$3:FE221,$DG$3:DG221,DG222)=0),1,0))</f>
        <v>0</v>
      </c>
    </row>
    <row r="223" spans="1:161" ht="84.95" customHeight="1">
      <c r="A223" s="1" t="str">
        <f>行动模拟!A229</f>
        <v/>
      </c>
      <c r="B223" s="1">
        <f>IF(D223="",0,INDEX(回合状态!$B$7:$B$17,MATCH(DG223,回合状态!$A$7:$A$17,0)))</f>
        <v>0</v>
      </c>
      <c r="C223" s="1">
        <f>行动模拟!C229</f>
        <v>0</v>
      </c>
      <c r="D223" s="1" t="str">
        <f>IF(行动模拟!D229="","",行动模拟!D229)</f>
        <v/>
      </c>
      <c r="E223" s="1" t="str">
        <f>IF($D223="","",IFERROR(INDEX(技能数据库!$B$4:$B$38,MATCH($D223,技能数据库!$A$4:$A$38,0)),""))</f>
        <v/>
      </c>
      <c r="F223" s="1" t="str">
        <f>IF($D223="","",IFERROR(INDEX(技能数据库!$C$4:$C$38,MATCH($D223,技能数据库!$A$4:$A$38,0)),""))</f>
        <v/>
      </c>
      <c r="G223" s="1" t="str">
        <f>IF($D223="","",IFERROR(INDEX(技能数据库!$D$4:$D$38,MATCH($D223,技能数据库!$A$4:$A$38,0)),""))</f>
        <v/>
      </c>
      <c r="H223" s="1" t="str">
        <f>IF($D223="","",IFERROR(INDEX(技能数据库!$E$4:$E$38,MATCH($D223,技能数据库!$A$4:$A$38,0)),""))</f>
        <v/>
      </c>
      <c r="I223" s="1" t="str">
        <f>IF($D223="","",IFERROR(INDEX(技能数据库!$F$4:$F$38,MATCH($D223,技能数据库!$A$4:$A$38,0)),""))</f>
        <v/>
      </c>
      <c r="J223" s="1" t="str">
        <f>IF($D223="","",IFERROR(INDEX(技能数据库!$G$4:$G$38,MATCH($D223,技能数据库!$A$4:$A$38,0)),""))</f>
        <v/>
      </c>
      <c r="K223" s="1" t="str">
        <f>IF($D223="","",IFERROR(INDEX(技能数据库!$H$4:$H$38,MATCH($D223,技能数据库!$A$4:$A$38,0)),""))</f>
        <v/>
      </c>
      <c r="L223" s="1" t="str">
        <f>IF($D223="","",IFERROR(INDEX(技能数据库!$I$4:$I$38,MATCH($D223,技能数据库!$A$4:$A$38,0)),""))</f>
        <v/>
      </c>
      <c r="M223" s="1">
        <v>1</v>
      </c>
      <c r="N223" s="1"/>
      <c r="O223" s="1"/>
      <c r="P223" s="1"/>
      <c r="Q223" s="1">
        <f t="shared" si="210"/>
        <v>0</v>
      </c>
      <c r="R223" s="1">
        <v>0</v>
      </c>
      <c r="S223" s="1">
        <v>0</v>
      </c>
      <c r="T223" s="1">
        <f>行动模拟!I229</f>
        <v>0</v>
      </c>
      <c r="U223" s="1">
        <f>IF(FD223&lt;&gt;FD222,IF(BY222=1,IF(MIN(10,CA222+IF(AND(DG223&lt;&gt;DG222,DH222&lt;&gt;"洞穿",SUMIFS($FE$3:FE222,$DG$3:DG222,DG222)=0,BY222=1),3,0))&gt;=10,2,1),IF(BY222=2,IF(BZ222&lt;=1,0,2),0)),BY222)</f>
        <v>2</v>
      </c>
      <c r="V223" s="1">
        <f>IF(FD223&lt;&gt;FD222,IF(BY222=1,IF(MIN(10,CA222+IF(AND(DG223&lt;&gt;DG222,DH222&lt;&gt;"洞穿",SUMIFS($FE$3:FE222,$DG$3:DG222,DG222)=0,BY222=1),3,0))&gt;=10,2,0),IF(BY222=2,MAX(0,BZ222-1),0)),BZ222)</f>
        <v>1</v>
      </c>
      <c r="W223" s="1">
        <f>IF(AND(FD223&lt;&gt;FD222,BY222=2,BZ222&lt;=1),0,MIN(10,CA222+IF(AND(DG223&lt;&gt;DG222,DH222&lt;&gt;"洞穿",SUMIFS($FE$3:FE222,$DG$3:DG222,DG222)=0,BY222=1),3,0)))</f>
        <v>10</v>
      </c>
      <c r="X223" s="1">
        <f t="shared" si="252"/>
        <v>13</v>
      </c>
      <c r="Y223" s="1">
        <f t="shared" si="253"/>
        <v>0</v>
      </c>
      <c r="Z223" s="1">
        <f t="shared" si="254"/>
        <v>0</v>
      </c>
      <c r="AA223" s="1">
        <f t="shared" si="255"/>
        <v>0</v>
      </c>
      <c r="AB223" s="1">
        <f t="shared" si="256"/>
        <v>10</v>
      </c>
      <c r="AC223" s="1">
        <f t="shared" si="257"/>
        <v>1</v>
      </c>
      <c r="AD223" s="1">
        <f t="shared" si="258"/>
        <v>35</v>
      </c>
      <c r="AE223" s="1">
        <f>IF(D223="",0,IF(DG223&lt;&gt;DG222,IFERROR(INDEX(回合状态!$F$7:$F$17,MATCH(DG223,回合状态!$A$7:$A$17,0)),0),CI222))</f>
        <v>0</v>
      </c>
      <c r="AF223" s="1">
        <f t="shared" si="259"/>
        <v>0.875</v>
      </c>
      <c r="AG223" s="1">
        <f t="shared" si="260"/>
        <v>9</v>
      </c>
      <c r="AH223" s="1">
        <f t="shared" si="261"/>
        <v>9</v>
      </c>
      <c r="AI223" s="1">
        <f t="shared" si="262"/>
        <v>8</v>
      </c>
      <c r="AJ223" s="1">
        <f t="shared" si="263"/>
        <v>9</v>
      </c>
      <c r="AK223" s="1">
        <f t="shared" si="264"/>
        <v>8</v>
      </c>
      <c r="AL223" s="1">
        <f t="shared" si="265"/>
        <v>3</v>
      </c>
      <c r="AM223" s="1">
        <f t="shared" si="266"/>
        <v>30</v>
      </c>
      <c r="AN223" s="1">
        <f t="shared" si="267"/>
        <v>9</v>
      </c>
      <c r="AO223" s="1">
        <f t="shared" si="268"/>
        <v>0</v>
      </c>
      <c r="AP223" s="1" t="e">
        <f t="shared" si="269"/>
        <v>#VALUE!</v>
      </c>
      <c r="AQ223" s="1" t="e">
        <f t="shared" si="270"/>
        <v>#VALUE!</v>
      </c>
      <c r="AR223" s="1">
        <f t="shared" si="271"/>
        <v>0.3</v>
      </c>
      <c r="AS223" s="1">
        <f t="shared" si="272"/>
        <v>9</v>
      </c>
      <c r="AT223" s="1">
        <f t="shared" si="273"/>
        <v>0.3</v>
      </c>
      <c r="AU223" s="1">
        <f t="shared" si="274"/>
        <v>9</v>
      </c>
      <c r="AV223" s="1">
        <f>MIN(5,SUMIFS($EL$3:EL223,$B$3:B223,"&gt;="&amp;MAX(1,B223-2),$B$3:B223,"&lt;="&amp;B223)+EC223)</f>
        <v>0</v>
      </c>
      <c r="AW223" s="1">
        <f>MIN(6,SUMIFS($EY$3:EY222,$EX$3:EX222,"&gt;="&amp;MAX(1,EX223-Boss参数!$B$87+1),$EX$3:EX222,"&lt;="&amp;EX223))</f>
        <v>0</v>
      </c>
      <c r="AX223" s="1">
        <f>MIN(4,COUNTIFS($B$3:$B$222,"&gt;="&amp;MAX(1,$B223-2),$B$3:$B$222,"&lt;="&amp;$B223,$L$3:$L$222,"37_FOLLOW"))</f>
        <v>0</v>
      </c>
      <c r="AY223" s="1" t="str">
        <f>IF($E223="","",IF($E223="系统",0,ROUNDDOWN(INDEX(角色面板!$C$4:$C$7,MATCH($E223,角色面板!$A$4:$A$7,0))*(1+INDEX(角色面板!$C$11:$C$14,MATCH($E223,角色面板!$A$11:$A$14,0))+IF($E223="小瑞安侬",MAX(IF($B223&lt;=$AQ223,$AP223,0),IF(AND($L223="RHI_ATTACK",$EE223&gt;0),0.11+0.01*$G223,0)),0)+IF($E223="J",$AD223*Boss参数!$B$18,0))+IF(FD223&lt;=$AN223,MIN(Boss参数!$B$21,ROUNDDOWN(角色面板!$C$19*Boss参数!$B$20,0)),0)+IF(AND($B223&lt;=$AK223,$E223&lt;&gt;"小瑞安侬"),$DY223,0),0)))</f>
        <v/>
      </c>
      <c r="AZ223" s="1" t="str">
        <f>IF($E223="","",MAX(0,MIN(1,IFERROR(INDEX(角色面板!$G$18:$G$21,MATCH($E223,角色面板!$A$18:$A$21,0)),0)-FC223*Boss参数!$B$89-Boss参数!$E$4)))</f>
        <v/>
      </c>
      <c r="BA223" s="1" t="str">
        <f>IF(E223="","",(IF($E223="","",IF($E223="红弩箭",Boss参数!$B$80,IF($E223="J",Boss参数!$B$81,IFERROR(INDEX(角色面板!$H$18:$H$21,MATCH($E223,角色面板!$A$18:$A$21,0)),0)))+IF($B223&lt;=$AI223,Boss参数!$B$13,0)+MIN(30,$AM223)*Boss参数!$B$17+IF(AND($L223="LILYA_ULT",$X223&gt;=6),1,0)+IF(AND($Y223=1,$L223="LILYA_INSIGHT"),IF(MOD($AA223+1,3)=0,Boss参数!$B$83,Boss参数!$B$82),IF(AND($Y223=1,$L223="LILYA_FINISH"),Boss参数!$B$84,0))))-FC223*Boss参数!$B$90)</f>
        <v/>
      </c>
      <c r="BB223" s="1" t="str">
        <f>IF($E223="","",IFERROR(INDEX(角色面板!$M$18:$M$21,MATCH($E223,角色面板!$A$18:$A$21,0)),0)+$AW223*Boss参数!$B$12+IF($B223&lt;=$AG223,$AF223,0)+$EI223+IF($L223="LILYA_DIVE",IF($U223=1,IF($G223=1,0.3,IF($G223=2,0.4,0.5)),IF($U223=2,IF($G223=1,0.6,IF($G223=2,0.8,1)),0)),0)+$R223+IF(AND($E223="J",OR($L223="J_COUNTER",$L223="J_HARD")),Boss参数!$B$79,0)+IF(AND(OR(L223="J_COUNTER",L223="J_HARD"),FA223&gt;=Boss参数!$B$59),FA223*Boss参数!$B$40,0))</f>
        <v/>
      </c>
      <c r="BC223" s="1" t="e">
        <f>IF($E223="","",IFERROR(INDEX(角色面板!$K$18:$K$21,MATCH($E223,角色面板!$A$18:$A$21,0)),0)+IF($B223&lt;=$AH223,Boss参数!$B$46,0)+IF($E223="红弩箭",IF($U223=1,0.6,IF($U223=2,1.2,0))+$W223*0.06,0))-DI223*Boss参数!$B$23</f>
        <v>#VALUE!</v>
      </c>
      <c r="BD223" s="1" t="e">
        <f>IF($E223="","",IFERROR(INDEX(角色面板!$L$18:$L$21,MATCH($E223,角色面板!$A$18:$A$21,0)),0)+IF($B223&lt;=$AH223,Boss参数!$B$46,0)+IF($E223="J",$AL223*Boss参数!$B$16,0)+IF($E223="红弩箭",$X223*0.025,0)+IF(AND($L223="LILYA_ULT",$X223&gt;=6),1,0))-DI223*Boss参数!$B$23</f>
        <v>#VALUE!</v>
      </c>
      <c r="BE223" s="1" t="str">
        <f>IF($E223="","",IF($H223="洞知",IF($E223="红弩箭",$AO223*Boss参数!$B$15,0)+$AX223*Boss参数!$B$14,0))</f>
        <v/>
      </c>
      <c r="BF223" s="1">
        <f t="shared" si="211"/>
        <v>0</v>
      </c>
      <c r="BG223" s="1">
        <f>IF($D223="",0,IF(AND($L223&lt;&gt;"LILYA_DIVE",$L223&lt;&gt;"LILYA_ULT",$L223&lt;&gt;"LILYA_INSIGHT",$L223&lt;&gt;"LILYA_FINISH",$L223&lt;&gt;"37_FOLLOW",$L223&lt;&gt;"RHI_ATTACK",$L223&lt;&gt;"RHI_BERRY",$L223&lt;&gt;"J_COUNTER",$L223&lt;&gt;"J_ULT"),$J223,0)+IF($L223="LILYA_DIVE",$J223+IF($U223=1,IF($G223=1,6,IF($G223=2,12,18)),IF($U223=2,IF($G223=1,12,IF($G223=2,24,36)),0)),0)+IF($L223="LILYA_ULT",$J223+IF($X223&gt;=6,18,0),0)+IF($L223="LILYA_INSIGHT",IF($Y223=1,IF(MOD($AA223+1,3)=0,32,15),0),0)+IF($L223="LILYA_FINISH",IF($Y223=1,50+2.5*$Z223,0),0)+IF($L223="37_FOLLOW",$J223,0)+IF($L223="RHI_ATTACK",$J223*IF($B223&lt;=$AJ223,2,1),0)+IF($L223="RHI_BERRY",15+1.5*$AV223,0)+IF($L223="J_COUNTER",$J223+$AD223*Boss参数!$B$39,0)+IF($L223="J_ULT",$J223+Boss参数!$B$45*MAX(0,$AE223+$AD223-Boss参数!$I$4),0)+$S223)</f>
        <v>0</v>
      </c>
      <c r="BH223" s="1">
        <f t="shared" si="212"/>
        <v>0</v>
      </c>
      <c r="BI223" s="1" t="str">
        <f>IF(E223="","",IF(DT223=1,1+Boss参数!$B$8+AV223*Boss参数!$B$19,1))</f>
        <v/>
      </c>
      <c r="BJ223" s="1">
        <f>IF($I223="现实",Boss参数!$C$4,IF($I223="精神",Boss参数!$D$4,0))</f>
        <v>0</v>
      </c>
      <c r="BK223" s="1" t="str">
        <f>IF($E223="","",MAX($AY223*Boss参数!$B$9,$AY223-$BJ223*(1-$BF223)))</f>
        <v/>
      </c>
      <c r="BL223" s="1">
        <f>MAX(0,Boss参数!$F$4+IF(DT223=0,Boss参数!$B$27,0)-EJ223)</f>
        <v>1.25</v>
      </c>
      <c r="BM223" s="1">
        <f>Boss参数!$G$4+DU223-IF(Y223=1,Boss参数!$B$11,0)</f>
        <v>0.4</v>
      </c>
      <c r="BN223" s="1" t="str">
        <f>IF($E223="","",MAX(Boss参数!$B$10,1+IFERROR(INDEX(角色面板!$I$18:$I$21,MATCH($E223,角色面板!$A$18:$A$21,0)),0)+$BB223+Boss参数!$H$4-$BM223))</f>
        <v/>
      </c>
      <c r="BO223" s="1" t="str">
        <f>IF(E223="","",IF(OR(L223="J_COUNTER",L223="J_HARD"),MAX(0,1+INDEX(角色面板!$K$18:$K$21,MATCH(E223,角色面板!$A$18:$A$21,0))-DI223*Boss参数!$B$23+IF(OR(Boss参数!$B$43=1,L223="J_HARD"),IF(B223&lt;=AH223,Boss参数!$B$46,0),0)),MAX(0,IF(OR(H223="术法",L223="RHI_BERRY",AND(L223="37_FOLLOW",Boss参数!$B$31=1)),1+BC223,IF(H223="仪式",1+BD223,IF(H223="洞知",EK223,1))))))</f>
        <v/>
      </c>
      <c r="BP223" s="1" t="str">
        <f t="shared" si="213"/>
        <v/>
      </c>
      <c r="BQ223" s="1">
        <f t="shared" si="214"/>
        <v>0</v>
      </c>
      <c r="BR223" s="1">
        <f t="shared" si="215"/>
        <v>0</v>
      </c>
      <c r="BS223" s="1">
        <f>IF(BH223=0,0,ROUNDDOWN(AY223*BH223,0)*DV223*IF(Boss参数!$B$29=1,BN223,1)*IF(Boss参数!$B$33=1,BO223,1)*IF(Boss参数!$B$76=1,1-ES223,1))</f>
        <v>0</v>
      </c>
      <c r="BT223" s="1">
        <f t="shared" si="216"/>
        <v>0</v>
      </c>
      <c r="BU223" s="1">
        <f>IF(D223="",0,MIN(IF(Boss参数!$B$77=1,Boss参数!$B$63*Boss参数!$B$62,Boss参数!$B$61*Boss参数!$B$62),DW223+ROUNDDOWN(BS223,0)+ROUNDDOWN(DW223*Q223,0)))</f>
        <v>0</v>
      </c>
      <c r="BV223" s="1">
        <f>IF(D223="",0,MIN(IF(Boss参数!$B$77=1,Boss参数!$B$63*Boss参数!$B$62,Boss参数!$B$61*Boss参数!$B$62),DX223+ROUNDDOWN(BT223,0)+ROUNDDOWN(DX223*Q223,0)))</f>
        <v>0</v>
      </c>
      <c r="BW223" s="1">
        <f t="shared" si="217"/>
        <v>0</v>
      </c>
      <c r="BX223" s="1" t="str">
        <f t="shared" si="218"/>
        <v/>
      </c>
      <c r="BY223" s="1">
        <f t="shared" si="219"/>
        <v>2</v>
      </c>
      <c r="BZ223" s="1">
        <f t="shared" si="220"/>
        <v>1</v>
      </c>
      <c r="CA223" s="1">
        <f>MIN(10,W223+IF(AND(L223="LILYA_COBRA",COUNTIF($L$3:L223,"LILYA_COBRA")=1),5,0)+IF(AND(L223="LILYA_DIVE",U223=1,COUNTIFS($DG$3:DG223,DG223,$L$3:L223,"LILYA_DIVE")=1),2,0)+IF(AND(FE223=1,U223=1),3,0))</f>
        <v>10</v>
      </c>
      <c r="CB223" s="1">
        <f>MIN(20,MAX(0,X223+IF(L223="LILYA_COBRA",IF(COUNTIF($L$3:L223,"LILYA_COBRA")=1,6,IF(U223=1,MAX(1,G223),IF(U223=2,2*MAX(1,G223),0))),0)+IF(AND(Y223=1,E223="红弩箭",L223&lt;&gt;"ENTER_INSIGHT"),1,0)-IF(AND(L223="LILYA_ULT",X223&gt;=6),6,0)))</f>
        <v>13</v>
      </c>
      <c r="CC223" s="1">
        <f t="shared" si="221"/>
        <v>0</v>
      </c>
      <c r="CD223" s="1">
        <f t="shared" si="222"/>
        <v>0</v>
      </c>
      <c r="CE223" s="1">
        <f t="shared" si="223"/>
        <v>0</v>
      </c>
      <c r="CF223" s="1">
        <f t="shared" si="224"/>
        <v>10</v>
      </c>
      <c r="CG223" s="1">
        <f t="shared" si="225"/>
        <v>1</v>
      </c>
      <c r="CH223" s="1">
        <f>MIN(35,AD223+IF(L223="J_HARD",6,0)+IF(L223="J_COUNTER",Boss参数!$B$30,0))</f>
        <v>35</v>
      </c>
      <c r="CI223" s="1">
        <f>MIN(Boss参数!$I$4,AE223+IF(L223="J_HARD",6,0)+IF(L223="J_ULT",AD223,0)+IF(L223="J_COUNTER",Boss参数!$B$30,0))</f>
        <v>0</v>
      </c>
      <c r="CJ223" s="1">
        <f>IF(L223="J_ULT",AD223*Boss参数!$B$41,IF(B223&lt;=AG223,AF223,0))</f>
        <v>0.875</v>
      </c>
      <c r="CK223" s="1">
        <f t="shared" si="226"/>
        <v>9</v>
      </c>
      <c r="CL223" s="1">
        <f t="shared" si="227"/>
        <v>9</v>
      </c>
      <c r="CM223" s="1">
        <f t="shared" si="228"/>
        <v>8</v>
      </c>
      <c r="CN223" s="1">
        <f t="shared" si="229"/>
        <v>9</v>
      </c>
      <c r="CO223" s="1">
        <f t="shared" si="230"/>
        <v>8</v>
      </c>
      <c r="CP223" s="1">
        <f t="shared" si="231"/>
        <v>3</v>
      </c>
      <c r="CQ223" s="1">
        <f t="shared" si="232"/>
        <v>30</v>
      </c>
      <c r="CR223" s="1">
        <f t="shared" si="233"/>
        <v>9</v>
      </c>
      <c r="CS223" s="1">
        <f t="shared" si="234"/>
        <v>0</v>
      </c>
      <c r="CT223" s="1" t="e">
        <f t="shared" si="235"/>
        <v>#VALUE!</v>
      </c>
      <c r="CU223" s="1" t="e">
        <f t="shared" si="236"/>
        <v>#VALUE!</v>
      </c>
      <c r="CV223" s="1">
        <f t="shared" si="237"/>
        <v>0.3</v>
      </c>
      <c r="CW223" s="1">
        <f t="shared" si="238"/>
        <v>9</v>
      </c>
      <c r="CX223" s="1">
        <f t="shared" si="239"/>
        <v>0.3</v>
      </c>
      <c r="CY223" s="1">
        <f t="shared" si="240"/>
        <v>9</v>
      </c>
      <c r="CZ223" s="1"/>
      <c r="DA223" s="1"/>
      <c r="DB223" s="1"/>
      <c r="DC223" s="1"/>
      <c r="DD223" s="1"/>
      <c r="DE223" s="1"/>
      <c r="DF223" s="1"/>
      <c r="DG223" s="1" t="str">
        <f>IF(D223="","",行动模拟!B229)</f>
        <v/>
      </c>
      <c r="DH223" s="1" t="str">
        <f>IF(L223="END_TURN","回合结束",IF(D223="","",IF(INDEX(回合状态!$C$7:$C$17,MATCH(DG223,回合状态!$A$7:$A$17,0))="洞穿","洞穿",IF(OR(L223="J_COUNTER",L223="BOSS_ACTION",L223="BOSS_CONSERVATIVE"),"敌方",IF(AND(L223="37_FOLLOW",DG223=DG222,DH222="敌方"),"敌方",IF(INDEX(回合状态!$C$7:$C$17,MATCH(DG223,回合状态!$A$7:$A$17,0))="普通","出牌",INDEX(回合状态!$C$7:$C$17,MATCH(DG223,回合状态!$A$7:$A$17,0))))))))</f>
        <v/>
      </c>
      <c r="DI223" s="1">
        <f t="shared" si="241"/>
        <v>0</v>
      </c>
      <c r="DJ223" s="1">
        <f>IF(D223="",0,MIN(Boss参数!$B$25,IF(OR(AND(DH223="敌方",OR(DH222&lt;&gt;"敌方",DG223&lt;&gt;DG222)),AND(L223="END_TURN",DH223&lt;&gt;"洞穿"),AND(DG223&lt;&gt;DG222,DH222&lt;&gt;"洞穿",L222&lt;&gt;"END_TURN",COUNTIFS($DG$3:DG222,DG222,$DH$3:DH222,"敌方")=0)),EW223,DN222)))</f>
        <v>0</v>
      </c>
      <c r="DK223" s="1">
        <f>IF(D223="",0,MIN(Boss参数!$B$25,IF(OR(AND(DH223="敌方",OR(DH222&lt;&gt;"敌方",DG223&lt;&gt;DG222)),AND(L223="END_TURN",DH223&lt;&gt;"洞穿"),AND(DG223&lt;&gt;DG222,DH222&lt;&gt;"洞穿",L222&lt;&gt;"END_TURN",COUNTIFS($DG$3:DG222,DG222,$DH$3:DH222,"敌方")=0)),EW223,DO222)))</f>
        <v>0</v>
      </c>
      <c r="DL223" s="1">
        <f>IF(D223="",0,MIN(Boss参数!$B$25,IF(OR(AND(DH223="敌方",OR(DH222&lt;&gt;"敌方",DG223&lt;&gt;DG222)),AND(L223="END_TURN",DH223&lt;&gt;"洞穿"),AND(DG223&lt;&gt;DG222,DH222&lt;&gt;"洞穿",L222&lt;&gt;"END_TURN",COUNTIFS($DG$3:DG222,DG222,$DH$3:DH222,"敌方")=0)),EW223,DP222)))</f>
        <v>0</v>
      </c>
      <c r="DM223" s="1">
        <f>IF(D223="",0,MIN(Boss参数!$B$25,IF(OR(AND(DH223="敌方",OR(DH222&lt;&gt;"敌方",DG223&lt;&gt;DG222)),AND(L223="END_TURN",DH223&lt;&gt;"洞穿"),AND(DG223&lt;&gt;DG222,DH222&lt;&gt;"洞穿",L222&lt;&gt;"END_TURN",COUNTIFS($DG$3:DG222,DG222,$DH$3:DH222,"敌方")=0)),EW223,DQ222)))</f>
        <v>0</v>
      </c>
      <c r="DN223" s="1">
        <f>MAX(0,MIN(Boss参数!$B$25,DJ223+DR223)-IF(E223="红弩箭",2*DR223,0))</f>
        <v>0</v>
      </c>
      <c r="DO223" s="1">
        <f>MAX(0,MIN(Boss参数!$B$25,DK223+DR223)-IF(E223="37",2*DR223,0))</f>
        <v>0</v>
      </c>
      <c r="DP223" s="1">
        <f>MAX(0,MIN(Boss参数!$B$25,DL223+DR223)-IF(E223="小瑞安侬",2*DR223,0))</f>
        <v>0</v>
      </c>
      <c r="DQ223" s="1">
        <f>MAX(0,MIN(Boss参数!$B$25,DM223+DR223)-IF(E223="J",2*DR223,0))</f>
        <v>0</v>
      </c>
      <c r="DR223" s="1">
        <f t="shared" si="242"/>
        <v>0</v>
      </c>
      <c r="DS223" s="1">
        <f t="shared" si="243"/>
        <v>0</v>
      </c>
      <c r="DT223" s="1">
        <f>IF(OR(E223="",E223="系统"),0,IF(OR(AND(DS223=1,Boss参数!$B$32=1),L223="RHI_BERRY",OR(AND(INDEX(角色面板!$B$18:$B$21,MATCH(E223,角色面板!$A$18:$A$21,0))="星",Boss参数!$B$4="岩"),AND(INDEX(角色面板!$B$18:$B$21,MATCH(E223,角色面板!$A$18:$A$21,0))="岩",Boss参数!$B$4="兽"),AND(INDEX(角色面板!$B$18:$B$21,MATCH(E223,角色面板!$A$18:$A$21,0))="兽",Boss参数!$B$4="木"),AND(INDEX(角色面板!$B$18:$B$21,MATCH(E223,角色面板!$A$18:$A$21,0))="木",Boss参数!$B$4="星"),AND(INDEX(角色面板!$B$18:$B$21,MATCH(E223,角色面板!$A$18:$A$21,0))="智",Boss参数!$B$4="灵"),AND(INDEX(角色面板!$B$18:$B$21,MATCH(E223,角色面板!$A$18:$A$21,0))="灵",Boss参数!$B$4="智"))),1,0))</f>
        <v>0</v>
      </c>
      <c r="DU223" s="1">
        <f>IF(D223="",0,INDEX(回合状态!$E$7:$E$17,MATCH(DG223,回合状态!$A$7:$A$17,0))+IF(AND(DH223="敌方",OR(INDEX(回合状态!$C$7:$C$17,MATCH(DG223,回合状态!$A$7:$A$17,0))="普通",INDEX(回合状态!$C$7:$C$17,MATCH(DG223,回合状态!$A$7:$A$17,0))="额外")),0.05,0))</f>
        <v>0</v>
      </c>
      <c r="DV223" s="1">
        <f>MAX(Boss参数!$B$28,1+IF(AND(E223="37",AC223&gt;0,BH223&gt;0),Boss参数!$B$42,0)-DI223*Boss参数!$B$24+EA223-ER223)</f>
        <v>9.9999999999999978E-2</v>
      </c>
      <c r="DW223" s="1">
        <f>MIN(IF(Boss参数!$B$77=1,Boss参数!$B$63*Boss参数!$B$62,Boss参数!$B$61*Boss参数!$B$62),ROUNDDOWN(BQ223*(1-ES223),0))</f>
        <v>0</v>
      </c>
      <c r="DX223" s="1">
        <f>MIN(IF(Boss参数!$B$77=1,Boss参数!$B$63*Boss参数!$B$62,Boss参数!$B$61*Boss参数!$B$62),ROUNDDOWN(BR223*(1-ES223),0))</f>
        <v>0</v>
      </c>
      <c r="DY223" s="1">
        <f t="shared" si="275"/>
        <v>250</v>
      </c>
      <c r="DZ223" s="1">
        <f>IF(L223="RHI_ULT",MIN(Boss参数!$B$48,ROUNDDOWN(AY223*Boss参数!$B$47,0)),DY223)</f>
        <v>250</v>
      </c>
      <c r="EA223" s="1">
        <v>0</v>
      </c>
      <c r="EB223" s="1">
        <f t="shared" si="244"/>
        <v>0</v>
      </c>
      <c r="EC223" s="1">
        <f>SUMIFS($EB$3:EB223,$B$3:B223,"&gt;="&amp;MAX(1,B223-2),$B$3:B223,"&lt;="&amp;B223)*Boss参数!$B$51</f>
        <v>0</v>
      </c>
      <c r="ED223" s="1">
        <f>IF(D223="",EG222,IF(AND(DG223&lt;&gt;DG222,DH223&lt;&gt;"洞穿"),MIN(Boss参数!$B$55,EG222+2),EG222))</f>
        <v>0</v>
      </c>
      <c r="EE223" s="1">
        <f t="shared" si="245"/>
        <v>0</v>
      </c>
      <c r="EF223" s="1">
        <f>IF(AND(OR(L223="END_TURN",AND(DH223="敌方",OR(DH222&lt;&gt;"敌方",DG223&lt;&gt;DG222))),SUMIFS($EF$3:EF222,$DG$3:DG222,DG223)=0),MIN(1,MAX(0,ED223-EE223)),0)</f>
        <v>0</v>
      </c>
      <c r="EG223" s="1">
        <f t="shared" si="246"/>
        <v>0</v>
      </c>
      <c r="EH223" s="1">
        <f>Boss参数!$B$53-IF(Y223=1,Boss参数!$B$54,0)</f>
        <v>0</v>
      </c>
      <c r="EI223" s="1">
        <f t="shared" si="247"/>
        <v>0.15</v>
      </c>
      <c r="EJ223" s="1">
        <f t="shared" si="248"/>
        <v>0.15</v>
      </c>
      <c r="EK223" s="1" t="e">
        <f t="shared" si="249"/>
        <v>#VALUE!</v>
      </c>
      <c r="EL223" s="1">
        <f t="shared" si="276"/>
        <v>0</v>
      </c>
      <c r="EM223" s="1">
        <f>IF(AND(DG223&lt;&gt;DG222,DH223="洞穿"),0,IF(L223="ENTER_INSIGHT",Boss参数!$B$57,EO222))</f>
        <v>0</v>
      </c>
      <c r="EN223" s="1">
        <f>IF(AND(Y223=1,H223="洞知",EM223&gt;0),Boss参数!$B$56,0)</f>
        <v>0</v>
      </c>
      <c r="EO223" s="1">
        <f t="shared" si="250"/>
        <v>0</v>
      </c>
      <c r="EP223" s="1">
        <f t="shared" si="277"/>
        <v>23210479</v>
      </c>
      <c r="EQ223" s="1">
        <f>ROUNDDOWN(EP223/Boss参数!$B$62,0)</f>
        <v>232</v>
      </c>
      <c r="ER223" s="1">
        <f>IF(EQ223&gt;=Boss参数!$B$66,Boss参数!$B$69,IF(EQ223&gt;=Boss参数!$B$65,Boss参数!$B$68,IF(EQ223&gt;=Boss参数!$B$64,Boss参数!$B$67,0)))</f>
        <v>0.9</v>
      </c>
      <c r="ES223" s="1">
        <f>MIN(1,IF(EQ223&gt;=Boss参数!$B$66,Boss参数!$B$72+ROUNDDOWN((EQ223-Boss参数!$B$66)/Boss参数!$B$73,0)*Boss参数!$B$74,IF(EQ223&gt;=Boss参数!$B$65,Boss参数!$B$71,IF(EQ223&gt;=Boss参数!$B$64,Boss参数!$B$70,0))))</f>
        <v>0.65</v>
      </c>
      <c r="ET223" s="1">
        <f>MIN(Boss参数!$B$61*Boss参数!$B$62,EP223+IF(AND(Boss参数!$B$60=1,ISNUMBER(验证表!H229)),验证表!H229,EU223))</f>
        <v>23210479</v>
      </c>
      <c r="EU223" s="1">
        <f>IF(D223="",0,IF(验证表!G229="是",BV223,IF(验证表!G229="否",BU223,BW223)))</f>
        <v>0</v>
      </c>
      <c r="EV223" s="1">
        <f>IF(EQ223&gt;=Boss参数!$B$66,2,IF(EQ223&gt;=Boss参数!$B$65,1,0))</f>
        <v>2</v>
      </c>
      <c r="EW223" s="1">
        <f t="shared" si="251"/>
        <v>3</v>
      </c>
      <c r="EX223" s="1">
        <f>IF(D223="",0,INDEX(回合状态!$D$7:$D$17,MATCH(DG223,回合状态!$A$7:$A$17,0)))</f>
        <v>0</v>
      </c>
      <c r="EY223" s="1">
        <f>IF(OR(L223="RHI_ATTACK",L223="RHI_BUFF"),1,IF(L223="RHI_ULT",Boss参数!$B$52,0))</f>
        <v>0</v>
      </c>
      <c r="EZ223" s="1">
        <f>MIN(6,SUMIFS($EY$3:EY223,$EX$3:EX223,"&gt;="&amp;MAX(1,EX223-Boss参数!$B$87+1),$EX$3:EX223,"&lt;="&amp;EX223))</f>
        <v>0</v>
      </c>
      <c r="FA223" s="1">
        <f t="shared" si="278"/>
        <v>0</v>
      </c>
      <c r="FB223" s="17">
        <f>IF(L223="BOSS_CONSERVATIVE",B223+Boss参数!$B$91,FB222)</f>
        <v>7</v>
      </c>
      <c r="FC223" s="17">
        <f t="shared" si="279"/>
        <v>0</v>
      </c>
      <c r="FD223" s="17">
        <f>IF(D223="",FD222,FD222+IF(AND(DG223&lt;&gt;DG222,INDEX(回合状态!$C$7:$C$17,MATCH(DG223,回合状态!$A$7:$A$17,0))&lt;&gt;"洞穿"),1,0))</f>
        <v>8</v>
      </c>
      <c r="FE223" s="17">
        <f>IF(D223="",0,IF(AND(OR(L223="END_TURN",DH223="敌方"),INDEX(回合状态!$C$7:$C$17,MATCH(DG223,回合状态!$A$7:$A$17,0))&lt;&gt;"洞穿",SUMIFS($FE$3:FE222,$DG$3:DG222,DG223)=0),1,0))</f>
        <v>0</v>
      </c>
    </row>
    <row r="224" spans="1:161" ht="84.95" customHeight="1">
      <c r="A224" s="1" t="str">
        <f>行动模拟!A230</f>
        <v/>
      </c>
      <c r="B224" s="1">
        <f>IF(D224="",0,INDEX(回合状态!$B$7:$B$17,MATCH(DG224,回合状态!$A$7:$A$17,0)))</f>
        <v>0</v>
      </c>
      <c r="C224" s="1">
        <f>行动模拟!C230</f>
        <v>0</v>
      </c>
      <c r="D224" s="1" t="str">
        <f>IF(行动模拟!D230="","",行动模拟!D230)</f>
        <v/>
      </c>
      <c r="E224" s="1" t="str">
        <f>IF($D224="","",IFERROR(INDEX(技能数据库!$B$4:$B$38,MATCH($D224,技能数据库!$A$4:$A$38,0)),""))</f>
        <v/>
      </c>
      <c r="F224" s="1" t="str">
        <f>IF($D224="","",IFERROR(INDEX(技能数据库!$C$4:$C$38,MATCH($D224,技能数据库!$A$4:$A$38,0)),""))</f>
        <v/>
      </c>
      <c r="G224" s="1" t="str">
        <f>IF($D224="","",IFERROR(INDEX(技能数据库!$D$4:$D$38,MATCH($D224,技能数据库!$A$4:$A$38,0)),""))</f>
        <v/>
      </c>
      <c r="H224" s="1" t="str">
        <f>IF($D224="","",IFERROR(INDEX(技能数据库!$E$4:$E$38,MATCH($D224,技能数据库!$A$4:$A$38,0)),""))</f>
        <v/>
      </c>
      <c r="I224" s="1" t="str">
        <f>IF($D224="","",IFERROR(INDEX(技能数据库!$F$4:$F$38,MATCH($D224,技能数据库!$A$4:$A$38,0)),""))</f>
        <v/>
      </c>
      <c r="J224" s="1" t="str">
        <f>IF($D224="","",IFERROR(INDEX(技能数据库!$G$4:$G$38,MATCH($D224,技能数据库!$A$4:$A$38,0)),""))</f>
        <v/>
      </c>
      <c r="K224" s="1" t="str">
        <f>IF($D224="","",IFERROR(INDEX(技能数据库!$H$4:$H$38,MATCH($D224,技能数据库!$A$4:$A$38,0)),""))</f>
        <v/>
      </c>
      <c r="L224" s="1" t="str">
        <f>IF($D224="","",IFERROR(INDEX(技能数据库!$I$4:$I$38,MATCH($D224,技能数据库!$A$4:$A$38,0)),""))</f>
        <v/>
      </c>
      <c r="M224" s="1">
        <v>1</v>
      </c>
      <c r="N224" s="1"/>
      <c r="O224" s="1"/>
      <c r="P224" s="1"/>
      <c r="Q224" s="1">
        <f t="shared" si="210"/>
        <v>0</v>
      </c>
      <c r="R224" s="1">
        <v>0</v>
      </c>
      <c r="S224" s="1">
        <v>0</v>
      </c>
      <c r="T224" s="1">
        <f>行动模拟!I230</f>
        <v>0</v>
      </c>
      <c r="U224" s="1">
        <f>IF(FD224&lt;&gt;FD223,IF(BY223=1,IF(MIN(10,CA223+IF(AND(DG224&lt;&gt;DG223,DH223&lt;&gt;"洞穿",SUMIFS($FE$3:FE223,$DG$3:DG223,DG223)=0,BY223=1),3,0))&gt;=10,2,1),IF(BY223=2,IF(BZ223&lt;=1,0,2),0)),BY223)</f>
        <v>2</v>
      </c>
      <c r="V224" s="1">
        <f>IF(FD224&lt;&gt;FD223,IF(BY223=1,IF(MIN(10,CA223+IF(AND(DG224&lt;&gt;DG223,DH223&lt;&gt;"洞穿",SUMIFS($FE$3:FE223,$DG$3:DG223,DG223)=0,BY223=1),3,0))&gt;=10,2,0),IF(BY223=2,MAX(0,BZ223-1),0)),BZ223)</f>
        <v>1</v>
      </c>
      <c r="W224" s="1">
        <f>IF(AND(FD224&lt;&gt;FD223,BY223=2,BZ223&lt;=1),0,MIN(10,CA223+IF(AND(DG224&lt;&gt;DG223,DH223&lt;&gt;"洞穿",SUMIFS($FE$3:FE223,$DG$3:DG223,DG223)=0,BY223=1),3,0)))</f>
        <v>10</v>
      </c>
      <c r="X224" s="1">
        <f t="shared" si="252"/>
        <v>13</v>
      </c>
      <c r="Y224" s="1">
        <f t="shared" si="253"/>
        <v>0</v>
      </c>
      <c r="Z224" s="1">
        <f t="shared" si="254"/>
        <v>0</v>
      </c>
      <c r="AA224" s="1">
        <f t="shared" si="255"/>
        <v>0</v>
      </c>
      <c r="AB224" s="1">
        <f t="shared" si="256"/>
        <v>10</v>
      </c>
      <c r="AC224" s="1">
        <f t="shared" si="257"/>
        <v>1</v>
      </c>
      <c r="AD224" s="1">
        <f t="shared" si="258"/>
        <v>35</v>
      </c>
      <c r="AE224" s="1">
        <f>IF(D224="",0,IF(DG224&lt;&gt;DG223,IFERROR(INDEX(回合状态!$F$7:$F$17,MATCH(DG224,回合状态!$A$7:$A$17,0)),0),CI223))</f>
        <v>0</v>
      </c>
      <c r="AF224" s="1">
        <f t="shared" si="259"/>
        <v>0.875</v>
      </c>
      <c r="AG224" s="1">
        <f t="shared" si="260"/>
        <v>9</v>
      </c>
      <c r="AH224" s="1">
        <f t="shared" si="261"/>
        <v>9</v>
      </c>
      <c r="AI224" s="1">
        <f t="shared" si="262"/>
        <v>8</v>
      </c>
      <c r="AJ224" s="1">
        <f t="shared" si="263"/>
        <v>9</v>
      </c>
      <c r="AK224" s="1">
        <f t="shared" si="264"/>
        <v>8</v>
      </c>
      <c r="AL224" s="1">
        <f t="shared" si="265"/>
        <v>3</v>
      </c>
      <c r="AM224" s="1">
        <f t="shared" si="266"/>
        <v>30</v>
      </c>
      <c r="AN224" s="1">
        <f t="shared" si="267"/>
        <v>9</v>
      </c>
      <c r="AO224" s="1">
        <f t="shared" si="268"/>
        <v>0</v>
      </c>
      <c r="AP224" s="1" t="e">
        <f t="shared" si="269"/>
        <v>#VALUE!</v>
      </c>
      <c r="AQ224" s="1" t="e">
        <f t="shared" si="270"/>
        <v>#VALUE!</v>
      </c>
      <c r="AR224" s="1">
        <f t="shared" si="271"/>
        <v>0.3</v>
      </c>
      <c r="AS224" s="1">
        <f t="shared" si="272"/>
        <v>9</v>
      </c>
      <c r="AT224" s="1">
        <f t="shared" si="273"/>
        <v>0.3</v>
      </c>
      <c r="AU224" s="1">
        <f t="shared" si="274"/>
        <v>9</v>
      </c>
      <c r="AV224" s="1">
        <f>MIN(5,SUMIFS($EL$3:EL224,$B$3:B224,"&gt;="&amp;MAX(1,B224-2),$B$3:B224,"&lt;="&amp;B224)+EC224)</f>
        <v>0</v>
      </c>
      <c r="AW224" s="1">
        <f>MIN(6,SUMIFS($EY$3:EY223,$EX$3:EX223,"&gt;="&amp;MAX(1,EX224-Boss参数!$B$87+1),$EX$3:EX223,"&lt;="&amp;EX224))</f>
        <v>0</v>
      </c>
      <c r="AX224" s="1">
        <f>MIN(4,COUNTIFS($B$3:$B$223,"&gt;="&amp;MAX(1,$B224-2),$B$3:$B$223,"&lt;="&amp;$B224,$L$3:$L$223,"37_FOLLOW"))</f>
        <v>0</v>
      </c>
      <c r="AY224" s="1" t="str">
        <f>IF($E224="","",IF($E224="系统",0,ROUNDDOWN(INDEX(角色面板!$C$4:$C$7,MATCH($E224,角色面板!$A$4:$A$7,0))*(1+INDEX(角色面板!$C$11:$C$14,MATCH($E224,角色面板!$A$11:$A$14,0))+IF($E224="小瑞安侬",MAX(IF($B224&lt;=$AQ224,$AP224,0),IF(AND($L224="RHI_ATTACK",$EE224&gt;0),0.11+0.01*$G224,0)),0)+IF($E224="J",$AD224*Boss参数!$B$18,0))+IF(FD224&lt;=$AN224,MIN(Boss参数!$B$21,ROUNDDOWN(角色面板!$C$19*Boss参数!$B$20,0)),0)+IF(AND($B224&lt;=$AK224,$E224&lt;&gt;"小瑞安侬"),$DY224,0),0)))</f>
        <v/>
      </c>
      <c r="AZ224" s="1" t="str">
        <f>IF($E224="","",MAX(0,MIN(1,IFERROR(INDEX(角色面板!$G$18:$G$21,MATCH($E224,角色面板!$A$18:$A$21,0)),0)-FC224*Boss参数!$B$89-Boss参数!$E$4)))</f>
        <v/>
      </c>
      <c r="BA224" s="1" t="str">
        <f>IF(E224="","",(IF($E224="","",IF($E224="红弩箭",Boss参数!$B$80,IF($E224="J",Boss参数!$B$81,IFERROR(INDEX(角色面板!$H$18:$H$21,MATCH($E224,角色面板!$A$18:$A$21,0)),0)))+IF($B224&lt;=$AI224,Boss参数!$B$13,0)+MIN(30,$AM224)*Boss参数!$B$17+IF(AND($L224="LILYA_ULT",$X224&gt;=6),1,0)+IF(AND($Y224=1,$L224="LILYA_INSIGHT"),IF(MOD($AA224+1,3)=0,Boss参数!$B$83,Boss参数!$B$82),IF(AND($Y224=1,$L224="LILYA_FINISH"),Boss参数!$B$84,0))))-FC224*Boss参数!$B$90)</f>
        <v/>
      </c>
      <c r="BB224" s="1" t="str">
        <f>IF($E224="","",IFERROR(INDEX(角色面板!$M$18:$M$21,MATCH($E224,角色面板!$A$18:$A$21,0)),0)+$AW224*Boss参数!$B$12+IF($B224&lt;=$AG224,$AF224,0)+$EI224+IF($L224="LILYA_DIVE",IF($U224=1,IF($G224=1,0.3,IF($G224=2,0.4,0.5)),IF($U224=2,IF($G224=1,0.6,IF($G224=2,0.8,1)),0)),0)+$R224+IF(AND($E224="J",OR($L224="J_COUNTER",$L224="J_HARD")),Boss参数!$B$79,0)+IF(AND(OR(L224="J_COUNTER",L224="J_HARD"),FA224&gt;=Boss参数!$B$59),FA224*Boss参数!$B$40,0))</f>
        <v/>
      </c>
      <c r="BC224" s="1" t="e">
        <f>IF($E224="","",IFERROR(INDEX(角色面板!$K$18:$K$21,MATCH($E224,角色面板!$A$18:$A$21,0)),0)+IF($B224&lt;=$AH224,Boss参数!$B$46,0)+IF($E224="红弩箭",IF($U224=1,0.6,IF($U224=2,1.2,0))+$W224*0.06,0))-DI224*Boss参数!$B$23</f>
        <v>#VALUE!</v>
      </c>
      <c r="BD224" s="1" t="e">
        <f>IF($E224="","",IFERROR(INDEX(角色面板!$L$18:$L$21,MATCH($E224,角色面板!$A$18:$A$21,0)),0)+IF($B224&lt;=$AH224,Boss参数!$B$46,0)+IF($E224="J",$AL224*Boss参数!$B$16,0)+IF($E224="红弩箭",$X224*0.025,0)+IF(AND($L224="LILYA_ULT",$X224&gt;=6),1,0))-DI224*Boss参数!$B$23</f>
        <v>#VALUE!</v>
      </c>
      <c r="BE224" s="1" t="str">
        <f>IF($E224="","",IF($H224="洞知",IF($E224="红弩箭",$AO224*Boss参数!$B$15,0)+$AX224*Boss参数!$B$14,0))</f>
        <v/>
      </c>
      <c r="BF224" s="1">
        <f t="shared" si="211"/>
        <v>0</v>
      </c>
      <c r="BG224" s="1">
        <f>IF($D224="",0,IF(AND($L224&lt;&gt;"LILYA_DIVE",$L224&lt;&gt;"LILYA_ULT",$L224&lt;&gt;"LILYA_INSIGHT",$L224&lt;&gt;"LILYA_FINISH",$L224&lt;&gt;"37_FOLLOW",$L224&lt;&gt;"RHI_ATTACK",$L224&lt;&gt;"RHI_BERRY",$L224&lt;&gt;"J_COUNTER",$L224&lt;&gt;"J_ULT"),$J224,0)+IF($L224="LILYA_DIVE",$J224+IF($U224=1,IF($G224=1,6,IF($G224=2,12,18)),IF($U224=2,IF($G224=1,12,IF($G224=2,24,36)),0)),0)+IF($L224="LILYA_ULT",$J224+IF($X224&gt;=6,18,0),0)+IF($L224="LILYA_INSIGHT",IF($Y224=1,IF(MOD($AA224+1,3)=0,32,15),0),0)+IF($L224="LILYA_FINISH",IF($Y224=1,50+2.5*$Z224,0),0)+IF($L224="37_FOLLOW",$J224,0)+IF($L224="RHI_ATTACK",$J224*IF($B224&lt;=$AJ224,2,1),0)+IF($L224="RHI_BERRY",15+1.5*$AV224,0)+IF($L224="J_COUNTER",$J224+$AD224*Boss参数!$B$39,0)+IF($L224="J_ULT",$J224+Boss参数!$B$45*MAX(0,$AE224+$AD224-Boss参数!$I$4),0)+$S224)</f>
        <v>0</v>
      </c>
      <c r="BH224" s="1">
        <f t="shared" si="212"/>
        <v>0</v>
      </c>
      <c r="BI224" s="1" t="str">
        <f>IF(E224="","",IF(DT224=1,1+Boss参数!$B$8+AV224*Boss参数!$B$19,1))</f>
        <v/>
      </c>
      <c r="BJ224" s="1">
        <f>IF($I224="现实",Boss参数!$C$4,IF($I224="精神",Boss参数!$D$4,0))</f>
        <v>0</v>
      </c>
      <c r="BK224" s="1" t="str">
        <f>IF($E224="","",MAX($AY224*Boss参数!$B$9,$AY224-$BJ224*(1-$BF224)))</f>
        <v/>
      </c>
      <c r="BL224" s="1">
        <f>MAX(0,Boss参数!$F$4+IF(DT224=0,Boss参数!$B$27,0)-EJ224)</f>
        <v>1.25</v>
      </c>
      <c r="BM224" s="1">
        <f>Boss参数!$G$4+DU224-IF(Y224=1,Boss参数!$B$11,0)</f>
        <v>0.4</v>
      </c>
      <c r="BN224" s="1" t="str">
        <f>IF($E224="","",MAX(Boss参数!$B$10,1+IFERROR(INDEX(角色面板!$I$18:$I$21,MATCH($E224,角色面板!$A$18:$A$21,0)),0)+$BB224+Boss参数!$H$4-$BM224))</f>
        <v/>
      </c>
      <c r="BO224" s="1" t="str">
        <f>IF(E224="","",IF(OR(L224="J_COUNTER",L224="J_HARD"),MAX(0,1+INDEX(角色面板!$K$18:$K$21,MATCH(E224,角色面板!$A$18:$A$21,0))-DI224*Boss参数!$B$23+IF(OR(Boss参数!$B$43=1,L224="J_HARD"),IF(B224&lt;=AH224,Boss参数!$B$46,0),0)),MAX(0,IF(OR(H224="术法",L224="RHI_BERRY",AND(L224="37_FOLLOW",Boss参数!$B$31=1)),1+BC224,IF(H224="仪式",1+BD224,IF(H224="洞知",EK224,1))))))</f>
        <v/>
      </c>
      <c r="BP224" s="1" t="str">
        <f t="shared" si="213"/>
        <v/>
      </c>
      <c r="BQ224" s="1">
        <f t="shared" si="214"/>
        <v>0</v>
      </c>
      <c r="BR224" s="1">
        <f t="shared" si="215"/>
        <v>0</v>
      </c>
      <c r="BS224" s="1">
        <f>IF(BH224=0,0,ROUNDDOWN(AY224*BH224,0)*DV224*IF(Boss参数!$B$29=1,BN224,1)*IF(Boss参数!$B$33=1,BO224,1)*IF(Boss参数!$B$76=1,1-ES224,1))</f>
        <v>0</v>
      </c>
      <c r="BT224" s="1">
        <f t="shared" si="216"/>
        <v>0</v>
      </c>
      <c r="BU224" s="1">
        <f>IF(D224="",0,MIN(IF(Boss参数!$B$77=1,Boss参数!$B$63*Boss参数!$B$62,Boss参数!$B$61*Boss参数!$B$62),DW224+ROUNDDOWN(BS224,0)+ROUNDDOWN(DW224*Q224,0)))</f>
        <v>0</v>
      </c>
      <c r="BV224" s="1">
        <f>IF(D224="",0,MIN(IF(Boss参数!$B$77=1,Boss参数!$B$63*Boss参数!$B$62,Boss参数!$B$61*Boss参数!$B$62),DX224+ROUNDDOWN(BT224,0)+ROUNDDOWN(DX224*Q224,0)))</f>
        <v>0</v>
      </c>
      <c r="BW224" s="1">
        <f t="shared" si="217"/>
        <v>0</v>
      </c>
      <c r="BX224" s="1" t="str">
        <f t="shared" si="218"/>
        <v/>
      </c>
      <c r="BY224" s="1">
        <f t="shared" si="219"/>
        <v>2</v>
      </c>
      <c r="BZ224" s="1">
        <f t="shared" si="220"/>
        <v>1</v>
      </c>
      <c r="CA224" s="1">
        <f>MIN(10,W224+IF(AND(L224="LILYA_COBRA",COUNTIF($L$3:L224,"LILYA_COBRA")=1),5,0)+IF(AND(L224="LILYA_DIVE",U224=1,COUNTIFS($DG$3:DG224,DG224,$L$3:L224,"LILYA_DIVE")=1),2,0)+IF(AND(FE224=1,U224=1),3,0))</f>
        <v>10</v>
      </c>
      <c r="CB224" s="1">
        <f>MIN(20,MAX(0,X224+IF(L224="LILYA_COBRA",IF(COUNTIF($L$3:L224,"LILYA_COBRA")=1,6,IF(U224=1,MAX(1,G224),IF(U224=2,2*MAX(1,G224),0))),0)+IF(AND(Y224=1,E224="红弩箭",L224&lt;&gt;"ENTER_INSIGHT"),1,0)-IF(AND(L224="LILYA_ULT",X224&gt;=6),6,0)))</f>
        <v>13</v>
      </c>
      <c r="CC224" s="1">
        <f t="shared" si="221"/>
        <v>0</v>
      </c>
      <c r="CD224" s="1">
        <f t="shared" si="222"/>
        <v>0</v>
      </c>
      <c r="CE224" s="1">
        <f t="shared" si="223"/>
        <v>0</v>
      </c>
      <c r="CF224" s="1">
        <f t="shared" si="224"/>
        <v>10</v>
      </c>
      <c r="CG224" s="1">
        <f t="shared" si="225"/>
        <v>1</v>
      </c>
      <c r="CH224" s="1">
        <f>MIN(35,AD224+IF(L224="J_HARD",6,0)+IF(L224="J_COUNTER",Boss参数!$B$30,0))</f>
        <v>35</v>
      </c>
      <c r="CI224" s="1">
        <f>MIN(Boss参数!$I$4,AE224+IF(L224="J_HARD",6,0)+IF(L224="J_ULT",AD224,0)+IF(L224="J_COUNTER",Boss参数!$B$30,0))</f>
        <v>0</v>
      </c>
      <c r="CJ224" s="1">
        <f>IF(L224="J_ULT",AD224*Boss参数!$B$41,IF(B224&lt;=AG224,AF224,0))</f>
        <v>0.875</v>
      </c>
      <c r="CK224" s="1">
        <f t="shared" si="226"/>
        <v>9</v>
      </c>
      <c r="CL224" s="1">
        <f t="shared" si="227"/>
        <v>9</v>
      </c>
      <c r="CM224" s="1">
        <f t="shared" si="228"/>
        <v>8</v>
      </c>
      <c r="CN224" s="1">
        <f t="shared" si="229"/>
        <v>9</v>
      </c>
      <c r="CO224" s="1">
        <f t="shared" si="230"/>
        <v>8</v>
      </c>
      <c r="CP224" s="1">
        <f t="shared" si="231"/>
        <v>3</v>
      </c>
      <c r="CQ224" s="1">
        <f t="shared" si="232"/>
        <v>30</v>
      </c>
      <c r="CR224" s="1">
        <f t="shared" si="233"/>
        <v>9</v>
      </c>
      <c r="CS224" s="1">
        <f t="shared" si="234"/>
        <v>0</v>
      </c>
      <c r="CT224" s="1" t="e">
        <f t="shared" si="235"/>
        <v>#VALUE!</v>
      </c>
      <c r="CU224" s="1" t="e">
        <f t="shared" si="236"/>
        <v>#VALUE!</v>
      </c>
      <c r="CV224" s="1">
        <f t="shared" si="237"/>
        <v>0.3</v>
      </c>
      <c r="CW224" s="1">
        <f t="shared" si="238"/>
        <v>9</v>
      </c>
      <c r="CX224" s="1">
        <f t="shared" si="239"/>
        <v>0.3</v>
      </c>
      <c r="CY224" s="1">
        <f t="shared" si="240"/>
        <v>9</v>
      </c>
      <c r="CZ224" s="1"/>
      <c r="DA224" s="1"/>
      <c r="DB224" s="1"/>
      <c r="DC224" s="1"/>
      <c r="DD224" s="1"/>
      <c r="DE224" s="1"/>
      <c r="DF224" s="1"/>
      <c r="DG224" s="1" t="str">
        <f>IF(D224="","",行动模拟!B230)</f>
        <v/>
      </c>
      <c r="DH224" s="1" t="str">
        <f>IF(L224="END_TURN","回合结束",IF(D224="","",IF(INDEX(回合状态!$C$7:$C$17,MATCH(DG224,回合状态!$A$7:$A$17,0))="洞穿","洞穿",IF(OR(L224="J_COUNTER",L224="BOSS_ACTION",L224="BOSS_CONSERVATIVE"),"敌方",IF(AND(L224="37_FOLLOW",DG224=DG223,DH223="敌方"),"敌方",IF(INDEX(回合状态!$C$7:$C$17,MATCH(DG224,回合状态!$A$7:$A$17,0))="普通","出牌",INDEX(回合状态!$C$7:$C$17,MATCH(DG224,回合状态!$A$7:$A$17,0))))))))</f>
        <v/>
      </c>
      <c r="DI224" s="1">
        <f t="shared" si="241"/>
        <v>0</v>
      </c>
      <c r="DJ224" s="1">
        <f>IF(D224="",0,MIN(Boss参数!$B$25,IF(OR(AND(DH224="敌方",OR(DH223&lt;&gt;"敌方",DG224&lt;&gt;DG223)),AND(L224="END_TURN",DH224&lt;&gt;"洞穿"),AND(DG224&lt;&gt;DG223,DH223&lt;&gt;"洞穿",L223&lt;&gt;"END_TURN",COUNTIFS($DG$3:DG223,DG223,$DH$3:DH223,"敌方")=0)),EW224,DN223)))</f>
        <v>0</v>
      </c>
      <c r="DK224" s="1">
        <f>IF(D224="",0,MIN(Boss参数!$B$25,IF(OR(AND(DH224="敌方",OR(DH223&lt;&gt;"敌方",DG224&lt;&gt;DG223)),AND(L224="END_TURN",DH224&lt;&gt;"洞穿"),AND(DG224&lt;&gt;DG223,DH223&lt;&gt;"洞穿",L223&lt;&gt;"END_TURN",COUNTIFS($DG$3:DG223,DG223,$DH$3:DH223,"敌方")=0)),EW224,DO223)))</f>
        <v>0</v>
      </c>
      <c r="DL224" s="1">
        <f>IF(D224="",0,MIN(Boss参数!$B$25,IF(OR(AND(DH224="敌方",OR(DH223&lt;&gt;"敌方",DG224&lt;&gt;DG223)),AND(L224="END_TURN",DH224&lt;&gt;"洞穿"),AND(DG224&lt;&gt;DG223,DH223&lt;&gt;"洞穿",L223&lt;&gt;"END_TURN",COUNTIFS($DG$3:DG223,DG223,$DH$3:DH223,"敌方")=0)),EW224,DP223)))</f>
        <v>0</v>
      </c>
      <c r="DM224" s="1">
        <f>IF(D224="",0,MIN(Boss参数!$B$25,IF(OR(AND(DH224="敌方",OR(DH223&lt;&gt;"敌方",DG224&lt;&gt;DG223)),AND(L224="END_TURN",DH224&lt;&gt;"洞穿"),AND(DG224&lt;&gt;DG223,DH223&lt;&gt;"洞穿",L223&lt;&gt;"END_TURN",COUNTIFS($DG$3:DG223,DG223,$DH$3:DH223,"敌方")=0)),EW224,DQ223)))</f>
        <v>0</v>
      </c>
      <c r="DN224" s="1">
        <f>MAX(0,MIN(Boss参数!$B$25,DJ224+DR224)-IF(E224="红弩箭",2*DR224,0))</f>
        <v>0</v>
      </c>
      <c r="DO224" s="1">
        <f>MAX(0,MIN(Boss参数!$B$25,DK224+DR224)-IF(E224="37",2*DR224,0))</f>
        <v>0</v>
      </c>
      <c r="DP224" s="1">
        <f>MAX(0,MIN(Boss参数!$B$25,DL224+DR224)-IF(E224="小瑞安侬",2*DR224,0))</f>
        <v>0</v>
      </c>
      <c r="DQ224" s="1">
        <f>MAX(0,MIN(Boss参数!$B$25,DM224+DR224)-IF(E224="J",2*DR224,0))</f>
        <v>0</v>
      </c>
      <c r="DR224" s="1">
        <f t="shared" si="242"/>
        <v>0</v>
      </c>
      <c r="DS224" s="1">
        <f t="shared" si="243"/>
        <v>0</v>
      </c>
      <c r="DT224" s="1">
        <f>IF(OR(E224="",E224="系统"),0,IF(OR(AND(DS224=1,Boss参数!$B$32=1),L224="RHI_BERRY",OR(AND(INDEX(角色面板!$B$18:$B$21,MATCH(E224,角色面板!$A$18:$A$21,0))="星",Boss参数!$B$4="岩"),AND(INDEX(角色面板!$B$18:$B$21,MATCH(E224,角色面板!$A$18:$A$21,0))="岩",Boss参数!$B$4="兽"),AND(INDEX(角色面板!$B$18:$B$21,MATCH(E224,角色面板!$A$18:$A$21,0))="兽",Boss参数!$B$4="木"),AND(INDEX(角色面板!$B$18:$B$21,MATCH(E224,角色面板!$A$18:$A$21,0))="木",Boss参数!$B$4="星"),AND(INDEX(角色面板!$B$18:$B$21,MATCH(E224,角色面板!$A$18:$A$21,0))="智",Boss参数!$B$4="灵"),AND(INDEX(角色面板!$B$18:$B$21,MATCH(E224,角色面板!$A$18:$A$21,0))="灵",Boss参数!$B$4="智"))),1,0))</f>
        <v>0</v>
      </c>
      <c r="DU224" s="1">
        <f>IF(D224="",0,INDEX(回合状态!$E$7:$E$17,MATCH(DG224,回合状态!$A$7:$A$17,0))+IF(AND(DH224="敌方",OR(INDEX(回合状态!$C$7:$C$17,MATCH(DG224,回合状态!$A$7:$A$17,0))="普通",INDEX(回合状态!$C$7:$C$17,MATCH(DG224,回合状态!$A$7:$A$17,0))="额外")),0.05,0))</f>
        <v>0</v>
      </c>
      <c r="DV224" s="1">
        <f>MAX(Boss参数!$B$28,1+IF(AND(E224="37",AC224&gt;0,BH224&gt;0),Boss参数!$B$42,0)-DI224*Boss参数!$B$24+EA224-ER224)</f>
        <v>9.9999999999999978E-2</v>
      </c>
      <c r="DW224" s="1">
        <f>MIN(IF(Boss参数!$B$77=1,Boss参数!$B$63*Boss参数!$B$62,Boss参数!$B$61*Boss参数!$B$62),ROUNDDOWN(BQ224*(1-ES224),0))</f>
        <v>0</v>
      </c>
      <c r="DX224" s="1">
        <f>MIN(IF(Boss参数!$B$77=1,Boss参数!$B$63*Boss参数!$B$62,Boss参数!$B$61*Boss参数!$B$62),ROUNDDOWN(BR224*(1-ES224),0))</f>
        <v>0</v>
      </c>
      <c r="DY224" s="1">
        <f t="shared" si="275"/>
        <v>250</v>
      </c>
      <c r="DZ224" s="1">
        <f>IF(L224="RHI_ULT",MIN(Boss参数!$B$48,ROUNDDOWN(AY224*Boss参数!$B$47,0)),DY224)</f>
        <v>250</v>
      </c>
      <c r="EA224" s="1">
        <v>0</v>
      </c>
      <c r="EB224" s="1">
        <f t="shared" si="244"/>
        <v>0</v>
      </c>
      <c r="EC224" s="1">
        <f>SUMIFS($EB$3:EB224,$B$3:B224,"&gt;="&amp;MAX(1,B224-2),$B$3:B224,"&lt;="&amp;B224)*Boss参数!$B$51</f>
        <v>0</v>
      </c>
      <c r="ED224" s="1">
        <f>IF(D224="",EG223,IF(AND(DG224&lt;&gt;DG223,DH224&lt;&gt;"洞穿"),MIN(Boss参数!$B$55,EG223+2),EG223))</f>
        <v>0</v>
      </c>
      <c r="EE224" s="1">
        <f t="shared" si="245"/>
        <v>0</v>
      </c>
      <c r="EF224" s="1">
        <f>IF(AND(OR(L224="END_TURN",AND(DH224="敌方",OR(DH223&lt;&gt;"敌方",DG224&lt;&gt;DG223))),SUMIFS($EF$3:EF223,$DG$3:DG223,DG224)=0),MIN(1,MAX(0,ED224-EE224)),0)</f>
        <v>0</v>
      </c>
      <c r="EG224" s="1">
        <f t="shared" si="246"/>
        <v>0</v>
      </c>
      <c r="EH224" s="1">
        <f>Boss参数!$B$53-IF(Y224=1,Boss参数!$B$54,0)</f>
        <v>0</v>
      </c>
      <c r="EI224" s="1">
        <f t="shared" si="247"/>
        <v>0.15</v>
      </c>
      <c r="EJ224" s="1">
        <f t="shared" si="248"/>
        <v>0.15</v>
      </c>
      <c r="EK224" s="1" t="e">
        <f t="shared" si="249"/>
        <v>#VALUE!</v>
      </c>
      <c r="EL224" s="1">
        <f t="shared" si="276"/>
        <v>0</v>
      </c>
      <c r="EM224" s="1">
        <f>IF(AND(DG224&lt;&gt;DG223,DH224="洞穿"),0,IF(L224="ENTER_INSIGHT",Boss参数!$B$57,EO223))</f>
        <v>0</v>
      </c>
      <c r="EN224" s="1">
        <f>IF(AND(Y224=1,H224="洞知",EM224&gt;0),Boss参数!$B$56,0)</f>
        <v>0</v>
      </c>
      <c r="EO224" s="1">
        <f t="shared" si="250"/>
        <v>0</v>
      </c>
      <c r="EP224" s="1">
        <f t="shared" si="277"/>
        <v>23210479</v>
      </c>
      <c r="EQ224" s="1">
        <f>ROUNDDOWN(EP224/Boss参数!$B$62,0)</f>
        <v>232</v>
      </c>
      <c r="ER224" s="1">
        <f>IF(EQ224&gt;=Boss参数!$B$66,Boss参数!$B$69,IF(EQ224&gt;=Boss参数!$B$65,Boss参数!$B$68,IF(EQ224&gt;=Boss参数!$B$64,Boss参数!$B$67,0)))</f>
        <v>0.9</v>
      </c>
      <c r="ES224" s="1">
        <f>MIN(1,IF(EQ224&gt;=Boss参数!$B$66,Boss参数!$B$72+ROUNDDOWN((EQ224-Boss参数!$B$66)/Boss参数!$B$73,0)*Boss参数!$B$74,IF(EQ224&gt;=Boss参数!$B$65,Boss参数!$B$71,IF(EQ224&gt;=Boss参数!$B$64,Boss参数!$B$70,0))))</f>
        <v>0.65</v>
      </c>
      <c r="ET224" s="1">
        <f>MIN(Boss参数!$B$61*Boss参数!$B$62,EP224+IF(AND(Boss参数!$B$60=1,ISNUMBER(验证表!H230)),验证表!H230,EU224))</f>
        <v>23210479</v>
      </c>
      <c r="EU224" s="1">
        <f>IF(D224="",0,IF(验证表!G230="是",BV224,IF(验证表!G230="否",BU224,BW224)))</f>
        <v>0</v>
      </c>
      <c r="EV224" s="1">
        <f>IF(EQ224&gt;=Boss参数!$B$66,2,IF(EQ224&gt;=Boss参数!$B$65,1,0))</f>
        <v>2</v>
      </c>
      <c r="EW224" s="1">
        <f t="shared" si="251"/>
        <v>3</v>
      </c>
      <c r="EX224" s="1">
        <f>IF(D224="",0,INDEX(回合状态!$D$7:$D$17,MATCH(DG224,回合状态!$A$7:$A$17,0)))</f>
        <v>0</v>
      </c>
      <c r="EY224" s="1">
        <f>IF(OR(L224="RHI_ATTACK",L224="RHI_BUFF"),1,IF(L224="RHI_ULT",Boss参数!$B$52,0))</f>
        <v>0</v>
      </c>
      <c r="EZ224" s="1">
        <f>MIN(6,SUMIFS($EY$3:EY224,$EX$3:EX224,"&gt;="&amp;MAX(1,EX224-Boss参数!$B$87+1),$EX$3:EX224,"&lt;="&amp;EX224))</f>
        <v>0</v>
      </c>
      <c r="FA224" s="1">
        <f t="shared" si="278"/>
        <v>0</v>
      </c>
      <c r="FB224" s="17">
        <f>IF(L224="BOSS_CONSERVATIVE",B224+Boss参数!$B$91,FB223)</f>
        <v>7</v>
      </c>
      <c r="FC224" s="17">
        <f t="shared" si="279"/>
        <v>0</v>
      </c>
      <c r="FD224" s="17">
        <f>IF(D224="",FD223,FD223+IF(AND(DG224&lt;&gt;DG223,INDEX(回合状态!$C$7:$C$17,MATCH(DG224,回合状态!$A$7:$A$17,0))&lt;&gt;"洞穿"),1,0))</f>
        <v>8</v>
      </c>
      <c r="FE224" s="17">
        <f>IF(D224="",0,IF(AND(OR(L224="END_TURN",DH224="敌方"),INDEX(回合状态!$C$7:$C$17,MATCH(DG224,回合状态!$A$7:$A$17,0))&lt;&gt;"洞穿",SUMIFS($FE$3:FE223,$DG$3:DG223,DG224)=0),1,0))</f>
        <v>0</v>
      </c>
    </row>
    <row r="225" spans="1:161" ht="84.95" customHeight="1">
      <c r="A225" s="1" t="str">
        <f>行动模拟!A231</f>
        <v/>
      </c>
      <c r="B225" s="1">
        <f>IF(D225="",0,INDEX(回合状态!$B$7:$B$17,MATCH(DG225,回合状态!$A$7:$A$17,0)))</f>
        <v>0</v>
      </c>
      <c r="C225" s="1">
        <f>行动模拟!C231</f>
        <v>0</v>
      </c>
      <c r="D225" s="1" t="str">
        <f>IF(行动模拟!D231="","",行动模拟!D231)</f>
        <v/>
      </c>
      <c r="E225" s="1" t="str">
        <f>IF($D225="","",IFERROR(INDEX(技能数据库!$B$4:$B$38,MATCH($D225,技能数据库!$A$4:$A$38,0)),""))</f>
        <v/>
      </c>
      <c r="F225" s="1" t="str">
        <f>IF($D225="","",IFERROR(INDEX(技能数据库!$C$4:$C$38,MATCH($D225,技能数据库!$A$4:$A$38,0)),""))</f>
        <v/>
      </c>
      <c r="G225" s="1" t="str">
        <f>IF($D225="","",IFERROR(INDEX(技能数据库!$D$4:$D$38,MATCH($D225,技能数据库!$A$4:$A$38,0)),""))</f>
        <v/>
      </c>
      <c r="H225" s="1" t="str">
        <f>IF($D225="","",IFERROR(INDEX(技能数据库!$E$4:$E$38,MATCH($D225,技能数据库!$A$4:$A$38,0)),""))</f>
        <v/>
      </c>
      <c r="I225" s="1" t="str">
        <f>IF($D225="","",IFERROR(INDEX(技能数据库!$F$4:$F$38,MATCH($D225,技能数据库!$A$4:$A$38,0)),""))</f>
        <v/>
      </c>
      <c r="J225" s="1" t="str">
        <f>IF($D225="","",IFERROR(INDEX(技能数据库!$G$4:$G$38,MATCH($D225,技能数据库!$A$4:$A$38,0)),""))</f>
        <v/>
      </c>
      <c r="K225" s="1" t="str">
        <f>IF($D225="","",IFERROR(INDEX(技能数据库!$H$4:$H$38,MATCH($D225,技能数据库!$A$4:$A$38,0)),""))</f>
        <v/>
      </c>
      <c r="L225" s="1" t="str">
        <f>IF($D225="","",IFERROR(INDEX(技能数据库!$I$4:$I$38,MATCH($D225,技能数据库!$A$4:$A$38,0)),""))</f>
        <v/>
      </c>
      <c r="M225" s="1">
        <v>1</v>
      </c>
      <c r="N225" s="1"/>
      <c r="O225" s="1"/>
      <c r="P225" s="1"/>
      <c r="Q225" s="1">
        <f t="shared" si="210"/>
        <v>0</v>
      </c>
      <c r="R225" s="1">
        <v>0</v>
      </c>
      <c r="S225" s="1">
        <v>0</v>
      </c>
      <c r="T225" s="1">
        <f>行动模拟!I231</f>
        <v>0</v>
      </c>
      <c r="U225" s="1">
        <f>IF(FD225&lt;&gt;FD224,IF(BY224=1,IF(MIN(10,CA224+IF(AND(DG225&lt;&gt;DG224,DH224&lt;&gt;"洞穿",SUMIFS($FE$3:FE224,$DG$3:DG224,DG224)=0,BY224=1),3,0))&gt;=10,2,1),IF(BY224=2,IF(BZ224&lt;=1,0,2),0)),BY224)</f>
        <v>2</v>
      </c>
      <c r="V225" s="1">
        <f>IF(FD225&lt;&gt;FD224,IF(BY224=1,IF(MIN(10,CA224+IF(AND(DG225&lt;&gt;DG224,DH224&lt;&gt;"洞穿",SUMIFS($FE$3:FE224,$DG$3:DG224,DG224)=0,BY224=1),3,0))&gt;=10,2,0),IF(BY224=2,MAX(0,BZ224-1),0)),BZ224)</f>
        <v>1</v>
      </c>
      <c r="W225" s="1">
        <f>IF(AND(FD225&lt;&gt;FD224,BY224=2,BZ224&lt;=1),0,MIN(10,CA224+IF(AND(DG225&lt;&gt;DG224,DH224&lt;&gt;"洞穿",SUMIFS($FE$3:FE224,$DG$3:DG224,DG224)=0,BY224=1),3,0)))</f>
        <v>10</v>
      </c>
      <c r="X225" s="1">
        <f t="shared" si="252"/>
        <v>13</v>
      </c>
      <c r="Y225" s="1">
        <f t="shared" si="253"/>
        <v>0</v>
      </c>
      <c r="Z225" s="1">
        <f t="shared" si="254"/>
        <v>0</v>
      </c>
      <c r="AA225" s="1">
        <f t="shared" si="255"/>
        <v>0</v>
      </c>
      <c r="AB225" s="1">
        <f t="shared" si="256"/>
        <v>10</v>
      </c>
      <c r="AC225" s="1">
        <f t="shared" si="257"/>
        <v>1</v>
      </c>
      <c r="AD225" s="1">
        <f t="shared" si="258"/>
        <v>35</v>
      </c>
      <c r="AE225" s="1">
        <f>IF(D225="",0,IF(DG225&lt;&gt;DG224,IFERROR(INDEX(回合状态!$F$7:$F$17,MATCH(DG225,回合状态!$A$7:$A$17,0)),0),CI224))</f>
        <v>0</v>
      </c>
      <c r="AF225" s="1">
        <f t="shared" si="259"/>
        <v>0.875</v>
      </c>
      <c r="AG225" s="1">
        <f t="shared" si="260"/>
        <v>9</v>
      </c>
      <c r="AH225" s="1">
        <f t="shared" si="261"/>
        <v>9</v>
      </c>
      <c r="AI225" s="1">
        <f t="shared" si="262"/>
        <v>8</v>
      </c>
      <c r="AJ225" s="1">
        <f t="shared" si="263"/>
        <v>9</v>
      </c>
      <c r="AK225" s="1">
        <f t="shared" si="264"/>
        <v>8</v>
      </c>
      <c r="AL225" s="1">
        <f t="shared" si="265"/>
        <v>3</v>
      </c>
      <c r="AM225" s="1">
        <f t="shared" si="266"/>
        <v>30</v>
      </c>
      <c r="AN225" s="1">
        <f t="shared" si="267"/>
        <v>9</v>
      </c>
      <c r="AO225" s="1">
        <f t="shared" si="268"/>
        <v>0</v>
      </c>
      <c r="AP225" s="1" t="e">
        <f t="shared" si="269"/>
        <v>#VALUE!</v>
      </c>
      <c r="AQ225" s="1" t="e">
        <f t="shared" si="270"/>
        <v>#VALUE!</v>
      </c>
      <c r="AR225" s="1">
        <f t="shared" si="271"/>
        <v>0.3</v>
      </c>
      <c r="AS225" s="1">
        <f t="shared" si="272"/>
        <v>9</v>
      </c>
      <c r="AT225" s="1">
        <f t="shared" si="273"/>
        <v>0.3</v>
      </c>
      <c r="AU225" s="1">
        <f t="shared" si="274"/>
        <v>9</v>
      </c>
      <c r="AV225" s="1">
        <f>MIN(5,SUMIFS($EL$3:EL225,$B$3:B225,"&gt;="&amp;MAX(1,B225-2),$B$3:B225,"&lt;="&amp;B225)+EC225)</f>
        <v>0</v>
      </c>
      <c r="AW225" s="1">
        <f>MIN(6,SUMIFS($EY$3:EY224,$EX$3:EX224,"&gt;="&amp;MAX(1,EX225-Boss参数!$B$87+1),$EX$3:EX224,"&lt;="&amp;EX225))</f>
        <v>0</v>
      </c>
      <c r="AX225" s="1">
        <f>MIN(4,COUNTIFS($B$3:$B$224,"&gt;="&amp;MAX(1,$B225-2),$B$3:$B$224,"&lt;="&amp;$B225,$L$3:$L$224,"37_FOLLOW"))</f>
        <v>0</v>
      </c>
      <c r="AY225" s="1" t="str">
        <f>IF($E225="","",IF($E225="系统",0,ROUNDDOWN(INDEX(角色面板!$C$4:$C$7,MATCH($E225,角色面板!$A$4:$A$7,0))*(1+INDEX(角色面板!$C$11:$C$14,MATCH($E225,角色面板!$A$11:$A$14,0))+IF($E225="小瑞安侬",MAX(IF($B225&lt;=$AQ225,$AP225,0),IF(AND($L225="RHI_ATTACK",$EE225&gt;0),0.11+0.01*$G225,0)),0)+IF($E225="J",$AD225*Boss参数!$B$18,0))+IF(FD225&lt;=$AN225,MIN(Boss参数!$B$21,ROUNDDOWN(角色面板!$C$19*Boss参数!$B$20,0)),0)+IF(AND($B225&lt;=$AK225,$E225&lt;&gt;"小瑞安侬"),$DY225,0),0)))</f>
        <v/>
      </c>
      <c r="AZ225" s="1" t="str">
        <f>IF($E225="","",MAX(0,MIN(1,IFERROR(INDEX(角色面板!$G$18:$G$21,MATCH($E225,角色面板!$A$18:$A$21,0)),0)-FC225*Boss参数!$B$89-Boss参数!$E$4)))</f>
        <v/>
      </c>
      <c r="BA225" s="1" t="str">
        <f>IF(E225="","",(IF($E225="","",IF($E225="红弩箭",Boss参数!$B$80,IF($E225="J",Boss参数!$B$81,IFERROR(INDEX(角色面板!$H$18:$H$21,MATCH($E225,角色面板!$A$18:$A$21,0)),0)))+IF($B225&lt;=$AI225,Boss参数!$B$13,0)+MIN(30,$AM225)*Boss参数!$B$17+IF(AND($L225="LILYA_ULT",$X225&gt;=6),1,0)+IF(AND($Y225=1,$L225="LILYA_INSIGHT"),IF(MOD($AA225+1,3)=0,Boss参数!$B$83,Boss参数!$B$82),IF(AND($Y225=1,$L225="LILYA_FINISH"),Boss参数!$B$84,0))))-FC225*Boss参数!$B$90)</f>
        <v/>
      </c>
      <c r="BB225" s="1" t="str">
        <f>IF($E225="","",IFERROR(INDEX(角色面板!$M$18:$M$21,MATCH($E225,角色面板!$A$18:$A$21,0)),0)+$AW225*Boss参数!$B$12+IF($B225&lt;=$AG225,$AF225,0)+$EI225+IF($L225="LILYA_DIVE",IF($U225=1,IF($G225=1,0.3,IF($G225=2,0.4,0.5)),IF($U225=2,IF($G225=1,0.6,IF($G225=2,0.8,1)),0)),0)+$R225+IF(AND($E225="J",OR($L225="J_COUNTER",$L225="J_HARD")),Boss参数!$B$79,0)+IF(AND(OR(L225="J_COUNTER",L225="J_HARD"),FA225&gt;=Boss参数!$B$59),FA225*Boss参数!$B$40,0))</f>
        <v/>
      </c>
      <c r="BC225" s="1" t="e">
        <f>IF($E225="","",IFERROR(INDEX(角色面板!$K$18:$K$21,MATCH($E225,角色面板!$A$18:$A$21,0)),0)+IF($B225&lt;=$AH225,Boss参数!$B$46,0)+IF($E225="红弩箭",IF($U225=1,0.6,IF($U225=2,1.2,0))+$W225*0.06,0))-DI225*Boss参数!$B$23</f>
        <v>#VALUE!</v>
      </c>
      <c r="BD225" s="1" t="e">
        <f>IF($E225="","",IFERROR(INDEX(角色面板!$L$18:$L$21,MATCH($E225,角色面板!$A$18:$A$21,0)),0)+IF($B225&lt;=$AH225,Boss参数!$B$46,0)+IF($E225="J",$AL225*Boss参数!$B$16,0)+IF($E225="红弩箭",$X225*0.025,0)+IF(AND($L225="LILYA_ULT",$X225&gt;=6),1,0))-DI225*Boss参数!$B$23</f>
        <v>#VALUE!</v>
      </c>
      <c r="BE225" s="1" t="str">
        <f>IF($E225="","",IF($H225="洞知",IF($E225="红弩箭",$AO225*Boss参数!$B$15,0)+$AX225*Boss参数!$B$14,0))</f>
        <v/>
      </c>
      <c r="BF225" s="1">
        <f t="shared" si="211"/>
        <v>0</v>
      </c>
      <c r="BG225" s="1">
        <f>IF($D225="",0,IF(AND($L225&lt;&gt;"LILYA_DIVE",$L225&lt;&gt;"LILYA_ULT",$L225&lt;&gt;"LILYA_INSIGHT",$L225&lt;&gt;"LILYA_FINISH",$L225&lt;&gt;"37_FOLLOW",$L225&lt;&gt;"RHI_ATTACK",$L225&lt;&gt;"RHI_BERRY",$L225&lt;&gt;"J_COUNTER",$L225&lt;&gt;"J_ULT"),$J225,0)+IF($L225="LILYA_DIVE",$J225+IF($U225=1,IF($G225=1,6,IF($G225=2,12,18)),IF($U225=2,IF($G225=1,12,IF($G225=2,24,36)),0)),0)+IF($L225="LILYA_ULT",$J225+IF($X225&gt;=6,18,0),0)+IF($L225="LILYA_INSIGHT",IF($Y225=1,IF(MOD($AA225+1,3)=0,32,15),0),0)+IF($L225="LILYA_FINISH",IF($Y225=1,50+2.5*$Z225,0),0)+IF($L225="37_FOLLOW",$J225,0)+IF($L225="RHI_ATTACK",$J225*IF($B225&lt;=$AJ225,2,1),0)+IF($L225="RHI_BERRY",15+1.5*$AV225,0)+IF($L225="J_COUNTER",$J225+$AD225*Boss参数!$B$39,0)+IF($L225="J_ULT",$J225+Boss参数!$B$45*MAX(0,$AE225+$AD225-Boss参数!$I$4),0)+$S225)</f>
        <v>0</v>
      </c>
      <c r="BH225" s="1">
        <f t="shared" si="212"/>
        <v>0</v>
      </c>
      <c r="BI225" s="1" t="str">
        <f>IF(E225="","",IF(DT225=1,1+Boss参数!$B$8+AV225*Boss参数!$B$19,1))</f>
        <v/>
      </c>
      <c r="BJ225" s="1">
        <f>IF($I225="现实",Boss参数!$C$4,IF($I225="精神",Boss参数!$D$4,0))</f>
        <v>0</v>
      </c>
      <c r="BK225" s="1" t="str">
        <f>IF($E225="","",MAX($AY225*Boss参数!$B$9,$AY225-$BJ225*(1-$BF225)))</f>
        <v/>
      </c>
      <c r="BL225" s="1">
        <f>MAX(0,Boss参数!$F$4+IF(DT225=0,Boss参数!$B$27,0)-EJ225)</f>
        <v>1.25</v>
      </c>
      <c r="BM225" s="1">
        <f>Boss参数!$G$4+DU225-IF(Y225=1,Boss参数!$B$11,0)</f>
        <v>0.4</v>
      </c>
      <c r="BN225" s="1" t="str">
        <f>IF($E225="","",MAX(Boss参数!$B$10,1+IFERROR(INDEX(角色面板!$I$18:$I$21,MATCH($E225,角色面板!$A$18:$A$21,0)),0)+$BB225+Boss参数!$H$4-$BM225))</f>
        <v/>
      </c>
      <c r="BO225" s="1" t="str">
        <f>IF(E225="","",IF(OR(L225="J_COUNTER",L225="J_HARD"),MAX(0,1+INDEX(角色面板!$K$18:$K$21,MATCH(E225,角色面板!$A$18:$A$21,0))-DI225*Boss参数!$B$23+IF(OR(Boss参数!$B$43=1,L225="J_HARD"),IF(B225&lt;=AH225,Boss参数!$B$46,0),0)),MAX(0,IF(OR(H225="术法",L225="RHI_BERRY",AND(L225="37_FOLLOW",Boss参数!$B$31=1)),1+BC225,IF(H225="仪式",1+BD225,IF(H225="洞知",EK225,1))))))</f>
        <v/>
      </c>
      <c r="BP225" s="1" t="str">
        <f t="shared" si="213"/>
        <v/>
      </c>
      <c r="BQ225" s="1">
        <f t="shared" si="214"/>
        <v>0</v>
      </c>
      <c r="BR225" s="1">
        <f t="shared" si="215"/>
        <v>0</v>
      </c>
      <c r="BS225" s="1">
        <f>IF(BH225=0,0,ROUNDDOWN(AY225*BH225,0)*DV225*IF(Boss参数!$B$29=1,BN225,1)*IF(Boss参数!$B$33=1,BO225,1)*IF(Boss参数!$B$76=1,1-ES225,1))</f>
        <v>0</v>
      </c>
      <c r="BT225" s="1">
        <f t="shared" si="216"/>
        <v>0</v>
      </c>
      <c r="BU225" s="1">
        <f>IF(D225="",0,MIN(IF(Boss参数!$B$77=1,Boss参数!$B$63*Boss参数!$B$62,Boss参数!$B$61*Boss参数!$B$62),DW225+ROUNDDOWN(BS225,0)+ROUNDDOWN(DW225*Q225,0)))</f>
        <v>0</v>
      </c>
      <c r="BV225" s="1">
        <f>IF(D225="",0,MIN(IF(Boss参数!$B$77=1,Boss参数!$B$63*Boss参数!$B$62,Boss参数!$B$61*Boss参数!$B$62),DX225+ROUNDDOWN(BT225,0)+ROUNDDOWN(DX225*Q225,0)))</f>
        <v>0</v>
      </c>
      <c r="BW225" s="1">
        <f t="shared" si="217"/>
        <v>0</v>
      </c>
      <c r="BX225" s="1" t="str">
        <f t="shared" si="218"/>
        <v/>
      </c>
      <c r="BY225" s="1">
        <f t="shared" si="219"/>
        <v>2</v>
      </c>
      <c r="BZ225" s="1">
        <f t="shared" si="220"/>
        <v>1</v>
      </c>
      <c r="CA225" s="1">
        <f>MIN(10,W225+IF(AND(L225="LILYA_COBRA",COUNTIF($L$3:L225,"LILYA_COBRA")=1),5,0)+IF(AND(L225="LILYA_DIVE",U225=1,COUNTIFS($DG$3:DG225,DG225,$L$3:L225,"LILYA_DIVE")=1),2,0)+IF(AND(FE225=1,U225=1),3,0))</f>
        <v>10</v>
      </c>
      <c r="CB225" s="1">
        <f>MIN(20,MAX(0,X225+IF(L225="LILYA_COBRA",IF(COUNTIF($L$3:L225,"LILYA_COBRA")=1,6,IF(U225=1,MAX(1,G225),IF(U225=2,2*MAX(1,G225),0))),0)+IF(AND(Y225=1,E225="红弩箭",L225&lt;&gt;"ENTER_INSIGHT"),1,0)-IF(AND(L225="LILYA_ULT",X225&gt;=6),6,0)))</f>
        <v>13</v>
      </c>
      <c r="CC225" s="1">
        <f t="shared" si="221"/>
        <v>0</v>
      </c>
      <c r="CD225" s="1">
        <f t="shared" si="222"/>
        <v>0</v>
      </c>
      <c r="CE225" s="1">
        <f t="shared" si="223"/>
        <v>0</v>
      </c>
      <c r="CF225" s="1">
        <f t="shared" si="224"/>
        <v>10</v>
      </c>
      <c r="CG225" s="1">
        <f t="shared" si="225"/>
        <v>1</v>
      </c>
      <c r="CH225" s="1">
        <f>MIN(35,AD225+IF(L225="J_HARD",6,0)+IF(L225="J_COUNTER",Boss参数!$B$30,0))</f>
        <v>35</v>
      </c>
      <c r="CI225" s="1">
        <f>MIN(Boss参数!$I$4,AE225+IF(L225="J_HARD",6,0)+IF(L225="J_ULT",AD225,0)+IF(L225="J_COUNTER",Boss参数!$B$30,0))</f>
        <v>0</v>
      </c>
      <c r="CJ225" s="1">
        <f>IF(L225="J_ULT",AD225*Boss参数!$B$41,IF(B225&lt;=AG225,AF225,0))</f>
        <v>0.875</v>
      </c>
      <c r="CK225" s="1">
        <f t="shared" si="226"/>
        <v>9</v>
      </c>
      <c r="CL225" s="1">
        <f t="shared" si="227"/>
        <v>9</v>
      </c>
      <c r="CM225" s="1">
        <f t="shared" si="228"/>
        <v>8</v>
      </c>
      <c r="CN225" s="1">
        <f t="shared" si="229"/>
        <v>9</v>
      </c>
      <c r="CO225" s="1">
        <f t="shared" si="230"/>
        <v>8</v>
      </c>
      <c r="CP225" s="1">
        <f t="shared" si="231"/>
        <v>3</v>
      </c>
      <c r="CQ225" s="1">
        <f t="shared" si="232"/>
        <v>30</v>
      </c>
      <c r="CR225" s="1">
        <f t="shared" si="233"/>
        <v>9</v>
      </c>
      <c r="CS225" s="1">
        <f t="shared" si="234"/>
        <v>0</v>
      </c>
      <c r="CT225" s="1" t="e">
        <f t="shared" si="235"/>
        <v>#VALUE!</v>
      </c>
      <c r="CU225" s="1" t="e">
        <f t="shared" si="236"/>
        <v>#VALUE!</v>
      </c>
      <c r="CV225" s="1">
        <f t="shared" si="237"/>
        <v>0.3</v>
      </c>
      <c r="CW225" s="1">
        <f t="shared" si="238"/>
        <v>9</v>
      </c>
      <c r="CX225" s="1">
        <f t="shared" si="239"/>
        <v>0.3</v>
      </c>
      <c r="CY225" s="1">
        <f t="shared" si="240"/>
        <v>9</v>
      </c>
      <c r="CZ225" s="1"/>
      <c r="DA225" s="1"/>
      <c r="DB225" s="1"/>
      <c r="DC225" s="1"/>
      <c r="DD225" s="1"/>
      <c r="DE225" s="1"/>
      <c r="DF225" s="1"/>
      <c r="DG225" s="1" t="str">
        <f>IF(D225="","",行动模拟!B231)</f>
        <v/>
      </c>
      <c r="DH225" s="1" t="str">
        <f>IF(L225="END_TURN","回合结束",IF(D225="","",IF(INDEX(回合状态!$C$7:$C$17,MATCH(DG225,回合状态!$A$7:$A$17,0))="洞穿","洞穿",IF(OR(L225="J_COUNTER",L225="BOSS_ACTION",L225="BOSS_CONSERVATIVE"),"敌方",IF(AND(L225="37_FOLLOW",DG225=DG224,DH224="敌方"),"敌方",IF(INDEX(回合状态!$C$7:$C$17,MATCH(DG225,回合状态!$A$7:$A$17,0))="普通","出牌",INDEX(回合状态!$C$7:$C$17,MATCH(DG225,回合状态!$A$7:$A$17,0))))))))</f>
        <v/>
      </c>
      <c r="DI225" s="1">
        <f t="shared" si="241"/>
        <v>0</v>
      </c>
      <c r="DJ225" s="1">
        <f>IF(D225="",0,MIN(Boss参数!$B$25,IF(OR(AND(DH225="敌方",OR(DH224&lt;&gt;"敌方",DG225&lt;&gt;DG224)),AND(L225="END_TURN",DH225&lt;&gt;"洞穿"),AND(DG225&lt;&gt;DG224,DH224&lt;&gt;"洞穿",L224&lt;&gt;"END_TURN",COUNTIFS($DG$3:DG224,DG224,$DH$3:DH224,"敌方")=0)),EW225,DN224)))</f>
        <v>0</v>
      </c>
      <c r="DK225" s="1">
        <f>IF(D225="",0,MIN(Boss参数!$B$25,IF(OR(AND(DH225="敌方",OR(DH224&lt;&gt;"敌方",DG225&lt;&gt;DG224)),AND(L225="END_TURN",DH225&lt;&gt;"洞穿"),AND(DG225&lt;&gt;DG224,DH224&lt;&gt;"洞穿",L224&lt;&gt;"END_TURN",COUNTIFS($DG$3:DG224,DG224,$DH$3:DH224,"敌方")=0)),EW225,DO224)))</f>
        <v>0</v>
      </c>
      <c r="DL225" s="1">
        <f>IF(D225="",0,MIN(Boss参数!$B$25,IF(OR(AND(DH225="敌方",OR(DH224&lt;&gt;"敌方",DG225&lt;&gt;DG224)),AND(L225="END_TURN",DH225&lt;&gt;"洞穿"),AND(DG225&lt;&gt;DG224,DH224&lt;&gt;"洞穿",L224&lt;&gt;"END_TURN",COUNTIFS($DG$3:DG224,DG224,$DH$3:DH224,"敌方")=0)),EW225,DP224)))</f>
        <v>0</v>
      </c>
      <c r="DM225" s="1">
        <f>IF(D225="",0,MIN(Boss参数!$B$25,IF(OR(AND(DH225="敌方",OR(DH224&lt;&gt;"敌方",DG225&lt;&gt;DG224)),AND(L225="END_TURN",DH225&lt;&gt;"洞穿"),AND(DG225&lt;&gt;DG224,DH224&lt;&gt;"洞穿",L224&lt;&gt;"END_TURN",COUNTIFS($DG$3:DG224,DG224,$DH$3:DH224,"敌方")=0)),EW225,DQ224)))</f>
        <v>0</v>
      </c>
      <c r="DN225" s="1">
        <f>MAX(0,MIN(Boss参数!$B$25,DJ225+DR225)-IF(E225="红弩箭",2*DR225,0))</f>
        <v>0</v>
      </c>
      <c r="DO225" s="1">
        <f>MAX(0,MIN(Boss参数!$B$25,DK225+DR225)-IF(E225="37",2*DR225,0))</f>
        <v>0</v>
      </c>
      <c r="DP225" s="1">
        <f>MAX(0,MIN(Boss参数!$B$25,DL225+DR225)-IF(E225="小瑞安侬",2*DR225,0))</f>
        <v>0</v>
      </c>
      <c r="DQ225" s="1">
        <f>MAX(0,MIN(Boss参数!$B$25,DM225+DR225)-IF(E225="J",2*DR225,0))</f>
        <v>0</v>
      </c>
      <c r="DR225" s="1">
        <f t="shared" si="242"/>
        <v>0</v>
      </c>
      <c r="DS225" s="1">
        <f t="shared" si="243"/>
        <v>0</v>
      </c>
      <c r="DT225" s="1">
        <f>IF(OR(E225="",E225="系统"),0,IF(OR(AND(DS225=1,Boss参数!$B$32=1),L225="RHI_BERRY",OR(AND(INDEX(角色面板!$B$18:$B$21,MATCH(E225,角色面板!$A$18:$A$21,0))="星",Boss参数!$B$4="岩"),AND(INDEX(角色面板!$B$18:$B$21,MATCH(E225,角色面板!$A$18:$A$21,0))="岩",Boss参数!$B$4="兽"),AND(INDEX(角色面板!$B$18:$B$21,MATCH(E225,角色面板!$A$18:$A$21,0))="兽",Boss参数!$B$4="木"),AND(INDEX(角色面板!$B$18:$B$21,MATCH(E225,角色面板!$A$18:$A$21,0))="木",Boss参数!$B$4="星"),AND(INDEX(角色面板!$B$18:$B$21,MATCH(E225,角色面板!$A$18:$A$21,0))="智",Boss参数!$B$4="灵"),AND(INDEX(角色面板!$B$18:$B$21,MATCH(E225,角色面板!$A$18:$A$21,0))="灵",Boss参数!$B$4="智"))),1,0))</f>
        <v>0</v>
      </c>
      <c r="DU225" s="1">
        <f>IF(D225="",0,INDEX(回合状态!$E$7:$E$17,MATCH(DG225,回合状态!$A$7:$A$17,0))+IF(AND(DH225="敌方",OR(INDEX(回合状态!$C$7:$C$17,MATCH(DG225,回合状态!$A$7:$A$17,0))="普通",INDEX(回合状态!$C$7:$C$17,MATCH(DG225,回合状态!$A$7:$A$17,0))="额外")),0.05,0))</f>
        <v>0</v>
      </c>
      <c r="DV225" s="1">
        <f>MAX(Boss参数!$B$28,1+IF(AND(E225="37",AC225&gt;0,BH225&gt;0),Boss参数!$B$42,0)-DI225*Boss参数!$B$24+EA225-ER225)</f>
        <v>9.9999999999999978E-2</v>
      </c>
      <c r="DW225" s="1">
        <f>MIN(IF(Boss参数!$B$77=1,Boss参数!$B$63*Boss参数!$B$62,Boss参数!$B$61*Boss参数!$B$62),ROUNDDOWN(BQ225*(1-ES225),0))</f>
        <v>0</v>
      </c>
      <c r="DX225" s="1">
        <f>MIN(IF(Boss参数!$B$77=1,Boss参数!$B$63*Boss参数!$B$62,Boss参数!$B$61*Boss参数!$B$62),ROUNDDOWN(BR225*(1-ES225),0))</f>
        <v>0</v>
      </c>
      <c r="DY225" s="1">
        <f t="shared" si="275"/>
        <v>250</v>
      </c>
      <c r="DZ225" s="1">
        <f>IF(L225="RHI_ULT",MIN(Boss参数!$B$48,ROUNDDOWN(AY225*Boss参数!$B$47,0)),DY225)</f>
        <v>250</v>
      </c>
      <c r="EA225" s="1">
        <v>0</v>
      </c>
      <c r="EB225" s="1">
        <f t="shared" si="244"/>
        <v>0</v>
      </c>
      <c r="EC225" s="1">
        <f>SUMIFS($EB$3:EB225,$B$3:B225,"&gt;="&amp;MAX(1,B225-2),$B$3:B225,"&lt;="&amp;B225)*Boss参数!$B$51</f>
        <v>0</v>
      </c>
      <c r="ED225" s="1">
        <f>IF(D225="",EG224,IF(AND(DG225&lt;&gt;DG224,DH225&lt;&gt;"洞穿"),MIN(Boss参数!$B$55,EG224+2),EG224))</f>
        <v>0</v>
      </c>
      <c r="EE225" s="1">
        <f t="shared" si="245"/>
        <v>0</v>
      </c>
      <c r="EF225" s="1">
        <f>IF(AND(OR(L225="END_TURN",AND(DH225="敌方",OR(DH224&lt;&gt;"敌方",DG225&lt;&gt;DG224))),SUMIFS($EF$3:EF224,$DG$3:DG224,DG225)=0),MIN(1,MAX(0,ED225-EE225)),0)</f>
        <v>0</v>
      </c>
      <c r="EG225" s="1">
        <f t="shared" si="246"/>
        <v>0</v>
      </c>
      <c r="EH225" s="1">
        <f>Boss参数!$B$53-IF(Y225=1,Boss参数!$B$54,0)</f>
        <v>0</v>
      </c>
      <c r="EI225" s="1">
        <f t="shared" si="247"/>
        <v>0.15</v>
      </c>
      <c r="EJ225" s="1">
        <f t="shared" si="248"/>
        <v>0.15</v>
      </c>
      <c r="EK225" s="1" t="e">
        <f t="shared" si="249"/>
        <v>#VALUE!</v>
      </c>
      <c r="EL225" s="1">
        <f t="shared" si="276"/>
        <v>0</v>
      </c>
      <c r="EM225" s="1">
        <f>IF(AND(DG225&lt;&gt;DG224,DH225="洞穿"),0,IF(L225="ENTER_INSIGHT",Boss参数!$B$57,EO224))</f>
        <v>0</v>
      </c>
      <c r="EN225" s="1">
        <f>IF(AND(Y225=1,H225="洞知",EM225&gt;0),Boss参数!$B$56,0)</f>
        <v>0</v>
      </c>
      <c r="EO225" s="1">
        <f t="shared" si="250"/>
        <v>0</v>
      </c>
      <c r="EP225" s="1">
        <f t="shared" si="277"/>
        <v>23210479</v>
      </c>
      <c r="EQ225" s="1">
        <f>ROUNDDOWN(EP225/Boss参数!$B$62,0)</f>
        <v>232</v>
      </c>
      <c r="ER225" s="1">
        <f>IF(EQ225&gt;=Boss参数!$B$66,Boss参数!$B$69,IF(EQ225&gt;=Boss参数!$B$65,Boss参数!$B$68,IF(EQ225&gt;=Boss参数!$B$64,Boss参数!$B$67,0)))</f>
        <v>0.9</v>
      </c>
      <c r="ES225" s="1">
        <f>MIN(1,IF(EQ225&gt;=Boss参数!$B$66,Boss参数!$B$72+ROUNDDOWN((EQ225-Boss参数!$B$66)/Boss参数!$B$73,0)*Boss参数!$B$74,IF(EQ225&gt;=Boss参数!$B$65,Boss参数!$B$71,IF(EQ225&gt;=Boss参数!$B$64,Boss参数!$B$70,0))))</f>
        <v>0.65</v>
      </c>
      <c r="ET225" s="1">
        <f>MIN(Boss参数!$B$61*Boss参数!$B$62,EP225+IF(AND(Boss参数!$B$60=1,ISNUMBER(验证表!H231)),验证表!H231,EU225))</f>
        <v>23210479</v>
      </c>
      <c r="EU225" s="1">
        <f>IF(D225="",0,IF(验证表!G231="是",BV225,IF(验证表!G231="否",BU225,BW225)))</f>
        <v>0</v>
      </c>
      <c r="EV225" s="1">
        <f>IF(EQ225&gt;=Boss参数!$B$66,2,IF(EQ225&gt;=Boss参数!$B$65,1,0))</f>
        <v>2</v>
      </c>
      <c r="EW225" s="1">
        <f t="shared" si="251"/>
        <v>3</v>
      </c>
      <c r="EX225" s="1">
        <f>IF(D225="",0,INDEX(回合状态!$D$7:$D$17,MATCH(DG225,回合状态!$A$7:$A$17,0)))</f>
        <v>0</v>
      </c>
      <c r="EY225" s="1">
        <f>IF(OR(L225="RHI_ATTACK",L225="RHI_BUFF"),1,IF(L225="RHI_ULT",Boss参数!$B$52,0))</f>
        <v>0</v>
      </c>
      <c r="EZ225" s="1">
        <f>MIN(6,SUMIFS($EY$3:EY225,$EX$3:EX225,"&gt;="&amp;MAX(1,EX225-Boss参数!$B$87+1),$EX$3:EX225,"&lt;="&amp;EX225))</f>
        <v>0</v>
      </c>
      <c r="FA225" s="1">
        <f t="shared" si="278"/>
        <v>0</v>
      </c>
      <c r="FB225" s="17">
        <f>IF(L225="BOSS_CONSERVATIVE",B225+Boss参数!$B$91,FB224)</f>
        <v>7</v>
      </c>
      <c r="FC225" s="17">
        <f t="shared" si="279"/>
        <v>0</v>
      </c>
      <c r="FD225" s="17">
        <f>IF(D225="",FD224,FD224+IF(AND(DG225&lt;&gt;DG224,INDEX(回合状态!$C$7:$C$17,MATCH(DG225,回合状态!$A$7:$A$17,0))&lt;&gt;"洞穿"),1,0))</f>
        <v>8</v>
      </c>
      <c r="FE225" s="17">
        <f>IF(D225="",0,IF(AND(OR(L225="END_TURN",DH225="敌方"),INDEX(回合状态!$C$7:$C$17,MATCH(DG225,回合状态!$A$7:$A$17,0))&lt;&gt;"洞穿",SUMIFS($FE$3:FE224,$DG$3:DG224,DG225)=0),1,0))</f>
        <v>0</v>
      </c>
    </row>
    <row r="226" spans="1:161" ht="84.95" customHeight="1">
      <c r="A226" s="1" t="str">
        <f>行动模拟!A232</f>
        <v/>
      </c>
      <c r="B226" s="1">
        <f>IF(D226="",0,INDEX(回合状态!$B$7:$B$17,MATCH(DG226,回合状态!$A$7:$A$17,0)))</f>
        <v>0</v>
      </c>
      <c r="C226" s="1">
        <f>行动模拟!C232</f>
        <v>0</v>
      </c>
      <c r="D226" s="1" t="str">
        <f>IF(行动模拟!D232="","",行动模拟!D232)</f>
        <v/>
      </c>
      <c r="E226" s="1" t="str">
        <f>IF($D226="","",IFERROR(INDEX(技能数据库!$B$4:$B$38,MATCH($D226,技能数据库!$A$4:$A$38,0)),""))</f>
        <v/>
      </c>
      <c r="F226" s="1" t="str">
        <f>IF($D226="","",IFERROR(INDEX(技能数据库!$C$4:$C$38,MATCH($D226,技能数据库!$A$4:$A$38,0)),""))</f>
        <v/>
      </c>
      <c r="G226" s="1" t="str">
        <f>IF($D226="","",IFERROR(INDEX(技能数据库!$D$4:$D$38,MATCH($D226,技能数据库!$A$4:$A$38,0)),""))</f>
        <v/>
      </c>
      <c r="H226" s="1" t="str">
        <f>IF($D226="","",IFERROR(INDEX(技能数据库!$E$4:$E$38,MATCH($D226,技能数据库!$A$4:$A$38,0)),""))</f>
        <v/>
      </c>
      <c r="I226" s="1" t="str">
        <f>IF($D226="","",IFERROR(INDEX(技能数据库!$F$4:$F$38,MATCH($D226,技能数据库!$A$4:$A$38,0)),""))</f>
        <v/>
      </c>
      <c r="J226" s="1" t="str">
        <f>IF($D226="","",IFERROR(INDEX(技能数据库!$G$4:$G$38,MATCH($D226,技能数据库!$A$4:$A$38,0)),""))</f>
        <v/>
      </c>
      <c r="K226" s="1" t="str">
        <f>IF($D226="","",IFERROR(INDEX(技能数据库!$H$4:$H$38,MATCH($D226,技能数据库!$A$4:$A$38,0)),""))</f>
        <v/>
      </c>
      <c r="L226" s="1" t="str">
        <f>IF($D226="","",IFERROR(INDEX(技能数据库!$I$4:$I$38,MATCH($D226,技能数据库!$A$4:$A$38,0)),""))</f>
        <v/>
      </c>
      <c r="M226" s="1">
        <v>1</v>
      </c>
      <c r="N226" s="1"/>
      <c r="O226" s="1"/>
      <c r="P226" s="1"/>
      <c r="Q226" s="1">
        <f t="shared" si="210"/>
        <v>0</v>
      </c>
      <c r="R226" s="1">
        <v>0</v>
      </c>
      <c r="S226" s="1">
        <v>0</v>
      </c>
      <c r="T226" s="1">
        <f>行动模拟!I232</f>
        <v>0</v>
      </c>
      <c r="U226" s="1">
        <f>IF(FD226&lt;&gt;FD225,IF(BY225=1,IF(MIN(10,CA225+IF(AND(DG226&lt;&gt;DG225,DH225&lt;&gt;"洞穿",SUMIFS($FE$3:FE225,$DG$3:DG225,DG225)=0,BY225=1),3,0))&gt;=10,2,1),IF(BY225=2,IF(BZ225&lt;=1,0,2),0)),BY225)</f>
        <v>2</v>
      </c>
      <c r="V226" s="1">
        <f>IF(FD226&lt;&gt;FD225,IF(BY225=1,IF(MIN(10,CA225+IF(AND(DG226&lt;&gt;DG225,DH225&lt;&gt;"洞穿",SUMIFS($FE$3:FE225,$DG$3:DG225,DG225)=0,BY225=1),3,0))&gt;=10,2,0),IF(BY225=2,MAX(0,BZ225-1),0)),BZ225)</f>
        <v>1</v>
      </c>
      <c r="W226" s="1">
        <f>IF(AND(FD226&lt;&gt;FD225,BY225=2,BZ225&lt;=1),0,MIN(10,CA225+IF(AND(DG226&lt;&gt;DG225,DH225&lt;&gt;"洞穿",SUMIFS($FE$3:FE225,$DG$3:DG225,DG225)=0,BY225=1),3,0)))</f>
        <v>10</v>
      </c>
      <c r="X226" s="1">
        <f t="shared" si="252"/>
        <v>13</v>
      </c>
      <c r="Y226" s="1">
        <f t="shared" si="253"/>
        <v>0</v>
      </c>
      <c r="Z226" s="1">
        <f t="shared" si="254"/>
        <v>0</v>
      </c>
      <c r="AA226" s="1">
        <f t="shared" si="255"/>
        <v>0</v>
      </c>
      <c r="AB226" s="1">
        <f t="shared" si="256"/>
        <v>10</v>
      </c>
      <c r="AC226" s="1">
        <f t="shared" si="257"/>
        <v>1</v>
      </c>
      <c r="AD226" s="1">
        <f t="shared" si="258"/>
        <v>35</v>
      </c>
      <c r="AE226" s="1">
        <f>IF(D226="",0,IF(DG226&lt;&gt;DG225,IFERROR(INDEX(回合状态!$F$7:$F$17,MATCH(DG226,回合状态!$A$7:$A$17,0)),0),CI225))</f>
        <v>0</v>
      </c>
      <c r="AF226" s="1">
        <f t="shared" si="259"/>
        <v>0.875</v>
      </c>
      <c r="AG226" s="1">
        <f t="shared" si="260"/>
        <v>9</v>
      </c>
      <c r="AH226" s="1">
        <f t="shared" si="261"/>
        <v>9</v>
      </c>
      <c r="AI226" s="1">
        <f t="shared" si="262"/>
        <v>8</v>
      </c>
      <c r="AJ226" s="1">
        <f t="shared" si="263"/>
        <v>9</v>
      </c>
      <c r="AK226" s="1">
        <f t="shared" si="264"/>
        <v>8</v>
      </c>
      <c r="AL226" s="1">
        <f t="shared" si="265"/>
        <v>3</v>
      </c>
      <c r="AM226" s="1">
        <f t="shared" si="266"/>
        <v>30</v>
      </c>
      <c r="AN226" s="1">
        <f t="shared" si="267"/>
        <v>9</v>
      </c>
      <c r="AO226" s="1">
        <f t="shared" si="268"/>
        <v>0</v>
      </c>
      <c r="AP226" s="1" t="e">
        <f t="shared" si="269"/>
        <v>#VALUE!</v>
      </c>
      <c r="AQ226" s="1" t="e">
        <f t="shared" si="270"/>
        <v>#VALUE!</v>
      </c>
      <c r="AR226" s="1">
        <f t="shared" si="271"/>
        <v>0.3</v>
      </c>
      <c r="AS226" s="1">
        <f t="shared" si="272"/>
        <v>9</v>
      </c>
      <c r="AT226" s="1">
        <f t="shared" si="273"/>
        <v>0.3</v>
      </c>
      <c r="AU226" s="1">
        <f t="shared" si="274"/>
        <v>9</v>
      </c>
      <c r="AV226" s="1">
        <f>MIN(5,SUMIFS($EL$3:EL226,$B$3:B226,"&gt;="&amp;MAX(1,B226-2),$B$3:B226,"&lt;="&amp;B226)+EC226)</f>
        <v>0</v>
      </c>
      <c r="AW226" s="1">
        <f>MIN(6,SUMIFS($EY$3:EY225,$EX$3:EX225,"&gt;="&amp;MAX(1,EX226-Boss参数!$B$87+1),$EX$3:EX225,"&lt;="&amp;EX226))</f>
        <v>0</v>
      </c>
      <c r="AX226" s="1">
        <f>MIN(4,COUNTIFS($B$3:$B$225,"&gt;="&amp;MAX(1,$B226-2),$B$3:$B$225,"&lt;="&amp;$B226,$L$3:$L$225,"37_FOLLOW"))</f>
        <v>0</v>
      </c>
      <c r="AY226" s="1" t="str">
        <f>IF($E226="","",IF($E226="系统",0,ROUNDDOWN(INDEX(角色面板!$C$4:$C$7,MATCH($E226,角色面板!$A$4:$A$7,0))*(1+INDEX(角色面板!$C$11:$C$14,MATCH($E226,角色面板!$A$11:$A$14,0))+IF($E226="小瑞安侬",MAX(IF($B226&lt;=$AQ226,$AP226,0),IF(AND($L226="RHI_ATTACK",$EE226&gt;0),0.11+0.01*$G226,0)),0)+IF($E226="J",$AD226*Boss参数!$B$18,0))+IF(FD226&lt;=$AN226,MIN(Boss参数!$B$21,ROUNDDOWN(角色面板!$C$19*Boss参数!$B$20,0)),0)+IF(AND($B226&lt;=$AK226,$E226&lt;&gt;"小瑞安侬"),$DY226,0),0)))</f>
        <v/>
      </c>
      <c r="AZ226" s="1" t="str">
        <f>IF($E226="","",MAX(0,MIN(1,IFERROR(INDEX(角色面板!$G$18:$G$21,MATCH($E226,角色面板!$A$18:$A$21,0)),0)-FC226*Boss参数!$B$89-Boss参数!$E$4)))</f>
        <v/>
      </c>
      <c r="BA226" s="1" t="str">
        <f>IF(E226="","",(IF($E226="","",IF($E226="红弩箭",Boss参数!$B$80,IF($E226="J",Boss参数!$B$81,IFERROR(INDEX(角色面板!$H$18:$H$21,MATCH($E226,角色面板!$A$18:$A$21,0)),0)))+IF($B226&lt;=$AI226,Boss参数!$B$13,0)+MIN(30,$AM226)*Boss参数!$B$17+IF(AND($L226="LILYA_ULT",$X226&gt;=6),1,0)+IF(AND($Y226=1,$L226="LILYA_INSIGHT"),IF(MOD($AA226+1,3)=0,Boss参数!$B$83,Boss参数!$B$82),IF(AND($Y226=1,$L226="LILYA_FINISH"),Boss参数!$B$84,0))))-FC226*Boss参数!$B$90)</f>
        <v/>
      </c>
      <c r="BB226" s="1" t="str">
        <f>IF($E226="","",IFERROR(INDEX(角色面板!$M$18:$M$21,MATCH($E226,角色面板!$A$18:$A$21,0)),0)+$AW226*Boss参数!$B$12+IF($B226&lt;=$AG226,$AF226,0)+$EI226+IF($L226="LILYA_DIVE",IF($U226=1,IF($G226=1,0.3,IF($G226=2,0.4,0.5)),IF($U226=2,IF($G226=1,0.6,IF($G226=2,0.8,1)),0)),0)+$R226+IF(AND($E226="J",OR($L226="J_COUNTER",$L226="J_HARD")),Boss参数!$B$79,0)+IF(AND(OR(L226="J_COUNTER",L226="J_HARD"),FA226&gt;=Boss参数!$B$59),FA226*Boss参数!$B$40,0))</f>
        <v/>
      </c>
      <c r="BC226" s="1" t="e">
        <f>IF($E226="","",IFERROR(INDEX(角色面板!$K$18:$K$21,MATCH($E226,角色面板!$A$18:$A$21,0)),0)+IF($B226&lt;=$AH226,Boss参数!$B$46,0)+IF($E226="红弩箭",IF($U226=1,0.6,IF($U226=2,1.2,0))+$W226*0.06,0))-DI226*Boss参数!$B$23</f>
        <v>#VALUE!</v>
      </c>
      <c r="BD226" s="1" t="e">
        <f>IF($E226="","",IFERROR(INDEX(角色面板!$L$18:$L$21,MATCH($E226,角色面板!$A$18:$A$21,0)),0)+IF($B226&lt;=$AH226,Boss参数!$B$46,0)+IF($E226="J",$AL226*Boss参数!$B$16,0)+IF($E226="红弩箭",$X226*0.025,0)+IF(AND($L226="LILYA_ULT",$X226&gt;=6),1,0))-DI226*Boss参数!$B$23</f>
        <v>#VALUE!</v>
      </c>
      <c r="BE226" s="1" t="str">
        <f>IF($E226="","",IF($H226="洞知",IF($E226="红弩箭",$AO226*Boss参数!$B$15,0)+$AX226*Boss参数!$B$14,0))</f>
        <v/>
      </c>
      <c r="BF226" s="1">
        <f t="shared" si="211"/>
        <v>0</v>
      </c>
      <c r="BG226" s="1">
        <f>IF($D226="",0,IF(AND($L226&lt;&gt;"LILYA_DIVE",$L226&lt;&gt;"LILYA_ULT",$L226&lt;&gt;"LILYA_INSIGHT",$L226&lt;&gt;"LILYA_FINISH",$L226&lt;&gt;"37_FOLLOW",$L226&lt;&gt;"RHI_ATTACK",$L226&lt;&gt;"RHI_BERRY",$L226&lt;&gt;"J_COUNTER",$L226&lt;&gt;"J_ULT"),$J226,0)+IF($L226="LILYA_DIVE",$J226+IF($U226=1,IF($G226=1,6,IF($G226=2,12,18)),IF($U226=2,IF($G226=1,12,IF($G226=2,24,36)),0)),0)+IF($L226="LILYA_ULT",$J226+IF($X226&gt;=6,18,0),0)+IF($L226="LILYA_INSIGHT",IF($Y226=1,IF(MOD($AA226+1,3)=0,32,15),0),0)+IF($L226="LILYA_FINISH",IF($Y226=1,50+2.5*$Z226,0),0)+IF($L226="37_FOLLOW",$J226,0)+IF($L226="RHI_ATTACK",$J226*IF($B226&lt;=$AJ226,2,1),0)+IF($L226="RHI_BERRY",15+1.5*$AV226,0)+IF($L226="J_COUNTER",$J226+$AD226*Boss参数!$B$39,0)+IF($L226="J_ULT",$J226+Boss参数!$B$45*MAX(0,$AE226+$AD226-Boss参数!$I$4),0)+$S226)</f>
        <v>0</v>
      </c>
      <c r="BH226" s="1">
        <f t="shared" si="212"/>
        <v>0</v>
      </c>
      <c r="BI226" s="1" t="str">
        <f>IF(E226="","",IF(DT226=1,1+Boss参数!$B$8+AV226*Boss参数!$B$19,1))</f>
        <v/>
      </c>
      <c r="BJ226" s="1">
        <f>IF($I226="现实",Boss参数!$C$4,IF($I226="精神",Boss参数!$D$4,0))</f>
        <v>0</v>
      </c>
      <c r="BK226" s="1" t="str">
        <f>IF($E226="","",MAX($AY226*Boss参数!$B$9,$AY226-$BJ226*(1-$BF226)))</f>
        <v/>
      </c>
      <c r="BL226" s="1">
        <f>MAX(0,Boss参数!$F$4+IF(DT226=0,Boss参数!$B$27,0)-EJ226)</f>
        <v>1.25</v>
      </c>
      <c r="BM226" s="1">
        <f>Boss参数!$G$4+DU226-IF(Y226=1,Boss参数!$B$11,0)</f>
        <v>0.4</v>
      </c>
      <c r="BN226" s="1" t="str">
        <f>IF($E226="","",MAX(Boss参数!$B$10,1+IFERROR(INDEX(角色面板!$I$18:$I$21,MATCH($E226,角色面板!$A$18:$A$21,0)),0)+$BB226+Boss参数!$H$4-$BM226))</f>
        <v/>
      </c>
      <c r="BO226" s="1" t="str">
        <f>IF(E226="","",IF(OR(L226="J_COUNTER",L226="J_HARD"),MAX(0,1+INDEX(角色面板!$K$18:$K$21,MATCH(E226,角色面板!$A$18:$A$21,0))-DI226*Boss参数!$B$23+IF(OR(Boss参数!$B$43=1,L226="J_HARD"),IF(B226&lt;=AH226,Boss参数!$B$46,0),0)),MAX(0,IF(OR(H226="术法",L226="RHI_BERRY",AND(L226="37_FOLLOW",Boss参数!$B$31=1)),1+BC226,IF(H226="仪式",1+BD226,IF(H226="洞知",EK226,1))))))</f>
        <v/>
      </c>
      <c r="BP226" s="1" t="str">
        <f t="shared" si="213"/>
        <v/>
      </c>
      <c r="BQ226" s="1">
        <f t="shared" si="214"/>
        <v>0</v>
      </c>
      <c r="BR226" s="1">
        <f t="shared" si="215"/>
        <v>0</v>
      </c>
      <c r="BS226" s="1">
        <f>IF(BH226=0,0,ROUNDDOWN(AY226*BH226,0)*DV226*IF(Boss参数!$B$29=1,BN226,1)*IF(Boss参数!$B$33=1,BO226,1)*IF(Boss参数!$B$76=1,1-ES226,1))</f>
        <v>0</v>
      </c>
      <c r="BT226" s="1">
        <f t="shared" si="216"/>
        <v>0</v>
      </c>
      <c r="BU226" s="1">
        <f>IF(D226="",0,MIN(IF(Boss参数!$B$77=1,Boss参数!$B$63*Boss参数!$B$62,Boss参数!$B$61*Boss参数!$B$62),DW226+ROUNDDOWN(BS226,0)+ROUNDDOWN(DW226*Q226,0)))</f>
        <v>0</v>
      </c>
      <c r="BV226" s="1">
        <f>IF(D226="",0,MIN(IF(Boss参数!$B$77=1,Boss参数!$B$63*Boss参数!$B$62,Boss参数!$B$61*Boss参数!$B$62),DX226+ROUNDDOWN(BT226,0)+ROUNDDOWN(DX226*Q226,0)))</f>
        <v>0</v>
      </c>
      <c r="BW226" s="1">
        <f t="shared" si="217"/>
        <v>0</v>
      </c>
      <c r="BX226" s="1" t="str">
        <f t="shared" si="218"/>
        <v/>
      </c>
      <c r="BY226" s="1">
        <f t="shared" si="219"/>
        <v>2</v>
      </c>
      <c r="BZ226" s="1">
        <f t="shared" si="220"/>
        <v>1</v>
      </c>
      <c r="CA226" s="1">
        <f>MIN(10,W226+IF(AND(L226="LILYA_COBRA",COUNTIF($L$3:L226,"LILYA_COBRA")=1),5,0)+IF(AND(L226="LILYA_DIVE",U226=1,COUNTIFS($DG$3:DG226,DG226,$L$3:L226,"LILYA_DIVE")=1),2,0)+IF(AND(FE226=1,U226=1),3,0))</f>
        <v>10</v>
      </c>
      <c r="CB226" s="1">
        <f>MIN(20,MAX(0,X226+IF(L226="LILYA_COBRA",IF(COUNTIF($L$3:L226,"LILYA_COBRA")=1,6,IF(U226=1,MAX(1,G226),IF(U226=2,2*MAX(1,G226),0))),0)+IF(AND(Y226=1,E226="红弩箭",L226&lt;&gt;"ENTER_INSIGHT"),1,0)-IF(AND(L226="LILYA_ULT",X226&gt;=6),6,0)))</f>
        <v>13</v>
      </c>
      <c r="CC226" s="1">
        <f t="shared" si="221"/>
        <v>0</v>
      </c>
      <c r="CD226" s="1">
        <f t="shared" si="222"/>
        <v>0</v>
      </c>
      <c r="CE226" s="1">
        <f t="shared" si="223"/>
        <v>0</v>
      </c>
      <c r="CF226" s="1">
        <f t="shared" si="224"/>
        <v>10</v>
      </c>
      <c r="CG226" s="1">
        <f t="shared" si="225"/>
        <v>1</v>
      </c>
      <c r="CH226" s="1">
        <f>MIN(35,AD226+IF(L226="J_HARD",6,0)+IF(L226="J_COUNTER",Boss参数!$B$30,0))</f>
        <v>35</v>
      </c>
      <c r="CI226" s="1">
        <f>MIN(Boss参数!$I$4,AE226+IF(L226="J_HARD",6,0)+IF(L226="J_ULT",AD226,0)+IF(L226="J_COUNTER",Boss参数!$B$30,0))</f>
        <v>0</v>
      </c>
      <c r="CJ226" s="1">
        <f>IF(L226="J_ULT",AD226*Boss参数!$B$41,IF(B226&lt;=AG226,AF226,0))</f>
        <v>0.875</v>
      </c>
      <c r="CK226" s="1">
        <f t="shared" si="226"/>
        <v>9</v>
      </c>
      <c r="CL226" s="1">
        <f t="shared" si="227"/>
        <v>9</v>
      </c>
      <c r="CM226" s="1">
        <f t="shared" si="228"/>
        <v>8</v>
      </c>
      <c r="CN226" s="1">
        <f t="shared" si="229"/>
        <v>9</v>
      </c>
      <c r="CO226" s="1">
        <f t="shared" si="230"/>
        <v>8</v>
      </c>
      <c r="CP226" s="1">
        <f t="shared" si="231"/>
        <v>3</v>
      </c>
      <c r="CQ226" s="1">
        <f t="shared" si="232"/>
        <v>30</v>
      </c>
      <c r="CR226" s="1">
        <f t="shared" si="233"/>
        <v>9</v>
      </c>
      <c r="CS226" s="1">
        <f t="shared" si="234"/>
        <v>0</v>
      </c>
      <c r="CT226" s="1" t="e">
        <f t="shared" si="235"/>
        <v>#VALUE!</v>
      </c>
      <c r="CU226" s="1" t="e">
        <f t="shared" si="236"/>
        <v>#VALUE!</v>
      </c>
      <c r="CV226" s="1">
        <f t="shared" si="237"/>
        <v>0.3</v>
      </c>
      <c r="CW226" s="1">
        <f t="shared" si="238"/>
        <v>9</v>
      </c>
      <c r="CX226" s="1">
        <f t="shared" si="239"/>
        <v>0.3</v>
      </c>
      <c r="CY226" s="1">
        <f t="shared" si="240"/>
        <v>9</v>
      </c>
      <c r="CZ226" s="1"/>
      <c r="DA226" s="1"/>
      <c r="DB226" s="1"/>
      <c r="DC226" s="1"/>
      <c r="DD226" s="1"/>
      <c r="DE226" s="1"/>
      <c r="DF226" s="1"/>
      <c r="DG226" s="1" t="str">
        <f>IF(D226="","",行动模拟!B232)</f>
        <v/>
      </c>
      <c r="DH226" s="1" t="str">
        <f>IF(L226="END_TURN","回合结束",IF(D226="","",IF(INDEX(回合状态!$C$7:$C$17,MATCH(DG226,回合状态!$A$7:$A$17,0))="洞穿","洞穿",IF(OR(L226="J_COUNTER",L226="BOSS_ACTION",L226="BOSS_CONSERVATIVE"),"敌方",IF(AND(L226="37_FOLLOW",DG226=DG225,DH225="敌方"),"敌方",IF(INDEX(回合状态!$C$7:$C$17,MATCH(DG226,回合状态!$A$7:$A$17,0))="普通","出牌",INDEX(回合状态!$C$7:$C$17,MATCH(DG226,回合状态!$A$7:$A$17,0))))))))</f>
        <v/>
      </c>
      <c r="DI226" s="1">
        <f t="shared" si="241"/>
        <v>0</v>
      </c>
      <c r="DJ226" s="1">
        <f>IF(D226="",0,MIN(Boss参数!$B$25,IF(OR(AND(DH226="敌方",OR(DH225&lt;&gt;"敌方",DG226&lt;&gt;DG225)),AND(L226="END_TURN",DH226&lt;&gt;"洞穿"),AND(DG226&lt;&gt;DG225,DH225&lt;&gt;"洞穿",L225&lt;&gt;"END_TURN",COUNTIFS($DG$3:DG225,DG225,$DH$3:DH225,"敌方")=0)),EW226,DN225)))</f>
        <v>0</v>
      </c>
      <c r="DK226" s="1">
        <f>IF(D226="",0,MIN(Boss参数!$B$25,IF(OR(AND(DH226="敌方",OR(DH225&lt;&gt;"敌方",DG226&lt;&gt;DG225)),AND(L226="END_TURN",DH226&lt;&gt;"洞穿"),AND(DG226&lt;&gt;DG225,DH225&lt;&gt;"洞穿",L225&lt;&gt;"END_TURN",COUNTIFS($DG$3:DG225,DG225,$DH$3:DH225,"敌方")=0)),EW226,DO225)))</f>
        <v>0</v>
      </c>
      <c r="DL226" s="1">
        <f>IF(D226="",0,MIN(Boss参数!$B$25,IF(OR(AND(DH226="敌方",OR(DH225&lt;&gt;"敌方",DG226&lt;&gt;DG225)),AND(L226="END_TURN",DH226&lt;&gt;"洞穿"),AND(DG226&lt;&gt;DG225,DH225&lt;&gt;"洞穿",L225&lt;&gt;"END_TURN",COUNTIFS($DG$3:DG225,DG225,$DH$3:DH225,"敌方")=0)),EW226,DP225)))</f>
        <v>0</v>
      </c>
      <c r="DM226" s="1">
        <f>IF(D226="",0,MIN(Boss参数!$B$25,IF(OR(AND(DH226="敌方",OR(DH225&lt;&gt;"敌方",DG226&lt;&gt;DG225)),AND(L226="END_TURN",DH226&lt;&gt;"洞穿"),AND(DG226&lt;&gt;DG225,DH225&lt;&gt;"洞穿",L225&lt;&gt;"END_TURN",COUNTIFS($DG$3:DG225,DG225,$DH$3:DH225,"敌方")=0)),EW226,DQ225)))</f>
        <v>0</v>
      </c>
      <c r="DN226" s="1">
        <f>MAX(0,MIN(Boss参数!$B$25,DJ226+DR226)-IF(E226="红弩箭",2*DR226,0))</f>
        <v>0</v>
      </c>
      <c r="DO226" s="1">
        <f>MAX(0,MIN(Boss参数!$B$25,DK226+DR226)-IF(E226="37",2*DR226,0))</f>
        <v>0</v>
      </c>
      <c r="DP226" s="1">
        <f>MAX(0,MIN(Boss参数!$B$25,DL226+DR226)-IF(E226="小瑞安侬",2*DR226,0))</f>
        <v>0</v>
      </c>
      <c r="DQ226" s="1">
        <f>MAX(0,MIN(Boss参数!$B$25,DM226+DR226)-IF(E226="J",2*DR226,0))</f>
        <v>0</v>
      </c>
      <c r="DR226" s="1">
        <f t="shared" si="242"/>
        <v>0</v>
      </c>
      <c r="DS226" s="1">
        <f t="shared" si="243"/>
        <v>0</v>
      </c>
      <c r="DT226" s="1">
        <f>IF(OR(E226="",E226="系统"),0,IF(OR(AND(DS226=1,Boss参数!$B$32=1),L226="RHI_BERRY",OR(AND(INDEX(角色面板!$B$18:$B$21,MATCH(E226,角色面板!$A$18:$A$21,0))="星",Boss参数!$B$4="岩"),AND(INDEX(角色面板!$B$18:$B$21,MATCH(E226,角色面板!$A$18:$A$21,0))="岩",Boss参数!$B$4="兽"),AND(INDEX(角色面板!$B$18:$B$21,MATCH(E226,角色面板!$A$18:$A$21,0))="兽",Boss参数!$B$4="木"),AND(INDEX(角色面板!$B$18:$B$21,MATCH(E226,角色面板!$A$18:$A$21,0))="木",Boss参数!$B$4="星"),AND(INDEX(角色面板!$B$18:$B$21,MATCH(E226,角色面板!$A$18:$A$21,0))="智",Boss参数!$B$4="灵"),AND(INDEX(角色面板!$B$18:$B$21,MATCH(E226,角色面板!$A$18:$A$21,0))="灵",Boss参数!$B$4="智"))),1,0))</f>
        <v>0</v>
      </c>
      <c r="DU226" s="1">
        <f>IF(D226="",0,INDEX(回合状态!$E$7:$E$17,MATCH(DG226,回合状态!$A$7:$A$17,0))+IF(AND(DH226="敌方",OR(INDEX(回合状态!$C$7:$C$17,MATCH(DG226,回合状态!$A$7:$A$17,0))="普通",INDEX(回合状态!$C$7:$C$17,MATCH(DG226,回合状态!$A$7:$A$17,0))="额外")),0.05,0))</f>
        <v>0</v>
      </c>
      <c r="DV226" s="1">
        <f>MAX(Boss参数!$B$28,1+IF(AND(E226="37",AC226&gt;0,BH226&gt;0),Boss参数!$B$42,0)-DI226*Boss参数!$B$24+EA226-ER226)</f>
        <v>9.9999999999999978E-2</v>
      </c>
      <c r="DW226" s="1">
        <f>MIN(IF(Boss参数!$B$77=1,Boss参数!$B$63*Boss参数!$B$62,Boss参数!$B$61*Boss参数!$B$62),ROUNDDOWN(BQ226*(1-ES226),0))</f>
        <v>0</v>
      </c>
      <c r="DX226" s="1">
        <f>MIN(IF(Boss参数!$B$77=1,Boss参数!$B$63*Boss参数!$B$62,Boss参数!$B$61*Boss参数!$B$62),ROUNDDOWN(BR226*(1-ES226),0))</f>
        <v>0</v>
      </c>
      <c r="DY226" s="1">
        <f t="shared" si="275"/>
        <v>250</v>
      </c>
      <c r="DZ226" s="1">
        <f>IF(L226="RHI_ULT",MIN(Boss参数!$B$48,ROUNDDOWN(AY226*Boss参数!$B$47,0)),DY226)</f>
        <v>250</v>
      </c>
      <c r="EA226" s="1">
        <v>0</v>
      </c>
      <c r="EB226" s="1">
        <f t="shared" si="244"/>
        <v>0</v>
      </c>
      <c r="EC226" s="1">
        <f>SUMIFS($EB$3:EB226,$B$3:B226,"&gt;="&amp;MAX(1,B226-2),$B$3:B226,"&lt;="&amp;B226)*Boss参数!$B$51</f>
        <v>0</v>
      </c>
      <c r="ED226" s="1">
        <f>IF(D226="",EG225,IF(AND(DG226&lt;&gt;DG225,DH226&lt;&gt;"洞穿"),MIN(Boss参数!$B$55,EG225+2),EG225))</f>
        <v>0</v>
      </c>
      <c r="EE226" s="1">
        <f t="shared" si="245"/>
        <v>0</v>
      </c>
      <c r="EF226" s="1">
        <f>IF(AND(OR(L226="END_TURN",AND(DH226="敌方",OR(DH225&lt;&gt;"敌方",DG226&lt;&gt;DG225))),SUMIFS($EF$3:EF225,$DG$3:DG225,DG226)=0),MIN(1,MAX(0,ED226-EE226)),0)</f>
        <v>0</v>
      </c>
      <c r="EG226" s="1">
        <f t="shared" si="246"/>
        <v>0</v>
      </c>
      <c r="EH226" s="1">
        <f>Boss参数!$B$53-IF(Y226=1,Boss参数!$B$54,0)</f>
        <v>0</v>
      </c>
      <c r="EI226" s="1">
        <f t="shared" si="247"/>
        <v>0.15</v>
      </c>
      <c r="EJ226" s="1">
        <f t="shared" si="248"/>
        <v>0.15</v>
      </c>
      <c r="EK226" s="1" t="e">
        <f t="shared" si="249"/>
        <v>#VALUE!</v>
      </c>
      <c r="EL226" s="1">
        <f t="shared" si="276"/>
        <v>0</v>
      </c>
      <c r="EM226" s="1">
        <f>IF(AND(DG226&lt;&gt;DG225,DH226="洞穿"),0,IF(L226="ENTER_INSIGHT",Boss参数!$B$57,EO225))</f>
        <v>0</v>
      </c>
      <c r="EN226" s="1">
        <f>IF(AND(Y226=1,H226="洞知",EM226&gt;0),Boss参数!$B$56,0)</f>
        <v>0</v>
      </c>
      <c r="EO226" s="1">
        <f t="shared" si="250"/>
        <v>0</v>
      </c>
      <c r="EP226" s="1">
        <f t="shared" si="277"/>
        <v>23210479</v>
      </c>
      <c r="EQ226" s="1">
        <f>ROUNDDOWN(EP226/Boss参数!$B$62,0)</f>
        <v>232</v>
      </c>
      <c r="ER226" s="1">
        <f>IF(EQ226&gt;=Boss参数!$B$66,Boss参数!$B$69,IF(EQ226&gt;=Boss参数!$B$65,Boss参数!$B$68,IF(EQ226&gt;=Boss参数!$B$64,Boss参数!$B$67,0)))</f>
        <v>0.9</v>
      </c>
      <c r="ES226" s="1">
        <f>MIN(1,IF(EQ226&gt;=Boss参数!$B$66,Boss参数!$B$72+ROUNDDOWN((EQ226-Boss参数!$B$66)/Boss参数!$B$73,0)*Boss参数!$B$74,IF(EQ226&gt;=Boss参数!$B$65,Boss参数!$B$71,IF(EQ226&gt;=Boss参数!$B$64,Boss参数!$B$70,0))))</f>
        <v>0.65</v>
      </c>
      <c r="ET226" s="1">
        <f>MIN(Boss参数!$B$61*Boss参数!$B$62,EP226+IF(AND(Boss参数!$B$60=1,ISNUMBER(验证表!H232)),验证表!H232,EU226))</f>
        <v>23210479</v>
      </c>
      <c r="EU226" s="1">
        <f>IF(D226="",0,IF(验证表!G232="是",BV226,IF(验证表!G232="否",BU226,BW226)))</f>
        <v>0</v>
      </c>
      <c r="EV226" s="1">
        <f>IF(EQ226&gt;=Boss参数!$B$66,2,IF(EQ226&gt;=Boss参数!$B$65,1,0))</f>
        <v>2</v>
      </c>
      <c r="EW226" s="1">
        <f t="shared" si="251"/>
        <v>3</v>
      </c>
      <c r="EX226" s="1">
        <f>IF(D226="",0,INDEX(回合状态!$D$7:$D$17,MATCH(DG226,回合状态!$A$7:$A$17,0)))</f>
        <v>0</v>
      </c>
      <c r="EY226" s="1">
        <f>IF(OR(L226="RHI_ATTACK",L226="RHI_BUFF"),1,IF(L226="RHI_ULT",Boss参数!$B$52,0))</f>
        <v>0</v>
      </c>
      <c r="EZ226" s="1">
        <f>MIN(6,SUMIFS($EY$3:EY226,$EX$3:EX226,"&gt;="&amp;MAX(1,EX226-Boss参数!$B$87+1),$EX$3:EX226,"&lt;="&amp;EX226))</f>
        <v>0</v>
      </c>
      <c r="FA226" s="1">
        <f t="shared" si="278"/>
        <v>0</v>
      </c>
      <c r="FB226" s="17">
        <f>IF(L226="BOSS_CONSERVATIVE",B226+Boss参数!$B$91,FB225)</f>
        <v>7</v>
      </c>
      <c r="FC226" s="17">
        <f t="shared" si="279"/>
        <v>0</v>
      </c>
      <c r="FD226" s="17">
        <f>IF(D226="",FD225,FD225+IF(AND(DG226&lt;&gt;DG225,INDEX(回合状态!$C$7:$C$17,MATCH(DG226,回合状态!$A$7:$A$17,0))&lt;&gt;"洞穿"),1,0))</f>
        <v>8</v>
      </c>
      <c r="FE226" s="17">
        <f>IF(D226="",0,IF(AND(OR(L226="END_TURN",DH226="敌方"),INDEX(回合状态!$C$7:$C$17,MATCH(DG226,回合状态!$A$7:$A$17,0))&lt;&gt;"洞穿",SUMIFS($FE$3:FE225,$DG$3:DG225,DG226)=0),1,0))</f>
        <v>0</v>
      </c>
    </row>
    <row r="227" spans="1:161" ht="84.95" customHeight="1">
      <c r="A227" s="1" t="str">
        <f>行动模拟!A233</f>
        <v/>
      </c>
      <c r="B227" s="1">
        <f>IF(D227="",0,INDEX(回合状态!$B$7:$B$17,MATCH(DG227,回合状态!$A$7:$A$17,0)))</f>
        <v>0</v>
      </c>
      <c r="C227" s="1">
        <f>行动模拟!C233</f>
        <v>0</v>
      </c>
      <c r="D227" s="1" t="str">
        <f>IF(行动模拟!D233="","",行动模拟!D233)</f>
        <v/>
      </c>
      <c r="E227" s="1" t="str">
        <f>IF($D227="","",IFERROR(INDEX(技能数据库!$B$4:$B$38,MATCH($D227,技能数据库!$A$4:$A$38,0)),""))</f>
        <v/>
      </c>
      <c r="F227" s="1" t="str">
        <f>IF($D227="","",IFERROR(INDEX(技能数据库!$C$4:$C$38,MATCH($D227,技能数据库!$A$4:$A$38,0)),""))</f>
        <v/>
      </c>
      <c r="G227" s="1" t="str">
        <f>IF($D227="","",IFERROR(INDEX(技能数据库!$D$4:$D$38,MATCH($D227,技能数据库!$A$4:$A$38,0)),""))</f>
        <v/>
      </c>
      <c r="H227" s="1" t="str">
        <f>IF($D227="","",IFERROR(INDEX(技能数据库!$E$4:$E$38,MATCH($D227,技能数据库!$A$4:$A$38,0)),""))</f>
        <v/>
      </c>
      <c r="I227" s="1" t="str">
        <f>IF($D227="","",IFERROR(INDEX(技能数据库!$F$4:$F$38,MATCH($D227,技能数据库!$A$4:$A$38,0)),""))</f>
        <v/>
      </c>
      <c r="J227" s="1" t="str">
        <f>IF($D227="","",IFERROR(INDEX(技能数据库!$G$4:$G$38,MATCH($D227,技能数据库!$A$4:$A$38,0)),""))</f>
        <v/>
      </c>
      <c r="K227" s="1" t="str">
        <f>IF($D227="","",IFERROR(INDEX(技能数据库!$H$4:$H$38,MATCH($D227,技能数据库!$A$4:$A$38,0)),""))</f>
        <v/>
      </c>
      <c r="L227" s="1" t="str">
        <f>IF($D227="","",IFERROR(INDEX(技能数据库!$I$4:$I$38,MATCH($D227,技能数据库!$A$4:$A$38,0)),""))</f>
        <v/>
      </c>
      <c r="M227" s="1">
        <v>1</v>
      </c>
      <c r="N227" s="1"/>
      <c r="O227" s="1"/>
      <c r="P227" s="1"/>
      <c r="Q227" s="1">
        <f t="shared" si="210"/>
        <v>0</v>
      </c>
      <c r="R227" s="1">
        <v>0</v>
      </c>
      <c r="S227" s="1">
        <v>0</v>
      </c>
      <c r="T227" s="1">
        <f>行动模拟!I233</f>
        <v>0</v>
      </c>
      <c r="U227" s="1">
        <f>IF(FD227&lt;&gt;FD226,IF(BY226=1,IF(MIN(10,CA226+IF(AND(DG227&lt;&gt;DG226,DH226&lt;&gt;"洞穿",SUMIFS($FE$3:FE226,$DG$3:DG226,DG226)=0,BY226=1),3,0))&gt;=10,2,1),IF(BY226=2,IF(BZ226&lt;=1,0,2),0)),BY226)</f>
        <v>2</v>
      </c>
      <c r="V227" s="1">
        <f>IF(FD227&lt;&gt;FD226,IF(BY226=1,IF(MIN(10,CA226+IF(AND(DG227&lt;&gt;DG226,DH226&lt;&gt;"洞穿",SUMIFS($FE$3:FE226,$DG$3:DG226,DG226)=0,BY226=1),3,0))&gt;=10,2,0),IF(BY226=2,MAX(0,BZ226-1),0)),BZ226)</f>
        <v>1</v>
      </c>
      <c r="W227" s="1">
        <f>IF(AND(FD227&lt;&gt;FD226,BY226=2,BZ226&lt;=1),0,MIN(10,CA226+IF(AND(DG227&lt;&gt;DG226,DH226&lt;&gt;"洞穿",SUMIFS($FE$3:FE226,$DG$3:DG226,DG226)=0,BY226=1),3,0)))</f>
        <v>10</v>
      </c>
      <c r="X227" s="1">
        <f t="shared" si="252"/>
        <v>13</v>
      </c>
      <c r="Y227" s="1">
        <f t="shared" si="253"/>
        <v>0</v>
      </c>
      <c r="Z227" s="1">
        <f t="shared" si="254"/>
        <v>0</v>
      </c>
      <c r="AA227" s="1">
        <f t="shared" si="255"/>
        <v>0</v>
      </c>
      <c r="AB227" s="1">
        <f t="shared" si="256"/>
        <v>10</v>
      </c>
      <c r="AC227" s="1">
        <f t="shared" si="257"/>
        <v>1</v>
      </c>
      <c r="AD227" s="1">
        <f t="shared" si="258"/>
        <v>35</v>
      </c>
      <c r="AE227" s="1">
        <f>IF(D227="",0,IF(DG227&lt;&gt;DG226,IFERROR(INDEX(回合状态!$F$7:$F$17,MATCH(DG227,回合状态!$A$7:$A$17,0)),0),CI226))</f>
        <v>0</v>
      </c>
      <c r="AF227" s="1">
        <f t="shared" si="259"/>
        <v>0.875</v>
      </c>
      <c r="AG227" s="1">
        <f t="shared" si="260"/>
        <v>9</v>
      </c>
      <c r="AH227" s="1">
        <f t="shared" si="261"/>
        <v>9</v>
      </c>
      <c r="AI227" s="1">
        <f t="shared" si="262"/>
        <v>8</v>
      </c>
      <c r="AJ227" s="1">
        <f t="shared" si="263"/>
        <v>9</v>
      </c>
      <c r="AK227" s="1">
        <f t="shared" si="264"/>
        <v>8</v>
      </c>
      <c r="AL227" s="1">
        <f t="shared" si="265"/>
        <v>3</v>
      </c>
      <c r="AM227" s="1">
        <f t="shared" si="266"/>
        <v>30</v>
      </c>
      <c r="AN227" s="1">
        <f t="shared" si="267"/>
        <v>9</v>
      </c>
      <c r="AO227" s="1">
        <f t="shared" si="268"/>
        <v>0</v>
      </c>
      <c r="AP227" s="1" t="e">
        <f t="shared" si="269"/>
        <v>#VALUE!</v>
      </c>
      <c r="AQ227" s="1" t="e">
        <f t="shared" si="270"/>
        <v>#VALUE!</v>
      </c>
      <c r="AR227" s="1">
        <f t="shared" si="271"/>
        <v>0.3</v>
      </c>
      <c r="AS227" s="1">
        <f t="shared" si="272"/>
        <v>9</v>
      </c>
      <c r="AT227" s="1">
        <f t="shared" si="273"/>
        <v>0.3</v>
      </c>
      <c r="AU227" s="1">
        <f t="shared" si="274"/>
        <v>9</v>
      </c>
      <c r="AV227" s="1">
        <f>MIN(5,SUMIFS($EL$3:EL227,$B$3:B227,"&gt;="&amp;MAX(1,B227-2),$B$3:B227,"&lt;="&amp;B227)+EC227)</f>
        <v>0</v>
      </c>
      <c r="AW227" s="1">
        <f>MIN(6,SUMIFS($EY$3:EY226,$EX$3:EX226,"&gt;="&amp;MAX(1,EX227-Boss参数!$B$87+1),$EX$3:EX226,"&lt;="&amp;EX227))</f>
        <v>0</v>
      </c>
      <c r="AX227" s="1">
        <f>MIN(4,COUNTIFS($B$3:$B$226,"&gt;="&amp;MAX(1,$B227-2),$B$3:$B$226,"&lt;="&amp;$B227,$L$3:$L$226,"37_FOLLOW"))</f>
        <v>0</v>
      </c>
      <c r="AY227" s="1" t="str">
        <f>IF($E227="","",IF($E227="系统",0,ROUNDDOWN(INDEX(角色面板!$C$4:$C$7,MATCH($E227,角色面板!$A$4:$A$7,0))*(1+INDEX(角色面板!$C$11:$C$14,MATCH($E227,角色面板!$A$11:$A$14,0))+IF($E227="小瑞安侬",MAX(IF($B227&lt;=$AQ227,$AP227,0),IF(AND($L227="RHI_ATTACK",$EE227&gt;0),0.11+0.01*$G227,0)),0)+IF($E227="J",$AD227*Boss参数!$B$18,0))+IF(FD227&lt;=$AN227,MIN(Boss参数!$B$21,ROUNDDOWN(角色面板!$C$19*Boss参数!$B$20,0)),0)+IF(AND($B227&lt;=$AK227,$E227&lt;&gt;"小瑞安侬"),$DY227,0),0)))</f>
        <v/>
      </c>
      <c r="AZ227" s="1" t="str">
        <f>IF($E227="","",MAX(0,MIN(1,IFERROR(INDEX(角色面板!$G$18:$G$21,MATCH($E227,角色面板!$A$18:$A$21,0)),0)-FC227*Boss参数!$B$89-Boss参数!$E$4)))</f>
        <v/>
      </c>
      <c r="BA227" s="1" t="str">
        <f>IF(E227="","",(IF($E227="","",IF($E227="红弩箭",Boss参数!$B$80,IF($E227="J",Boss参数!$B$81,IFERROR(INDEX(角色面板!$H$18:$H$21,MATCH($E227,角色面板!$A$18:$A$21,0)),0)))+IF($B227&lt;=$AI227,Boss参数!$B$13,0)+MIN(30,$AM227)*Boss参数!$B$17+IF(AND($L227="LILYA_ULT",$X227&gt;=6),1,0)+IF(AND($Y227=1,$L227="LILYA_INSIGHT"),IF(MOD($AA227+1,3)=0,Boss参数!$B$83,Boss参数!$B$82),IF(AND($Y227=1,$L227="LILYA_FINISH"),Boss参数!$B$84,0))))-FC227*Boss参数!$B$90)</f>
        <v/>
      </c>
      <c r="BB227" s="1" t="str">
        <f>IF($E227="","",IFERROR(INDEX(角色面板!$M$18:$M$21,MATCH($E227,角色面板!$A$18:$A$21,0)),0)+$AW227*Boss参数!$B$12+IF($B227&lt;=$AG227,$AF227,0)+$EI227+IF($L227="LILYA_DIVE",IF($U227=1,IF($G227=1,0.3,IF($G227=2,0.4,0.5)),IF($U227=2,IF($G227=1,0.6,IF($G227=2,0.8,1)),0)),0)+$R227+IF(AND($E227="J",OR($L227="J_COUNTER",$L227="J_HARD")),Boss参数!$B$79,0)+IF(AND(OR(L227="J_COUNTER",L227="J_HARD"),FA227&gt;=Boss参数!$B$59),FA227*Boss参数!$B$40,0))</f>
        <v/>
      </c>
      <c r="BC227" s="1" t="e">
        <f>IF($E227="","",IFERROR(INDEX(角色面板!$K$18:$K$21,MATCH($E227,角色面板!$A$18:$A$21,0)),0)+IF($B227&lt;=$AH227,Boss参数!$B$46,0)+IF($E227="红弩箭",IF($U227=1,0.6,IF($U227=2,1.2,0))+$W227*0.06,0))-DI227*Boss参数!$B$23</f>
        <v>#VALUE!</v>
      </c>
      <c r="BD227" s="1" t="e">
        <f>IF($E227="","",IFERROR(INDEX(角色面板!$L$18:$L$21,MATCH($E227,角色面板!$A$18:$A$21,0)),0)+IF($B227&lt;=$AH227,Boss参数!$B$46,0)+IF($E227="J",$AL227*Boss参数!$B$16,0)+IF($E227="红弩箭",$X227*0.025,0)+IF(AND($L227="LILYA_ULT",$X227&gt;=6),1,0))-DI227*Boss参数!$B$23</f>
        <v>#VALUE!</v>
      </c>
      <c r="BE227" s="1" t="str">
        <f>IF($E227="","",IF($H227="洞知",IF($E227="红弩箭",$AO227*Boss参数!$B$15,0)+$AX227*Boss参数!$B$14,0))</f>
        <v/>
      </c>
      <c r="BF227" s="1">
        <f t="shared" si="211"/>
        <v>0</v>
      </c>
      <c r="BG227" s="1">
        <f>IF($D227="",0,IF(AND($L227&lt;&gt;"LILYA_DIVE",$L227&lt;&gt;"LILYA_ULT",$L227&lt;&gt;"LILYA_INSIGHT",$L227&lt;&gt;"LILYA_FINISH",$L227&lt;&gt;"37_FOLLOW",$L227&lt;&gt;"RHI_ATTACK",$L227&lt;&gt;"RHI_BERRY",$L227&lt;&gt;"J_COUNTER",$L227&lt;&gt;"J_ULT"),$J227,0)+IF($L227="LILYA_DIVE",$J227+IF($U227=1,IF($G227=1,6,IF($G227=2,12,18)),IF($U227=2,IF($G227=1,12,IF($G227=2,24,36)),0)),0)+IF($L227="LILYA_ULT",$J227+IF($X227&gt;=6,18,0),0)+IF($L227="LILYA_INSIGHT",IF($Y227=1,IF(MOD($AA227+1,3)=0,32,15),0),0)+IF($L227="LILYA_FINISH",IF($Y227=1,50+2.5*$Z227,0),0)+IF($L227="37_FOLLOW",$J227,0)+IF($L227="RHI_ATTACK",$J227*IF($B227&lt;=$AJ227,2,1),0)+IF($L227="RHI_BERRY",15+1.5*$AV227,0)+IF($L227="J_COUNTER",$J227+$AD227*Boss参数!$B$39,0)+IF($L227="J_ULT",$J227+Boss参数!$B$45*MAX(0,$AE227+$AD227-Boss参数!$I$4),0)+$S227)</f>
        <v>0</v>
      </c>
      <c r="BH227" s="1">
        <f t="shared" si="212"/>
        <v>0</v>
      </c>
      <c r="BI227" s="1" t="str">
        <f>IF(E227="","",IF(DT227=1,1+Boss参数!$B$8+AV227*Boss参数!$B$19,1))</f>
        <v/>
      </c>
      <c r="BJ227" s="1">
        <f>IF($I227="现实",Boss参数!$C$4,IF($I227="精神",Boss参数!$D$4,0))</f>
        <v>0</v>
      </c>
      <c r="BK227" s="1" t="str">
        <f>IF($E227="","",MAX($AY227*Boss参数!$B$9,$AY227-$BJ227*(1-$BF227)))</f>
        <v/>
      </c>
      <c r="BL227" s="1">
        <f>MAX(0,Boss参数!$F$4+IF(DT227=0,Boss参数!$B$27,0)-EJ227)</f>
        <v>1.25</v>
      </c>
      <c r="BM227" s="1">
        <f>Boss参数!$G$4+DU227-IF(Y227=1,Boss参数!$B$11,0)</f>
        <v>0.4</v>
      </c>
      <c r="BN227" s="1" t="str">
        <f>IF($E227="","",MAX(Boss参数!$B$10,1+IFERROR(INDEX(角色面板!$I$18:$I$21,MATCH($E227,角色面板!$A$18:$A$21,0)),0)+$BB227+Boss参数!$H$4-$BM227))</f>
        <v/>
      </c>
      <c r="BO227" s="1" t="str">
        <f>IF(E227="","",IF(OR(L227="J_COUNTER",L227="J_HARD"),MAX(0,1+INDEX(角色面板!$K$18:$K$21,MATCH(E227,角色面板!$A$18:$A$21,0))-DI227*Boss参数!$B$23+IF(OR(Boss参数!$B$43=1,L227="J_HARD"),IF(B227&lt;=AH227,Boss参数!$B$46,0),0)),MAX(0,IF(OR(H227="术法",L227="RHI_BERRY",AND(L227="37_FOLLOW",Boss参数!$B$31=1)),1+BC227,IF(H227="仪式",1+BD227,IF(H227="洞知",EK227,1))))))</f>
        <v/>
      </c>
      <c r="BP227" s="1" t="str">
        <f t="shared" si="213"/>
        <v/>
      </c>
      <c r="BQ227" s="1">
        <f t="shared" si="214"/>
        <v>0</v>
      </c>
      <c r="BR227" s="1">
        <f t="shared" si="215"/>
        <v>0</v>
      </c>
      <c r="BS227" s="1">
        <f>IF(BH227=0,0,ROUNDDOWN(AY227*BH227,0)*DV227*IF(Boss参数!$B$29=1,BN227,1)*IF(Boss参数!$B$33=1,BO227,1)*IF(Boss参数!$B$76=1,1-ES227,1))</f>
        <v>0</v>
      </c>
      <c r="BT227" s="1">
        <f t="shared" si="216"/>
        <v>0</v>
      </c>
      <c r="BU227" s="1">
        <f>IF(D227="",0,MIN(IF(Boss参数!$B$77=1,Boss参数!$B$63*Boss参数!$B$62,Boss参数!$B$61*Boss参数!$B$62),DW227+ROUNDDOWN(BS227,0)+ROUNDDOWN(DW227*Q227,0)))</f>
        <v>0</v>
      </c>
      <c r="BV227" s="1">
        <f>IF(D227="",0,MIN(IF(Boss参数!$B$77=1,Boss参数!$B$63*Boss参数!$B$62,Boss参数!$B$61*Boss参数!$B$62),DX227+ROUNDDOWN(BT227,0)+ROUNDDOWN(DX227*Q227,0)))</f>
        <v>0</v>
      </c>
      <c r="BW227" s="1">
        <f t="shared" si="217"/>
        <v>0</v>
      </c>
      <c r="BX227" s="1" t="str">
        <f t="shared" si="218"/>
        <v/>
      </c>
      <c r="BY227" s="1">
        <f t="shared" si="219"/>
        <v>2</v>
      </c>
      <c r="BZ227" s="1">
        <f t="shared" si="220"/>
        <v>1</v>
      </c>
      <c r="CA227" s="1">
        <f>MIN(10,W227+IF(AND(L227="LILYA_COBRA",COUNTIF($L$3:L227,"LILYA_COBRA")=1),5,0)+IF(AND(L227="LILYA_DIVE",U227=1,COUNTIFS($DG$3:DG227,DG227,$L$3:L227,"LILYA_DIVE")=1),2,0)+IF(AND(FE227=1,U227=1),3,0))</f>
        <v>10</v>
      </c>
      <c r="CB227" s="1">
        <f>MIN(20,MAX(0,X227+IF(L227="LILYA_COBRA",IF(COUNTIF($L$3:L227,"LILYA_COBRA")=1,6,IF(U227=1,MAX(1,G227),IF(U227=2,2*MAX(1,G227),0))),0)+IF(AND(Y227=1,E227="红弩箭",L227&lt;&gt;"ENTER_INSIGHT"),1,0)-IF(AND(L227="LILYA_ULT",X227&gt;=6),6,0)))</f>
        <v>13</v>
      </c>
      <c r="CC227" s="1">
        <f t="shared" si="221"/>
        <v>0</v>
      </c>
      <c r="CD227" s="1">
        <f t="shared" si="222"/>
        <v>0</v>
      </c>
      <c r="CE227" s="1">
        <f t="shared" si="223"/>
        <v>0</v>
      </c>
      <c r="CF227" s="1">
        <f t="shared" si="224"/>
        <v>10</v>
      </c>
      <c r="CG227" s="1">
        <f t="shared" si="225"/>
        <v>1</v>
      </c>
      <c r="CH227" s="1">
        <f>MIN(35,AD227+IF(L227="J_HARD",6,0)+IF(L227="J_COUNTER",Boss参数!$B$30,0))</f>
        <v>35</v>
      </c>
      <c r="CI227" s="1">
        <f>MIN(Boss参数!$I$4,AE227+IF(L227="J_HARD",6,0)+IF(L227="J_ULT",AD227,0)+IF(L227="J_COUNTER",Boss参数!$B$30,0))</f>
        <v>0</v>
      </c>
      <c r="CJ227" s="1">
        <f>IF(L227="J_ULT",AD227*Boss参数!$B$41,IF(B227&lt;=AG227,AF227,0))</f>
        <v>0.875</v>
      </c>
      <c r="CK227" s="1">
        <f t="shared" si="226"/>
        <v>9</v>
      </c>
      <c r="CL227" s="1">
        <f t="shared" si="227"/>
        <v>9</v>
      </c>
      <c r="CM227" s="1">
        <f t="shared" si="228"/>
        <v>8</v>
      </c>
      <c r="CN227" s="1">
        <f t="shared" si="229"/>
        <v>9</v>
      </c>
      <c r="CO227" s="1">
        <f t="shared" si="230"/>
        <v>8</v>
      </c>
      <c r="CP227" s="1">
        <f t="shared" si="231"/>
        <v>3</v>
      </c>
      <c r="CQ227" s="1">
        <f t="shared" si="232"/>
        <v>30</v>
      </c>
      <c r="CR227" s="1">
        <f t="shared" si="233"/>
        <v>9</v>
      </c>
      <c r="CS227" s="1">
        <f t="shared" si="234"/>
        <v>0</v>
      </c>
      <c r="CT227" s="1" t="e">
        <f t="shared" si="235"/>
        <v>#VALUE!</v>
      </c>
      <c r="CU227" s="1" t="e">
        <f t="shared" si="236"/>
        <v>#VALUE!</v>
      </c>
      <c r="CV227" s="1">
        <f t="shared" si="237"/>
        <v>0.3</v>
      </c>
      <c r="CW227" s="1">
        <f t="shared" si="238"/>
        <v>9</v>
      </c>
      <c r="CX227" s="1">
        <f t="shared" si="239"/>
        <v>0.3</v>
      </c>
      <c r="CY227" s="1">
        <f t="shared" si="240"/>
        <v>9</v>
      </c>
      <c r="CZ227" s="1"/>
      <c r="DA227" s="1"/>
      <c r="DB227" s="1"/>
      <c r="DC227" s="1"/>
      <c r="DD227" s="1"/>
      <c r="DE227" s="1"/>
      <c r="DF227" s="1"/>
      <c r="DG227" s="1" t="str">
        <f>IF(D227="","",行动模拟!B233)</f>
        <v/>
      </c>
      <c r="DH227" s="1" t="str">
        <f>IF(L227="END_TURN","回合结束",IF(D227="","",IF(INDEX(回合状态!$C$7:$C$17,MATCH(DG227,回合状态!$A$7:$A$17,0))="洞穿","洞穿",IF(OR(L227="J_COUNTER",L227="BOSS_ACTION",L227="BOSS_CONSERVATIVE"),"敌方",IF(AND(L227="37_FOLLOW",DG227=DG226,DH226="敌方"),"敌方",IF(INDEX(回合状态!$C$7:$C$17,MATCH(DG227,回合状态!$A$7:$A$17,0))="普通","出牌",INDEX(回合状态!$C$7:$C$17,MATCH(DG227,回合状态!$A$7:$A$17,0))))))))</f>
        <v/>
      </c>
      <c r="DI227" s="1">
        <f t="shared" si="241"/>
        <v>0</v>
      </c>
      <c r="DJ227" s="1">
        <f>IF(D227="",0,MIN(Boss参数!$B$25,IF(OR(AND(DH227="敌方",OR(DH226&lt;&gt;"敌方",DG227&lt;&gt;DG226)),AND(L227="END_TURN",DH227&lt;&gt;"洞穿"),AND(DG227&lt;&gt;DG226,DH226&lt;&gt;"洞穿",L226&lt;&gt;"END_TURN",COUNTIFS($DG$3:DG226,DG226,$DH$3:DH226,"敌方")=0)),EW227,DN226)))</f>
        <v>0</v>
      </c>
      <c r="DK227" s="1">
        <f>IF(D227="",0,MIN(Boss参数!$B$25,IF(OR(AND(DH227="敌方",OR(DH226&lt;&gt;"敌方",DG227&lt;&gt;DG226)),AND(L227="END_TURN",DH227&lt;&gt;"洞穿"),AND(DG227&lt;&gt;DG226,DH226&lt;&gt;"洞穿",L226&lt;&gt;"END_TURN",COUNTIFS($DG$3:DG226,DG226,$DH$3:DH226,"敌方")=0)),EW227,DO226)))</f>
        <v>0</v>
      </c>
      <c r="DL227" s="1">
        <f>IF(D227="",0,MIN(Boss参数!$B$25,IF(OR(AND(DH227="敌方",OR(DH226&lt;&gt;"敌方",DG227&lt;&gt;DG226)),AND(L227="END_TURN",DH227&lt;&gt;"洞穿"),AND(DG227&lt;&gt;DG226,DH226&lt;&gt;"洞穿",L226&lt;&gt;"END_TURN",COUNTIFS($DG$3:DG226,DG226,$DH$3:DH226,"敌方")=0)),EW227,DP226)))</f>
        <v>0</v>
      </c>
      <c r="DM227" s="1">
        <f>IF(D227="",0,MIN(Boss参数!$B$25,IF(OR(AND(DH227="敌方",OR(DH226&lt;&gt;"敌方",DG227&lt;&gt;DG226)),AND(L227="END_TURN",DH227&lt;&gt;"洞穿"),AND(DG227&lt;&gt;DG226,DH226&lt;&gt;"洞穿",L226&lt;&gt;"END_TURN",COUNTIFS($DG$3:DG226,DG226,$DH$3:DH226,"敌方")=0)),EW227,DQ226)))</f>
        <v>0</v>
      </c>
      <c r="DN227" s="1">
        <f>MAX(0,MIN(Boss参数!$B$25,DJ227+DR227)-IF(E227="红弩箭",2*DR227,0))</f>
        <v>0</v>
      </c>
      <c r="DO227" s="1">
        <f>MAX(0,MIN(Boss参数!$B$25,DK227+DR227)-IF(E227="37",2*DR227,0))</f>
        <v>0</v>
      </c>
      <c r="DP227" s="1">
        <f>MAX(0,MIN(Boss参数!$B$25,DL227+DR227)-IF(E227="小瑞安侬",2*DR227,0))</f>
        <v>0</v>
      </c>
      <c r="DQ227" s="1">
        <f>MAX(0,MIN(Boss参数!$B$25,DM227+DR227)-IF(E227="J",2*DR227,0))</f>
        <v>0</v>
      </c>
      <c r="DR227" s="1">
        <f t="shared" si="242"/>
        <v>0</v>
      </c>
      <c r="DS227" s="1">
        <f t="shared" si="243"/>
        <v>0</v>
      </c>
      <c r="DT227" s="1">
        <f>IF(OR(E227="",E227="系统"),0,IF(OR(AND(DS227=1,Boss参数!$B$32=1),L227="RHI_BERRY",OR(AND(INDEX(角色面板!$B$18:$B$21,MATCH(E227,角色面板!$A$18:$A$21,0))="星",Boss参数!$B$4="岩"),AND(INDEX(角色面板!$B$18:$B$21,MATCH(E227,角色面板!$A$18:$A$21,0))="岩",Boss参数!$B$4="兽"),AND(INDEX(角色面板!$B$18:$B$21,MATCH(E227,角色面板!$A$18:$A$21,0))="兽",Boss参数!$B$4="木"),AND(INDEX(角色面板!$B$18:$B$21,MATCH(E227,角色面板!$A$18:$A$21,0))="木",Boss参数!$B$4="星"),AND(INDEX(角色面板!$B$18:$B$21,MATCH(E227,角色面板!$A$18:$A$21,0))="智",Boss参数!$B$4="灵"),AND(INDEX(角色面板!$B$18:$B$21,MATCH(E227,角色面板!$A$18:$A$21,0))="灵",Boss参数!$B$4="智"))),1,0))</f>
        <v>0</v>
      </c>
      <c r="DU227" s="1">
        <f>IF(D227="",0,INDEX(回合状态!$E$7:$E$17,MATCH(DG227,回合状态!$A$7:$A$17,0))+IF(AND(DH227="敌方",OR(INDEX(回合状态!$C$7:$C$17,MATCH(DG227,回合状态!$A$7:$A$17,0))="普通",INDEX(回合状态!$C$7:$C$17,MATCH(DG227,回合状态!$A$7:$A$17,0))="额外")),0.05,0))</f>
        <v>0</v>
      </c>
      <c r="DV227" s="1">
        <f>MAX(Boss参数!$B$28,1+IF(AND(E227="37",AC227&gt;0,BH227&gt;0),Boss参数!$B$42,0)-DI227*Boss参数!$B$24+EA227-ER227)</f>
        <v>9.9999999999999978E-2</v>
      </c>
      <c r="DW227" s="1">
        <f>MIN(IF(Boss参数!$B$77=1,Boss参数!$B$63*Boss参数!$B$62,Boss参数!$B$61*Boss参数!$B$62),ROUNDDOWN(BQ227*(1-ES227),0))</f>
        <v>0</v>
      </c>
      <c r="DX227" s="1">
        <f>MIN(IF(Boss参数!$B$77=1,Boss参数!$B$63*Boss参数!$B$62,Boss参数!$B$61*Boss参数!$B$62),ROUNDDOWN(BR227*(1-ES227),0))</f>
        <v>0</v>
      </c>
      <c r="DY227" s="1">
        <f t="shared" si="275"/>
        <v>250</v>
      </c>
      <c r="DZ227" s="1">
        <f>IF(L227="RHI_ULT",MIN(Boss参数!$B$48,ROUNDDOWN(AY227*Boss参数!$B$47,0)),DY227)</f>
        <v>250</v>
      </c>
      <c r="EA227" s="1">
        <v>0</v>
      </c>
      <c r="EB227" s="1">
        <f t="shared" si="244"/>
        <v>0</v>
      </c>
      <c r="EC227" s="1">
        <f>SUMIFS($EB$3:EB227,$B$3:B227,"&gt;="&amp;MAX(1,B227-2),$B$3:B227,"&lt;="&amp;B227)*Boss参数!$B$51</f>
        <v>0</v>
      </c>
      <c r="ED227" s="1">
        <f>IF(D227="",EG226,IF(AND(DG227&lt;&gt;DG226,DH227&lt;&gt;"洞穿"),MIN(Boss参数!$B$55,EG226+2),EG226))</f>
        <v>0</v>
      </c>
      <c r="EE227" s="1">
        <f t="shared" si="245"/>
        <v>0</v>
      </c>
      <c r="EF227" s="1">
        <f>IF(AND(OR(L227="END_TURN",AND(DH227="敌方",OR(DH226&lt;&gt;"敌方",DG227&lt;&gt;DG226))),SUMIFS($EF$3:EF226,$DG$3:DG226,DG227)=0),MIN(1,MAX(0,ED227-EE227)),0)</f>
        <v>0</v>
      </c>
      <c r="EG227" s="1">
        <f t="shared" si="246"/>
        <v>0</v>
      </c>
      <c r="EH227" s="1">
        <f>Boss参数!$B$53-IF(Y227=1,Boss参数!$B$54,0)</f>
        <v>0</v>
      </c>
      <c r="EI227" s="1">
        <f t="shared" si="247"/>
        <v>0.15</v>
      </c>
      <c r="EJ227" s="1">
        <f t="shared" si="248"/>
        <v>0.15</v>
      </c>
      <c r="EK227" s="1" t="e">
        <f t="shared" si="249"/>
        <v>#VALUE!</v>
      </c>
      <c r="EL227" s="1">
        <f t="shared" si="276"/>
        <v>0</v>
      </c>
      <c r="EM227" s="1">
        <f>IF(AND(DG227&lt;&gt;DG226,DH227="洞穿"),0,IF(L227="ENTER_INSIGHT",Boss参数!$B$57,EO226))</f>
        <v>0</v>
      </c>
      <c r="EN227" s="1">
        <f>IF(AND(Y227=1,H227="洞知",EM227&gt;0),Boss参数!$B$56,0)</f>
        <v>0</v>
      </c>
      <c r="EO227" s="1">
        <f t="shared" si="250"/>
        <v>0</v>
      </c>
      <c r="EP227" s="1">
        <f t="shared" si="277"/>
        <v>23210479</v>
      </c>
      <c r="EQ227" s="1">
        <f>ROUNDDOWN(EP227/Boss参数!$B$62,0)</f>
        <v>232</v>
      </c>
      <c r="ER227" s="1">
        <f>IF(EQ227&gt;=Boss参数!$B$66,Boss参数!$B$69,IF(EQ227&gt;=Boss参数!$B$65,Boss参数!$B$68,IF(EQ227&gt;=Boss参数!$B$64,Boss参数!$B$67,0)))</f>
        <v>0.9</v>
      </c>
      <c r="ES227" s="1">
        <f>MIN(1,IF(EQ227&gt;=Boss参数!$B$66,Boss参数!$B$72+ROUNDDOWN((EQ227-Boss参数!$B$66)/Boss参数!$B$73,0)*Boss参数!$B$74,IF(EQ227&gt;=Boss参数!$B$65,Boss参数!$B$71,IF(EQ227&gt;=Boss参数!$B$64,Boss参数!$B$70,0))))</f>
        <v>0.65</v>
      </c>
      <c r="ET227" s="1">
        <f>MIN(Boss参数!$B$61*Boss参数!$B$62,EP227+IF(AND(Boss参数!$B$60=1,ISNUMBER(验证表!H233)),验证表!H233,EU227))</f>
        <v>23210479</v>
      </c>
      <c r="EU227" s="1">
        <f>IF(D227="",0,IF(验证表!G233="是",BV227,IF(验证表!G233="否",BU227,BW227)))</f>
        <v>0</v>
      </c>
      <c r="EV227" s="1">
        <f>IF(EQ227&gt;=Boss参数!$B$66,2,IF(EQ227&gt;=Boss参数!$B$65,1,0))</f>
        <v>2</v>
      </c>
      <c r="EW227" s="1">
        <f t="shared" si="251"/>
        <v>3</v>
      </c>
      <c r="EX227" s="1">
        <f>IF(D227="",0,INDEX(回合状态!$D$7:$D$17,MATCH(DG227,回合状态!$A$7:$A$17,0)))</f>
        <v>0</v>
      </c>
      <c r="EY227" s="1">
        <f>IF(OR(L227="RHI_ATTACK",L227="RHI_BUFF"),1,IF(L227="RHI_ULT",Boss参数!$B$52,0))</f>
        <v>0</v>
      </c>
      <c r="EZ227" s="1">
        <f>MIN(6,SUMIFS($EY$3:EY227,$EX$3:EX227,"&gt;="&amp;MAX(1,EX227-Boss参数!$B$87+1),$EX$3:EX227,"&lt;="&amp;EX227))</f>
        <v>0</v>
      </c>
      <c r="FA227" s="1">
        <f t="shared" si="278"/>
        <v>0</v>
      </c>
      <c r="FB227" s="17">
        <f>IF(L227="BOSS_CONSERVATIVE",B227+Boss参数!$B$91,FB226)</f>
        <v>7</v>
      </c>
      <c r="FC227" s="17">
        <f t="shared" si="279"/>
        <v>0</v>
      </c>
      <c r="FD227" s="17">
        <f>IF(D227="",FD226,FD226+IF(AND(DG227&lt;&gt;DG226,INDEX(回合状态!$C$7:$C$17,MATCH(DG227,回合状态!$A$7:$A$17,0))&lt;&gt;"洞穿"),1,0))</f>
        <v>8</v>
      </c>
      <c r="FE227" s="17">
        <f>IF(D227="",0,IF(AND(OR(L227="END_TURN",DH227="敌方"),INDEX(回合状态!$C$7:$C$17,MATCH(DG227,回合状态!$A$7:$A$17,0))&lt;&gt;"洞穿",SUMIFS($FE$3:FE226,$DG$3:DG226,DG227)=0),1,0))</f>
        <v>0</v>
      </c>
    </row>
    <row r="228" spans="1:161" ht="84.95" customHeight="1">
      <c r="A228" s="1" t="str">
        <f>行动模拟!A234</f>
        <v/>
      </c>
      <c r="B228" s="1">
        <f>IF(D228="",0,INDEX(回合状态!$B$7:$B$17,MATCH(DG228,回合状态!$A$7:$A$17,0)))</f>
        <v>0</v>
      </c>
      <c r="C228" s="1">
        <f>行动模拟!C234</f>
        <v>0</v>
      </c>
      <c r="D228" s="1" t="str">
        <f>IF(行动模拟!D234="","",行动模拟!D234)</f>
        <v/>
      </c>
      <c r="E228" s="1" t="str">
        <f>IF($D228="","",IFERROR(INDEX(技能数据库!$B$4:$B$38,MATCH($D228,技能数据库!$A$4:$A$38,0)),""))</f>
        <v/>
      </c>
      <c r="F228" s="1" t="str">
        <f>IF($D228="","",IFERROR(INDEX(技能数据库!$C$4:$C$38,MATCH($D228,技能数据库!$A$4:$A$38,0)),""))</f>
        <v/>
      </c>
      <c r="G228" s="1" t="str">
        <f>IF($D228="","",IFERROR(INDEX(技能数据库!$D$4:$D$38,MATCH($D228,技能数据库!$A$4:$A$38,0)),""))</f>
        <v/>
      </c>
      <c r="H228" s="1" t="str">
        <f>IF($D228="","",IFERROR(INDEX(技能数据库!$E$4:$E$38,MATCH($D228,技能数据库!$A$4:$A$38,0)),""))</f>
        <v/>
      </c>
      <c r="I228" s="1" t="str">
        <f>IF($D228="","",IFERROR(INDEX(技能数据库!$F$4:$F$38,MATCH($D228,技能数据库!$A$4:$A$38,0)),""))</f>
        <v/>
      </c>
      <c r="J228" s="1" t="str">
        <f>IF($D228="","",IFERROR(INDEX(技能数据库!$G$4:$G$38,MATCH($D228,技能数据库!$A$4:$A$38,0)),""))</f>
        <v/>
      </c>
      <c r="K228" s="1" t="str">
        <f>IF($D228="","",IFERROR(INDEX(技能数据库!$H$4:$H$38,MATCH($D228,技能数据库!$A$4:$A$38,0)),""))</f>
        <v/>
      </c>
      <c r="L228" s="1" t="str">
        <f>IF($D228="","",IFERROR(INDEX(技能数据库!$I$4:$I$38,MATCH($D228,技能数据库!$A$4:$A$38,0)),""))</f>
        <v/>
      </c>
      <c r="M228" s="1">
        <v>1</v>
      </c>
      <c r="N228" s="1"/>
      <c r="O228" s="1"/>
      <c r="P228" s="1"/>
      <c r="Q228" s="1">
        <f t="shared" si="210"/>
        <v>0</v>
      </c>
      <c r="R228" s="1">
        <v>0</v>
      </c>
      <c r="S228" s="1">
        <v>0</v>
      </c>
      <c r="T228" s="1">
        <f>行动模拟!I234</f>
        <v>0</v>
      </c>
      <c r="U228" s="1">
        <f>IF(FD228&lt;&gt;FD227,IF(BY227=1,IF(MIN(10,CA227+IF(AND(DG228&lt;&gt;DG227,DH227&lt;&gt;"洞穿",SUMIFS($FE$3:FE227,$DG$3:DG227,DG227)=0,BY227=1),3,0))&gt;=10,2,1),IF(BY227=2,IF(BZ227&lt;=1,0,2),0)),BY227)</f>
        <v>2</v>
      </c>
      <c r="V228" s="1">
        <f>IF(FD228&lt;&gt;FD227,IF(BY227=1,IF(MIN(10,CA227+IF(AND(DG228&lt;&gt;DG227,DH227&lt;&gt;"洞穿",SUMIFS($FE$3:FE227,$DG$3:DG227,DG227)=0,BY227=1),3,0))&gt;=10,2,0),IF(BY227=2,MAX(0,BZ227-1),0)),BZ227)</f>
        <v>1</v>
      </c>
      <c r="W228" s="1">
        <f>IF(AND(FD228&lt;&gt;FD227,BY227=2,BZ227&lt;=1),0,MIN(10,CA227+IF(AND(DG228&lt;&gt;DG227,DH227&lt;&gt;"洞穿",SUMIFS($FE$3:FE227,$DG$3:DG227,DG227)=0,BY227=1),3,0)))</f>
        <v>10</v>
      </c>
      <c r="X228" s="1">
        <f t="shared" si="252"/>
        <v>13</v>
      </c>
      <c r="Y228" s="1">
        <f t="shared" si="253"/>
        <v>0</v>
      </c>
      <c r="Z228" s="1">
        <f t="shared" si="254"/>
        <v>0</v>
      </c>
      <c r="AA228" s="1">
        <f t="shared" si="255"/>
        <v>0</v>
      </c>
      <c r="AB228" s="1">
        <f t="shared" si="256"/>
        <v>10</v>
      </c>
      <c r="AC228" s="1">
        <f t="shared" si="257"/>
        <v>1</v>
      </c>
      <c r="AD228" s="1">
        <f t="shared" si="258"/>
        <v>35</v>
      </c>
      <c r="AE228" s="1">
        <f>IF(D228="",0,IF(DG228&lt;&gt;DG227,IFERROR(INDEX(回合状态!$F$7:$F$17,MATCH(DG228,回合状态!$A$7:$A$17,0)),0),CI227))</f>
        <v>0</v>
      </c>
      <c r="AF228" s="1">
        <f t="shared" si="259"/>
        <v>0.875</v>
      </c>
      <c r="AG228" s="1">
        <f t="shared" si="260"/>
        <v>9</v>
      </c>
      <c r="AH228" s="1">
        <f t="shared" si="261"/>
        <v>9</v>
      </c>
      <c r="AI228" s="1">
        <f t="shared" si="262"/>
        <v>8</v>
      </c>
      <c r="AJ228" s="1">
        <f t="shared" si="263"/>
        <v>9</v>
      </c>
      <c r="AK228" s="1">
        <f t="shared" si="264"/>
        <v>8</v>
      </c>
      <c r="AL228" s="1">
        <f t="shared" si="265"/>
        <v>3</v>
      </c>
      <c r="AM228" s="1">
        <f t="shared" si="266"/>
        <v>30</v>
      </c>
      <c r="AN228" s="1">
        <f t="shared" si="267"/>
        <v>9</v>
      </c>
      <c r="AO228" s="1">
        <f t="shared" si="268"/>
        <v>0</v>
      </c>
      <c r="AP228" s="1" t="e">
        <f t="shared" si="269"/>
        <v>#VALUE!</v>
      </c>
      <c r="AQ228" s="1" t="e">
        <f t="shared" si="270"/>
        <v>#VALUE!</v>
      </c>
      <c r="AR228" s="1">
        <f t="shared" si="271"/>
        <v>0.3</v>
      </c>
      <c r="AS228" s="1">
        <f t="shared" si="272"/>
        <v>9</v>
      </c>
      <c r="AT228" s="1">
        <f t="shared" si="273"/>
        <v>0.3</v>
      </c>
      <c r="AU228" s="1">
        <f t="shared" si="274"/>
        <v>9</v>
      </c>
      <c r="AV228" s="1">
        <f>MIN(5,SUMIFS($EL$3:EL228,$B$3:B228,"&gt;="&amp;MAX(1,B228-2),$B$3:B228,"&lt;="&amp;B228)+EC228)</f>
        <v>0</v>
      </c>
      <c r="AW228" s="1">
        <f>MIN(6,SUMIFS($EY$3:EY227,$EX$3:EX227,"&gt;="&amp;MAX(1,EX228-Boss参数!$B$87+1),$EX$3:EX227,"&lt;="&amp;EX228))</f>
        <v>0</v>
      </c>
      <c r="AX228" s="1">
        <f>MIN(4,COUNTIFS($B$3:$B$227,"&gt;="&amp;MAX(1,$B228-2),$B$3:$B$227,"&lt;="&amp;$B228,$L$3:$L$227,"37_FOLLOW"))</f>
        <v>0</v>
      </c>
      <c r="AY228" s="1" t="str">
        <f>IF($E228="","",IF($E228="系统",0,ROUNDDOWN(INDEX(角色面板!$C$4:$C$7,MATCH($E228,角色面板!$A$4:$A$7,0))*(1+INDEX(角色面板!$C$11:$C$14,MATCH($E228,角色面板!$A$11:$A$14,0))+IF($E228="小瑞安侬",MAX(IF($B228&lt;=$AQ228,$AP228,0),IF(AND($L228="RHI_ATTACK",$EE228&gt;0),0.11+0.01*$G228,0)),0)+IF($E228="J",$AD228*Boss参数!$B$18,0))+IF(FD228&lt;=$AN228,MIN(Boss参数!$B$21,ROUNDDOWN(角色面板!$C$19*Boss参数!$B$20,0)),0)+IF(AND($B228&lt;=$AK228,$E228&lt;&gt;"小瑞安侬"),$DY228,0),0)))</f>
        <v/>
      </c>
      <c r="AZ228" s="1" t="str">
        <f>IF($E228="","",MAX(0,MIN(1,IFERROR(INDEX(角色面板!$G$18:$G$21,MATCH($E228,角色面板!$A$18:$A$21,0)),0)-FC228*Boss参数!$B$89-Boss参数!$E$4)))</f>
        <v/>
      </c>
      <c r="BA228" s="1" t="str">
        <f>IF(E228="","",(IF($E228="","",IF($E228="红弩箭",Boss参数!$B$80,IF($E228="J",Boss参数!$B$81,IFERROR(INDEX(角色面板!$H$18:$H$21,MATCH($E228,角色面板!$A$18:$A$21,0)),0)))+IF($B228&lt;=$AI228,Boss参数!$B$13,0)+MIN(30,$AM228)*Boss参数!$B$17+IF(AND($L228="LILYA_ULT",$X228&gt;=6),1,0)+IF(AND($Y228=1,$L228="LILYA_INSIGHT"),IF(MOD($AA228+1,3)=0,Boss参数!$B$83,Boss参数!$B$82),IF(AND($Y228=1,$L228="LILYA_FINISH"),Boss参数!$B$84,0))))-FC228*Boss参数!$B$90)</f>
        <v/>
      </c>
      <c r="BB228" s="1" t="str">
        <f>IF($E228="","",IFERROR(INDEX(角色面板!$M$18:$M$21,MATCH($E228,角色面板!$A$18:$A$21,0)),0)+$AW228*Boss参数!$B$12+IF($B228&lt;=$AG228,$AF228,0)+$EI228+IF($L228="LILYA_DIVE",IF($U228=1,IF($G228=1,0.3,IF($G228=2,0.4,0.5)),IF($U228=2,IF($G228=1,0.6,IF($G228=2,0.8,1)),0)),0)+$R228+IF(AND($E228="J",OR($L228="J_COUNTER",$L228="J_HARD")),Boss参数!$B$79,0)+IF(AND(OR(L228="J_COUNTER",L228="J_HARD"),FA228&gt;=Boss参数!$B$59),FA228*Boss参数!$B$40,0))</f>
        <v/>
      </c>
      <c r="BC228" s="1" t="e">
        <f>IF($E228="","",IFERROR(INDEX(角色面板!$K$18:$K$21,MATCH($E228,角色面板!$A$18:$A$21,0)),0)+IF($B228&lt;=$AH228,Boss参数!$B$46,0)+IF($E228="红弩箭",IF($U228=1,0.6,IF($U228=2,1.2,0))+$W228*0.06,0))-DI228*Boss参数!$B$23</f>
        <v>#VALUE!</v>
      </c>
      <c r="BD228" s="1" t="e">
        <f>IF($E228="","",IFERROR(INDEX(角色面板!$L$18:$L$21,MATCH($E228,角色面板!$A$18:$A$21,0)),0)+IF($B228&lt;=$AH228,Boss参数!$B$46,0)+IF($E228="J",$AL228*Boss参数!$B$16,0)+IF($E228="红弩箭",$X228*0.025,0)+IF(AND($L228="LILYA_ULT",$X228&gt;=6),1,0))-DI228*Boss参数!$B$23</f>
        <v>#VALUE!</v>
      </c>
      <c r="BE228" s="1" t="str">
        <f>IF($E228="","",IF($H228="洞知",IF($E228="红弩箭",$AO228*Boss参数!$B$15,0)+$AX228*Boss参数!$B$14,0))</f>
        <v/>
      </c>
      <c r="BF228" s="1">
        <f t="shared" si="211"/>
        <v>0</v>
      </c>
      <c r="BG228" s="1">
        <f>IF($D228="",0,IF(AND($L228&lt;&gt;"LILYA_DIVE",$L228&lt;&gt;"LILYA_ULT",$L228&lt;&gt;"LILYA_INSIGHT",$L228&lt;&gt;"LILYA_FINISH",$L228&lt;&gt;"37_FOLLOW",$L228&lt;&gt;"RHI_ATTACK",$L228&lt;&gt;"RHI_BERRY",$L228&lt;&gt;"J_COUNTER",$L228&lt;&gt;"J_ULT"),$J228,0)+IF($L228="LILYA_DIVE",$J228+IF($U228=1,IF($G228=1,6,IF($G228=2,12,18)),IF($U228=2,IF($G228=1,12,IF($G228=2,24,36)),0)),0)+IF($L228="LILYA_ULT",$J228+IF($X228&gt;=6,18,0),0)+IF($L228="LILYA_INSIGHT",IF($Y228=1,IF(MOD($AA228+1,3)=0,32,15),0),0)+IF($L228="LILYA_FINISH",IF($Y228=1,50+2.5*$Z228,0),0)+IF($L228="37_FOLLOW",$J228,0)+IF($L228="RHI_ATTACK",$J228*IF($B228&lt;=$AJ228,2,1),0)+IF($L228="RHI_BERRY",15+1.5*$AV228,0)+IF($L228="J_COUNTER",$J228+$AD228*Boss参数!$B$39,0)+IF($L228="J_ULT",$J228+Boss参数!$B$45*MAX(0,$AE228+$AD228-Boss参数!$I$4),0)+$S228)</f>
        <v>0</v>
      </c>
      <c r="BH228" s="1">
        <f t="shared" si="212"/>
        <v>0</v>
      </c>
      <c r="BI228" s="1" t="str">
        <f>IF(E228="","",IF(DT228=1,1+Boss参数!$B$8+AV228*Boss参数!$B$19,1))</f>
        <v/>
      </c>
      <c r="BJ228" s="1">
        <f>IF($I228="现实",Boss参数!$C$4,IF($I228="精神",Boss参数!$D$4,0))</f>
        <v>0</v>
      </c>
      <c r="BK228" s="1" t="str">
        <f>IF($E228="","",MAX($AY228*Boss参数!$B$9,$AY228-$BJ228*(1-$BF228)))</f>
        <v/>
      </c>
      <c r="BL228" s="1">
        <f>MAX(0,Boss参数!$F$4+IF(DT228=0,Boss参数!$B$27,0)-EJ228)</f>
        <v>1.25</v>
      </c>
      <c r="BM228" s="1">
        <f>Boss参数!$G$4+DU228-IF(Y228=1,Boss参数!$B$11,0)</f>
        <v>0.4</v>
      </c>
      <c r="BN228" s="1" t="str">
        <f>IF($E228="","",MAX(Boss参数!$B$10,1+IFERROR(INDEX(角色面板!$I$18:$I$21,MATCH($E228,角色面板!$A$18:$A$21,0)),0)+$BB228+Boss参数!$H$4-$BM228))</f>
        <v/>
      </c>
      <c r="BO228" s="1" t="str">
        <f>IF(E228="","",IF(OR(L228="J_COUNTER",L228="J_HARD"),MAX(0,1+INDEX(角色面板!$K$18:$K$21,MATCH(E228,角色面板!$A$18:$A$21,0))-DI228*Boss参数!$B$23+IF(OR(Boss参数!$B$43=1,L228="J_HARD"),IF(B228&lt;=AH228,Boss参数!$B$46,0),0)),MAX(0,IF(OR(H228="术法",L228="RHI_BERRY",AND(L228="37_FOLLOW",Boss参数!$B$31=1)),1+BC228,IF(H228="仪式",1+BD228,IF(H228="洞知",EK228,1))))))</f>
        <v/>
      </c>
      <c r="BP228" s="1" t="str">
        <f t="shared" si="213"/>
        <v/>
      </c>
      <c r="BQ228" s="1">
        <f t="shared" si="214"/>
        <v>0</v>
      </c>
      <c r="BR228" s="1">
        <f t="shared" si="215"/>
        <v>0</v>
      </c>
      <c r="BS228" s="1">
        <f>IF(BH228=0,0,ROUNDDOWN(AY228*BH228,0)*DV228*IF(Boss参数!$B$29=1,BN228,1)*IF(Boss参数!$B$33=1,BO228,1)*IF(Boss参数!$B$76=1,1-ES228,1))</f>
        <v>0</v>
      </c>
      <c r="BT228" s="1">
        <f t="shared" si="216"/>
        <v>0</v>
      </c>
      <c r="BU228" s="1">
        <f>IF(D228="",0,MIN(IF(Boss参数!$B$77=1,Boss参数!$B$63*Boss参数!$B$62,Boss参数!$B$61*Boss参数!$B$62),DW228+ROUNDDOWN(BS228,0)+ROUNDDOWN(DW228*Q228,0)))</f>
        <v>0</v>
      </c>
      <c r="BV228" s="1">
        <f>IF(D228="",0,MIN(IF(Boss参数!$B$77=1,Boss参数!$B$63*Boss参数!$B$62,Boss参数!$B$61*Boss参数!$B$62),DX228+ROUNDDOWN(BT228,0)+ROUNDDOWN(DX228*Q228,0)))</f>
        <v>0</v>
      </c>
      <c r="BW228" s="1">
        <f t="shared" si="217"/>
        <v>0</v>
      </c>
      <c r="BX228" s="1" t="str">
        <f t="shared" si="218"/>
        <v/>
      </c>
      <c r="BY228" s="1">
        <f t="shared" si="219"/>
        <v>2</v>
      </c>
      <c r="BZ228" s="1">
        <f t="shared" si="220"/>
        <v>1</v>
      </c>
      <c r="CA228" s="1">
        <f>MIN(10,W228+IF(AND(L228="LILYA_COBRA",COUNTIF($L$3:L228,"LILYA_COBRA")=1),5,0)+IF(AND(L228="LILYA_DIVE",U228=1,COUNTIFS($DG$3:DG228,DG228,$L$3:L228,"LILYA_DIVE")=1),2,0)+IF(AND(FE228=1,U228=1),3,0))</f>
        <v>10</v>
      </c>
      <c r="CB228" s="1">
        <f>MIN(20,MAX(0,X228+IF(L228="LILYA_COBRA",IF(COUNTIF($L$3:L228,"LILYA_COBRA")=1,6,IF(U228=1,MAX(1,G228),IF(U228=2,2*MAX(1,G228),0))),0)+IF(AND(Y228=1,E228="红弩箭",L228&lt;&gt;"ENTER_INSIGHT"),1,0)-IF(AND(L228="LILYA_ULT",X228&gt;=6),6,0)))</f>
        <v>13</v>
      </c>
      <c r="CC228" s="1">
        <f t="shared" si="221"/>
        <v>0</v>
      </c>
      <c r="CD228" s="1">
        <f t="shared" si="222"/>
        <v>0</v>
      </c>
      <c r="CE228" s="1">
        <f t="shared" si="223"/>
        <v>0</v>
      </c>
      <c r="CF228" s="1">
        <f t="shared" si="224"/>
        <v>10</v>
      </c>
      <c r="CG228" s="1">
        <f t="shared" si="225"/>
        <v>1</v>
      </c>
      <c r="CH228" s="1">
        <f>MIN(35,AD228+IF(L228="J_HARD",6,0)+IF(L228="J_COUNTER",Boss参数!$B$30,0))</f>
        <v>35</v>
      </c>
      <c r="CI228" s="1">
        <f>MIN(Boss参数!$I$4,AE228+IF(L228="J_HARD",6,0)+IF(L228="J_ULT",AD228,0)+IF(L228="J_COUNTER",Boss参数!$B$30,0))</f>
        <v>0</v>
      </c>
      <c r="CJ228" s="1">
        <f>IF(L228="J_ULT",AD228*Boss参数!$B$41,IF(B228&lt;=AG228,AF228,0))</f>
        <v>0.875</v>
      </c>
      <c r="CK228" s="1">
        <f t="shared" si="226"/>
        <v>9</v>
      </c>
      <c r="CL228" s="1">
        <f t="shared" si="227"/>
        <v>9</v>
      </c>
      <c r="CM228" s="1">
        <f t="shared" si="228"/>
        <v>8</v>
      </c>
      <c r="CN228" s="1">
        <f t="shared" si="229"/>
        <v>9</v>
      </c>
      <c r="CO228" s="1">
        <f t="shared" si="230"/>
        <v>8</v>
      </c>
      <c r="CP228" s="1">
        <f t="shared" si="231"/>
        <v>3</v>
      </c>
      <c r="CQ228" s="1">
        <f t="shared" si="232"/>
        <v>30</v>
      </c>
      <c r="CR228" s="1">
        <f t="shared" si="233"/>
        <v>9</v>
      </c>
      <c r="CS228" s="1">
        <f t="shared" si="234"/>
        <v>0</v>
      </c>
      <c r="CT228" s="1" t="e">
        <f t="shared" si="235"/>
        <v>#VALUE!</v>
      </c>
      <c r="CU228" s="1" t="e">
        <f t="shared" si="236"/>
        <v>#VALUE!</v>
      </c>
      <c r="CV228" s="1">
        <f t="shared" si="237"/>
        <v>0.3</v>
      </c>
      <c r="CW228" s="1">
        <f t="shared" si="238"/>
        <v>9</v>
      </c>
      <c r="CX228" s="1">
        <f t="shared" si="239"/>
        <v>0.3</v>
      </c>
      <c r="CY228" s="1">
        <f t="shared" si="240"/>
        <v>9</v>
      </c>
      <c r="CZ228" s="1"/>
      <c r="DA228" s="1"/>
      <c r="DB228" s="1"/>
      <c r="DC228" s="1"/>
      <c r="DD228" s="1"/>
      <c r="DE228" s="1"/>
      <c r="DF228" s="1"/>
      <c r="DG228" s="1" t="str">
        <f>IF(D228="","",行动模拟!B234)</f>
        <v/>
      </c>
      <c r="DH228" s="1" t="str">
        <f>IF(L228="END_TURN","回合结束",IF(D228="","",IF(INDEX(回合状态!$C$7:$C$17,MATCH(DG228,回合状态!$A$7:$A$17,0))="洞穿","洞穿",IF(OR(L228="J_COUNTER",L228="BOSS_ACTION",L228="BOSS_CONSERVATIVE"),"敌方",IF(AND(L228="37_FOLLOW",DG228=DG227,DH227="敌方"),"敌方",IF(INDEX(回合状态!$C$7:$C$17,MATCH(DG228,回合状态!$A$7:$A$17,0))="普通","出牌",INDEX(回合状态!$C$7:$C$17,MATCH(DG228,回合状态!$A$7:$A$17,0))))))))</f>
        <v/>
      </c>
      <c r="DI228" s="1">
        <f t="shared" si="241"/>
        <v>0</v>
      </c>
      <c r="DJ228" s="1">
        <f>IF(D228="",0,MIN(Boss参数!$B$25,IF(OR(AND(DH228="敌方",OR(DH227&lt;&gt;"敌方",DG228&lt;&gt;DG227)),AND(L228="END_TURN",DH228&lt;&gt;"洞穿"),AND(DG228&lt;&gt;DG227,DH227&lt;&gt;"洞穿",L227&lt;&gt;"END_TURN",COUNTIFS($DG$3:DG227,DG227,$DH$3:DH227,"敌方")=0)),EW228,DN227)))</f>
        <v>0</v>
      </c>
      <c r="DK228" s="1">
        <f>IF(D228="",0,MIN(Boss参数!$B$25,IF(OR(AND(DH228="敌方",OR(DH227&lt;&gt;"敌方",DG228&lt;&gt;DG227)),AND(L228="END_TURN",DH228&lt;&gt;"洞穿"),AND(DG228&lt;&gt;DG227,DH227&lt;&gt;"洞穿",L227&lt;&gt;"END_TURN",COUNTIFS($DG$3:DG227,DG227,$DH$3:DH227,"敌方")=0)),EW228,DO227)))</f>
        <v>0</v>
      </c>
      <c r="DL228" s="1">
        <f>IF(D228="",0,MIN(Boss参数!$B$25,IF(OR(AND(DH228="敌方",OR(DH227&lt;&gt;"敌方",DG228&lt;&gt;DG227)),AND(L228="END_TURN",DH228&lt;&gt;"洞穿"),AND(DG228&lt;&gt;DG227,DH227&lt;&gt;"洞穿",L227&lt;&gt;"END_TURN",COUNTIFS($DG$3:DG227,DG227,$DH$3:DH227,"敌方")=0)),EW228,DP227)))</f>
        <v>0</v>
      </c>
      <c r="DM228" s="1">
        <f>IF(D228="",0,MIN(Boss参数!$B$25,IF(OR(AND(DH228="敌方",OR(DH227&lt;&gt;"敌方",DG228&lt;&gt;DG227)),AND(L228="END_TURN",DH228&lt;&gt;"洞穿"),AND(DG228&lt;&gt;DG227,DH227&lt;&gt;"洞穿",L227&lt;&gt;"END_TURN",COUNTIFS($DG$3:DG227,DG227,$DH$3:DH227,"敌方")=0)),EW228,DQ227)))</f>
        <v>0</v>
      </c>
      <c r="DN228" s="1">
        <f>MAX(0,MIN(Boss参数!$B$25,DJ228+DR228)-IF(E228="红弩箭",2*DR228,0))</f>
        <v>0</v>
      </c>
      <c r="DO228" s="1">
        <f>MAX(0,MIN(Boss参数!$B$25,DK228+DR228)-IF(E228="37",2*DR228,0))</f>
        <v>0</v>
      </c>
      <c r="DP228" s="1">
        <f>MAX(0,MIN(Boss参数!$B$25,DL228+DR228)-IF(E228="小瑞安侬",2*DR228,0))</f>
        <v>0</v>
      </c>
      <c r="DQ228" s="1">
        <f>MAX(0,MIN(Boss参数!$B$25,DM228+DR228)-IF(E228="J",2*DR228,0))</f>
        <v>0</v>
      </c>
      <c r="DR228" s="1">
        <f t="shared" si="242"/>
        <v>0</v>
      </c>
      <c r="DS228" s="1">
        <f t="shared" si="243"/>
        <v>0</v>
      </c>
      <c r="DT228" s="1">
        <f>IF(OR(E228="",E228="系统"),0,IF(OR(AND(DS228=1,Boss参数!$B$32=1),L228="RHI_BERRY",OR(AND(INDEX(角色面板!$B$18:$B$21,MATCH(E228,角色面板!$A$18:$A$21,0))="星",Boss参数!$B$4="岩"),AND(INDEX(角色面板!$B$18:$B$21,MATCH(E228,角色面板!$A$18:$A$21,0))="岩",Boss参数!$B$4="兽"),AND(INDEX(角色面板!$B$18:$B$21,MATCH(E228,角色面板!$A$18:$A$21,0))="兽",Boss参数!$B$4="木"),AND(INDEX(角色面板!$B$18:$B$21,MATCH(E228,角色面板!$A$18:$A$21,0))="木",Boss参数!$B$4="星"),AND(INDEX(角色面板!$B$18:$B$21,MATCH(E228,角色面板!$A$18:$A$21,0))="智",Boss参数!$B$4="灵"),AND(INDEX(角色面板!$B$18:$B$21,MATCH(E228,角色面板!$A$18:$A$21,0))="灵",Boss参数!$B$4="智"))),1,0))</f>
        <v>0</v>
      </c>
      <c r="DU228" s="1">
        <f>IF(D228="",0,INDEX(回合状态!$E$7:$E$17,MATCH(DG228,回合状态!$A$7:$A$17,0))+IF(AND(DH228="敌方",OR(INDEX(回合状态!$C$7:$C$17,MATCH(DG228,回合状态!$A$7:$A$17,0))="普通",INDEX(回合状态!$C$7:$C$17,MATCH(DG228,回合状态!$A$7:$A$17,0))="额外")),0.05,0))</f>
        <v>0</v>
      </c>
      <c r="DV228" s="1">
        <f>MAX(Boss参数!$B$28,1+IF(AND(E228="37",AC228&gt;0,BH228&gt;0),Boss参数!$B$42,0)-DI228*Boss参数!$B$24+EA228-ER228)</f>
        <v>9.9999999999999978E-2</v>
      </c>
      <c r="DW228" s="1">
        <f>MIN(IF(Boss参数!$B$77=1,Boss参数!$B$63*Boss参数!$B$62,Boss参数!$B$61*Boss参数!$B$62),ROUNDDOWN(BQ228*(1-ES228),0))</f>
        <v>0</v>
      </c>
      <c r="DX228" s="1">
        <f>MIN(IF(Boss参数!$B$77=1,Boss参数!$B$63*Boss参数!$B$62,Boss参数!$B$61*Boss参数!$B$62),ROUNDDOWN(BR228*(1-ES228),0))</f>
        <v>0</v>
      </c>
      <c r="DY228" s="1">
        <f t="shared" si="275"/>
        <v>250</v>
      </c>
      <c r="DZ228" s="1">
        <f>IF(L228="RHI_ULT",MIN(Boss参数!$B$48,ROUNDDOWN(AY228*Boss参数!$B$47,0)),DY228)</f>
        <v>250</v>
      </c>
      <c r="EA228" s="1">
        <v>0</v>
      </c>
      <c r="EB228" s="1">
        <f t="shared" si="244"/>
        <v>0</v>
      </c>
      <c r="EC228" s="1">
        <f>SUMIFS($EB$3:EB228,$B$3:B228,"&gt;="&amp;MAX(1,B228-2),$B$3:B228,"&lt;="&amp;B228)*Boss参数!$B$51</f>
        <v>0</v>
      </c>
      <c r="ED228" s="1">
        <f>IF(D228="",EG227,IF(AND(DG228&lt;&gt;DG227,DH228&lt;&gt;"洞穿"),MIN(Boss参数!$B$55,EG227+2),EG227))</f>
        <v>0</v>
      </c>
      <c r="EE228" s="1">
        <f t="shared" si="245"/>
        <v>0</v>
      </c>
      <c r="EF228" s="1">
        <f>IF(AND(OR(L228="END_TURN",AND(DH228="敌方",OR(DH227&lt;&gt;"敌方",DG228&lt;&gt;DG227))),SUMIFS($EF$3:EF227,$DG$3:DG227,DG228)=0),MIN(1,MAX(0,ED228-EE228)),0)</f>
        <v>0</v>
      </c>
      <c r="EG228" s="1">
        <f t="shared" si="246"/>
        <v>0</v>
      </c>
      <c r="EH228" s="1">
        <f>Boss参数!$B$53-IF(Y228=1,Boss参数!$B$54,0)</f>
        <v>0</v>
      </c>
      <c r="EI228" s="1">
        <f t="shared" si="247"/>
        <v>0.15</v>
      </c>
      <c r="EJ228" s="1">
        <f t="shared" si="248"/>
        <v>0.15</v>
      </c>
      <c r="EK228" s="1" t="e">
        <f t="shared" si="249"/>
        <v>#VALUE!</v>
      </c>
      <c r="EL228" s="1">
        <f t="shared" si="276"/>
        <v>0</v>
      </c>
      <c r="EM228" s="1">
        <f>IF(AND(DG228&lt;&gt;DG227,DH228="洞穿"),0,IF(L228="ENTER_INSIGHT",Boss参数!$B$57,EO227))</f>
        <v>0</v>
      </c>
      <c r="EN228" s="1">
        <f>IF(AND(Y228=1,H228="洞知",EM228&gt;0),Boss参数!$B$56,0)</f>
        <v>0</v>
      </c>
      <c r="EO228" s="1">
        <f t="shared" si="250"/>
        <v>0</v>
      </c>
      <c r="EP228" s="1">
        <f t="shared" si="277"/>
        <v>23210479</v>
      </c>
      <c r="EQ228" s="1">
        <f>ROUNDDOWN(EP228/Boss参数!$B$62,0)</f>
        <v>232</v>
      </c>
      <c r="ER228" s="1">
        <f>IF(EQ228&gt;=Boss参数!$B$66,Boss参数!$B$69,IF(EQ228&gt;=Boss参数!$B$65,Boss参数!$B$68,IF(EQ228&gt;=Boss参数!$B$64,Boss参数!$B$67,0)))</f>
        <v>0.9</v>
      </c>
      <c r="ES228" s="1">
        <f>MIN(1,IF(EQ228&gt;=Boss参数!$B$66,Boss参数!$B$72+ROUNDDOWN((EQ228-Boss参数!$B$66)/Boss参数!$B$73,0)*Boss参数!$B$74,IF(EQ228&gt;=Boss参数!$B$65,Boss参数!$B$71,IF(EQ228&gt;=Boss参数!$B$64,Boss参数!$B$70,0))))</f>
        <v>0.65</v>
      </c>
      <c r="ET228" s="1">
        <f>MIN(Boss参数!$B$61*Boss参数!$B$62,EP228+IF(AND(Boss参数!$B$60=1,ISNUMBER(验证表!H234)),验证表!H234,EU228))</f>
        <v>23210479</v>
      </c>
      <c r="EU228" s="1">
        <f>IF(D228="",0,IF(验证表!G234="是",BV228,IF(验证表!G234="否",BU228,BW228)))</f>
        <v>0</v>
      </c>
      <c r="EV228" s="1">
        <f>IF(EQ228&gt;=Boss参数!$B$66,2,IF(EQ228&gt;=Boss参数!$B$65,1,0))</f>
        <v>2</v>
      </c>
      <c r="EW228" s="1">
        <f t="shared" si="251"/>
        <v>3</v>
      </c>
      <c r="EX228" s="1">
        <f>IF(D228="",0,INDEX(回合状态!$D$7:$D$17,MATCH(DG228,回合状态!$A$7:$A$17,0)))</f>
        <v>0</v>
      </c>
      <c r="EY228" s="1">
        <f>IF(OR(L228="RHI_ATTACK",L228="RHI_BUFF"),1,IF(L228="RHI_ULT",Boss参数!$B$52,0))</f>
        <v>0</v>
      </c>
      <c r="EZ228" s="1">
        <f>MIN(6,SUMIFS($EY$3:EY228,$EX$3:EX228,"&gt;="&amp;MAX(1,EX228-Boss参数!$B$87+1),$EX$3:EX228,"&lt;="&amp;EX228))</f>
        <v>0</v>
      </c>
      <c r="FA228" s="1">
        <f t="shared" si="278"/>
        <v>0</v>
      </c>
      <c r="FB228" s="17">
        <f>IF(L228="BOSS_CONSERVATIVE",B228+Boss参数!$B$91,FB227)</f>
        <v>7</v>
      </c>
      <c r="FC228" s="17">
        <f t="shared" si="279"/>
        <v>0</v>
      </c>
      <c r="FD228" s="17">
        <f>IF(D228="",FD227,FD227+IF(AND(DG228&lt;&gt;DG227,INDEX(回合状态!$C$7:$C$17,MATCH(DG228,回合状态!$A$7:$A$17,0))&lt;&gt;"洞穿"),1,0))</f>
        <v>8</v>
      </c>
      <c r="FE228" s="17">
        <f>IF(D228="",0,IF(AND(OR(L228="END_TURN",DH228="敌方"),INDEX(回合状态!$C$7:$C$17,MATCH(DG228,回合状态!$A$7:$A$17,0))&lt;&gt;"洞穿",SUMIFS($FE$3:FE227,$DG$3:DG227,DG228)=0),1,0))</f>
        <v>0</v>
      </c>
    </row>
    <row r="229" spans="1:161" ht="84.95" customHeight="1">
      <c r="A229" s="1" t="str">
        <f>行动模拟!A235</f>
        <v/>
      </c>
      <c r="B229" s="1">
        <f>IF(D229="",0,INDEX(回合状态!$B$7:$B$17,MATCH(DG229,回合状态!$A$7:$A$17,0)))</f>
        <v>0</v>
      </c>
      <c r="C229" s="1">
        <f>行动模拟!C235</f>
        <v>0</v>
      </c>
      <c r="D229" s="1" t="str">
        <f>IF(行动模拟!D235="","",行动模拟!D235)</f>
        <v/>
      </c>
      <c r="E229" s="1" t="str">
        <f>IF($D229="","",IFERROR(INDEX(技能数据库!$B$4:$B$38,MATCH($D229,技能数据库!$A$4:$A$38,0)),""))</f>
        <v/>
      </c>
      <c r="F229" s="1" t="str">
        <f>IF($D229="","",IFERROR(INDEX(技能数据库!$C$4:$C$38,MATCH($D229,技能数据库!$A$4:$A$38,0)),""))</f>
        <v/>
      </c>
      <c r="G229" s="1" t="str">
        <f>IF($D229="","",IFERROR(INDEX(技能数据库!$D$4:$D$38,MATCH($D229,技能数据库!$A$4:$A$38,0)),""))</f>
        <v/>
      </c>
      <c r="H229" s="1" t="str">
        <f>IF($D229="","",IFERROR(INDEX(技能数据库!$E$4:$E$38,MATCH($D229,技能数据库!$A$4:$A$38,0)),""))</f>
        <v/>
      </c>
      <c r="I229" s="1" t="str">
        <f>IF($D229="","",IFERROR(INDEX(技能数据库!$F$4:$F$38,MATCH($D229,技能数据库!$A$4:$A$38,0)),""))</f>
        <v/>
      </c>
      <c r="J229" s="1" t="str">
        <f>IF($D229="","",IFERROR(INDEX(技能数据库!$G$4:$G$38,MATCH($D229,技能数据库!$A$4:$A$38,0)),""))</f>
        <v/>
      </c>
      <c r="K229" s="1" t="str">
        <f>IF($D229="","",IFERROR(INDEX(技能数据库!$H$4:$H$38,MATCH($D229,技能数据库!$A$4:$A$38,0)),""))</f>
        <v/>
      </c>
      <c r="L229" s="1" t="str">
        <f>IF($D229="","",IFERROR(INDEX(技能数据库!$I$4:$I$38,MATCH($D229,技能数据库!$A$4:$A$38,0)),""))</f>
        <v/>
      </c>
      <c r="M229" s="1">
        <v>1</v>
      </c>
      <c r="N229" s="1"/>
      <c r="O229" s="1"/>
      <c r="P229" s="1"/>
      <c r="Q229" s="1">
        <f t="shared" si="210"/>
        <v>0</v>
      </c>
      <c r="R229" s="1">
        <v>0</v>
      </c>
      <c r="S229" s="1">
        <v>0</v>
      </c>
      <c r="T229" s="1">
        <f>行动模拟!I235</f>
        <v>0</v>
      </c>
      <c r="U229" s="1">
        <f>IF(FD229&lt;&gt;FD228,IF(BY228=1,IF(MIN(10,CA228+IF(AND(DG229&lt;&gt;DG228,DH228&lt;&gt;"洞穿",SUMIFS($FE$3:FE228,$DG$3:DG228,DG228)=0,BY228=1),3,0))&gt;=10,2,1),IF(BY228=2,IF(BZ228&lt;=1,0,2),0)),BY228)</f>
        <v>2</v>
      </c>
      <c r="V229" s="1">
        <f>IF(FD229&lt;&gt;FD228,IF(BY228=1,IF(MIN(10,CA228+IF(AND(DG229&lt;&gt;DG228,DH228&lt;&gt;"洞穿",SUMIFS($FE$3:FE228,$DG$3:DG228,DG228)=0,BY228=1),3,0))&gt;=10,2,0),IF(BY228=2,MAX(0,BZ228-1),0)),BZ228)</f>
        <v>1</v>
      </c>
      <c r="W229" s="1">
        <f>IF(AND(FD229&lt;&gt;FD228,BY228=2,BZ228&lt;=1),0,MIN(10,CA228+IF(AND(DG229&lt;&gt;DG228,DH228&lt;&gt;"洞穿",SUMIFS($FE$3:FE228,$DG$3:DG228,DG228)=0,BY228=1),3,0)))</f>
        <v>10</v>
      </c>
      <c r="X229" s="1">
        <f t="shared" si="252"/>
        <v>13</v>
      </c>
      <c r="Y229" s="1">
        <f t="shared" si="253"/>
        <v>0</v>
      </c>
      <c r="Z229" s="1">
        <f t="shared" si="254"/>
        <v>0</v>
      </c>
      <c r="AA229" s="1">
        <f t="shared" si="255"/>
        <v>0</v>
      </c>
      <c r="AB229" s="1">
        <f t="shared" si="256"/>
        <v>10</v>
      </c>
      <c r="AC229" s="1">
        <f t="shared" si="257"/>
        <v>1</v>
      </c>
      <c r="AD229" s="1">
        <f t="shared" si="258"/>
        <v>35</v>
      </c>
      <c r="AE229" s="1">
        <f>IF(D229="",0,IF(DG229&lt;&gt;DG228,IFERROR(INDEX(回合状态!$F$7:$F$17,MATCH(DG229,回合状态!$A$7:$A$17,0)),0),CI228))</f>
        <v>0</v>
      </c>
      <c r="AF229" s="1">
        <f t="shared" si="259"/>
        <v>0.875</v>
      </c>
      <c r="AG229" s="1">
        <f t="shared" si="260"/>
        <v>9</v>
      </c>
      <c r="AH229" s="1">
        <f t="shared" si="261"/>
        <v>9</v>
      </c>
      <c r="AI229" s="1">
        <f t="shared" si="262"/>
        <v>8</v>
      </c>
      <c r="AJ229" s="1">
        <f t="shared" si="263"/>
        <v>9</v>
      </c>
      <c r="AK229" s="1">
        <f t="shared" si="264"/>
        <v>8</v>
      </c>
      <c r="AL229" s="1">
        <f t="shared" si="265"/>
        <v>3</v>
      </c>
      <c r="AM229" s="1">
        <f t="shared" si="266"/>
        <v>30</v>
      </c>
      <c r="AN229" s="1">
        <f t="shared" si="267"/>
        <v>9</v>
      </c>
      <c r="AO229" s="1">
        <f t="shared" si="268"/>
        <v>0</v>
      </c>
      <c r="AP229" s="1" t="e">
        <f t="shared" si="269"/>
        <v>#VALUE!</v>
      </c>
      <c r="AQ229" s="1" t="e">
        <f t="shared" si="270"/>
        <v>#VALUE!</v>
      </c>
      <c r="AR229" s="1">
        <f t="shared" si="271"/>
        <v>0.3</v>
      </c>
      <c r="AS229" s="1">
        <f t="shared" si="272"/>
        <v>9</v>
      </c>
      <c r="AT229" s="1">
        <f t="shared" si="273"/>
        <v>0.3</v>
      </c>
      <c r="AU229" s="1">
        <f t="shared" si="274"/>
        <v>9</v>
      </c>
      <c r="AV229" s="1">
        <f>MIN(5,SUMIFS($EL$3:EL229,$B$3:B229,"&gt;="&amp;MAX(1,B229-2),$B$3:B229,"&lt;="&amp;B229)+EC229)</f>
        <v>0</v>
      </c>
      <c r="AW229" s="1">
        <f>MIN(6,SUMIFS($EY$3:EY228,$EX$3:EX228,"&gt;="&amp;MAX(1,EX229-Boss参数!$B$87+1),$EX$3:EX228,"&lt;="&amp;EX229))</f>
        <v>0</v>
      </c>
      <c r="AX229" s="1">
        <f>MIN(4,COUNTIFS($B$3:$B$228,"&gt;="&amp;MAX(1,$B229-2),$B$3:$B$228,"&lt;="&amp;$B229,$L$3:$L$228,"37_FOLLOW"))</f>
        <v>0</v>
      </c>
      <c r="AY229" s="1" t="str">
        <f>IF($E229="","",IF($E229="系统",0,ROUNDDOWN(INDEX(角色面板!$C$4:$C$7,MATCH($E229,角色面板!$A$4:$A$7,0))*(1+INDEX(角色面板!$C$11:$C$14,MATCH($E229,角色面板!$A$11:$A$14,0))+IF($E229="小瑞安侬",MAX(IF($B229&lt;=$AQ229,$AP229,0),IF(AND($L229="RHI_ATTACK",$EE229&gt;0),0.11+0.01*$G229,0)),0)+IF($E229="J",$AD229*Boss参数!$B$18,0))+IF(FD229&lt;=$AN229,MIN(Boss参数!$B$21,ROUNDDOWN(角色面板!$C$19*Boss参数!$B$20,0)),0)+IF(AND($B229&lt;=$AK229,$E229&lt;&gt;"小瑞安侬"),$DY229,0),0)))</f>
        <v/>
      </c>
      <c r="AZ229" s="1" t="str">
        <f>IF($E229="","",MAX(0,MIN(1,IFERROR(INDEX(角色面板!$G$18:$G$21,MATCH($E229,角色面板!$A$18:$A$21,0)),0)-FC229*Boss参数!$B$89-Boss参数!$E$4)))</f>
        <v/>
      </c>
      <c r="BA229" s="1" t="str">
        <f>IF(E229="","",(IF($E229="","",IF($E229="红弩箭",Boss参数!$B$80,IF($E229="J",Boss参数!$B$81,IFERROR(INDEX(角色面板!$H$18:$H$21,MATCH($E229,角色面板!$A$18:$A$21,0)),0)))+IF($B229&lt;=$AI229,Boss参数!$B$13,0)+MIN(30,$AM229)*Boss参数!$B$17+IF(AND($L229="LILYA_ULT",$X229&gt;=6),1,0)+IF(AND($Y229=1,$L229="LILYA_INSIGHT"),IF(MOD($AA229+1,3)=0,Boss参数!$B$83,Boss参数!$B$82),IF(AND($Y229=1,$L229="LILYA_FINISH"),Boss参数!$B$84,0))))-FC229*Boss参数!$B$90)</f>
        <v/>
      </c>
      <c r="BB229" s="1" t="str">
        <f>IF($E229="","",IFERROR(INDEX(角色面板!$M$18:$M$21,MATCH($E229,角色面板!$A$18:$A$21,0)),0)+$AW229*Boss参数!$B$12+IF($B229&lt;=$AG229,$AF229,0)+$EI229+IF($L229="LILYA_DIVE",IF($U229=1,IF($G229=1,0.3,IF($G229=2,0.4,0.5)),IF($U229=2,IF($G229=1,0.6,IF($G229=2,0.8,1)),0)),0)+$R229+IF(AND($E229="J",OR($L229="J_COUNTER",$L229="J_HARD")),Boss参数!$B$79,0)+IF(AND(OR(L229="J_COUNTER",L229="J_HARD"),FA229&gt;=Boss参数!$B$59),FA229*Boss参数!$B$40,0))</f>
        <v/>
      </c>
      <c r="BC229" s="1" t="e">
        <f>IF($E229="","",IFERROR(INDEX(角色面板!$K$18:$K$21,MATCH($E229,角色面板!$A$18:$A$21,0)),0)+IF($B229&lt;=$AH229,Boss参数!$B$46,0)+IF($E229="红弩箭",IF($U229=1,0.6,IF($U229=2,1.2,0))+$W229*0.06,0))-DI229*Boss参数!$B$23</f>
        <v>#VALUE!</v>
      </c>
      <c r="BD229" s="1" t="e">
        <f>IF($E229="","",IFERROR(INDEX(角色面板!$L$18:$L$21,MATCH($E229,角色面板!$A$18:$A$21,0)),0)+IF($B229&lt;=$AH229,Boss参数!$B$46,0)+IF($E229="J",$AL229*Boss参数!$B$16,0)+IF($E229="红弩箭",$X229*0.025,0)+IF(AND($L229="LILYA_ULT",$X229&gt;=6),1,0))-DI229*Boss参数!$B$23</f>
        <v>#VALUE!</v>
      </c>
      <c r="BE229" s="1" t="str">
        <f>IF($E229="","",IF($H229="洞知",IF($E229="红弩箭",$AO229*Boss参数!$B$15,0)+$AX229*Boss参数!$B$14,0))</f>
        <v/>
      </c>
      <c r="BF229" s="1">
        <f t="shared" si="211"/>
        <v>0</v>
      </c>
      <c r="BG229" s="1">
        <f>IF($D229="",0,IF(AND($L229&lt;&gt;"LILYA_DIVE",$L229&lt;&gt;"LILYA_ULT",$L229&lt;&gt;"LILYA_INSIGHT",$L229&lt;&gt;"LILYA_FINISH",$L229&lt;&gt;"37_FOLLOW",$L229&lt;&gt;"RHI_ATTACK",$L229&lt;&gt;"RHI_BERRY",$L229&lt;&gt;"J_COUNTER",$L229&lt;&gt;"J_ULT"),$J229,0)+IF($L229="LILYA_DIVE",$J229+IF($U229=1,IF($G229=1,6,IF($G229=2,12,18)),IF($U229=2,IF($G229=1,12,IF($G229=2,24,36)),0)),0)+IF($L229="LILYA_ULT",$J229+IF($X229&gt;=6,18,0),0)+IF($L229="LILYA_INSIGHT",IF($Y229=1,IF(MOD($AA229+1,3)=0,32,15),0),0)+IF($L229="LILYA_FINISH",IF($Y229=1,50+2.5*$Z229,0),0)+IF($L229="37_FOLLOW",$J229,0)+IF($L229="RHI_ATTACK",$J229*IF($B229&lt;=$AJ229,2,1),0)+IF($L229="RHI_BERRY",15+1.5*$AV229,0)+IF($L229="J_COUNTER",$J229+$AD229*Boss参数!$B$39,0)+IF($L229="J_ULT",$J229+Boss参数!$B$45*MAX(0,$AE229+$AD229-Boss参数!$I$4),0)+$S229)</f>
        <v>0</v>
      </c>
      <c r="BH229" s="1">
        <f t="shared" si="212"/>
        <v>0</v>
      </c>
      <c r="BI229" s="1" t="str">
        <f>IF(E229="","",IF(DT229=1,1+Boss参数!$B$8+AV229*Boss参数!$B$19,1))</f>
        <v/>
      </c>
      <c r="BJ229" s="1">
        <f>IF($I229="现实",Boss参数!$C$4,IF($I229="精神",Boss参数!$D$4,0))</f>
        <v>0</v>
      </c>
      <c r="BK229" s="1" t="str">
        <f>IF($E229="","",MAX($AY229*Boss参数!$B$9,$AY229-$BJ229*(1-$BF229)))</f>
        <v/>
      </c>
      <c r="BL229" s="1">
        <f>MAX(0,Boss参数!$F$4+IF(DT229=0,Boss参数!$B$27,0)-EJ229)</f>
        <v>1.25</v>
      </c>
      <c r="BM229" s="1">
        <f>Boss参数!$G$4+DU229-IF(Y229=1,Boss参数!$B$11,0)</f>
        <v>0.4</v>
      </c>
      <c r="BN229" s="1" t="str">
        <f>IF($E229="","",MAX(Boss参数!$B$10,1+IFERROR(INDEX(角色面板!$I$18:$I$21,MATCH($E229,角色面板!$A$18:$A$21,0)),0)+$BB229+Boss参数!$H$4-$BM229))</f>
        <v/>
      </c>
      <c r="BO229" s="1" t="str">
        <f>IF(E229="","",IF(OR(L229="J_COUNTER",L229="J_HARD"),MAX(0,1+INDEX(角色面板!$K$18:$K$21,MATCH(E229,角色面板!$A$18:$A$21,0))-DI229*Boss参数!$B$23+IF(OR(Boss参数!$B$43=1,L229="J_HARD"),IF(B229&lt;=AH229,Boss参数!$B$46,0),0)),MAX(0,IF(OR(H229="术法",L229="RHI_BERRY",AND(L229="37_FOLLOW",Boss参数!$B$31=1)),1+BC229,IF(H229="仪式",1+BD229,IF(H229="洞知",EK229,1))))))</f>
        <v/>
      </c>
      <c r="BP229" s="1" t="str">
        <f t="shared" si="213"/>
        <v/>
      </c>
      <c r="BQ229" s="1">
        <f t="shared" si="214"/>
        <v>0</v>
      </c>
      <c r="BR229" s="1">
        <f t="shared" si="215"/>
        <v>0</v>
      </c>
      <c r="BS229" s="1">
        <f>IF(BH229=0,0,ROUNDDOWN(AY229*BH229,0)*DV229*IF(Boss参数!$B$29=1,BN229,1)*IF(Boss参数!$B$33=1,BO229,1)*IF(Boss参数!$B$76=1,1-ES229,1))</f>
        <v>0</v>
      </c>
      <c r="BT229" s="1">
        <f t="shared" si="216"/>
        <v>0</v>
      </c>
      <c r="BU229" s="1">
        <f>IF(D229="",0,MIN(IF(Boss参数!$B$77=1,Boss参数!$B$63*Boss参数!$B$62,Boss参数!$B$61*Boss参数!$B$62),DW229+ROUNDDOWN(BS229,0)+ROUNDDOWN(DW229*Q229,0)))</f>
        <v>0</v>
      </c>
      <c r="BV229" s="1">
        <f>IF(D229="",0,MIN(IF(Boss参数!$B$77=1,Boss参数!$B$63*Boss参数!$B$62,Boss参数!$B$61*Boss参数!$B$62),DX229+ROUNDDOWN(BT229,0)+ROUNDDOWN(DX229*Q229,0)))</f>
        <v>0</v>
      </c>
      <c r="BW229" s="1">
        <f t="shared" si="217"/>
        <v>0</v>
      </c>
      <c r="BX229" s="1" t="str">
        <f t="shared" si="218"/>
        <v/>
      </c>
      <c r="BY229" s="1">
        <f t="shared" si="219"/>
        <v>2</v>
      </c>
      <c r="BZ229" s="1">
        <f t="shared" si="220"/>
        <v>1</v>
      </c>
      <c r="CA229" s="1">
        <f>MIN(10,W229+IF(AND(L229="LILYA_COBRA",COUNTIF($L$3:L229,"LILYA_COBRA")=1),5,0)+IF(AND(L229="LILYA_DIVE",U229=1,COUNTIFS($DG$3:DG229,DG229,$L$3:L229,"LILYA_DIVE")=1),2,0)+IF(AND(FE229=1,U229=1),3,0))</f>
        <v>10</v>
      </c>
      <c r="CB229" s="1">
        <f>MIN(20,MAX(0,X229+IF(L229="LILYA_COBRA",IF(COUNTIF($L$3:L229,"LILYA_COBRA")=1,6,IF(U229=1,MAX(1,G229),IF(U229=2,2*MAX(1,G229),0))),0)+IF(AND(Y229=1,E229="红弩箭",L229&lt;&gt;"ENTER_INSIGHT"),1,0)-IF(AND(L229="LILYA_ULT",X229&gt;=6),6,0)))</f>
        <v>13</v>
      </c>
      <c r="CC229" s="1">
        <f t="shared" si="221"/>
        <v>0</v>
      </c>
      <c r="CD229" s="1">
        <f t="shared" si="222"/>
        <v>0</v>
      </c>
      <c r="CE229" s="1">
        <f t="shared" si="223"/>
        <v>0</v>
      </c>
      <c r="CF229" s="1">
        <f t="shared" si="224"/>
        <v>10</v>
      </c>
      <c r="CG229" s="1">
        <f t="shared" si="225"/>
        <v>1</v>
      </c>
      <c r="CH229" s="1">
        <f>MIN(35,AD229+IF(L229="J_HARD",6,0)+IF(L229="J_COUNTER",Boss参数!$B$30,0))</f>
        <v>35</v>
      </c>
      <c r="CI229" s="1">
        <f>MIN(Boss参数!$I$4,AE229+IF(L229="J_HARD",6,0)+IF(L229="J_ULT",AD229,0)+IF(L229="J_COUNTER",Boss参数!$B$30,0))</f>
        <v>0</v>
      </c>
      <c r="CJ229" s="1">
        <f>IF(L229="J_ULT",AD229*Boss参数!$B$41,IF(B229&lt;=AG229,AF229,0))</f>
        <v>0.875</v>
      </c>
      <c r="CK229" s="1">
        <f t="shared" si="226"/>
        <v>9</v>
      </c>
      <c r="CL229" s="1">
        <f t="shared" si="227"/>
        <v>9</v>
      </c>
      <c r="CM229" s="1">
        <f t="shared" si="228"/>
        <v>8</v>
      </c>
      <c r="CN229" s="1">
        <f t="shared" si="229"/>
        <v>9</v>
      </c>
      <c r="CO229" s="1">
        <f t="shared" si="230"/>
        <v>8</v>
      </c>
      <c r="CP229" s="1">
        <f t="shared" si="231"/>
        <v>3</v>
      </c>
      <c r="CQ229" s="1">
        <f t="shared" si="232"/>
        <v>30</v>
      </c>
      <c r="CR229" s="1">
        <f t="shared" si="233"/>
        <v>9</v>
      </c>
      <c r="CS229" s="1">
        <f t="shared" si="234"/>
        <v>0</v>
      </c>
      <c r="CT229" s="1" t="e">
        <f t="shared" si="235"/>
        <v>#VALUE!</v>
      </c>
      <c r="CU229" s="1" t="e">
        <f t="shared" si="236"/>
        <v>#VALUE!</v>
      </c>
      <c r="CV229" s="1">
        <f t="shared" si="237"/>
        <v>0.3</v>
      </c>
      <c r="CW229" s="1">
        <f t="shared" si="238"/>
        <v>9</v>
      </c>
      <c r="CX229" s="1">
        <f t="shared" si="239"/>
        <v>0.3</v>
      </c>
      <c r="CY229" s="1">
        <f t="shared" si="240"/>
        <v>9</v>
      </c>
      <c r="CZ229" s="1"/>
      <c r="DA229" s="1"/>
      <c r="DB229" s="1"/>
      <c r="DC229" s="1"/>
      <c r="DD229" s="1"/>
      <c r="DE229" s="1"/>
      <c r="DF229" s="1"/>
      <c r="DG229" s="1" t="str">
        <f>IF(D229="","",行动模拟!B235)</f>
        <v/>
      </c>
      <c r="DH229" s="1" t="str">
        <f>IF(L229="END_TURN","回合结束",IF(D229="","",IF(INDEX(回合状态!$C$7:$C$17,MATCH(DG229,回合状态!$A$7:$A$17,0))="洞穿","洞穿",IF(OR(L229="J_COUNTER",L229="BOSS_ACTION",L229="BOSS_CONSERVATIVE"),"敌方",IF(AND(L229="37_FOLLOW",DG229=DG228,DH228="敌方"),"敌方",IF(INDEX(回合状态!$C$7:$C$17,MATCH(DG229,回合状态!$A$7:$A$17,0))="普通","出牌",INDEX(回合状态!$C$7:$C$17,MATCH(DG229,回合状态!$A$7:$A$17,0))))))))</f>
        <v/>
      </c>
      <c r="DI229" s="1">
        <f t="shared" si="241"/>
        <v>0</v>
      </c>
      <c r="DJ229" s="1">
        <f>IF(D229="",0,MIN(Boss参数!$B$25,IF(OR(AND(DH229="敌方",OR(DH228&lt;&gt;"敌方",DG229&lt;&gt;DG228)),AND(L229="END_TURN",DH229&lt;&gt;"洞穿"),AND(DG229&lt;&gt;DG228,DH228&lt;&gt;"洞穿",L228&lt;&gt;"END_TURN",COUNTIFS($DG$3:DG228,DG228,$DH$3:DH228,"敌方")=0)),EW229,DN228)))</f>
        <v>0</v>
      </c>
      <c r="DK229" s="1">
        <f>IF(D229="",0,MIN(Boss参数!$B$25,IF(OR(AND(DH229="敌方",OR(DH228&lt;&gt;"敌方",DG229&lt;&gt;DG228)),AND(L229="END_TURN",DH229&lt;&gt;"洞穿"),AND(DG229&lt;&gt;DG228,DH228&lt;&gt;"洞穿",L228&lt;&gt;"END_TURN",COUNTIFS($DG$3:DG228,DG228,$DH$3:DH228,"敌方")=0)),EW229,DO228)))</f>
        <v>0</v>
      </c>
      <c r="DL229" s="1">
        <f>IF(D229="",0,MIN(Boss参数!$B$25,IF(OR(AND(DH229="敌方",OR(DH228&lt;&gt;"敌方",DG229&lt;&gt;DG228)),AND(L229="END_TURN",DH229&lt;&gt;"洞穿"),AND(DG229&lt;&gt;DG228,DH228&lt;&gt;"洞穿",L228&lt;&gt;"END_TURN",COUNTIFS($DG$3:DG228,DG228,$DH$3:DH228,"敌方")=0)),EW229,DP228)))</f>
        <v>0</v>
      </c>
      <c r="DM229" s="1">
        <f>IF(D229="",0,MIN(Boss参数!$B$25,IF(OR(AND(DH229="敌方",OR(DH228&lt;&gt;"敌方",DG229&lt;&gt;DG228)),AND(L229="END_TURN",DH229&lt;&gt;"洞穿"),AND(DG229&lt;&gt;DG228,DH228&lt;&gt;"洞穿",L228&lt;&gt;"END_TURN",COUNTIFS($DG$3:DG228,DG228,$DH$3:DH228,"敌方")=0)),EW229,DQ228)))</f>
        <v>0</v>
      </c>
      <c r="DN229" s="1">
        <f>MAX(0,MIN(Boss参数!$B$25,DJ229+DR229)-IF(E229="红弩箭",2*DR229,0))</f>
        <v>0</v>
      </c>
      <c r="DO229" s="1">
        <f>MAX(0,MIN(Boss参数!$B$25,DK229+DR229)-IF(E229="37",2*DR229,0))</f>
        <v>0</v>
      </c>
      <c r="DP229" s="1">
        <f>MAX(0,MIN(Boss参数!$B$25,DL229+DR229)-IF(E229="小瑞安侬",2*DR229,0))</f>
        <v>0</v>
      </c>
      <c r="DQ229" s="1">
        <f>MAX(0,MIN(Boss参数!$B$25,DM229+DR229)-IF(E229="J",2*DR229,0))</f>
        <v>0</v>
      </c>
      <c r="DR229" s="1">
        <f t="shared" si="242"/>
        <v>0</v>
      </c>
      <c r="DS229" s="1">
        <f t="shared" si="243"/>
        <v>0</v>
      </c>
      <c r="DT229" s="1">
        <f>IF(OR(E229="",E229="系统"),0,IF(OR(AND(DS229=1,Boss参数!$B$32=1),L229="RHI_BERRY",OR(AND(INDEX(角色面板!$B$18:$B$21,MATCH(E229,角色面板!$A$18:$A$21,0))="星",Boss参数!$B$4="岩"),AND(INDEX(角色面板!$B$18:$B$21,MATCH(E229,角色面板!$A$18:$A$21,0))="岩",Boss参数!$B$4="兽"),AND(INDEX(角色面板!$B$18:$B$21,MATCH(E229,角色面板!$A$18:$A$21,0))="兽",Boss参数!$B$4="木"),AND(INDEX(角色面板!$B$18:$B$21,MATCH(E229,角色面板!$A$18:$A$21,0))="木",Boss参数!$B$4="星"),AND(INDEX(角色面板!$B$18:$B$21,MATCH(E229,角色面板!$A$18:$A$21,0))="智",Boss参数!$B$4="灵"),AND(INDEX(角色面板!$B$18:$B$21,MATCH(E229,角色面板!$A$18:$A$21,0))="灵",Boss参数!$B$4="智"))),1,0))</f>
        <v>0</v>
      </c>
      <c r="DU229" s="1">
        <f>IF(D229="",0,INDEX(回合状态!$E$7:$E$17,MATCH(DG229,回合状态!$A$7:$A$17,0))+IF(AND(DH229="敌方",OR(INDEX(回合状态!$C$7:$C$17,MATCH(DG229,回合状态!$A$7:$A$17,0))="普通",INDEX(回合状态!$C$7:$C$17,MATCH(DG229,回合状态!$A$7:$A$17,0))="额外")),0.05,0))</f>
        <v>0</v>
      </c>
      <c r="DV229" s="1">
        <f>MAX(Boss参数!$B$28,1+IF(AND(E229="37",AC229&gt;0,BH229&gt;0),Boss参数!$B$42,0)-DI229*Boss参数!$B$24+EA229-ER229)</f>
        <v>9.9999999999999978E-2</v>
      </c>
      <c r="DW229" s="1">
        <f>MIN(IF(Boss参数!$B$77=1,Boss参数!$B$63*Boss参数!$B$62,Boss参数!$B$61*Boss参数!$B$62),ROUNDDOWN(BQ229*(1-ES229),0))</f>
        <v>0</v>
      </c>
      <c r="DX229" s="1">
        <f>MIN(IF(Boss参数!$B$77=1,Boss参数!$B$63*Boss参数!$B$62,Boss参数!$B$61*Boss参数!$B$62),ROUNDDOWN(BR229*(1-ES229),0))</f>
        <v>0</v>
      </c>
      <c r="DY229" s="1">
        <f t="shared" si="275"/>
        <v>250</v>
      </c>
      <c r="DZ229" s="1">
        <f>IF(L229="RHI_ULT",MIN(Boss参数!$B$48,ROUNDDOWN(AY229*Boss参数!$B$47,0)),DY229)</f>
        <v>250</v>
      </c>
      <c r="EA229" s="1">
        <v>0</v>
      </c>
      <c r="EB229" s="1">
        <f t="shared" si="244"/>
        <v>0</v>
      </c>
      <c r="EC229" s="1">
        <f>SUMIFS($EB$3:EB229,$B$3:B229,"&gt;="&amp;MAX(1,B229-2),$B$3:B229,"&lt;="&amp;B229)*Boss参数!$B$51</f>
        <v>0</v>
      </c>
      <c r="ED229" s="1">
        <f>IF(D229="",EG228,IF(AND(DG229&lt;&gt;DG228,DH229&lt;&gt;"洞穿"),MIN(Boss参数!$B$55,EG228+2),EG228))</f>
        <v>0</v>
      </c>
      <c r="EE229" s="1">
        <f t="shared" si="245"/>
        <v>0</v>
      </c>
      <c r="EF229" s="1">
        <f>IF(AND(OR(L229="END_TURN",AND(DH229="敌方",OR(DH228&lt;&gt;"敌方",DG229&lt;&gt;DG228))),SUMIFS($EF$3:EF228,$DG$3:DG228,DG229)=0),MIN(1,MAX(0,ED229-EE229)),0)</f>
        <v>0</v>
      </c>
      <c r="EG229" s="1">
        <f t="shared" si="246"/>
        <v>0</v>
      </c>
      <c r="EH229" s="1">
        <f>Boss参数!$B$53-IF(Y229=1,Boss参数!$B$54,0)</f>
        <v>0</v>
      </c>
      <c r="EI229" s="1">
        <f t="shared" si="247"/>
        <v>0.15</v>
      </c>
      <c r="EJ229" s="1">
        <f t="shared" si="248"/>
        <v>0.15</v>
      </c>
      <c r="EK229" s="1" t="e">
        <f t="shared" si="249"/>
        <v>#VALUE!</v>
      </c>
      <c r="EL229" s="1">
        <f t="shared" si="276"/>
        <v>0</v>
      </c>
      <c r="EM229" s="1">
        <f>IF(AND(DG229&lt;&gt;DG228,DH229="洞穿"),0,IF(L229="ENTER_INSIGHT",Boss参数!$B$57,EO228))</f>
        <v>0</v>
      </c>
      <c r="EN229" s="1">
        <f>IF(AND(Y229=1,H229="洞知",EM229&gt;0),Boss参数!$B$56,0)</f>
        <v>0</v>
      </c>
      <c r="EO229" s="1">
        <f t="shared" si="250"/>
        <v>0</v>
      </c>
      <c r="EP229" s="1">
        <f t="shared" si="277"/>
        <v>23210479</v>
      </c>
      <c r="EQ229" s="1">
        <f>ROUNDDOWN(EP229/Boss参数!$B$62,0)</f>
        <v>232</v>
      </c>
      <c r="ER229" s="1">
        <f>IF(EQ229&gt;=Boss参数!$B$66,Boss参数!$B$69,IF(EQ229&gt;=Boss参数!$B$65,Boss参数!$B$68,IF(EQ229&gt;=Boss参数!$B$64,Boss参数!$B$67,0)))</f>
        <v>0.9</v>
      </c>
      <c r="ES229" s="1">
        <f>MIN(1,IF(EQ229&gt;=Boss参数!$B$66,Boss参数!$B$72+ROUNDDOWN((EQ229-Boss参数!$B$66)/Boss参数!$B$73,0)*Boss参数!$B$74,IF(EQ229&gt;=Boss参数!$B$65,Boss参数!$B$71,IF(EQ229&gt;=Boss参数!$B$64,Boss参数!$B$70,0))))</f>
        <v>0.65</v>
      </c>
      <c r="ET229" s="1">
        <f>MIN(Boss参数!$B$61*Boss参数!$B$62,EP229+IF(AND(Boss参数!$B$60=1,ISNUMBER(验证表!H235)),验证表!H235,EU229))</f>
        <v>23210479</v>
      </c>
      <c r="EU229" s="1">
        <f>IF(D229="",0,IF(验证表!G235="是",BV229,IF(验证表!G235="否",BU229,BW229)))</f>
        <v>0</v>
      </c>
      <c r="EV229" s="1">
        <f>IF(EQ229&gt;=Boss参数!$B$66,2,IF(EQ229&gt;=Boss参数!$B$65,1,0))</f>
        <v>2</v>
      </c>
      <c r="EW229" s="1">
        <f t="shared" si="251"/>
        <v>3</v>
      </c>
      <c r="EX229" s="1">
        <f>IF(D229="",0,INDEX(回合状态!$D$7:$D$17,MATCH(DG229,回合状态!$A$7:$A$17,0)))</f>
        <v>0</v>
      </c>
      <c r="EY229" s="1">
        <f>IF(OR(L229="RHI_ATTACK",L229="RHI_BUFF"),1,IF(L229="RHI_ULT",Boss参数!$B$52,0))</f>
        <v>0</v>
      </c>
      <c r="EZ229" s="1">
        <f>MIN(6,SUMIFS($EY$3:EY229,$EX$3:EX229,"&gt;="&amp;MAX(1,EX229-Boss参数!$B$87+1),$EX$3:EX229,"&lt;="&amp;EX229))</f>
        <v>0</v>
      </c>
      <c r="FA229" s="1">
        <f t="shared" si="278"/>
        <v>0</v>
      </c>
      <c r="FB229" s="17">
        <f>IF(L229="BOSS_CONSERVATIVE",B229+Boss参数!$B$91,FB228)</f>
        <v>7</v>
      </c>
      <c r="FC229" s="17">
        <f t="shared" si="279"/>
        <v>0</v>
      </c>
      <c r="FD229" s="17">
        <f>IF(D229="",FD228,FD228+IF(AND(DG229&lt;&gt;DG228,INDEX(回合状态!$C$7:$C$17,MATCH(DG229,回合状态!$A$7:$A$17,0))&lt;&gt;"洞穿"),1,0))</f>
        <v>8</v>
      </c>
      <c r="FE229" s="17">
        <f>IF(D229="",0,IF(AND(OR(L229="END_TURN",DH229="敌方"),INDEX(回合状态!$C$7:$C$17,MATCH(DG229,回合状态!$A$7:$A$17,0))&lt;&gt;"洞穿",SUMIFS($FE$3:FE228,$DG$3:DG228,DG229)=0),1,0))</f>
        <v>0</v>
      </c>
    </row>
    <row r="230" spans="1:161" ht="84.95" customHeight="1">
      <c r="A230" s="1" t="str">
        <f>行动模拟!A236</f>
        <v/>
      </c>
      <c r="B230" s="1">
        <f>IF(D230="",0,INDEX(回合状态!$B$7:$B$17,MATCH(DG230,回合状态!$A$7:$A$17,0)))</f>
        <v>0</v>
      </c>
      <c r="C230" s="1">
        <f>行动模拟!C236</f>
        <v>0</v>
      </c>
      <c r="D230" s="1" t="str">
        <f>IF(行动模拟!D236="","",行动模拟!D236)</f>
        <v/>
      </c>
      <c r="E230" s="1" t="str">
        <f>IF($D230="","",IFERROR(INDEX(技能数据库!$B$4:$B$38,MATCH($D230,技能数据库!$A$4:$A$38,0)),""))</f>
        <v/>
      </c>
      <c r="F230" s="1" t="str">
        <f>IF($D230="","",IFERROR(INDEX(技能数据库!$C$4:$C$38,MATCH($D230,技能数据库!$A$4:$A$38,0)),""))</f>
        <v/>
      </c>
      <c r="G230" s="1" t="str">
        <f>IF($D230="","",IFERROR(INDEX(技能数据库!$D$4:$D$38,MATCH($D230,技能数据库!$A$4:$A$38,0)),""))</f>
        <v/>
      </c>
      <c r="H230" s="1" t="str">
        <f>IF($D230="","",IFERROR(INDEX(技能数据库!$E$4:$E$38,MATCH($D230,技能数据库!$A$4:$A$38,0)),""))</f>
        <v/>
      </c>
      <c r="I230" s="1" t="str">
        <f>IF($D230="","",IFERROR(INDEX(技能数据库!$F$4:$F$38,MATCH($D230,技能数据库!$A$4:$A$38,0)),""))</f>
        <v/>
      </c>
      <c r="J230" s="1" t="str">
        <f>IF($D230="","",IFERROR(INDEX(技能数据库!$G$4:$G$38,MATCH($D230,技能数据库!$A$4:$A$38,0)),""))</f>
        <v/>
      </c>
      <c r="K230" s="1" t="str">
        <f>IF($D230="","",IFERROR(INDEX(技能数据库!$H$4:$H$38,MATCH($D230,技能数据库!$A$4:$A$38,0)),""))</f>
        <v/>
      </c>
      <c r="L230" s="1" t="str">
        <f>IF($D230="","",IFERROR(INDEX(技能数据库!$I$4:$I$38,MATCH($D230,技能数据库!$A$4:$A$38,0)),""))</f>
        <v/>
      </c>
      <c r="M230" s="1">
        <v>1</v>
      </c>
      <c r="N230" s="1"/>
      <c r="O230" s="1"/>
      <c r="P230" s="1"/>
      <c r="Q230" s="1">
        <f t="shared" si="210"/>
        <v>0</v>
      </c>
      <c r="R230" s="1">
        <v>0</v>
      </c>
      <c r="S230" s="1">
        <v>0</v>
      </c>
      <c r="T230" s="1">
        <f>行动模拟!I236</f>
        <v>0</v>
      </c>
      <c r="U230" s="1">
        <f>IF(FD230&lt;&gt;FD229,IF(BY229=1,IF(MIN(10,CA229+IF(AND(DG230&lt;&gt;DG229,DH229&lt;&gt;"洞穿",SUMIFS($FE$3:FE229,$DG$3:DG229,DG229)=0,BY229=1),3,0))&gt;=10,2,1),IF(BY229=2,IF(BZ229&lt;=1,0,2),0)),BY229)</f>
        <v>2</v>
      </c>
      <c r="V230" s="1">
        <f>IF(FD230&lt;&gt;FD229,IF(BY229=1,IF(MIN(10,CA229+IF(AND(DG230&lt;&gt;DG229,DH229&lt;&gt;"洞穿",SUMIFS($FE$3:FE229,$DG$3:DG229,DG229)=0,BY229=1),3,0))&gt;=10,2,0),IF(BY229=2,MAX(0,BZ229-1),0)),BZ229)</f>
        <v>1</v>
      </c>
      <c r="W230" s="1">
        <f>IF(AND(FD230&lt;&gt;FD229,BY229=2,BZ229&lt;=1),0,MIN(10,CA229+IF(AND(DG230&lt;&gt;DG229,DH229&lt;&gt;"洞穿",SUMIFS($FE$3:FE229,$DG$3:DG229,DG229)=0,BY229=1),3,0)))</f>
        <v>10</v>
      </c>
      <c r="X230" s="1">
        <f t="shared" si="252"/>
        <v>13</v>
      </c>
      <c r="Y230" s="1">
        <f t="shared" si="253"/>
        <v>0</v>
      </c>
      <c r="Z230" s="1">
        <f t="shared" si="254"/>
        <v>0</v>
      </c>
      <c r="AA230" s="1">
        <f t="shared" si="255"/>
        <v>0</v>
      </c>
      <c r="AB230" s="1">
        <f t="shared" si="256"/>
        <v>10</v>
      </c>
      <c r="AC230" s="1">
        <f t="shared" si="257"/>
        <v>1</v>
      </c>
      <c r="AD230" s="1">
        <f t="shared" si="258"/>
        <v>35</v>
      </c>
      <c r="AE230" s="1">
        <f>IF(D230="",0,IF(DG230&lt;&gt;DG229,IFERROR(INDEX(回合状态!$F$7:$F$17,MATCH(DG230,回合状态!$A$7:$A$17,0)),0),CI229))</f>
        <v>0</v>
      </c>
      <c r="AF230" s="1">
        <f t="shared" si="259"/>
        <v>0.875</v>
      </c>
      <c r="AG230" s="1">
        <f t="shared" si="260"/>
        <v>9</v>
      </c>
      <c r="AH230" s="1">
        <f t="shared" si="261"/>
        <v>9</v>
      </c>
      <c r="AI230" s="1">
        <f t="shared" si="262"/>
        <v>8</v>
      </c>
      <c r="AJ230" s="1">
        <f t="shared" si="263"/>
        <v>9</v>
      </c>
      <c r="AK230" s="1">
        <f t="shared" si="264"/>
        <v>8</v>
      </c>
      <c r="AL230" s="1">
        <f t="shared" si="265"/>
        <v>3</v>
      </c>
      <c r="AM230" s="1">
        <f t="shared" si="266"/>
        <v>30</v>
      </c>
      <c r="AN230" s="1">
        <f t="shared" si="267"/>
        <v>9</v>
      </c>
      <c r="AO230" s="1">
        <f t="shared" si="268"/>
        <v>0</v>
      </c>
      <c r="AP230" s="1" t="e">
        <f t="shared" si="269"/>
        <v>#VALUE!</v>
      </c>
      <c r="AQ230" s="1" t="e">
        <f t="shared" si="270"/>
        <v>#VALUE!</v>
      </c>
      <c r="AR230" s="1">
        <f t="shared" si="271"/>
        <v>0.3</v>
      </c>
      <c r="AS230" s="1">
        <f t="shared" si="272"/>
        <v>9</v>
      </c>
      <c r="AT230" s="1">
        <f t="shared" si="273"/>
        <v>0.3</v>
      </c>
      <c r="AU230" s="1">
        <f t="shared" si="274"/>
        <v>9</v>
      </c>
      <c r="AV230" s="1">
        <f>MIN(5,SUMIFS($EL$3:EL230,$B$3:B230,"&gt;="&amp;MAX(1,B230-2),$B$3:B230,"&lt;="&amp;B230)+EC230)</f>
        <v>0</v>
      </c>
      <c r="AW230" s="1">
        <f>MIN(6,SUMIFS($EY$3:EY229,$EX$3:EX229,"&gt;="&amp;MAX(1,EX230-Boss参数!$B$87+1),$EX$3:EX229,"&lt;="&amp;EX230))</f>
        <v>0</v>
      </c>
      <c r="AX230" s="1">
        <f>MIN(4,COUNTIFS($B$3:$B$229,"&gt;="&amp;MAX(1,$B230-2),$B$3:$B$229,"&lt;="&amp;$B230,$L$3:$L$229,"37_FOLLOW"))</f>
        <v>0</v>
      </c>
      <c r="AY230" s="1" t="str">
        <f>IF($E230="","",IF($E230="系统",0,ROUNDDOWN(INDEX(角色面板!$C$4:$C$7,MATCH($E230,角色面板!$A$4:$A$7,0))*(1+INDEX(角色面板!$C$11:$C$14,MATCH($E230,角色面板!$A$11:$A$14,0))+IF($E230="小瑞安侬",MAX(IF($B230&lt;=$AQ230,$AP230,0),IF(AND($L230="RHI_ATTACK",$EE230&gt;0),0.11+0.01*$G230,0)),0)+IF($E230="J",$AD230*Boss参数!$B$18,0))+IF(FD230&lt;=$AN230,MIN(Boss参数!$B$21,ROUNDDOWN(角色面板!$C$19*Boss参数!$B$20,0)),0)+IF(AND($B230&lt;=$AK230,$E230&lt;&gt;"小瑞安侬"),$DY230,0),0)))</f>
        <v/>
      </c>
      <c r="AZ230" s="1" t="str">
        <f>IF($E230="","",MAX(0,MIN(1,IFERROR(INDEX(角色面板!$G$18:$G$21,MATCH($E230,角色面板!$A$18:$A$21,0)),0)-FC230*Boss参数!$B$89-Boss参数!$E$4)))</f>
        <v/>
      </c>
      <c r="BA230" s="1" t="str">
        <f>IF(E230="","",(IF($E230="","",IF($E230="红弩箭",Boss参数!$B$80,IF($E230="J",Boss参数!$B$81,IFERROR(INDEX(角色面板!$H$18:$H$21,MATCH($E230,角色面板!$A$18:$A$21,0)),0)))+IF($B230&lt;=$AI230,Boss参数!$B$13,0)+MIN(30,$AM230)*Boss参数!$B$17+IF(AND($L230="LILYA_ULT",$X230&gt;=6),1,0)+IF(AND($Y230=1,$L230="LILYA_INSIGHT"),IF(MOD($AA230+1,3)=0,Boss参数!$B$83,Boss参数!$B$82),IF(AND($Y230=1,$L230="LILYA_FINISH"),Boss参数!$B$84,0))))-FC230*Boss参数!$B$90)</f>
        <v/>
      </c>
      <c r="BB230" s="1" t="str">
        <f>IF($E230="","",IFERROR(INDEX(角色面板!$M$18:$M$21,MATCH($E230,角色面板!$A$18:$A$21,0)),0)+$AW230*Boss参数!$B$12+IF($B230&lt;=$AG230,$AF230,0)+$EI230+IF($L230="LILYA_DIVE",IF($U230=1,IF($G230=1,0.3,IF($G230=2,0.4,0.5)),IF($U230=2,IF($G230=1,0.6,IF($G230=2,0.8,1)),0)),0)+$R230+IF(AND($E230="J",OR($L230="J_COUNTER",$L230="J_HARD")),Boss参数!$B$79,0)+IF(AND(OR(L230="J_COUNTER",L230="J_HARD"),FA230&gt;=Boss参数!$B$59),FA230*Boss参数!$B$40,0))</f>
        <v/>
      </c>
      <c r="BC230" s="1" t="e">
        <f>IF($E230="","",IFERROR(INDEX(角色面板!$K$18:$K$21,MATCH($E230,角色面板!$A$18:$A$21,0)),0)+IF($B230&lt;=$AH230,Boss参数!$B$46,0)+IF($E230="红弩箭",IF($U230=1,0.6,IF($U230=2,1.2,0))+$W230*0.06,0))-DI230*Boss参数!$B$23</f>
        <v>#VALUE!</v>
      </c>
      <c r="BD230" s="1" t="e">
        <f>IF($E230="","",IFERROR(INDEX(角色面板!$L$18:$L$21,MATCH($E230,角色面板!$A$18:$A$21,0)),0)+IF($B230&lt;=$AH230,Boss参数!$B$46,0)+IF($E230="J",$AL230*Boss参数!$B$16,0)+IF($E230="红弩箭",$X230*0.025,0)+IF(AND($L230="LILYA_ULT",$X230&gt;=6),1,0))-DI230*Boss参数!$B$23</f>
        <v>#VALUE!</v>
      </c>
      <c r="BE230" s="1" t="str">
        <f>IF($E230="","",IF($H230="洞知",IF($E230="红弩箭",$AO230*Boss参数!$B$15,0)+$AX230*Boss参数!$B$14,0))</f>
        <v/>
      </c>
      <c r="BF230" s="1">
        <f t="shared" si="211"/>
        <v>0</v>
      </c>
      <c r="BG230" s="1">
        <f>IF($D230="",0,IF(AND($L230&lt;&gt;"LILYA_DIVE",$L230&lt;&gt;"LILYA_ULT",$L230&lt;&gt;"LILYA_INSIGHT",$L230&lt;&gt;"LILYA_FINISH",$L230&lt;&gt;"37_FOLLOW",$L230&lt;&gt;"RHI_ATTACK",$L230&lt;&gt;"RHI_BERRY",$L230&lt;&gt;"J_COUNTER",$L230&lt;&gt;"J_ULT"),$J230,0)+IF($L230="LILYA_DIVE",$J230+IF($U230=1,IF($G230=1,6,IF($G230=2,12,18)),IF($U230=2,IF($G230=1,12,IF($G230=2,24,36)),0)),0)+IF($L230="LILYA_ULT",$J230+IF($X230&gt;=6,18,0),0)+IF($L230="LILYA_INSIGHT",IF($Y230=1,IF(MOD($AA230+1,3)=0,32,15),0),0)+IF($L230="LILYA_FINISH",IF($Y230=1,50+2.5*$Z230,0),0)+IF($L230="37_FOLLOW",$J230,0)+IF($L230="RHI_ATTACK",$J230*IF($B230&lt;=$AJ230,2,1),0)+IF($L230="RHI_BERRY",15+1.5*$AV230,0)+IF($L230="J_COUNTER",$J230+$AD230*Boss参数!$B$39,0)+IF($L230="J_ULT",$J230+Boss参数!$B$45*MAX(0,$AE230+$AD230-Boss参数!$I$4),0)+$S230)</f>
        <v>0</v>
      </c>
      <c r="BH230" s="1">
        <f t="shared" si="212"/>
        <v>0</v>
      </c>
      <c r="BI230" s="1" t="str">
        <f>IF(E230="","",IF(DT230=1,1+Boss参数!$B$8+AV230*Boss参数!$B$19,1))</f>
        <v/>
      </c>
      <c r="BJ230" s="1">
        <f>IF($I230="现实",Boss参数!$C$4,IF($I230="精神",Boss参数!$D$4,0))</f>
        <v>0</v>
      </c>
      <c r="BK230" s="1" t="str">
        <f>IF($E230="","",MAX($AY230*Boss参数!$B$9,$AY230-$BJ230*(1-$BF230)))</f>
        <v/>
      </c>
      <c r="BL230" s="1">
        <f>MAX(0,Boss参数!$F$4+IF(DT230=0,Boss参数!$B$27,0)-EJ230)</f>
        <v>1.25</v>
      </c>
      <c r="BM230" s="1">
        <f>Boss参数!$G$4+DU230-IF(Y230=1,Boss参数!$B$11,0)</f>
        <v>0.4</v>
      </c>
      <c r="BN230" s="1" t="str">
        <f>IF($E230="","",MAX(Boss参数!$B$10,1+IFERROR(INDEX(角色面板!$I$18:$I$21,MATCH($E230,角色面板!$A$18:$A$21,0)),0)+$BB230+Boss参数!$H$4-$BM230))</f>
        <v/>
      </c>
      <c r="BO230" s="1" t="str">
        <f>IF(E230="","",IF(OR(L230="J_COUNTER",L230="J_HARD"),MAX(0,1+INDEX(角色面板!$K$18:$K$21,MATCH(E230,角色面板!$A$18:$A$21,0))-DI230*Boss参数!$B$23+IF(OR(Boss参数!$B$43=1,L230="J_HARD"),IF(B230&lt;=AH230,Boss参数!$B$46,0),0)),MAX(0,IF(OR(H230="术法",L230="RHI_BERRY",AND(L230="37_FOLLOW",Boss参数!$B$31=1)),1+BC230,IF(H230="仪式",1+BD230,IF(H230="洞知",EK230,1))))))</f>
        <v/>
      </c>
      <c r="BP230" s="1" t="str">
        <f t="shared" si="213"/>
        <v/>
      </c>
      <c r="BQ230" s="1">
        <f t="shared" si="214"/>
        <v>0</v>
      </c>
      <c r="BR230" s="1">
        <f t="shared" si="215"/>
        <v>0</v>
      </c>
      <c r="BS230" s="1">
        <f>IF(BH230=0,0,ROUNDDOWN(AY230*BH230,0)*DV230*IF(Boss参数!$B$29=1,BN230,1)*IF(Boss参数!$B$33=1,BO230,1)*IF(Boss参数!$B$76=1,1-ES230,1))</f>
        <v>0</v>
      </c>
      <c r="BT230" s="1">
        <f t="shared" si="216"/>
        <v>0</v>
      </c>
      <c r="BU230" s="1">
        <f>IF(D230="",0,MIN(IF(Boss参数!$B$77=1,Boss参数!$B$63*Boss参数!$B$62,Boss参数!$B$61*Boss参数!$B$62),DW230+ROUNDDOWN(BS230,0)+ROUNDDOWN(DW230*Q230,0)))</f>
        <v>0</v>
      </c>
      <c r="BV230" s="1">
        <f>IF(D230="",0,MIN(IF(Boss参数!$B$77=1,Boss参数!$B$63*Boss参数!$B$62,Boss参数!$B$61*Boss参数!$B$62),DX230+ROUNDDOWN(BT230,0)+ROUNDDOWN(DX230*Q230,0)))</f>
        <v>0</v>
      </c>
      <c r="BW230" s="1">
        <f t="shared" si="217"/>
        <v>0</v>
      </c>
      <c r="BX230" s="1" t="str">
        <f t="shared" si="218"/>
        <v/>
      </c>
      <c r="BY230" s="1">
        <f t="shared" si="219"/>
        <v>2</v>
      </c>
      <c r="BZ230" s="1">
        <f t="shared" si="220"/>
        <v>1</v>
      </c>
      <c r="CA230" s="1">
        <f>MIN(10,W230+IF(AND(L230="LILYA_COBRA",COUNTIF($L$3:L230,"LILYA_COBRA")=1),5,0)+IF(AND(L230="LILYA_DIVE",U230=1,COUNTIFS($DG$3:DG230,DG230,$L$3:L230,"LILYA_DIVE")=1),2,0)+IF(AND(FE230=1,U230=1),3,0))</f>
        <v>10</v>
      </c>
      <c r="CB230" s="1">
        <f>MIN(20,MAX(0,X230+IF(L230="LILYA_COBRA",IF(COUNTIF($L$3:L230,"LILYA_COBRA")=1,6,IF(U230=1,MAX(1,G230),IF(U230=2,2*MAX(1,G230),0))),0)+IF(AND(Y230=1,E230="红弩箭",L230&lt;&gt;"ENTER_INSIGHT"),1,0)-IF(AND(L230="LILYA_ULT",X230&gt;=6),6,0)))</f>
        <v>13</v>
      </c>
      <c r="CC230" s="1">
        <f t="shared" si="221"/>
        <v>0</v>
      </c>
      <c r="CD230" s="1">
        <f t="shared" si="222"/>
        <v>0</v>
      </c>
      <c r="CE230" s="1">
        <f t="shared" si="223"/>
        <v>0</v>
      </c>
      <c r="CF230" s="1">
        <f t="shared" si="224"/>
        <v>10</v>
      </c>
      <c r="CG230" s="1">
        <f t="shared" si="225"/>
        <v>1</v>
      </c>
      <c r="CH230" s="1">
        <f>MIN(35,AD230+IF(L230="J_HARD",6,0)+IF(L230="J_COUNTER",Boss参数!$B$30,0))</f>
        <v>35</v>
      </c>
      <c r="CI230" s="1">
        <f>MIN(Boss参数!$I$4,AE230+IF(L230="J_HARD",6,0)+IF(L230="J_ULT",AD230,0)+IF(L230="J_COUNTER",Boss参数!$B$30,0))</f>
        <v>0</v>
      </c>
      <c r="CJ230" s="1">
        <f>IF(L230="J_ULT",AD230*Boss参数!$B$41,IF(B230&lt;=AG230,AF230,0))</f>
        <v>0.875</v>
      </c>
      <c r="CK230" s="1">
        <f t="shared" si="226"/>
        <v>9</v>
      </c>
      <c r="CL230" s="1">
        <f t="shared" si="227"/>
        <v>9</v>
      </c>
      <c r="CM230" s="1">
        <f t="shared" si="228"/>
        <v>8</v>
      </c>
      <c r="CN230" s="1">
        <f t="shared" si="229"/>
        <v>9</v>
      </c>
      <c r="CO230" s="1">
        <f t="shared" si="230"/>
        <v>8</v>
      </c>
      <c r="CP230" s="1">
        <f t="shared" si="231"/>
        <v>3</v>
      </c>
      <c r="CQ230" s="1">
        <f t="shared" si="232"/>
        <v>30</v>
      </c>
      <c r="CR230" s="1">
        <f t="shared" si="233"/>
        <v>9</v>
      </c>
      <c r="CS230" s="1">
        <f t="shared" si="234"/>
        <v>0</v>
      </c>
      <c r="CT230" s="1" t="e">
        <f t="shared" si="235"/>
        <v>#VALUE!</v>
      </c>
      <c r="CU230" s="1" t="e">
        <f t="shared" si="236"/>
        <v>#VALUE!</v>
      </c>
      <c r="CV230" s="1">
        <f t="shared" si="237"/>
        <v>0.3</v>
      </c>
      <c r="CW230" s="1">
        <f t="shared" si="238"/>
        <v>9</v>
      </c>
      <c r="CX230" s="1">
        <f t="shared" si="239"/>
        <v>0.3</v>
      </c>
      <c r="CY230" s="1">
        <f t="shared" si="240"/>
        <v>9</v>
      </c>
      <c r="CZ230" s="1"/>
      <c r="DA230" s="1"/>
      <c r="DB230" s="1"/>
      <c r="DC230" s="1"/>
      <c r="DD230" s="1"/>
      <c r="DE230" s="1"/>
      <c r="DF230" s="1"/>
      <c r="DG230" s="1" t="str">
        <f>IF(D230="","",行动模拟!B236)</f>
        <v/>
      </c>
      <c r="DH230" s="1" t="str">
        <f>IF(L230="END_TURN","回合结束",IF(D230="","",IF(INDEX(回合状态!$C$7:$C$17,MATCH(DG230,回合状态!$A$7:$A$17,0))="洞穿","洞穿",IF(OR(L230="J_COUNTER",L230="BOSS_ACTION",L230="BOSS_CONSERVATIVE"),"敌方",IF(AND(L230="37_FOLLOW",DG230=DG229,DH229="敌方"),"敌方",IF(INDEX(回合状态!$C$7:$C$17,MATCH(DG230,回合状态!$A$7:$A$17,0))="普通","出牌",INDEX(回合状态!$C$7:$C$17,MATCH(DG230,回合状态!$A$7:$A$17,0))))))))</f>
        <v/>
      </c>
      <c r="DI230" s="1">
        <f t="shared" si="241"/>
        <v>0</v>
      </c>
      <c r="DJ230" s="1">
        <f>IF(D230="",0,MIN(Boss参数!$B$25,IF(OR(AND(DH230="敌方",OR(DH229&lt;&gt;"敌方",DG230&lt;&gt;DG229)),AND(L230="END_TURN",DH230&lt;&gt;"洞穿"),AND(DG230&lt;&gt;DG229,DH229&lt;&gt;"洞穿",L229&lt;&gt;"END_TURN",COUNTIFS($DG$3:DG229,DG229,$DH$3:DH229,"敌方")=0)),EW230,DN229)))</f>
        <v>0</v>
      </c>
      <c r="DK230" s="1">
        <f>IF(D230="",0,MIN(Boss参数!$B$25,IF(OR(AND(DH230="敌方",OR(DH229&lt;&gt;"敌方",DG230&lt;&gt;DG229)),AND(L230="END_TURN",DH230&lt;&gt;"洞穿"),AND(DG230&lt;&gt;DG229,DH229&lt;&gt;"洞穿",L229&lt;&gt;"END_TURN",COUNTIFS($DG$3:DG229,DG229,$DH$3:DH229,"敌方")=0)),EW230,DO229)))</f>
        <v>0</v>
      </c>
      <c r="DL230" s="1">
        <f>IF(D230="",0,MIN(Boss参数!$B$25,IF(OR(AND(DH230="敌方",OR(DH229&lt;&gt;"敌方",DG230&lt;&gt;DG229)),AND(L230="END_TURN",DH230&lt;&gt;"洞穿"),AND(DG230&lt;&gt;DG229,DH229&lt;&gt;"洞穿",L229&lt;&gt;"END_TURN",COUNTIFS($DG$3:DG229,DG229,$DH$3:DH229,"敌方")=0)),EW230,DP229)))</f>
        <v>0</v>
      </c>
      <c r="DM230" s="1">
        <f>IF(D230="",0,MIN(Boss参数!$B$25,IF(OR(AND(DH230="敌方",OR(DH229&lt;&gt;"敌方",DG230&lt;&gt;DG229)),AND(L230="END_TURN",DH230&lt;&gt;"洞穿"),AND(DG230&lt;&gt;DG229,DH229&lt;&gt;"洞穿",L229&lt;&gt;"END_TURN",COUNTIFS($DG$3:DG229,DG229,$DH$3:DH229,"敌方")=0)),EW230,DQ229)))</f>
        <v>0</v>
      </c>
      <c r="DN230" s="1">
        <f>MAX(0,MIN(Boss参数!$B$25,DJ230+DR230)-IF(E230="红弩箭",2*DR230,0))</f>
        <v>0</v>
      </c>
      <c r="DO230" s="1">
        <f>MAX(0,MIN(Boss参数!$B$25,DK230+DR230)-IF(E230="37",2*DR230,0))</f>
        <v>0</v>
      </c>
      <c r="DP230" s="1">
        <f>MAX(0,MIN(Boss参数!$B$25,DL230+DR230)-IF(E230="小瑞安侬",2*DR230,0))</f>
        <v>0</v>
      </c>
      <c r="DQ230" s="1">
        <f>MAX(0,MIN(Boss参数!$B$25,DM230+DR230)-IF(E230="J",2*DR230,0))</f>
        <v>0</v>
      </c>
      <c r="DR230" s="1">
        <f t="shared" si="242"/>
        <v>0</v>
      </c>
      <c r="DS230" s="1">
        <f t="shared" si="243"/>
        <v>0</v>
      </c>
      <c r="DT230" s="1">
        <f>IF(OR(E230="",E230="系统"),0,IF(OR(AND(DS230=1,Boss参数!$B$32=1),L230="RHI_BERRY",OR(AND(INDEX(角色面板!$B$18:$B$21,MATCH(E230,角色面板!$A$18:$A$21,0))="星",Boss参数!$B$4="岩"),AND(INDEX(角色面板!$B$18:$B$21,MATCH(E230,角色面板!$A$18:$A$21,0))="岩",Boss参数!$B$4="兽"),AND(INDEX(角色面板!$B$18:$B$21,MATCH(E230,角色面板!$A$18:$A$21,0))="兽",Boss参数!$B$4="木"),AND(INDEX(角色面板!$B$18:$B$21,MATCH(E230,角色面板!$A$18:$A$21,0))="木",Boss参数!$B$4="星"),AND(INDEX(角色面板!$B$18:$B$21,MATCH(E230,角色面板!$A$18:$A$21,0))="智",Boss参数!$B$4="灵"),AND(INDEX(角色面板!$B$18:$B$21,MATCH(E230,角色面板!$A$18:$A$21,0))="灵",Boss参数!$B$4="智"))),1,0))</f>
        <v>0</v>
      </c>
      <c r="DU230" s="1">
        <f>IF(D230="",0,INDEX(回合状态!$E$7:$E$17,MATCH(DG230,回合状态!$A$7:$A$17,0))+IF(AND(DH230="敌方",OR(INDEX(回合状态!$C$7:$C$17,MATCH(DG230,回合状态!$A$7:$A$17,0))="普通",INDEX(回合状态!$C$7:$C$17,MATCH(DG230,回合状态!$A$7:$A$17,0))="额外")),0.05,0))</f>
        <v>0</v>
      </c>
      <c r="DV230" s="1">
        <f>MAX(Boss参数!$B$28,1+IF(AND(E230="37",AC230&gt;0,BH230&gt;0),Boss参数!$B$42,0)-DI230*Boss参数!$B$24+EA230-ER230)</f>
        <v>9.9999999999999978E-2</v>
      </c>
      <c r="DW230" s="1">
        <f>MIN(IF(Boss参数!$B$77=1,Boss参数!$B$63*Boss参数!$B$62,Boss参数!$B$61*Boss参数!$B$62),ROUNDDOWN(BQ230*(1-ES230),0))</f>
        <v>0</v>
      </c>
      <c r="DX230" s="1">
        <f>MIN(IF(Boss参数!$B$77=1,Boss参数!$B$63*Boss参数!$B$62,Boss参数!$B$61*Boss参数!$B$62),ROUNDDOWN(BR230*(1-ES230),0))</f>
        <v>0</v>
      </c>
      <c r="DY230" s="1">
        <f t="shared" si="275"/>
        <v>250</v>
      </c>
      <c r="DZ230" s="1">
        <f>IF(L230="RHI_ULT",MIN(Boss参数!$B$48,ROUNDDOWN(AY230*Boss参数!$B$47,0)),DY230)</f>
        <v>250</v>
      </c>
      <c r="EA230" s="1">
        <v>0</v>
      </c>
      <c r="EB230" s="1">
        <f t="shared" si="244"/>
        <v>0</v>
      </c>
      <c r="EC230" s="1">
        <f>SUMIFS($EB$3:EB230,$B$3:B230,"&gt;="&amp;MAX(1,B230-2),$B$3:B230,"&lt;="&amp;B230)*Boss参数!$B$51</f>
        <v>0</v>
      </c>
      <c r="ED230" s="1">
        <f>IF(D230="",EG229,IF(AND(DG230&lt;&gt;DG229,DH230&lt;&gt;"洞穿"),MIN(Boss参数!$B$55,EG229+2),EG229))</f>
        <v>0</v>
      </c>
      <c r="EE230" s="1">
        <f t="shared" si="245"/>
        <v>0</v>
      </c>
      <c r="EF230" s="1">
        <f>IF(AND(OR(L230="END_TURN",AND(DH230="敌方",OR(DH229&lt;&gt;"敌方",DG230&lt;&gt;DG229))),SUMIFS($EF$3:EF229,$DG$3:DG229,DG230)=0),MIN(1,MAX(0,ED230-EE230)),0)</f>
        <v>0</v>
      </c>
      <c r="EG230" s="1">
        <f t="shared" si="246"/>
        <v>0</v>
      </c>
      <c r="EH230" s="1">
        <f>Boss参数!$B$53-IF(Y230=1,Boss参数!$B$54,0)</f>
        <v>0</v>
      </c>
      <c r="EI230" s="1">
        <f t="shared" si="247"/>
        <v>0.15</v>
      </c>
      <c r="EJ230" s="1">
        <f t="shared" si="248"/>
        <v>0.15</v>
      </c>
      <c r="EK230" s="1" t="e">
        <f t="shared" si="249"/>
        <v>#VALUE!</v>
      </c>
      <c r="EL230" s="1">
        <f t="shared" si="276"/>
        <v>0</v>
      </c>
      <c r="EM230" s="1">
        <f>IF(AND(DG230&lt;&gt;DG229,DH230="洞穿"),0,IF(L230="ENTER_INSIGHT",Boss参数!$B$57,EO229))</f>
        <v>0</v>
      </c>
      <c r="EN230" s="1">
        <f>IF(AND(Y230=1,H230="洞知",EM230&gt;0),Boss参数!$B$56,0)</f>
        <v>0</v>
      </c>
      <c r="EO230" s="1">
        <f t="shared" si="250"/>
        <v>0</v>
      </c>
      <c r="EP230" s="1">
        <f t="shared" si="277"/>
        <v>23210479</v>
      </c>
      <c r="EQ230" s="1">
        <f>ROUNDDOWN(EP230/Boss参数!$B$62,0)</f>
        <v>232</v>
      </c>
      <c r="ER230" s="1">
        <f>IF(EQ230&gt;=Boss参数!$B$66,Boss参数!$B$69,IF(EQ230&gt;=Boss参数!$B$65,Boss参数!$B$68,IF(EQ230&gt;=Boss参数!$B$64,Boss参数!$B$67,0)))</f>
        <v>0.9</v>
      </c>
      <c r="ES230" s="1">
        <f>MIN(1,IF(EQ230&gt;=Boss参数!$B$66,Boss参数!$B$72+ROUNDDOWN((EQ230-Boss参数!$B$66)/Boss参数!$B$73,0)*Boss参数!$B$74,IF(EQ230&gt;=Boss参数!$B$65,Boss参数!$B$71,IF(EQ230&gt;=Boss参数!$B$64,Boss参数!$B$70,0))))</f>
        <v>0.65</v>
      </c>
      <c r="ET230" s="1">
        <f>MIN(Boss参数!$B$61*Boss参数!$B$62,EP230+IF(AND(Boss参数!$B$60=1,ISNUMBER(验证表!H236)),验证表!H236,EU230))</f>
        <v>23210479</v>
      </c>
      <c r="EU230" s="1">
        <f>IF(D230="",0,IF(验证表!G236="是",BV230,IF(验证表!G236="否",BU230,BW230)))</f>
        <v>0</v>
      </c>
      <c r="EV230" s="1">
        <f>IF(EQ230&gt;=Boss参数!$B$66,2,IF(EQ230&gt;=Boss参数!$B$65,1,0))</f>
        <v>2</v>
      </c>
      <c r="EW230" s="1">
        <f t="shared" si="251"/>
        <v>3</v>
      </c>
      <c r="EX230" s="1">
        <f>IF(D230="",0,INDEX(回合状态!$D$7:$D$17,MATCH(DG230,回合状态!$A$7:$A$17,0)))</f>
        <v>0</v>
      </c>
      <c r="EY230" s="1">
        <f>IF(OR(L230="RHI_ATTACK",L230="RHI_BUFF"),1,IF(L230="RHI_ULT",Boss参数!$B$52,0))</f>
        <v>0</v>
      </c>
      <c r="EZ230" s="1">
        <f>MIN(6,SUMIFS($EY$3:EY230,$EX$3:EX230,"&gt;="&amp;MAX(1,EX230-Boss参数!$B$87+1),$EX$3:EX230,"&lt;="&amp;EX230))</f>
        <v>0</v>
      </c>
      <c r="FA230" s="1">
        <f t="shared" si="278"/>
        <v>0</v>
      </c>
      <c r="FB230" s="17">
        <f>IF(L230="BOSS_CONSERVATIVE",B230+Boss参数!$B$91,FB229)</f>
        <v>7</v>
      </c>
      <c r="FC230" s="17">
        <f t="shared" si="279"/>
        <v>0</v>
      </c>
      <c r="FD230" s="17">
        <f>IF(D230="",FD229,FD229+IF(AND(DG230&lt;&gt;DG229,INDEX(回合状态!$C$7:$C$17,MATCH(DG230,回合状态!$A$7:$A$17,0))&lt;&gt;"洞穿"),1,0))</f>
        <v>8</v>
      </c>
      <c r="FE230" s="17">
        <f>IF(D230="",0,IF(AND(OR(L230="END_TURN",DH230="敌方"),INDEX(回合状态!$C$7:$C$17,MATCH(DG230,回合状态!$A$7:$A$17,0))&lt;&gt;"洞穿",SUMIFS($FE$3:FE229,$DG$3:DG229,DG230)=0),1,0))</f>
        <v>0</v>
      </c>
    </row>
    <row r="231" spans="1:161" ht="84.95" customHeight="1">
      <c r="A231" s="1" t="str">
        <f>行动模拟!A237</f>
        <v/>
      </c>
      <c r="B231" s="1">
        <f>IF(D231="",0,INDEX(回合状态!$B$7:$B$17,MATCH(DG231,回合状态!$A$7:$A$17,0)))</f>
        <v>0</v>
      </c>
      <c r="C231" s="1">
        <f>行动模拟!C237</f>
        <v>0</v>
      </c>
      <c r="D231" s="1" t="str">
        <f>IF(行动模拟!D237="","",行动模拟!D237)</f>
        <v/>
      </c>
      <c r="E231" s="1" t="str">
        <f>IF($D231="","",IFERROR(INDEX(技能数据库!$B$4:$B$38,MATCH($D231,技能数据库!$A$4:$A$38,0)),""))</f>
        <v/>
      </c>
      <c r="F231" s="1" t="str">
        <f>IF($D231="","",IFERROR(INDEX(技能数据库!$C$4:$C$38,MATCH($D231,技能数据库!$A$4:$A$38,0)),""))</f>
        <v/>
      </c>
      <c r="G231" s="1" t="str">
        <f>IF($D231="","",IFERROR(INDEX(技能数据库!$D$4:$D$38,MATCH($D231,技能数据库!$A$4:$A$38,0)),""))</f>
        <v/>
      </c>
      <c r="H231" s="1" t="str">
        <f>IF($D231="","",IFERROR(INDEX(技能数据库!$E$4:$E$38,MATCH($D231,技能数据库!$A$4:$A$38,0)),""))</f>
        <v/>
      </c>
      <c r="I231" s="1" t="str">
        <f>IF($D231="","",IFERROR(INDEX(技能数据库!$F$4:$F$38,MATCH($D231,技能数据库!$A$4:$A$38,0)),""))</f>
        <v/>
      </c>
      <c r="J231" s="1" t="str">
        <f>IF($D231="","",IFERROR(INDEX(技能数据库!$G$4:$G$38,MATCH($D231,技能数据库!$A$4:$A$38,0)),""))</f>
        <v/>
      </c>
      <c r="K231" s="1" t="str">
        <f>IF($D231="","",IFERROR(INDEX(技能数据库!$H$4:$H$38,MATCH($D231,技能数据库!$A$4:$A$38,0)),""))</f>
        <v/>
      </c>
      <c r="L231" s="1" t="str">
        <f>IF($D231="","",IFERROR(INDEX(技能数据库!$I$4:$I$38,MATCH($D231,技能数据库!$A$4:$A$38,0)),""))</f>
        <v/>
      </c>
      <c r="M231" s="1">
        <v>1</v>
      </c>
      <c r="N231" s="1"/>
      <c r="O231" s="1"/>
      <c r="P231" s="1"/>
      <c r="Q231" s="1">
        <f t="shared" si="210"/>
        <v>0</v>
      </c>
      <c r="R231" s="1">
        <v>0</v>
      </c>
      <c r="S231" s="1">
        <v>0</v>
      </c>
      <c r="T231" s="1">
        <f>行动模拟!I237</f>
        <v>0</v>
      </c>
      <c r="U231" s="1">
        <f>IF(FD231&lt;&gt;FD230,IF(BY230=1,IF(MIN(10,CA230+IF(AND(DG231&lt;&gt;DG230,DH230&lt;&gt;"洞穿",SUMIFS($FE$3:FE230,$DG$3:DG230,DG230)=0,BY230=1),3,0))&gt;=10,2,1),IF(BY230=2,IF(BZ230&lt;=1,0,2),0)),BY230)</f>
        <v>2</v>
      </c>
      <c r="V231" s="1">
        <f>IF(FD231&lt;&gt;FD230,IF(BY230=1,IF(MIN(10,CA230+IF(AND(DG231&lt;&gt;DG230,DH230&lt;&gt;"洞穿",SUMIFS($FE$3:FE230,$DG$3:DG230,DG230)=0,BY230=1),3,0))&gt;=10,2,0),IF(BY230=2,MAX(0,BZ230-1),0)),BZ230)</f>
        <v>1</v>
      </c>
      <c r="W231" s="1">
        <f>IF(AND(FD231&lt;&gt;FD230,BY230=2,BZ230&lt;=1),0,MIN(10,CA230+IF(AND(DG231&lt;&gt;DG230,DH230&lt;&gt;"洞穿",SUMIFS($FE$3:FE230,$DG$3:DG230,DG230)=0,BY230=1),3,0)))</f>
        <v>10</v>
      </c>
      <c r="X231" s="1">
        <f t="shared" si="252"/>
        <v>13</v>
      </c>
      <c r="Y231" s="1">
        <f t="shared" si="253"/>
        <v>0</v>
      </c>
      <c r="Z231" s="1">
        <f t="shared" si="254"/>
        <v>0</v>
      </c>
      <c r="AA231" s="1">
        <f t="shared" si="255"/>
        <v>0</v>
      </c>
      <c r="AB231" s="1">
        <f t="shared" si="256"/>
        <v>10</v>
      </c>
      <c r="AC231" s="1">
        <f t="shared" si="257"/>
        <v>1</v>
      </c>
      <c r="AD231" s="1">
        <f t="shared" si="258"/>
        <v>35</v>
      </c>
      <c r="AE231" s="1">
        <f>IF(D231="",0,IF(DG231&lt;&gt;DG230,IFERROR(INDEX(回合状态!$F$7:$F$17,MATCH(DG231,回合状态!$A$7:$A$17,0)),0),CI230))</f>
        <v>0</v>
      </c>
      <c r="AF231" s="1">
        <f t="shared" si="259"/>
        <v>0.875</v>
      </c>
      <c r="AG231" s="1">
        <f t="shared" si="260"/>
        <v>9</v>
      </c>
      <c r="AH231" s="1">
        <f t="shared" si="261"/>
        <v>9</v>
      </c>
      <c r="AI231" s="1">
        <f t="shared" si="262"/>
        <v>8</v>
      </c>
      <c r="AJ231" s="1">
        <f t="shared" si="263"/>
        <v>9</v>
      </c>
      <c r="AK231" s="1">
        <f t="shared" si="264"/>
        <v>8</v>
      </c>
      <c r="AL231" s="1">
        <f t="shared" si="265"/>
        <v>3</v>
      </c>
      <c r="AM231" s="1">
        <f t="shared" si="266"/>
        <v>30</v>
      </c>
      <c r="AN231" s="1">
        <f t="shared" si="267"/>
        <v>9</v>
      </c>
      <c r="AO231" s="1">
        <f t="shared" si="268"/>
        <v>0</v>
      </c>
      <c r="AP231" s="1" t="e">
        <f t="shared" si="269"/>
        <v>#VALUE!</v>
      </c>
      <c r="AQ231" s="1" t="e">
        <f t="shared" si="270"/>
        <v>#VALUE!</v>
      </c>
      <c r="AR231" s="1">
        <f t="shared" si="271"/>
        <v>0.3</v>
      </c>
      <c r="AS231" s="1">
        <f t="shared" si="272"/>
        <v>9</v>
      </c>
      <c r="AT231" s="1">
        <f t="shared" si="273"/>
        <v>0.3</v>
      </c>
      <c r="AU231" s="1">
        <f t="shared" si="274"/>
        <v>9</v>
      </c>
      <c r="AV231" s="1">
        <f>MIN(5,SUMIFS($EL$3:EL231,$B$3:B231,"&gt;="&amp;MAX(1,B231-2),$B$3:B231,"&lt;="&amp;B231)+EC231)</f>
        <v>0</v>
      </c>
      <c r="AW231" s="1">
        <f>MIN(6,SUMIFS($EY$3:EY230,$EX$3:EX230,"&gt;="&amp;MAX(1,EX231-Boss参数!$B$87+1),$EX$3:EX230,"&lt;="&amp;EX231))</f>
        <v>0</v>
      </c>
      <c r="AX231" s="1">
        <f>MIN(4,COUNTIFS($B$3:$B$230,"&gt;="&amp;MAX(1,$B231-2),$B$3:$B$230,"&lt;="&amp;$B231,$L$3:$L$230,"37_FOLLOW"))</f>
        <v>0</v>
      </c>
      <c r="AY231" s="1" t="str">
        <f>IF($E231="","",IF($E231="系统",0,ROUNDDOWN(INDEX(角色面板!$C$4:$C$7,MATCH($E231,角色面板!$A$4:$A$7,0))*(1+INDEX(角色面板!$C$11:$C$14,MATCH($E231,角色面板!$A$11:$A$14,0))+IF($E231="小瑞安侬",MAX(IF($B231&lt;=$AQ231,$AP231,0),IF(AND($L231="RHI_ATTACK",$EE231&gt;0),0.11+0.01*$G231,0)),0)+IF($E231="J",$AD231*Boss参数!$B$18,0))+IF(FD231&lt;=$AN231,MIN(Boss参数!$B$21,ROUNDDOWN(角色面板!$C$19*Boss参数!$B$20,0)),0)+IF(AND($B231&lt;=$AK231,$E231&lt;&gt;"小瑞安侬"),$DY231,0),0)))</f>
        <v/>
      </c>
      <c r="AZ231" s="1" t="str">
        <f>IF($E231="","",MAX(0,MIN(1,IFERROR(INDEX(角色面板!$G$18:$G$21,MATCH($E231,角色面板!$A$18:$A$21,0)),0)-FC231*Boss参数!$B$89-Boss参数!$E$4)))</f>
        <v/>
      </c>
      <c r="BA231" s="1" t="str">
        <f>IF(E231="","",(IF($E231="","",IF($E231="红弩箭",Boss参数!$B$80,IF($E231="J",Boss参数!$B$81,IFERROR(INDEX(角色面板!$H$18:$H$21,MATCH($E231,角色面板!$A$18:$A$21,0)),0)))+IF($B231&lt;=$AI231,Boss参数!$B$13,0)+MIN(30,$AM231)*Boss参数!$B$17+IF(AND($L231="LILYA_ULT",$X231&gt;=6),1,0)+IF(AND($Y231=1,$L231="LILYA_INSIGHT"),IF(MOD($AA231+1,3)=0,Boss参数!$B$83,Boss参数!$B$82),IF(AND($Y231=1,$L231="LILYA_FINISH"),Boss参数!$B$84,0))))-FC231*Boss参数!$B$90)</f>
        <v/>
      </c>
      <c r="BB231" s="1" t="str">
        <f>IF($E231="","",IFERROR(INDEX(角色面板!$M$18:$M$21,MATCH($E231,角色面板!$A$18:$A$21,0)),0)+$AW231*Boss参数!$B$12+IF($B231&lt;=$AG231,$AF231,0)+$EI231+IF($L231="LILYA_DIVE",IF($U231=1,IF($G231=1,0.3,IF($G231=2,0.4,0.5)),IF($U231=2,IF($G231=1,0.6,IF($G231=2,0.8,1)),0)),0)+$R231+IF(AND($E231="J",OR($L231="J_COUNTER",$L231="J_HARD")),Boss参数!$B$79,0)+IF(AND(OR(L231="J_COUNTER",L231="J_HARD"),FA231&gt;=Boss参数!$B$59),FA231*Boss参数!$B$40,0))</f>
        <v/>
      </c>
      <c r="BC231" s="1" t="e">
        <f>IF($E231="","",IFERROR(INDEX(角色面板!$K$18:$K$21,MATCH($E231,角色面板!$A$18:$A$21,0)),0)+IF($B231&lt;=$AH231,Boss参数!$B$46,0)+IF($E231="红弩箭",IF($U231=1,0.6,IF($U231=2,1.2,0))+$W231*0.06,0))-DI231*Boss参数!$B$23</f>
        <v>#VALUE!</v>
      </c>
      <c r="BD231" s="1" t="e">
        <f>IF($E231="","",IFERROR(INDEX(角色面板!$L$18:$L$21,MATCH($E231,角色面板!$A$18:$A$21,0)),0)+IF($B231&lt;=$AH231,Boss参数!$B$46,0)+IF($E231="J",$AL231*Boss参数!$B$16,0)+IF($E231="红弩箭",$X231*0.025,0)+IF(AND($L231="LILYA_ULT",$X231&gt;=6),1,0))-DI231*Boss参数!$B$23</f>
        <v>#VALUE!</v>
      </c>
      <c r="BE231" s="1" t="str">
        <f>IF($E231="","",IF($H231="洞知",IF($E231="红弩箭",$AO231*Boss参数!$B$15,0)+$AX231*Boss参数!$B$14,0))</f>
        <v/>
      </c>
      <c r="BF231" s="1">
        <f t="shared" si="211"/>
        <v>0</v>
      </c>
      <c r="BG231" s="1">
        <f>IF($D231="",0,IF(AND($L231&lt;&gt;"LILYA_DIVE",$L231&lt;&gt;"LILYA_ULT",$L231&lt;&gt;"LILYA_INSIGHT",$L231&lt;&gt;"LILYA_FINISH",$L231&lt;&gt;"37_FOLLOW",$L231&lt;&gt;"RHI_ATTACK",$L231&lt;&gt;"RHI_BERRY",$L231&lt;&gt;"J_COUNTER",$L231&lt;&gt;"J_ULT"),$J231,0)+IF($L231="LILYA_DIVE",$J231+IF($U231=1,IF($G231=1,6,IF($G231=2,12,18)),IF($U231=2,IF($G231=1,12,IF($G231=2,24,36)),0)),0)+IF($L231="LILYA_ULT",$J231+IF($X231&gt;=6,18,0),0)+IF($L231="LILYA_INSIGHT",IF($Y231=1,IF(MOD($AA231+1,3)=0,32,15),0),0)+IF($L231="LILYA_FINISH",IF($Y231=1,50+2.5*$Z231,0),0)+IF($L231="37_FOLLOW",$J231,0)+IF($L231="RHI_ATTACK",$J231*IF($B231&lt;=$AJ231,2,1),0)+IF($L231="RHI_BERRY",15+1.5*$AV231,0)+IF($L231="J_COUNTER",$J231+$AD231*Boss参数!$B$39,0)+IF($L231="J_ULT",$J231+Boss参数!$B$45*MAX(0,$AE231+$AD231-Boss参数!$I$4),0)+$S231)</f>
        <v>0</v>
      </c>
      <c r="BH231" s="1">
        <f t="shared" si="212"/>
        <v>0</v>
      </c>
      <c r="BI231" s="1" t="str">
        <f>IF(E231="","",IF(DT231=1,1+Boss参数!$B$8+AV231*Boss参数!$B$19,1))</f>
        <v/>
      </c>
      <c r="BJ231" s="1">
        <f>IF($I231="现实",Boss参数!$C$4,IF($I231="精神",Boss参数!$D$4,0))</f>
        <v>0</v>
      </c>
      <c r="BK231" s="1" t="str">
        <f>IF($E231="","",MAX($AY231*Boss参数!$B$9,$AY231-$BJ231*(1-$BF231)))</f>
        <v/>
      </c>
      <c r="BL231" s="1">
        <f>MAX(0,Boss参数!$F$4+IF(DT231=0,Boss参数!$B$27,0)-EJ231)</f>
        <v>1.25</v>
      </c>
      <c r="BM231" s="1">
        <f>Boss参数!$G$4+DU231-IF(Y231=1,Boss参数!$B$11,0)</f>
        <v>0.4</v>
      </c>
      <c r="BN231" s="1" t="str">
        <f>IF($E231="","",MAX(Boss参数!$B$10,1+IFERROR(INDEX(角色面板!$I$18:$I$21,MATCH($E231,角色面板!$A$18:$A$21,0)),0)+$BB231+Boss参数!$H$4-$BM231))</f>
        <v/>
      </c>
      <c r="BO231" s="1" t="str">
        <f>IF(E231="","",IF(OR(L231="J_COUNTER",L231="J_HARD"),MAX(0,1+INDEX(角色面板!$K$18:$K$21,MATCH(E231,角色面板!$A$18:$A$21,0))-DI231*Boss参数!$B$23+IF(OR(Boss参数!$B$43=1,L231="J_HARD"),IF(B231&lt;=AH231,Boss参数!$B$46,0),0)),MAX(0,IF(OR(H231="术法",L231="RHI_BERRY",AND(L231="37_FOLLOW",Boss参数!$B$31=1)),1+BC231,IF(H231="仪式",1+BD231,IF(H231="洞知",EK231,1))))))</f>
        <v/>
      </c>
      <c r="BP231" s="1" t="str">
        <f t="shared" si="213"/>
        <v/>
      </c>
      <c r="BQ231" s="1">
        <f t="shared" si="214"/>
        <v>0</v>
      </c>
      <c r="BR231" s="1">
        <f t="shared" si="215"/>
        <v>0</v>
      </c>
      <c r="BS231" s="1">
        <f>IF(BH231=0,0,ROUNDDOWN(AY231*BH231,0)*DV231*IF(Boss参数!$B$29=1,BN231,1)*IF(Boss参数!$B$33=1,BO231,1)*IF(Boss参数!$B$76=1,1-ES231,1))</f>
        <v>0</v>
      </c>
      <c r="BT231" s="1">
        <f t="shared" si="216"/>
        <v>0</v>
      </c>
      <c r="BU231" s="1">
        <f>IF(D231="",0,MIN(IF(Boss参数!$B$77=1,Boss参数!$B$63*Boss参数!$B$62,Boss参数!$B$61*Boss参数!$B$62),DW231+ROUNDDOWN(BS231,0)+ROUNDDOWN(DW231*Q231,0)))</f>
        <v>0</v>
      </c>
      <c r="BV231" s="1">
        <f>IF(D231="",0,MIN(IF(Boss参数!$B$77=1,Boss参数!$B$63*Boss参数!$B$62,Boss参数!$B$61*Boss参数!$B$62),DX231+ROUNDDOWN(BT231,0)+ROUNDDOWN(DX231*Q231,0)))</f>
        <v>0</v>
      </c>
      <c r="BW231" s="1">
        <f t="shared" si="217"/>
        <v>0</v>
      </c>
      <c r="BX231" s="1" t="str">
        <f t="shared" si="218"/>
        <v/>
      </c>
      <c r="BY231" s="1">
        <f t="shared" si="219"/>
        <v>2</v>
      </c>
      <c r="BZ231" s="1">
        <f t="shared" si="220"/>
        <v>1</v>
      </c>
      <c r="CA231" s="1">
        <f>MIN(10,W231+IF(AND(L231="LILYA_COBRA",COUNTIF($L$3:L231,"LILYA_COBRA")=1),5,0)+IF(AND(L231="LILYA_DIVE",U231=1,COUNTIFS($DG$3:DG231,DG231,$L$3:L231,"LILYA_DIVE")=1),2,0)+IF(AND(FE231=1,U231=1),3,0))</f>
        <v>10</v>
      </c>
      <c r="CB231" s="1">
        <f>MIN(20,MAX(0,X231+IF(L231="LILYA_COBRA",IF(COUNTIF($L$3:L231,"LILYA_COBRA")=1,6,IF(U231=1,MAX(1,G231),IF(U231=2,2*MAX(1,G231),0))),0)+IF(AND(Y231=1,E231="红弩箭",L231&lt;&gt;"ENTER_INSIGHT"),1,0)-IF(AND(L231="LILYA_ULT",X231&gt;=6),6,0)))</f>
        <v>13</v>
      </c>
      <c r="CC231" s="1">
        <f t="shared" si="221"/>
        <v>0</v>
      </c>
      <c r="CD231" s="1">
        <f t="shared" si="222"/>
        <v>0</v>
      </c>
      <c r="CE231" s="1">
        <f t="shared" si="223"/>
        <v>0</v>
      </c>
      <c r="CF231" s="1">
        <f t="shared" si="224"/>
        <v>10</v>
      </c>
      <c r="CG231" s="1">
        <f t="shared" si="225"/>
        <v>1</v>
      </c>
      <c r="CH231" s="1">
        <f>MIN(35,AD231+IF(L231="J_HARD",6,0)+IF(L231="J_COUNTER",Boss参数!$B$30,0))</f>
        <v>35</v>
      </c>
      <c r="CI231" s="1">
        <f>MIN(Boss参数!$I$4,AE231+IF(L231="J_HARD",6,0)+IF(L231="J_ULT",AD231,0)+IF(L231="J_COUNTER",Boss参数!$B$30,0))</f>
        <v>0</v>
      </c>
      <c r="CJ231" s="1">
        <f>IF(L231="J_ULT",AD231*Boss参数!$B$41,IF(B231&lt;=AG231,AF231,0))</f>
        <v>0.875</v>
      </c>
      <c r="CK231" s="1">
        <f t="shared" si="226"/>
        <v>9</v>
      </c>
      <c r="CL231" s="1">
        <f t="shared" si="227"/>
        <v>9</v>
      </c>
      <c r="CM231" s="1">
        <f t="shared" si="228"/>
        <v>8</v>
      </c>
      <c r="CN231" s="1">
        <f t="shared" si="229"/>
        <v>9</v>
      </c>
      <c r="CO231" s="1">
        <f t="shared" si="230"/>
        <v>8</v>
      </c>
      <c r="CP231" s="1">
        <f t="shared" si="231"/>
        <v>3</v>
      </c>
      <c r="CQ231" s="1">
        <f t="shared" si="232"/>
        <v>30</v>
      </c>
      <c r="CR231" s="1">
        <f t="shared" si="233"/>
        <v>9</v>
      </c>
      <c r="CS231" s="1">
        <f t="shared" si="234"/>
        <v>0</v>
      </c>
      <c r="CT231" s="1" t="e">
        <f t="shared" si="235"/>
        <v>#VALUE!</v>
      </c>
      <c r="CU231" s="1" t="e">
        <f t="shared" si="236"/>
        <v>#VALUE!</v>
      </c>
      <c r="CV231" s="1">
        <f t="shared" si="237"/>
        <v>0.3</v>
      </c>
      <c r="CW231" s="1">
        <f t="shared" si="238"/>
        <v>9</v>
      </c>
      <c r="CX231" s="1">
        <f t="shared" si="239"/>
        <v>0.3</v>
      </c>
      <c r="CY231" s="1">
        <f t="shared" si="240"/>
        <v>9</v>
      </c>
      <c r="CZ231" s="1"/>
      <c r="DA231" s="1"/>
      <c r="DB231" s="1"/>
      <c r="DC231" s="1"/>
      <c r="DD231" s="1"/>
      <c r="DE231" s="1"/>
      <c r="DF231" s="1"/>
      <c r="DG231" s="1" t="str">
        <f>IF(D231="","",行动模拟!B237)</f>
        <v/>
      </c>
      <c r="DH231" s="1" t="str">
        <f>IF(L231="END_TURN","回合结束",IF(D231="","",IF(INDEX(回合状态!$C$7:$C$17,MATCH(DG231,回合状态!$A$7:$A$17,0))="洞穿","洞穿",IF(OR(L231="J_COUNTER",L231="BOSS_ACTION",L231="BOSS_CONSERVATIVE"),"敌方",IF(AND(L231="37_FOLLOW",DG231=DG230,DH230="敌方"),"敌方",IF(INDEX(回合状态!$C$7:$C$17,MATCH(DG231,回合状态!$A$7:$A$17,0))="普通","出牌",INDEX(回合状态!$C$7:$C$17,MATCH(DG231,回合状态!$A$7:$A$17,0))))))))</f>
        <v/>
      </c>
      <c r="DI231" s="1">
        <f t="shared" si="241"/>
        <v>0</v>
      </c>
      <c r="DJ231" s="1">
        <f>IF(D231="",0,MIN(Boss参数!$B$25,IF(OR(AND(DH231="敌方",OR(DH230&lt;&gt;"敌方",DG231&lt;&gt;DG230)),AND(L231="END_TURN",DH231&lt;&gt;"洞穿"),AND(DG231&lt;&gt;DG230,DH230&lt;&gt;"洞穿",L230&lt;&gt;"END_TURN",COUNTIFS($DG$3:DG230,DG230,$DH$3:DH230,"敌方")=0)),EW231,DN230)))</f>
        <v>0</v>
      </c>
      <c r="DK231" s="1">
        <f>IF(D231="",0,MIN(Boss参数!$B$25,IF(OR(AND(DH231="敌方",OR(DH230&lt;&gt;"敌方",DG231&lt;&gt;DG230)),AND(L231="END_TURN",DH231&lt;&gt;"洞穿"),AND(DG231&lt;&gt;DG230,DH230&lt;&gt;"洞穿",L230&lt;&gt;"END_TURN",COUNTIFS($DG$3:DG230,DG230,$DH$3:DH230,"敌方")=0)),EW231,DO230)))</f>
        <v>0</v>
      </c>
      <c r="DL231" s="1">
        <f>IF(D231="",0,MIN(Boss参数!$B$25,IF(OR(AND(DH231="敌方",OR(DH230&lt;&gt;"敌方",DG231&lt;&gt;DG230)),AND(L231="END_TURN",DH231&lt;&gt;"洞穿"),AND(DG231&lt;&gt;DG230,DH230&lt;&gt;"洞穿",L230&lt;&gt;"END_TURN",COUNTIFS($DG$3:DG230,DG230,$DH$3:DH230,"敌方")=0)),EW231,DP230)))</f>
        <v>0</v>
      </c>
      <c r="DM231" s="1">
        <f>IF(D231="",0,MIN(Boss参数!$B$25,IF(OR(AND(DH231="敌方",OR(DH230&lt;&gt;"敌方",DG231&lt;&gt;DG230)),AND(L231="END_TURN",DH231&lt;&gt;"洞穿"),AND(DG231&lt;&gt;DG230,DH230&lt;&gt;"洞穿",L230&lt;&gt;"END_TURN",COUNTIFS($DG$3:DG230,DG230,$DH$3:DH230,"敌方")=0)),EW231,DQ230)))</f>
        <v>0</v>
      </c>
      <c r="DN231" s="1">
        <f>MAX(0,MIN(Boss参数!$B$25,DJ231+DR231)-IF(E231="红弩箭",2*DR231,0))</f>
        <v>0</v>
      </c>
      <c r="DO231" s="1">
        <f>MAX(0,MIN(Boss参数!$B$25,DK231+DR231)-IF(E231="37",2*DR231,0))</f>
        <v>0</v>
      </c>
      <c r="DP231" s="1">
        <f>MAX(0,MIN(Boss参数!$B$25,DL231+DR231)-IF(E231="小瑞安侬",2*DR231,0))</f>
        <v>0</v>
      </c>
      <c r="DQ231" s="1">
        <f>MAX(0,MIN(Boss参数!$B$25,DM231+DR231)-IF(E231="J",2*DR231,0))</f>
        <v>0</v>
      </c>
      <c r="DR231" s="1">
        <f t="shared" si="242"/>
        <v>0</v>
      </c>
      <c r="DS231" s="1">
        <f t="shared" si="243"/>
        <v>0</v>
      </c>
      <c r="DT231" s="1">
        <f>IF(OR(E231="",E231="系统"),0,IF(OR(AND(DS231=1,Boss参数!$B$32=1),L231="RHI_BERRY",OR(AND(INDEX(角色面板!$B$18:$B$21,MATCH(E231,角色面板!$A$18:$A$21,0))="星",Boss参数!$B$4="岩"),AND(INDEX(角色面板!$B$18:$B$21,MATCH(E231,角色面板!$A$18:$A$21,0))="岩",Boss参数!$B$4="兽"),AND(INDEX(角色面板!$B$18:$B$21,MATCH(E231,角色面板!$A$18:$A$21,0))="兽",Boss参数!$B$4="木"),AND(INDEX(角色面板!$B$18:$B$21,MATCH(E231,角色面板!$A$18:$A$21,0))="木",Boss参数!$B$4="星"),AND(INDEX(角色面板!$B$18:$B$21,MATCH(E231,角色面板!$A$18:$A$21,0))="智",Boss参数!$B$4="灵"),AND(INDEX(角色面板!$B$18:$B$21,MATCH(E231,角色面板!$A$18:$A$21,0))="灵",Boss参数!$B$4="智"))),1,0))</f>
        <v>0</v>
      </c>
      <c r="DU231" s="1">
        <f>IF(D231="",0,INDEX(回合状态!$E$7:$E$17,MATCH(DG231,回合状态!$A$7:$A$17,0))+IF(AND(DH231="敌方",OR(INDEX(回合状态!$C$7:$C$17,MATCH(DG231,回合状态!$A$7:$A$17,0))="普通",INDEX(回合状态!$C$7:$C$17,MATCH(DG231,回合状态!$A$7:$A$17,0))="额外")),0.05,0))</f>
        <v>0</v>
      </c>
      <c r="DV231" s="1">
        <f>MAX(Boss参数!$B$28,1+IF(AND(E231="37",AC231&gt;0,BH231&gt;0),Boss参数!$B$42,0)-DI231*Boss参数!$B$24+EA231-ER231)</f>
        <v>9.9999999999999978E-2</v>
      </c>
      <c r="DW231" s="1">
        <f>MIN(IF(Boss参数!$B$77=1,Boss参数!$B$63*Boss参数!$B$62,Boss参数!$B$61*Boss参数!$B$62),ROUNDDOWN(BQ231*(1-ES231),0))</f>
        <v>0</v>
      </c>
      <c r="DX231" s="1">
        <f>MIN(IF(Boss参数!$B$77=1,Boss参数!$B$63*Boss参数!$B$62,Boss参数!$B$61*Boss参数!$B$62),ROUNDDOWN(BR231*(1-ES231),0))</f>
        <v>0</v>
      </c>
      <c r="DY231" s="1">
        <f t="shared" si="275"/>
        <v>250</v>
      </c>
      <c r="DZ231" s="1">
        <f>IF(L231="RHI_ULT",MIN(Boss参数!$B$48,ROUNDDOWN(AY231*Boss参数!$B$47,0)),DY231)</f>
        <v>250</v>
      </c>
      <c r="EA231" s="1">
        <v>0</v>
      </c>
      <c r="EB231" s="1">
        <f t="shared" si="244"/>
        <v>0</v>
      </c>
      <c r="EC231" s="1">
        <f>SUMIFS($EB$3:EB231,$B$3:B231,"&gt;="&amp;MAX(1,B231-2),$B$3:B231,"&lt;="&amp;B231)*Boss参数!$B$51</f>
        <v>0</v>
      </c>
      <c r="ED231" s="1">
        <f>IF(D231="",EG230,IF(AND(DG231&lt;&gt;DG230,DH231&lt;&gt;"洞穿"),MIN(Boss参数!$B$55,EG230+2),EG230))</f>
        <v>0</v>
      </c>
      <c r="EE231" s="1">
        <f t="shared" si="245"/>
        <v>0</v>
      </c>
      <c r="EF231" s="1">
        <f>IF(AND(OR(L231="END_TURN",AND(DH231="敌方",OR(DH230&lt;&gt;"敌方",DG231&lt;&gt;DG230))),SUMIFS($EF$3:EF230,$DG$3:DG230,DG231)=0),MIN(1,MAX(0,ED231-EE231)),0)</f>
        <v>0</v>
      </c>
      <c r="EG231" s="1">
        <f t="shared" si="246"/>
        <v>0</v>
      </c>
      <c r="EH231" s="1">
        <f>Boss参数!$B$53-IF(Y231=1,Boss参数!$B$54,0)</f>
        <v>0</v>
      </c>
      <c r="EI231" s="1">
        <f t="shared" si="247"/>
        <v>0.15</v>
      </c>
      <c r="EJ231" s="1">
        <f t="shared" si="248"/>
        <v>0.15</v>
      </c>
      <c r="EK231" s="1" t="e">
        <f t="shared" si="249"/>
        <v>#VALUE!</v>
      </c>
      <c r="EL231" s="1">
        <f t="shared" si="276"/>
        <v>0</v>
      </c>
      <c r="EM231" s="1">
        <f>IF(AND(DG231&lt;&gt;DG230,DH231="洞穿"),0,IF(L231="ENTER_INSIGHT",Boss参数!$B$57,EO230))</f>
        <v>0</v>
      </c>
      <c r="EN231" s="1">
        <f>IF(AND(Y231=1,H231="洞知",EM231&gt;0),Boss参数!$B$56,0)</f>
        <v>0</v>
      </c>
      <c r="EO231" s="1">
        <f t="shared" si="250"/>
        <v>0</v>
      </c>
      <c r="EP231" s="1">
        <f t="shared" si="277"/>
        <v>23210479</v>
      </c>
      <c r="EQ231" s="1">
        <f>ROUNDDOWN(EP231/Boss参数!$B$62,0)</f>
        <v>232</v>
      </c>
      <c r="ER231" s="1">
        <f>IF(EQ231&gt;=Boss参数!$B$66,Boss参数!$B$69,IF(EQ231&gt;=Boss参数!$B$65,Boss参数!$B$68,IF(EQ231&gt;=Boss参数!$B$64,Boss参数!$B$67,0)))</f>
        <v>0.9</v>
      </c>
      <c r="ES231" s="1">
        <f>MIN(1,IF(EQ231&gt;=Boss参数!$B$66,Boss参数!$B$72+ROUNDDOWN((EQ231-Boss参数!$B$66)/Boss参数!$B$73,0)*Boss参数!$B$74,IF(EQ231&gt;=Boss参数!$B$65,Boss参数!$B$71,IF(EQ231&gt;=Boss参数!$B$64,Boss参数!$B$70,0))))</f>
        <v>0.65</v>
      </c>
      <c r="ET231" s="1">
        <f>MIN(Boss参数!$B$61*Boss参数!$B$62,EP231+IF(AND(Boss参数!$B$60=1,ISNUMBER(验证表!H237)),验证表!H237,EU231))</f>
        <v>23210479</v>
      </c>
      <c r="EU231" s="1">
        <f>IF(D231="",0,IF(验证表!G237="是",BV231,IF(验证表!G237="否",BU231,BW231)))</f>
        <v>0</v>
      </c>
      <c r="EV231" s="1">
        <f>IF(EQ231&gt;=Boss参数!$B$66,2,IF(EQ231&gt;=Boss参数!$B$65,1,0))</f>
        <v>2</v>
      </c>
      <c r="EW231" s="1">
        <f t="shared" si="251"/>
        <v>3</v>
      </c>
      <c r="EX231" s="1">
        <f>IF(D231="",0,INDEX(回合状态!$D$7:$D$17,MATCH(DG231,回合状态!$A$7:$A$17,0)))</f>
        <v>0</v>
      </c>
      <c r="EY231" s="1">
        <f>IF(OR(L231="RHI_ATTACK",L231="RHI_BUFF"),1,IF(L231="RHI_ULT",Boss参数!$B$52,0))</f>
        <v>0</v>
      </c>
      <c r="EZ231" s="1">
        <f>MIN(6,SUMIFS($EY$3:EY231,$EX$3:EX231,"&gt;="&amp;MAX(1,EX231-Boss参数!$B$87+1),$EX$3:EX231,"&lt;="&amp;EX231))</f>
        <v>0</v>
      </c>
      <c r="FA231" s="1">
        <f t="shared" si="278"/>
        <v>0</v>
      </c>
      <c r="FB231" s="17">
        <f>IF(L231="BOSS_CONSERVATIVE",B231+Boss参数!$B$91,FB230)</f>
        <v>7</v>
      </c>
      <c r="FC231" s="17">
        <f t="shared" si="279"/>
        <v>0</v>
      </c>
      <c r="FD231" s="17">
        <f>IF(D231="",FD230,FD230+IF(AND(DG231&lt;&gt;DG230,INDEX(回合状态!$C$7:$C$17,MATCH(DG231,回合状态!$A$7:$A$17,0))&lt;&gt;"洞穿"),1,0))</f>
        <v>8</v>
      </c>
      <c r="FE231" s="17">
        <f>IF(D231="",0,IF(AND(OR(L231="END_TURN",DH231="敌方"),INDEX(回合状态!$C$7:$C$17,MATCH(DG231,回合状态!$A$7:$A$17,0))&lt;&gt;"洞穿",SUMIFS($FE$3:FE230,$DG$3:DG230,DG231)=0),1,0))</f>
        <v>0</v>
      </c>
    </row>
    <row r="232" spans="1:161" ht="84.95" customHeight="1">
      <c r="A232" s="1" t="str">
        <f>行动模拟!A238</f>
        <v/>
      </c>
      <c r="B232" s="1">
        <f>IF(D232="",0,INDEX(回合状态!$B$7:$B$17,MATCH(DG232,回合状态!$A$7:$A$17,0)))</f>
        <v>0</v>
      </c>
      <c r="C232" s="1">
        <f>行动模拟!C238</f>
        <v>0</v>
      </c>
      <c r="D232" s="1" t="str">
        <f>IF(行动模拟!D238="","",行动模拟!D238)</f>
        <v/>
      </c>
      <c r="E232" s="1" t="str">
        <f>IF($D232="","",IFERROR(INDEX(技能数据库!$B$4:$B$38,MATCH($D232,技能数据库!$A$4:$A$38,0)),""))</f>
        <v/>
      </c>
      <c r="F232" s="1" t="str">
        <f>IF($D232="","",IFERROR(INDEX(技能数据库!$C$4:$C$38,MATCH($D232,技能数据库!$A$4:$A$38,0)),""))</f>
        <v/>
      </c>
      <c r="G232" s="1" t="str">
        <f>IF($D232="","",IFERROR(INDEX(技能数据库!$D$4:$D$38,MATCH($D232,技能数据库!$A$4:$A$38,0)),""))</f>
        <v/>
      </c>
      <c r="H232" s="1" t="str">
        <f>IF($D232="","",IFERROR(INDEX(技能数据库!$E$4:$E$38,MATCH($D232,技能数据库!$A$4:$A$38,0)),""))</f>
        <v/>
      </c>
      <c r="I232" s="1" t="str">
        <f>IF($D232="","",IFERROR(INDEX(技能数据库!$F$4:$F$38,MATCH($D232,技能数据库!$A$4:$A$38,0)),""))</f>
        <v/>
      </c>
      <c r="J232" s="1" t="str">
        <f>IF($D232="","",IFERROR(INDEX(技能数据库!$G$4:$G$38,MATCH($D232,技能数据库!$A$4:$A$38,0)),""))</f>
        <v/>
      </c>
      <c r="K232" s="1" t="str">
        <f>IF($D232="","",IFERROR(INDEX(技能数据库!$H$4:$H$38,MATCH($D232,技能数据库!$A$4:$A$38,0)),""))</f>
        <v/>
      </c>
      <c r="L232" s="1" t="str">
        <f>IF($D232="","",IFERROR(INDEX(技能数据库!$I$4:$I$38,MATCH($D232,技能数据库!$A$4:$A$38,0)),""))</f>
        <v/>
      </c>
      <c r="M232" s="1">
        <v>1</v>
      </c>
      <c r="N232" s="1"/>
      <c r="O232" s="1"/>
      <c r="P232" s="1"/>
      <c r="Q232" s="1">
        <f t="shared" si="210"/>
        <v>0</v>
      </c>
      <c r="R232" s="1">
        <v>0</v>
      </c>
      <c r="S232" s="1">
        <v>0</v>
      </c>
      <c r="T232" s="1">
        <f>行动模拟!I238</f>
        <v>0</v>
      </c>
      <c r="U232" s="1">
        <f>IF(FD232&lt;&gt;FD231,IF(BY231=1,IF(MIN(10,CA231+IF(AND(DG232&lt;&gt;DG231,DH231&lt;&gt;"洞穿",SUMIFS($FE$3:FE231,$DG$3:DG231,DG231)=0,BY231=1),3,0))&gt;=10,2,1),IF(BY231=2,IF(BZ231&lt;=1,0,2),0)),BY231)</f>
        <v>2</v>
      </c>
      <c r="V232" s="1">
        <f>IF(FD232&lt;&gt;FD231,IF(BY231=1,IF(MIN(10,CA231+IF(AND(DG232&lt;&gt;DG231,DH231&lt;&gt;"洞穿",SUMIFS($FE$3:FE231,$DG$3:DG231,DG231)=0,BY231=1),3,0))&gt;=10,2,0),IF(BY231=2,MAX(0,BZ231-1),0)),BZ231)</f>
        <v>1</v>
      </c>
      <c r="W232" s="1">
        <f>IF(AND(FD232&lt;&gt;FD231,BY231=2,BZ231&lt;=1),0,MIN(10,CA231+IF(AND(DG232&lt;&gt;DG231,DH231&lt;&gt;"洞穿",SUMIFS($FE$3:FE231,$DG$3:DG231,DG231)=0,BY231=1),3,0)))</f>
        <v>10</v>
      </c>
      <c r="X232" s="1">
        <f t="shared" si="252"/>
        <v>13</v>
      </c>
      <c r="Y232" s="1">
        <f t="shared" si="253"/>
        <v>0</v>
      </c>
      <c r="Z232" s="1">
        <f t="shared" si="254"/>
        <v>0</v>
      </c>
      <c r="AA232" s="1">
        <f t="shared" si="255"/>
        <v>0</v>
      </c>
      <c r="AB232" s="1">
        <f t="shared" si="256"/>
        <v>10</v>
      </c>
      <c r="AC232" s="1">
        <f t="shared" si="257"/>
        <v>1</v>
      </c>
      <c r="AD232" s="1">
        <f t="shared" si="258"/>
        <v>35</v>
      </c>
      <c r="AE232" s="1">
        <f>IF(D232="",0,IF(DG232&lt;&gt;DG231,IFERROR(INDEX(回合状态!$F$7:$F$17,MATCH(DG232,回合状态!$A$7:$A$17,0)),0),CI231))</f>
        <v>0</v>
      </c>
      <c r="AF232" s="1">
        <f t="shared" si="259"/>
        <v>0.875</v>
      </c>
      <c r="AG232" s="1">
        <f t="shared" si="260"/>
        <v>9</v>
      </c>
      <c r="AH232" s="1">
        <f t="shared" si="261"/>
        <v>9</v>
      </c>
      <c r="AI232" s="1">
        <f t="shared" si="262"/>
        <v>8</v>
      </c>
      <c r="AJ232" s="1">
        <f t="shared" si="263"/>
        <v>9</v>
      </c>
      <c r="AK232" s="1">
        <f t="shared" si="264"/>
        <v>8</v>
      </c>
      <c r="AL232" s="1">
        <f t="shared" si="265"/>
        <v>3</v>
      </c>
      <c r="AM232" s="1">
        <f t="shared" si="266"/>
        <v>30</v>
      </c>
      <c r="AN232" s="1">
        <f t="shared" si="267"/>
        <v>9</v>
      </c>
      <c r="AO232" s="1">
        <f t="shared" si="268"/>
        <v>0</v>
      </c>
      <c r="AP232" s="1" t="e">
        <f t="shared" si="269"/>
        <v>#VALUE!</v>
      </c>
      <c r="AQ232" s="1" t="e">
        <f t="shared" si="270"/>
        <v>#VALUE!</v>
      </c>
      <c r="AR232" s="1">
        <f t="shared" si="271"/>
        <v>0.3</v>
      </c>
      <c r="AS232" s="1">
        <f t="shared" si="272"/>
        <v>9</v>
      </c>
      <c r="AT232" s="1">
        <f t="shared" si="273"/>
        <v>0.3</v>
      </c>
      <c r="AU232" s="1">
        <f t="shared" si="274"/>
        <v>9</v>
      </c>
      <c r="AV232" s="1">
        <f>MIN(5,SUMIFS($EL$3:EL232,$B$3:B232,"&gt;="&amp;MAX(1,B232-2),$B$3:B232,"&lt;="&amp;B232)+EC232)</f>
        <v>0</v>
      </c>
      <c r="AW232" s="1">
        <f>MIN(6,SUMIFS($EY$3:EY231,$EX$3:EX231,"&gt;="&amp;MAX(1,EX232-Boss参数!$B$87+1),$EX$3:EX231,"&lt;="&amp;EX232))</f>
        <v>0</v>
      </c>
      <c r="AX232" s="1">
        <f>MIN(4,COUNTIFS($B$3:$B$231,"&gt;="&amp;MAX(1,$B232-2),$B$3:$B$231,"&lt;="&amp;$B232,$L$3:$L$231,"37_FOLLOW"))</f>
        <v>0</v>
      </c>
      <c r="AY232" s="1" t="str">
        <f>IF($E232="","",IF($E232="系统",0,ROUNDDOWN(INDEX(角色面板!$C$4:$C$7,MATCH($E232,角色面板!$A$4:$A$7,0))*(1+INDEX(角色面板!$C$11:$C$14,MATCH($E232,角色面板!$A$11:$A$14,0))+IF($E232="小瑞安侬",MAX(IF($B232&lt;=$AQ232,$AP232,0),IF(AND($L232="RHI_ATTACK",$EE232&gt;0),0.11+0.01*$G232,0)),0)+IF($E232="J",$AD232*Boss参数!$B$18,0))+IF(FD232&lt;=$AN232,MIN(Boss参数!$B$21,ROUNDDOWN(角色面板!$C$19*Boss参数!$B$20,0)),0)+IF(AND($B232&lt;=$AK232,$E232&lt;&gt;"小瑞安侬"),$DY232,0),0)))</f>
        <v/>
      </c>
      <c r="AZ232" s="1" t="str">
        <f>IF($E232="","",MAX(0,MIN(1,IFERROR(INDEX(角色面板!$G$18:$G$21,MATCH($E232,角色面板!$A$18:$A$21,0)),0)-FC232*Boss参数!$B$89-Boss参数!$E$4)))</f>
        <v/>
      </c>
      <c r="BA232" s="1" t="str">
        <f>IF(E232="","",(IF($E232="","",IF($E232="红弩箭",Boss参数!$B$80,IF($E232="J",Boss参数!$B$81,IFERROR(INDEX(角色面板!$H$18:$H$21,MATCH($E232,角色面板!$A$18:$A$21,0)),0)))+IF($B232&lt;=$AI232,Boss参数!$B$13,0)+MIN(30,$AM232)*Boss参数!$B$17+IF(AND($L232="LILYA_ULT",$X232&gt;=6),1,0)+IF(AND($Y232=1,$L232="LILYA_INSIGHT"),IF(MOD($AA232+1,3)=0,Boss参数!$B$83,Boss参数!$B$82),IF(AND($Y232=1,$L232="LILYA_FINISH"),Boss参数!$B$84,0))))-FC232*Boss参数!$B$90)</f>
        <v/>
      </c>
      <c r="BB232" s="1" t="str">
        <f>IF($E232="","",IFERROR(INDEX(角色面板!$M$18:$M$21,MATCH($E232,角色面板!$A$18:$A$21,0)),0)+$AW232*Boss参数!$B$12+IF($B232&lt;=$AG232,$AF232,0)+$EI232+IF($L232="LILYA_DIVE",IF($U232=1,IF($G232=1,0.3,IF($G232=2,0.4,0.5)),IF($U232=2,IF($G232=1,0.6,IF($G232=2,0.8,1)),0)),0)+$R232+IF(AND($E232="J",OR($L232="J_COUNTER",$L232="J_HARD")),Boss参数!$B$79,0)+IF(AND(OR(L232="J_COUNTER",L232="J_HARD"),FA232&gt;=Boss参数!$B$59),FA232*Boss参数!$B$40,0))</f>
        <v/>
      </c>
      <c r="BC232" s="1" t="e">
        <f>IF($E232="","",IFERROR(INDEX(角色面板!$K$18:$K$21,MATCH($E232,角色面板!$A$18:$A$21,0)),0)+IF($B232&lt;=$AH232,Boss参数!$B$46,0)+IF($E232="红弩箭",IF($U232=1,0.6,IF($U232=2,1.2,0))+$W232*0.06,0))-DI232*Boss参数!$B$23</f>
        <v>#VALUE!</v>
      </c>
      <c r="BD232" s="1" t="e">
        <f>IF($E232="","",IFERROR(INDEX(角色面板!$L$18:$L$21,MATCH($E232,角色面板!$A$18:$A$21,0)),0)+IF($B232&lt;=$AH232,Boss参数!$B$46,0)+IF($E232="J",$AL232*Boss参数!$B$16,0)+IF($E232="红弩箭",$X232*0.025,0)+IF(AND($L232="LILYA_ULT",$X232&gt;=6),1,0))-DI232*Boss参数!$B$23</f>
        <v>#VALUE!</v>
      </c>
      <c r="BE232" s="1" t="str">
        <f>IF($E232="","",IF($H232="洞知",IF($E232="红弩箭",$AO232*Boss参数!$B$15,0)+$AX232*Boss参数!$B$14,0))</f>
        <v/>
      </c>
      <c r="BF232" s="1">
        <f t="shared" si="211"/>
        <v>0</v>
      </c>
      <c r="BG232" s="1">
        <f>IF($D232="",0,IF(AND($L232&lt;&gt;"LILYA_DIVE",$L232&lt;&gt;"LILYA_ULT",$L232&lt;&gt;"LILYA_INSIGHT",$L232&lt;&gt;"LILYA_FINISH",$L232&lt;&gt;"37_FOLLOW",$L232&lt;&gt;"RHI_ATTACK",$L232&lt;&gt;"RHI_BERRY",$L232&lt;&gt;"J_COUNTER",$L232&lt;&gt;"J_ULT"),$J232,0)+IF($L232="LILYA_DIVE",$J232+IF($U232=1,IF($G232=1,6,IF($G232=2,12,18)),IF($U232=2,IF($G232=1,12,IF($G232=2,24,36)),0)),0)+IF($L232="LILYA_ULT",$J232+IF($X232&gt;=6,18,0),0)+IF($L232="LILYA_INSIGHT",IF($Y232=1,IF(MOD($AA232+1,3)=0,32,15),0),0)+IF($L232="LILYA_FINISH",IF($Y232=1,50+2.5*$Z232,0),0)+IF($L232="37_FOLLOW",$J232,0)+IF($L232="RHI_ATTACK",$J232*IF($B232&lt;=$AJ232,2,1),0)+IF($L232="RHI_BERRY",15+1.5*$AV232,0)+IF($L232="J_COUNTER",$J232+$AD232*Boss参数!$B$39,0)+IF($L232="J_ULT",$J232+Boss参数!$B$45*MAX(0,$AE232+$AD232-Boss参数!$I$4),0)+$S232)</f>
        <v>0</v>
      </c>
      <c r="BH232" s="1">
        <f t="shared" si="212"/>
        <v>0</v>
      </c>
      <c r="BI232" s="1" t="str">
        <f>IF(E232="","",IF(DT232=1,1+Boss参数!$B$8+AV232*Boss参数!$B$19,1))</f>
        <v/>
      </c>
      <c r="BJ232" s="1">
        <f>IF($I232="现实",Boss参数!$C$4,IF($I232="精神",Boss参数!$D$4,0))</f>
        <v>0</v>
      </c>
      <c r="BK232" s="1" t="str">
        <f>IF($E232="","",MAX($AY232*Boss参数!$B$9,$AY232-$BJ232*(1-$BF232)))</f>
        <v/>
      </c>
      <c r="BL232" s="1">
        <f>MAX(0,Boss参数!$F$4+IF(DT232=0,Boss参数!$B$27,0)-EJ232)</f>
        <v>1.25</v>
      </c>
      <c r="BM232" s="1">
        <f>Boss参数!$G$4+DU232-IF(Y232=1,Boss参数!$B$11,0)</f>
        <v>0.4</v>
      </c>
      <c r="BN232" s="1" t="str">
        <f>IF($E232="","",MAX(Boss参数!$B$10,1+IFERROR(INDEX(角色面板!$I$18:$I$21,MATCH($E232,角色面板!$A$18:$A$21,0)),0)+$BB232+Boss参数!$H$4-$BM232))</f>
        <v/>
      </c>
      <c r="BO232" s="1" t="str">
        <f>IF(E232="","",IF(OR(L232="J_COUNTER",L232="J_HARD"),MAX(0,1+INDEX(角色面板!$K$18:$K$21,MATCH(E232,角色面板!$A$18:$A$21,0))-DI232*Boss参数!$B$23+IF(OR(Boss参数!$B$43=1,L232="J_HARD"),IF(B232&lt;=AH232,Boss参数!$B$46,0),0)),MAX(0,IF(OR(H232="术法",L232="RHI_BERRY",AND(L232="37_FOLLOW",Boss参数!$B$31=1)),1+BC232,IF(H232="仪式",1+BD232,IF(H232="洞知",EK232,1))))))</f>
        <v/>
      </c>
      <c r="BP232" s="1" t="str">
        <f t="shared" si="213"/>
        <v/>
      </c>
      <c r="BQ232" s="1">
        <f t="shared" si="214"/>
        <v>0</v>
      </c>
      <c r="BR232" s="1">
        <f t="shared" si="215"/>
        <v>0</v>
      </c>
      <c r="BS232" s="1">
        <f>IF(BH232=0,0,ROUNDDOWN(AY232*BH232,0)*DV232*IF(Boss参数!$B$29=1,BN232,1)*IF(Boss参数!$B$33=1,BO232,1)*IF(Boss参数!$B$76=1,1-ES232,1))</f>
        <v>0</v>
      </c>
      <c r="BT232" s="1">
        <f t="shared" si="216"/>
        <v>0</v>
      </c>
      <c r="BU232" s="1">
        <f>IF(D232="",0,MIN(IF(Boss参数!$B$77=1,Boss参数!$B$63*Boss参数!$B$62,Boss参数!$B$61*Boss参数!$B$62),DW232+ROUNDDOWN(BS232,0)+ROUNDDOWN(DW232*Q232,0)))</f>
        <v>0</v>
      </c>
      <c r="BV232" s="1">
        <f>IF(D232="",0,MIN(IF(Boss参数!$B$77=1,Boss参数!$B$63*Boss参数!$B$62,Boss参数!$B$61*Boss参数!$B$62),DX232+ROUNDDOWN(BT232,0)+ROUNDDOWN(DX232*Q232,0)))</f>
        <v>0</v>
      </c>
      <c r="BW232" s="1">
        <f t="shared" si="217"/>
        <v>0</v>
      </c>
      <c r="BX232" s="1" t="str">
        <f t="shared" si="218"/>
        <v/>
      </c>
      <c r="BY232" s="1">
        <f t="shared" si="219"/>
        <v>2</v>
      </c>
      <c r="BZ232" s="1">
        <f t="shared" si="220"/>
        <v>1</v>
      </c>
      <c r="CA232" s="1">
        <f>MIN(10,W232+IF(AND(L232="LILYA_COBRA",COUNTIF($L$3:L232,"LILYA_COBRA")=1),5,0)+IF(AND(L232="LILYA_DIVE",U232=1,COUNTIFS($DG$3:DG232,DG232,$L$3:L232,"LILYA_DIVE")=1),2,0)+IF(AND(FE232=1,U232=1),3,0))</f>
        <v>10</v>
      </c>
      <c r="CB232" s="1">
        <f>MIN(20,MAX(0,X232+IF(L232="LILYA_COBRA",IF(COUNTIF($L$3:L232,"LILYA_COBRA")=1,6,IF(U232=1,MAX(1,G232),IF(U232=2,2*MAX(1,G232),0))),0)+IF(AND(Y232=1,E232="红弩箭",L232&lt;&gt;"ENTER_INSIGHT"),1,0)-IF(AND(L232="LILYA_ULT",X232&gt;=6),6,0)))</f>
        <v>13</v>
      </c>
      <c r="CC232" s="1">
        <f t="shared" si="221"/>
        <v>0</v>
      </c>
      <c r="CD232" s="1">
        <f t="shared" si="222"/>
        <v>0</v>
      </c>
      <c r="CE232" s="1">
        <f t="shared" si="223"/>
        <v>0</v>
      </c>
      <c r="CF232" s="1">
        <f t="shared" si="224"/>
        <v>10</v>
      </c>
      <c r="CG232" s="1">
        <f t="shared" si="225"/>
        <v>1</v>
      </c>
      <c r="CH232" s="1">
        <f>MIN(35,AD232+IF(L232="J_HARD",6,0)+IF(L232="J_COUNTER",Boss参数!$B$30,0))</f>
        <v>35</v>
      </c>
      <c r="CI232" s="1">
        <f>MIN(Boss参数!$I$4,AE232+IF(L232="J_HARD",6,0)+IF(L232="J_ULT",AD232,0)+IF(L232="J_COUNTER",Boss参数!$B$30,0))</f>
        <v>0</v>
      </c>
      <c r="CJ232" s="1">
        <f>IF(L232="J_ULT",AD232*Boss参数!$B$41,IF(B232&lt;=AG232,AF232,0))</f>
        <v>0.875</v>
      </c>
      <c r="CK232" s="1">
        <f t="shared" si="226"/>
        <v>9</v>
      </c>
      <c r="CL232" s="1">
        <f t="shared" si="227"/>
        <v>9</v>
      </c>
      <c r="CM232" s="1">
        <f t="shared" si="228"/>
        <v>8</v>
      </c>
      <c r="CN232" s="1">
        <f t="shared" si="229"/>
        <v>9</v>
      </c>
      <c r="CO232" s="1">
        <f t="shared" si="230"/>
        <v>8</v>
      </c>
      <c r="CP232" s="1">
        <f t="shared" si="231"/>
        <v>3</v>
      </c>
      <c r="CQ232" s="1">
        <f t="shared" si="232"/>
        <v>30</v>
      </c>
      <c r="CR232" s="1">
        <f t="shared" si="233"/>
        <v>9</v>
      </c>
      <c r="CS232" s="1">
        <f t="shared" si="234"/>
        <v>0</v>
      </c>
      <c r="CT232" s="1" t="e">
        <f t="shared" si="235"/>
        <v>#VALUE!</v>
      </c>
      <c r="CU232" s="1" t="e">
        <f t="shared" si="236"/>
        <v>#VALUE!</v>
      </c>
      <c r="CV232" s="1">
        <f t="shared" si="237"/>
        <v>0.3</v>
      </c>
      <c r="CW232" s="1">
        <f t="shared" si="238"/>
        <v>9</v>
      </c>
      <c r="CX232" s="1">
        <f t="shared" si="239"/>
        <v>0.3</v>
      </c>
      <c r="CY232" s="1">
        <f t="shared" si="240"/>
        <v>9</v>
      </c>
      <c r="CZ232" s="1"/>
      <c r="DA232" s="1"/>
      <c r="DB232" s="1"/>
      <c r="DC232" s="1"/>
      <c r="DD232" s="1"/>
      <c r="DE232" s="1"/>
      <c r="DF232" s="1"/>
      <c r="DG232" s="1" t="str">
        <f>IF(D232="","",行动模拟!B238)</f>
        <v/>
      </c>
      <c r="DH232" s="1" t="str">
        <f>IF(L232="END_TURN","回合结束",IF(D232="","",IF(INDEX(回合状态!$C$7:$C$17,MATCH(DG232,回合状态!$A$7:$A$17,0))="洞穿","洞穿",IF(OR(L232="J_COUNTER",L232="BOSS_ACTION",L232="BOSS_CONSERVATIVE"),"敌方",IF(AND(L232="37_FOLLOW",DG232=DG231,DH231="敌方"),"敌方",IF(INDEX(回合状态!$C$7:$C$17,MATCH(DG232,回合状态!$A$7:$A$17,0))="普通","出牌",INDEX(回合状态!$C$7:$C$17,MATCH(DG232,回合状态!$A$7:$A$17,0))))))))</f>
        <v/>
      </c>
      <c r="DI232" s="1">
        <f t="shared" si="241"/>
        <v>0</v>
      </c>
      <c r="DJ232" s="1">
        <f>IF(D232="",0,MIN(Boss参数!$B$25,IF(OR(AND(DH232="敌方",OR(DH231&lt;&gt;"敌方",DG232&lt;&gt;DG231)),AND(L232="END_TURN",DH232&lt;&gt;"洞穿"),AND(DG232&lt;&gt;DG231,DH231&lt;&gt;"洞穿",L231&lt;&gt;"END_TURN",COUNTIFS($DG$3:DG231,DG231,$DH$3:DH231,"敌方")=0)),EW232,DN231)))</f>
        <v>0</v>
      </c>
      <c r="DK232" s="1">
        <f>IF(D232="",0,MIN(Boss参数!$B$25,IF(OR(AND(DH232="敌方",OR(DH231&lt;&gt;"敌方",DG232&lt;&gt;DG231)),AND(L232="END_TURN",DH232&lt;&gt;"洞穿"),AND(DG232&lt;&gt;DG231,DH231&lt;&gt;"洞穿",L231&lt;&gt;"END_TURN",COUNTIFS($DG$3:DG231,DG231,$DH$3:DH231,"敌方")=0)),EW232,DO231)))</f>
        <v>0</v>
      </c>
      <c r="DL232" s="1">
        <f>IF(D232="",0,MIN(Boss参数!$B$25,IF(OR(AND(DH232="敌方",OR(DH231&lt;&gt;"敌方",DG232&lt;&gt;DG231)),AND(L232="END_TURN",DH232&lt;&gt;"洞穿"),AND(DG232&lt;&gt;DG231,DH231&lt;&gt;"洞穿",L231&lt;&gt;"END_TURN",COUNTIFS($DG$3:DG231,DG231,$DH$3:DH231,"敌方")=0)),EW232,DP231)))</f>
        <v>0</v>
      </c>
      <c r="DM232" s="1">
        <f>IF(D232="",0,MIN(Boss参数!$B$25,IF(OR(AND(DH232="敌方",OR(DH231&lt;&gt;"敌方",DG232&lt;&gt;DG231)),AND(L232="END_TURN",DH232&lt;&gt;"洞穿"),AND(DG232&lt;&gt;DG231,DH231&lt;&gt;"洞穿",L231&lt;&gt;"END_TURN",COUNTIFS($DG$3:DG231,DG231,$DH$3:DH231,"敌方")=0)),EW232,DQ231)))</f>
        <v>0</v>
      </c>
      <c r="DN232" s="1">
        <f>MAX(0,MIN(Boss参数!$B$25,DJ232+DR232)-IF(E232="红弩箭",2*DR232,0))</f>
        <v>0</v>
      </c>
      <c r="DO232" s="1">
        <f>MAX(0,MIN(Boss参数!$B$25,DK232+DR232)-IF(E232="37",2*DR232,0))</f>
        <v>0</v>
      </c>
      <c r="DP232" s="1">
        <f>MAX(0,MIN(Boss参数!$B$25,DL232+DR232)-IF(E232="小瑞安侬",2*DR232,0))</f>
        <v>0</v>
      </c>
      <c r="DQ232" s="1">
        <f>MAX(0,MIN(Boss参数!$B$25,DM232+DR232)-IF(E232="J",2*DR232,0))</f>
        <v>0</v>
      </c>
      <c r="DR232" s="1">
        <f t="shared" si="242"/>
        <v>0</v>
      </c>
      <c r="DS232" s="1">
        <f t="shared" si="243"/>
        <v>0</v>
      </c>
      <c r="DT232" s="1">
        <f>IF(OR(E232="",E232="系统"),0,IF(OR(AND(DS232=1,Boss参数!$B$32=1),L232="RHI_BERRY",OR(AND(INDEX(角色面板!$B$18:$B$21,MATCH(E232,角色面板!$A$18:$A$21,0))="星",Boss参数!$B$4="岩"),AND(INDEX(角色面板!$B$18:$B$21,MATCH(E232,角色面板!$A$18:$A$21,0))="岩",Boss参数!$B$4="兽"),AND(INDEX(角色面板!$B$18:$B$21,MATCH(E232,角色面板!$A$18:$A$21,0))="兽",Boss参数!$B$4="木"),AND(INDEX(角色面板!$B$18:$B$21,MATCH(E232,角色面板!$A$18:$A$21,0))="木",Boss参数!$B$4="星"),AND(INDEX(角色面板!$B$18:$B$21,MATCH(E232,角色面板!$A$18:$A$21,0))="智",Boss参数!$B$4="灵"),AND(INDEX(角色面板!$B$18:$B$21,MATCH(E232,角色面板!$A$18:$A$21,0))="灵",Boss参数!$B$4="智"))),1,0))</f>
        <v>0</v>
      </c>
      <c r="DU232" s="1">
        <f>IF(D232="",0,INDEX(回合状态!$E$7:$E$17,MATCH(DG232,回合状态!$A$7:$A$17,0))+IF(AND(DH232="敌方",OR(INDEX(回合状态!$C$7:$C$17,MATCH(DG232,回合状态!$A$7:$A$17,0))="普通",INDEX(回合状态!$C$7:$C$17,MATCH(DG232,回合状态!$A$7:$A$17,0))="额外")),0.05,0))</f>
        <v>0</v>
      </c>
      <c r="DV232" s="1">
        <f>MAX(Boss参数!$B$28,1+IF(AND(E232="37",AC232&gt;0,BH232&gt;0),Boss参数!$B$42,0)-DI232*Boss参数!$B$24+EA232-ER232)</f>
        <v>9.9999999999999978E-2</v>
      </c>
      <c r="DW232" s="1">
        <f>MIN(IF(Boss参数!$B$77=1,Boss参数!$B$63*Boss参数!$B$62,Boss参数!$B$61*Boss参数!$B$62),ROUNDDOWN(BQ232*(1-ES232),0))</f>
        <v>0</v>
      </c>
      <c r="DX232" s="1">
        <f>MIN(IF(Boss参数!$B$77=1,Boss参数!$B$63*Boss参数!$B$62,Boss参数!$B$61*Boss参数!$B$62),ROUNDDOWN(BR232*(1-ES232),0))</f>
        <v>0</v>
      </c>
      <c r="DY232" s="1">
        <f t="shared" si="275"/>
        <v>250</v>
      </c>
      <c r="DZ232" s="1">
        <f>IF(L232="RHI_ULT",MIN(Boss参数!$B$48,ROUNDDOWN(AY232*Boss参数!$B$47,0)),DY232)</f>
        <v>250</v>
      </c>
      <c r="EA232" s="1">
        <v>0</v>
      </c>
      <c r="EB232" s="1">
        <f t="shared" si="244"/>
        <v>0</v>
      </c>
      <c r="EC232" s="1">
        <f>SUMIFS($EB$3:EB232,$B$3:B232,"&gt;="&amp;MAX(1,B232-2),$B$3:B232,"&lt;="&amp;B232)*Boss参数!$B$51</f>
        <v>0</v>
      </c>
      <c r="ED232" s="1">
        <f>IF(D232="",EG231,IF(AND(DG232&lt;&gt;DG231,DH232&lt;&gt;"洞穿"),MIN(Boss参数!$B$55,EG231+2),EG231))</f>
        <v>0</v>
      </c>
      <c r="EE232" s="1">
        <f t="shared" si="245"/>
        <v>0</v>
      </c>
      <c r="EF232" s="1">
        <f>IF(AND(OR(L232="END_TURN",AND(DH232="敌方",OR(DH231&lt;&gt;"敌方",DG232&lt;&gt;DG231))),SUMIFS($EF$3:EF231,$DG$3:DG231,DG232)=0),MIN(1,MAX(0,ED232-EE232)),0)</f>
        <v>0</v>
      </c>
      <c r="EG232" s="1">
        <f t="shared" si="246"/>
        <v>0</v>
      </c>
      <c r="EH232" s="1">
        <f>Boss参数!$B$53-IF(Y232=1,Boss参数!$B$54,0)</f>
        <v>0</v>
      </c>
      <c r="EI232" s="1">
        <f t="shared" si="247"/>
        <v>0.15</v>
      </c>
      <c r="EJ232" s="1">
        <f t="shared" si="248"/>
        <v>0.15</v>
      </c>
      <c r="EK232" s="1" t="e">
        <f t="shared" si="249"/>
        <v>#VALUE!</v>
      </c>
      <c r="EL232" s="1">
        <f t="shared" si="276"/>
        <v>0</v>
      </c>
      <c r="EM232" s="1">
        <f>IF(AND(DG232&lt;&gt;DG231,DH232="洞穿"),0,IF(L232="ENTER_INSIGHT",Boss参数!$B$57,EO231))</f>
        <v>0</v>
      </c>
      <c r="EN232" s="1">
        <f>IF(AND(Y232=1,H232="洞知",EM232&gt;0),Boss参数!$B$56,0)</f>
        <v>0</v>
      </c>
      <c r="EO232" s="1">
        <f t="shared" si="250"/>
        <v>0</v>
      </c>
      <c r="EP232" s="1">
        <f t="shared" si="277"/>
        <v>23210479</v>
      </c>
      <c r="EQ232" s="1">
        <f>ROUNDDOWN(EP232/Boss参数!$B$62,0)</f>
        <v>232</v>
      </c>
      <c r="ER232" s="1">
        <f>IF(EQ232&gt;=Boss参数!$B$66,Boss参数!$B$69,IF(EQ232&gt;=Boss参数!$B$65,Boss参数!$B$68,IF(EQ232&gt;=Boss参数!$B$64,Boss参数!$B$67,0)))</f>
        <v>0.9</v>
      </c>
      <c r="ES232" s="1">
        <f>MIN(1,IF(EQ232&gt;=Boss参数!$B$66,Boss参数!$B$72+ROUNDDOWN((EQ232-Boss参数!$B$66)/Boss参数!$B$73,0)*Boss参数!$B$74,IF(EQ232&gt;=Boss参数!$B$65,Boss参数!$B$71,IF(EQ232&gt;=Boss参数!$B$64,Boss参数!$B$70,0))))</f>
        <v>0.65</v>
      </c>
      <c r="ET232" s="1">
        <f>MIN(Boss参数!$B$61*Boss参数!$B$62,EP232+IF(AND(Boss参数!$B$60=1,ISNUMBER(验证表!H238)),验证表!H238,EU232))</f>
        <v>23210479</v>
      </c>
      <c r="EU232" s="1">
        <f>IF(D232="",0,IF(验证表!G238="是",BV232,IF(验证表!G238="否",BU232,BW232)))</f>
        <v>0</v>
      </c>
      <c r="EV232" s="1">
        <f>IF(EQ232&gt;=Boss参数!$B$66,2,IF(EQ232&gt;=Boss参数!$B$65,1,0))</f>
        <v>2</v>
      </c>
      <c r="EW232" s="1">
        <f t="shared" si="251"/>
        <v>3</v>
      </c>
      <c r="EX232" s="1">
        <f>IF(D232="",0,INDEX(回合状态!$D$7:$D$17,MATCH(DG232,回合状态!$A$7:$A$17,0)))</f>
        <v>0</v>
      </c>
      <c r="EY232" s="1">
        <f>IF(OR(L232="RHI_ATTACK",L232="RHI_BUFF"),1,IF(L232="RHI_ULT",Boss参数!$B$52,0))</f>
        <v>0</v>
      </c>
      <c r="EZ232" s="1">
        <f>MIN(6,SUMIFS($EY$3:EY232,$EX$3:EX232,"&gt;="&amp;MAX(1,EX232-Boss参数!$B$87+1),$EX$3:EX232,"&lt;="&amp;EX232))</f>
        <v>0</v>
      </c>
      <c r="FA232" s="1">
        <f t="shared" si="278"/>
        <v>0</v>
      </c>
      <c r="FB232" s="17">
        <f>IF(L232="BOSS_CONSERVATIVE",B232+Boss参数!$B$91,FB231)</f>
        <v>7</v>
      </c>
      <c r="FC232" s="17">
        <f t="shared" si="279"/>
        <v>0</v>
      </c>
      <c r="FD232" s="17">
        <f>IF(D232="",FD231,FD231+IF(AND(DG232&lt;&gt;DG231,INDEX(回合状态!$C$7:$C$17,MATCH(DG232,回合状态!$A$7:$A$17,0))&lt;&gt;"洞穿"),1,0))</f>
        <v>8</v>
      </c>
      <c r="FE232" s="17">
        <f>IF(D232="",0,IF(AND(OR(L232="END_TURN",DH232="敌方"),INDEX(回合状态!$C$7:$C$17,MATCH(DG232,回合状态!$A$7:$A$17,0))&lt;&gt;"洞穿",SUMIFS($FE$3:FE231,$DG$3:DG231,DG232)=0),1,0))</f>
        <v>0</v>
      </c>
    </row>
    <row r="233" spans="1:161" ht="84.95" customHeight="1">
      <c r="A233" s="1" t="str">
        <f>行动模拟!A239</f>
        <v/>
      </c>
      <c r="B233" s="1">
        <f>IF(D233="",0,INDEX(回合状态!$B$7:$B$17,MATCH(DG233,回合状态!$A$7:$A$17,0)))</f>
        <v>0</v>
      </c>
      <c r="C233" s="1">
        <f>行动模拟!C239</f>
        <v>0</v>
      </c>
      <c r="D233" s="1" t="str">
        <f>IF(行动模拟!D239="","",行动模拟!D239)</f>
        <v/>
      </c>
      <c r="E233" s="1" t="str">
        <f>IF($D233="","",IFERROR(INDEX(技能数据库!$B$4:$B$38,MATCH($D233,技能数据库!$A$4:$A$38,0)),""))</f>
        <v/>
      </c>
      <c r="F233" s="1" t="str">
        <f>IF($D233="","",IFERROR(INDEX(技能数据库!$C$4:$C$38,MATCH($D233,技能数据库!$A$4:$A$38,0)),""))</f>
        <v/>
      </c>
      <c r="G233" s="1" t="str">
        <f>IF($D233="","",IFERROR(INDEX(技能数据库!$D$4:$D$38,MATCH($D233,技能数据库!$A$4:$A$38,0)),""))</f>
        <v/>
      </c>
      <c r="H233" s="1" t="str">
        <f>IF($D233="","",IFERROR(INDEX(技能数据库!$E$4:$E$38,MATCH($D233,技能数据库!$A$4:$A$38,0)),""))</f>
        <v/>
      </c>
      <c r="I233" s="1" t="str">
        <f>IF($D233="","",IFERROR(INDEX(技能数据库!$F$4:$F$38,MATCH($D233,技能数据库!$A$4:$A$38,0)),""))</f>
        <v/>
      </c>
      <c r="J233" s="1" t="str">
        <f>IF($D233="","",IFERROR(INDEX(技能数据库!$G$4:$G$38,MATCH($D233,技能数据库!$A$4:$A$38,0)),""))</f>
        <v/>
      </c>
      <c r="K233" s="1" t="str">
        <f>IF($D233="","",IFERROR(INDEX(技能数据库!$H$4:$H$38,MATCH($D233,技能数据库!$A$4:$A$38,0)),""))</f>
        <v/>
      </c>
      <c r="L233" s="1" t="str">
        <f>IF($D233="","",IFERROR(INDEX(技能数据库!$I$4:$I$38,MATCH($D233,技能数据库!$A$4:$A$38,0)),""))</f>
        <v/>
      </c>
      <c r="M233" s="1">
        <v>1</v>
      </c>
      <c r="N233" s="1"/>
      <c r="O233" s="1"/>
      <c r="P233" s="1"/>
      <c r="Q233" s="1">
        <f t="shared" si="210"/>
        <v>0</v>
      </c>
      <c r="R233" s="1">
        <v>0</v>
      </c>
      <c r="S233" s="1">
        <v>0</v>
      </c>
      <c r="T233" s="1">
        <f>行动模拟!I239</f>
        <v>0</v>
      </c>
      <c r="U233" s="1">
        <f>IF(FD233&lt;&gt;FD232,IF(BY232=1,IF(MIN(10,CA232+IF(AND(DG233&lt;&gt;DG232,DH232&lt;&gt;"洞穿",SUMIFS($FE$3:FE232,$DG$3:DG232,DG232)=0,BY232=1),3,0))&gt;=10,2,1),IF(BY232=2,IF(BZ232&lt;=1,0,2),0)),BY232)</f>
        <v>2</v>
      </c>
      <c r="V233" s="1">
        <f>IF(FD233&lt;&gt;FD232,IF(BY232=1,IF(MIN(10,CA232+IF(AND(DG233&lt;&gt;DG232,DH232&lt;&gt;"洞穿",SUMIFS($FE$3:FE232,$DG$3:DG232,DG232)=0,BY232=1),3,0))&gt;=10,2,0),IF(BY232=2,MAX(0,BZ232-1),0)),BZ232)</f>
        <v>1</v>
      </c>
      <c r="W233" s="1">
        <f>IF(AND(FD233&lt;&gt;FD232,BY232=2,BZ232&lt;=1),0,MIN(10,CA232+IF(AND(DG233&lt;&gt;DG232,DH232&lt;&gt;"洞穿",SUMIFS($FE$3:FE232,$DG$3:DG232,DG232)=0,BY232=1),3,0)))</f>
        <v>10</v>
      </c>
      <c r="X233" s="1">
        <f t="shared" si="252"/>
        <v>13</v>
      </c>
      <c r="Y233" s="1">
        <f t="shared" si="253"/>
        <v>0</v>
      </c>
      <c r="Z233" s="1">
        <f t="shared" si="254"/>
        <v>0</v>
      </c>
      <c r="AA233" s="1">
        <f t="shared" si="255"/>
        <v>0</v>
      </c>
      <c r="AB233" s="1">
        <f t="shared" si="256"/>
        <v>10</v>
      </c>
      <c r="AC233" s="1">
        <f t="shared" si="257"/>
        <v>1</v>
      </c>
      <c r="AD233" s="1">
        <f t="shared" si="258"/>
        <v>35</v>
      </c>
      <c r="AE233" s="1">
        <f>IF(D233="",0,IF(DG233&lt;&gt;DG232,IFERROR(INDEX(回合状态!$F$7:$F$17,MATCH(DG233,回合状态!$A$7:$A$17,0)),0),CI232))</f>
        <v>0</v>
      </c>
      <c r="AF233" s="1">
        <f t="shared" si="259"/>
        <v>0.875</v>
      </c>
      <c r="AG233" s="1">
        <f t="shared" si="260"/>
        <v>9</v>
      </c>
      <c r="AH233" s="1">
        <f t="shared" si="261"/>
        <v>9</v>
      </c>
      <c r="AI233" s="1">
        <f t="shared" si="262"/>
        <v>8</v>
      </c>
      <c r="AJ233" s="1">
        <f t="shared" si="263"/>
        <v>9</v>
      </c>
      <c r="AK233" s="1">
        <f t="shared" si="264"/>
        <v>8</v>
      </c>
      <c r="AL233" s="1">
        <f t="shared" si="265"/>
        <v>3</v>
      </c>
      <c r="AM233" s="1">
        <f t="shared" si="266"/>
        <v>30</v>
      </c>
      <c r="AN233" s="1">
        <f t="shared" si="267"/>
        <v>9</v>
      </c>
      <c r="AO233" s="1">
        <f t="shared" si="268"/>
        <v>0</v>
      </c>
      <c r="AP233" s="1" t="e">
        <f t="shared" si="269"/>
        <v>#VALUE!</v>
      </c>
      <c r="AQ233" s="1" t="e">
        <f t="shared" si="270"/>
        <v>#VALUE!</v>
      </c>
      <c r="AR233" s="1">
        <f t="shared" si="271"/>
        <v>0.3</v>
      </c>
      <c r="AS233" s="1">
        <f t="shared" si="272"/>
        <v>9</v>
      </c>
      <c r="AT233" s="1">
        <f t="shared" si="273"/>
        <v>0.3</v>
      </c>
      <c r="AU233" s="1">
        <f t="shared" si="274"/>
        <v>9</v>
      </c>
      <c r="AV233" s="1">
        <f>MIN(5,SUMIFS($EL$3:EL233,$B$3:B233,"&gt;="&amp;MAX(1,B233-2),$B$3:B233,"&lt;="&amp;B233)+EC233)</f>
        <v>0</v>
      </c>
      <c r="AW233" s="1">
        <f>MIN(6,SUMIFS($EY$3:EY232,$EX$3:EX232,"&gt;="&amp;MAX(1,EX233-Boss参数!$B$87+1),$EX$3:EX232,"&lt;="&amp;EX233))</f>
        <v>0</v>
      </c>
      <c r="AX233" s="1">
        <f>MIN(4,COUNTIFS($B$3:$B$232,"&gt;="&amp;MAX(1,$B233-2),$B$3:$B$232,"&lt;="&amp;$B233,$L$3:$L$232,"37_FOLLOW"))</f>
        <v>0</v>
      </c>
      <c r="AY233" s="1" t="str">
        <f>IF($E233="","",IF($E233="系统",0,ROUNDDOWN(INDEX(角色面板!$C$4:$C$7,MATCH($E233,角色面板!$A$4:$A$7,0))*(1+INDEX(角色面板!$C$11:$C$14,MATCH($E233,角色面板!$A$11:$A$14,0))+IF($E233="小瑞安侬",MAX(IF($B233&lt;=$AQ233,$AP233,0),IF(AND($L233="RHI_ATTACK",$EE233&gt;0),0.11+0.01*$G233,0)),0)+IF($E233="J",$AD233*Boss参数!$B$18,0))+IF(FD233&lt;=$AN233,MIN(Boss参数!$B$21,ROUNDDOWN(角色面板!$C$19*Boss参数!$B$20,0)),0)+IF(AND($B233&lt;=$AK233,$E233&lt;&gt;"小瑞安侬"),$DY233,0),0)))</f>
        <v/>
      </c>
      <c r="AZ233" s="1" t="str">
        <f>IF($E233="","",MAX(0,MIN(1,IFERROR(INDEX(角色面板!$G$18:$G$21,MATCH($E233,角色面板!$A$18:$A$21,0)),0)-FC233*Boss参数!$B$89-Boss参数!$E$4)))</f>
        <v/>
      </c>
      <c r="BA233" s="1" t="str">
        <f>IF(E233="","",(IF($E233="","",IF($E233="红弩箭",Boss参数!$B$80,IF($E233="J",Boss参数!$B$81,IFERROR(INDEX(角色面板!$H$18:$H$21,MATCH($E233,角色面板!$A$18:$A$21,0)),0)))+IF($B233&lt;=$AI233,Boss参数!$B$13,0)+MIN(30,$AM233)*Boss参数!$B$17+IF(AND($L233="LILYA_ULT",$X233&gt;=6),1,0)+IF(AND($Y233=1,$L233="LILYA_INSIGHT"),IF(MOD($AA233+1,3)=0,Boss参数!$B$83,Boss参数!$B$82),IF(AND($Y233=1,$L233="LILYA_FINISH"),Boss参数!$B$84,0))))-FC233*Boss参数!$B$90)</f>
        <v/>
      </c>
      <c r="BB233" s="1" t="str">
        <f>IF($E233="","",IFERROR(INDEX(角色面板!$M$18:$M$21,MATCH($E233,角色面板!$A$18:$A$21,0)),0)+$AW233*Boss参数!$B$12+IF($B233&lt;=$AG233,$AF233,0)+$EI233+IF($L233="LILYA_DIVE",IF($U233=1,IF($G233=1,0.3,IF($G233=2,0.4,0.5)),IF($U233=2,IF($G233=1,0.6,IF($G233=2,0.8,1)),0)),0)+$R233+IF(AND($E233="J",OR($L233="J_COUNTER",$L233="J_HARD")),Boss参数!$B$79,0)+IF(AND(OR(L233="J_COUNTER",L233="J_HARD"),FA233&gt;=Boss参数!$B$59),FA233*Boss参数!$B$40,0))</f>
        <v/>
      </c>
      <c r="BC233" s="1" t="e">
        <f>IF($E233="","",IFERROR(INDEX(角色面板!$K$18:$K$21,MATCH($E233,角色面板!$A$18:$A$21,0)),0)+IF($B233&lt;=$AH233,Boss参数!$B$46,0)+IF($E233="红弩箭",IF($U233=1,0.6,IF($U233=2,1.2,0))+$W233*0.06,0))-DI233*Boss参数!$B$23</f>
        <v>#VALUE!</v>
      </c>
      <c r="BD233" s="1" t="e">
        <f>IF($E233="","",IFERROR(INDEX(角色面板!$L$18:$L$21,MATCH($E233,角色面板!$A$18:$A$21,0)),0)+IF($B233&lt;=$AH233,Boss参数!$B$46,0)+IF($E233="J",$AL233*Boss参数!$B$16,0)+IF($E233="红弩箭",$X233*0.025,0)+IF(AND($L233="LILYA_ULT",$X233&gt;=6),1,0))-DI233*Boss参数!$B$23</f>
        <v>#VALUE!</v>
      </c>
      <c r="BE233" s="1" t="str">
        <f>IF($E233="","",IF($H233="洞知",IF($E233="红弩箭",$AO233*Boss参数!$B$15,0)+$AX233*Boss参数!$B$14,0))</f>
        <v/>
      </c>
      <c r="BF233" s="1">
        <f t="shared" si="211"/>
        <v>0</v>
      </c>
      <c r="BG233" s="1">
        <f>IF($D233="",0,IF(AND($L233&lt;&gt;"LILYA_DIVE",$L233&lt;&gt;"LILYA_ULT",$L233&lt;&gt;"LILYA_INSIGHT",$L233&lt;&gt;"LILYA_FINISH",$L233&lt;&gt;"37_FOLLOW",$L233&lt;&gt;"RHI_ATTACK",$L233&lt;&gt;"RHI_BERRY",$L233&lt;&gt;"J_COUNTER",$L233&lt;&gt;"J_ULT"),$J233,0)+IF($L233="LILYA_DIVE",$J233+IF($U233=1,IF($G233=1,6,IF($G233=2,12,18)),IF($U233=2,IF($G233=1,12,IF($G233=2,24,36)),0)),0)+IF($L233="LILYA_ULT",$J233+IF($X233&gt;=6,18,0),0)+IF($L233="LILYA_INSIGHT",IF($Y233=1,IF(MOD($AA233+1,3)=0,32,15),0),0)+IF($L233="LILYA_FINISH",IF($Y233=1,50+2.5*$Z233,0),0)+IF($L233="37_FOLLOW",$J233,0)+IF($L233="RHI_ATTACK",$J233*IF($B233&lt;=$AJ233,2,1),0)+IF($L233="RHI_BERRY",15+1.5*$AV233,0)+IF($L233="J_COUNTER",$J233+$AD233*Boss参数!$B$39,0)+IF($L233="J_ULT",$J233+Boss参数!$B$45*MAX(0,$AE233+$AD233-Boss参数!$I$4),0)+$S233)</f>
        <v>0</v>
      </c>
      <c r="BH233" s="1">
        <f t="shared" si="212"/>
        <v>0</v>
      </c>
      <c r="BI233" s="1" t="str">
        <f>IF(E233="","",IF(DT233=1,1+Boss参数!$B$8+AV233*Boss参数!$B$19,1))</f>
        <v/>
      </c>
      <c r="BJ233" s="1">
        <f>IF($I233="现实",Boss参数!$C$4,IF($I233="精神",Boss参数!$D$4,0))</f>
        <v>0</v>
      </c>
      <c r="BK233" s="1" t="str">
        <f>IF($E233="","",MAX($AY233*Boss参数!$B$9,$AY233-$BJ233*(1-$BF233)))</f>
        <v/>
      </c>
      <c r="BL233" s="1">
        <f>MAX(0,Boss参数!$F$4+IF(DT233=0,Boss参数!$B$27,0)-EJ233)</f>
        <v>1.25</v>
      </c>
      <c r="BM233" s="1">
        <f>Boss参数!$G$4+DU233-IF(Y233=1,Boss参数!$B$11,0)</f>
        <v>0.4</v>
      </c>
      <c r="BN233" s="1" t="str">
        <f>IF($E233="","",MAX(Boss参数!$B$10,1+IFERROR(INDEX(角色面板!$I$18:$I$21,MATCH($E233,角色面板!$A$18:$A$21,0)),0)+$BB233+Boss参数!$H$4-$BM233))</f>
        <v/>
      </c>
      <c r="BO233" s="1" t="str">
        <f>IF(E233="","",IF(OR(L233="J_COUNTER",L233="J_HARD"),MAX(0,1+INDEX(角色面板!$K$18:$K$21,MATCH(E233,角色面板!$A$18:$A$21,0))-DI233*Boss参数!$B$23+IF(OR(Boss参数!$B$43=1,L233="J_HARD"),IF(B233&lt;=AH233,Boss参数!$B$46,0),0)),MAX(0,IF(OR(H233="术法",L233="RHI_BERRY",AND(L233="37_FOLLOW",Boss参数!$B$31=1)),1+BC233,IF(H233="仪式",1+BD233,IF(H233="洞知",EK233,1))))))</f>
        <v/>
      </c>
      <c r="BP233" s="1" t="str">
        <f t="shared" si="213"/>
        <v/>
      </c>
      <c r="BQ233" s="1">
        <f t="shared" si="214"/>
        <v>0</v>
      </c>
      <c r="BR233" s="1">
        <f t="shared" si="215"/>
        <v>0</v>
      </c>
      <c r="BS233" s="1">
        <f>IF(BH233=0,0,ROUNDDOWN(AY233*BH233,0)*DV233*IF(Boss参数!$B$29=1,BN233,1)*IF(Boss参数!$B$33=1,BO233,1)*IF(Boss参数!$B$76=1,1-ES233,1))</f>
        <v>0</v>
      </c>
      <c r="BT233" s="1">
        <f t="shared" si="216"/>
        <v>0</v>
      </c>
      <c r="BU233" s="1">
        <f>IF(D233="",0,MIN(IF(Boss参数!$B$77=1,Boss参数!$B$63*Boss参数!$B$62,Boss参数!$B$61*Boss参数!$B$62),DW233+ROUNDDOWN(BS233,0)+ROUNDDOWN(DW233*Q233,0)))</f>
        <v>0</v>
      </c>
      <c r="BV233" s="1">
        <f>IF(D233="",0,MIN(IF(Boss参数!$B$77=1,Boss参数!$B$63*Boss参数!$B$62,Boss参数!$B$61*Boss参数!$B$62),DX233+ROUNDDOWN(BT233,0)+ROUNDDOWN(DX233*Q233,0)))</f>
        <v>0</v>
      </c>
      <c r="BW233" s="1">
        <f t="shared" si="217"/>
        <v>0</v>
      </c>
      <c r="BX233" s="1" t="str">
        <f t="shared" si="218"/>
        <v/>
      </c>
      <c r="BY233" s="1">
        <f t="shared" si="219"/>
        <v>2</v>
      </c>
      <c r="BZ233" s="1">
        <f t="shared" si="220"/>
        <v>1</v>
      </c>
      <c r="CA233" s="1">
        <f>MIN(10,W233+IF(AND(L233="LILYA_COBRA",COUNTIF($L$3:L233,"LILYA_COBRA")=1),5,0)+IF(AND(L233="LILYA_DIVE",U233=1,COUNTIFS($DG$3:DG233,DG233,$L$3:L233,"LILYA_DIVE")=1),2,0)+IF(AND(FE233=1,U233=1),3,0))</f>
        <v>10</v>
      </c>
      <c r="CB233" s="1">
        <f>MIN(20,MAX(0,X233+IF(L233="LILYA_COBRA",IF(COUNTIF($L$3:L233,"LILYA_COBRA")=1,6,IF(U233=1,MAX(1,G233),IF(U233=2,2*MAX(1,G233),0))),0)+IF(AND(Y233=1,E233="红弩箭",L233&lt;&gt;"ENTER_INSIGHT"),1,0)-IF(AND(L233="LILYA_ULT",X233&gt;=6),6,0)))</f>
        <v>13</v>
      </c>
      <c r="CC233" s="1">
        <f t="shared" si="221"/>
        <v>0</v>
      </c>
      <c r="CD233" s="1">
        <f t="shared" si="222"/>
        <v>0</v>
      </c>
      <c r="CE233" s="1">
        <f t="shared" si="223"/>
        <v>0</v>
      </c>
      <c r="CF233" s="1">
        <f t="shared" si="224"/>
        <v>10</v>
      </c>
      <c r="CG233" s="1">
        <f t="shared" si="225"/>
        <v>1</v>
      </c>
      <c r="CH233" s="1">
        <f>MIN(35,AD233+IF(L233="J_HARD",6,0)+IF(L233="J_COUNTER",Boss参数!$B$30,0))</f>
        <v>35</v>
      </c>
      <c r="CI233" s="1">
        <f>MIN(Boss参数!$I$4,AE233+IF(L233="J_HARD",6,0)+IF(L233="J_ULT",AD233,0)+IF(L233="J_COUNTER",Boss参数!$B$30,0))</f>
        <v>0</v>
      </c>
      <c r="CJ233" s="1">
        <f>IF(L233="J_ULT",AD233*Boss参数!$B$41,IF(B233&lt;=AG233,AF233,0))</f>
        <v>0.875</v>
      </c>
      <c r="CK233" s="1">
        <f t="shared" si="226"/>
        <v>9</v>
      </c>
      <c r="CL233" s="1">
        <f t="shared" si="227"/>
        <v>9</v>
      </c>
      <c r="CM233" s="1">
        <f t="shared" si="228"/>
        <v>8</v>
      </c>
      <c r="CN233" s="1">
        <f t="shared" si="229"/>
        <v>9</v>
      </c>
      <c r="CO233" s="1">
        <f t="shared" si="230"/>
        <v>8</v>
      </c>
      <c r="CP233" s="1">
        <f t="shared" si="231"/>
        <v>3</v>
      </c>
      <c r="CQ233" s="1">
        <f t="shared" si="232"/>
        <v>30</v>
      </c>
      <c r="CR233" s="1">
        <f t="shared" si="233"/>
        <v>9</v>
      </c>
      <c r="CS233" s="1">
        <f t="shared" si="234"/>
        <v>0</v>
      </c>
      <c r="CT233" s="1" t="e">
        <f t="shared" si="235"/>
        <v>#VALUE!</v>
      </c>
      <c r="CU233" s="1" t="e">
        <f t="shared" si="236"/>
        <v>#VALUE!</v>
      </c>
      <c r="CV233" s="1">
        <f t="shared" si="237"/>
        <v>0.3</v>
      </c>
      <c r="CW233" s="1">
        <f t="shared" si="238"/>
        <v>9</v>
      </c>
      <c r="CX233" s="1">
        <f t="shared" si="239"/>
        <v>0.3</v>
      </c>
      <c r="CY233" s="1">
        <f t="shared" si="240"/>
        <v>9</v>
      </c>
      <c r="CZ233" s="1"/>
      <c r="DA233" s="1"/>
      <c r="DB233" s="1"/>
      <c r="DC233" s="1"/>
      <c r="DD233" s="1"/>
      <c r="DE233" s="1"/>
      <c r="DF233" s="1"/>
      <c r="DG233" s="1" t="str">
        <f>IF(D233="","",行动模拟!B239)</f>
        <v/>
      </c>
      <c r="DH233" s="1" t="str">
        <f>IF(L233="END_TURN","回合结束",IF(D233="","",IF(INDEX(回合状态!$C$7:$C$17,MATCH(DG233,回合状态!$A$7:$A$17,0))="洞穿","洞穿",IF(OR(L233="J_COUNTER",L233="BOSS_ACTION",L233="BOSS_CONSERVATIVE"),"敌方",IF(AND(L233="37_FOLLOW",DG233=DG232,DH232="敌方"),"敌方",IF(INDEX(回合状态!$C$7:$C$17,MATCH(DG233,回合状态!$A$7:$A$17,0))="普通","出牌",INDEX(回合状态!$C$7:$C$17,MATCH(DG233,回合状态!$A$7:$A$17,0))))))))</f>
        <v/>
      </c>
      <c r="DI233" s="1">
        <f t="shared" si="241"/>
        <v>0</v>
      </c>
      <c r="DJ233" s="1">
        <f>IF(D233="",0,MIN(Boss参数!$B$25,IF(OR(AND(DH233="敌方",OR(DH232&lt;&gt;"敌方",DG233&lt;&gt;DG232)),AND(L233="END_TURN",DH233&lt;&gt;"洞穿"),AND(DG233&lt;&gt;DG232,DH232&lt;&gt;"洞穿",L232&lt;&gt;"END_TURN",COUNTIFS($DG$3:DG232,DG232,$DH$3:DH232,"敌方")=0)),EW233,DN232)))</f>
        <v>0</v>
      </c>
      <c r="DK233" s="1">
        <f>IF(D233="",0,MIN(Boss参数!$B$25,IF(OR(AND(DH233="敌方",OR(DH232&lt;&gt;"敌方",DG233&lt;&gt;DG232)),AND(L233="END_TURN",DH233&lt;&gt;"洞穿"),AND(DG233&lt;&gt;DG232,DH232&lt;&gt;"洞穿",L232&lt;&gt;"END_TURN",COUNTIFS($DG$3:DG232,DG232,$DH$3:DH232,"敌方")=0)),EW233,DO232)))</f>
        <v>0</v>
      </c>
      <c r="DL233" s="1">
        <f>IF(D233="",0,MIN(Boss参数!$B$25,IF(OR(AND(DH233="敌方",OR(DH232&lt;&gt;"敌方",DG233&lt;&gt;DG232)),AND(L233="END_TURN",DH233&lt;&gt;"洞穿"),AND(DG233&lt;&gt;DG232,DH232&lt;&gt;"洞穿",L232&lt;&gt;"END_TURN",COUNTIFS($DG$3:DG232,DG232,$DH$3:DH232,"敌方")=0)),EW233,DP232)))</f>
        <v>0</v>
      </c>
      <c r="DM233" s="1">
        <f>IF(D233="",0,MIN(Boss参数!$B$25,IF(OR(AND(DH233="敌方",OR(DH232&lt;&gt;"敌方",DG233&lt;&gt;DG232)),AND(L233="END_TURN",DH233&lt;&gt;"洞穿"),AND(DG233&lt;&gt;DG232,DH232&lt;&gt;"洞穿",L232&lt;&gt;"END_TURN",COUNTIFS($DG$3:DG232,DG232,$DH$3:DH232,"敌方")=0)),EW233,DQ232)))</f>
        <v>0</v>
      </c>
      <c r="DN233" s="1">
        <f>MAX(0,MIN(Boss参数!$B$25,DJ233+DR233)-IF(E233="红弩箭",2*DR233,0))</f>
        <v>0</v>
      </c>
      <c r="DO233" s="1">
        <f>MAX(0,MIN(Boss参数!$B$25,DK233+DR233)-IF(E233="37",2*DR233,0))</f>
        <v>0</v>
      </c>
      <c r="DP233" s="1">
        <f>MAX(0,MIN(Boss参数!$B$25,DL233+DR233)-IF(E233="小瑞安侬",2*DR233,0))</f>
        <v>0</v>
      </c>
      <c r="DQ233" s="1">
        <f>MAX(0,MIN(Boss参数!$B$25,DM233+DR233)-IF(E233="J",2*DR233,0))</f>
        <v>0</v>
      </c>
      <c r="DR233" s="1">
        <f t="shared" si="242"/>
        <v>0</v>
      </c>
      <c r="DS233" s="1">
        <f t="shared" si="243"/>
        <v>0</v>
      </c>
      <c r="DT233" s="1">
        <f>IF(OR(E233="",E233="系统"),0,IF(OR(AND(DS233=1,Boss参数!$B$32=1),L233="RHI_BERRY",OR(AND(INDEX(角色面板!$B$18:$B$21,MATCH(E233,角色面板!$A$18:$A$21,0))="星",Boss参数!$B$4="岩"),AND(INDEX(角色面板!$B$18:$B$21,MATCH(E233,角色面板!$A$18:$A$21,0))="岩",Boss参数!$B$4="兽"),AND(INDEX(角色面板!$B$18:$B$21,MATCH(E233,角色面板!$A$18:$A$21,0))="兽",Boss参数!$B$4="木"),AND(INDEX(角色面板!$B$18:$B$21,MATCH(E233,角色面板!$A$18:$A$21,0))="木",Boss参数!$B$4="星"),AND(INDEX(角色面板!$B$18:$B$21,MATCH(E233,角色面板!$A$18:$A$21,0))="智",Boss参数!$B$4="灵"),AND(INDEX(角色面板!$B$18:$B$21,MATCH(E233,角色面板!$A$18:$A$21,0))="灵",Boss参数!$B$4="智"))),1,0))</f>
        <v>0</v>
      </c>
      <c r="DU233" s="1">
        <f>IF(D233="",0,INDEX(回合状态!$E$7:$E$17,MATCH(DG233,回合状态!$A$7:$A$17,0))+IF(AND(DH233="敌方",OR(INDEX(回合状态!$C$7:$C$17,MATCH(DG233,回合状态!$A$7:$A$17,0))="普通",INDEX(回合状态!$C$7:$C$17,MATCH(DG233,回合状态!$A$7:$A$17,0))="额外")),0.05,0))</f>
        <v>0</v>
      </c>
      <c r="DV233" s="1">
        <f>MAX(Boss参数!$B$28,1+IF(AND(E233="37",AC233&gt;0,BH233&gt;0),Boss参数!$B$42,0)-DI233*Boss参数!$B$24+EA233-ER233)</f>
        <v>9.9999999999999978E-2</v>
      </c>
      <c r="DW233" s="1">
        <f>MIN(IF(Boss参数!$B$77=1,Boss参数!$B$63*Boss参数!$B$62,Boss参数!$B$61*Boss参数!$B$62),ROUNDDOWN(BQ233*(1-ES233),0))</f>
        <v>0</v>
      </c>
      <c r="DX233" s="1">
        <f>MIN(IF(Boss参数!$B$77=1,Boss参数!$B$63*Boss参数!$B$62,Boss参数!$B$61*Boss参数!$B$62),ROUNDDOWN(BR233*(1-ES233),0))</f>
        <v>0</v>
      </c>
      <c r="DY233" s="1">
        <f t="shared" si="275"/>
        <v>250</v>
      </c>
      <c r="DZ233" s="1">
        <f>IF(L233="RHI_ULT",MIN(Boss参数!$B$48,ROUNDDOWN(AY233*Boss参数!$B$47,0)),DY233)</f>
        <v>250</v>
      </c>
      <c r="EA233" s="1">
        <v>0</v>
      </c>
      <c r="EB233" s="1">
        <f t="shared" si="244"/>
        <v>0</v>
      </c>
      <c r="EC233" s="1">
        <f>SUMIFS($EB$3:EB233,$B$3:B233,"&gt;="&amp;MAX(1,B233-2),$B$3:B233,"&lt;="&amp;B233)*Boss参数!$B$51</f>
        <v>0</v>
      </c>
      <c r="ED233" s="1">
        <f>IF(D233="",EG232,IF(AND(DG233&lt;&gt;DG232,DH233&lt;&gt;"洞穿"),MIN(Boss参数!$B$55,EG232+2),EG232))</f>
        <v>0</v>
      </c>
      <c r="EE233" s="1">
        <f t="shared" si="245"/>
        <v>0</v>
      </c>
      <c r="EF233" s="1">
        <f>IF(AND(OR(L233="END_TURN",AND(DH233="敌方",OR(DH232&lt;&gt;"敌方",DG233&lt;&gt;DG232))),SUMIFS($EF$3:EF232,$DG$3:DG232,DG233)=0),MIN(1,MAX(0,ED233-EE233)),0)</f>
        <v>0</v>
      </c>
      <c r="EG233" s="1">
        <f t="shared" si="246"/>
        <v>0</v>
      </c>
      <c r="EH233" s="1">
        <f>Boss参数!$B$53-IF(Y233=1,Boss参数!$B$54,0)</f>
        <v>0</v>
      </c>
      <c r="EI233" s="1">
        <f t="shared" si="247"/>
        <v>0.15</v>
      </c>
      <c r="EJ233" s="1">
        <f t="shared" si="248"/>
        <v>0.15</v>
      </c>
      <c r="EK233" s="1" t="e">
        <f t="shared" si="249"/>
        <v>#VALUE!</v>
      </c>
      <c r="EL233" s="1">
        <f t="shared" si="276"/>
        <v>0</v>
      </c>
      <c r="EM233" s="1">
        <f>IF(AND(DG233&lt;&gt;DG232,DH233="洞穿"),0,IF(L233="ENTER_INSIGHT",Boss参数!$B$57,EO232))</f>
        <v>0</v>
      </c>
      <c r="EN233" s="1">
        <f>IF(AND(Y233=1,H233="洞知",EM233&gt;0),Boss参数!$B$56,0)</f>
        <v>0</v>
      </c>
      <c r="EO233" s="1">
        <f t="shared" si="250"/>
        <v>0</v>
      </c>
      <c r="EP233" s="1">
        <f t="shared" si="277"/>
        <v>23210479</v>
      </c>
      <c r="EQ233" s="1">
        <f>ROUNDDOWN(EP233/Boss参数!$B$62,0)</f>
        <v>232</v>
      </c>
      <c r="ER233" s="1">
        <f>IF(EQ233&gt;=Boss参数!$B$66,Boss参数!$B$69,IF(EQ233&gt;=Boss参数!$B$65,Boss参数!$B$68,IF(EQ233&gt;=Boss参数!$B$64,Boss参数!$B$67,0)))</f>
        <v>0.9</v>
      </c>
      <c r="ES233" s="1">
        <f>MIN(1,IF(EQ233&gt;=Boss参数!$B$66,Boss参数!$B$72+ROUNDDOWN((EQ233-Boss参数!$B$66)/Boss参数!$B$73,0)*Boss参数!$B$74,IF(EQ233&gt;=Boss参数!$B$65,Boss参数!$B$71,IF(EQ233&gt;=Boss参数!$B$64,Boss参数!$B$70,0))))</f>
        <v>0.65</v>
      </c>
      <c r="ET233" s="1">
        <f>MIN(Boss参数!$B$61*Boss参数!$B$62,EP233+IF(AND(Boss参数!$B$60=1,ISNUMBER(验证表!H239)),验证表!H239,EU233))</f>
        <v>23210479</v>
      </c>
      <c r="EU233" s="1">
        <f>IF(D233="",0,IF(验证表!G239="是",BV233,IF(验证表!G239="否",BU233,BW233)))</f>
        <v>0</v>
      </c>
      <c r="EV233" s="1">
        <f>IF(EQ233&gt;=Boss参数!$B$66,2,IF(EQ233&gt;=Boss参数!$B$65,1,0))</f>
        <v>2</v>
      </c>
      <c r="EW233" s="1">
        <f t="shared" si="251"/>
        <v>3</v>
      </c>
      <c r="EX233" s="1">
        <f>IF(D233="",0,INDEX(回合状态!$D$7:$D$17,MATCH(DG233,回合状态!$A$7:$A$17,0)))</f>
        <v>0</v>
      </c>
      <c r="EY233" s="1">
        <f>IF(OR(L233="RHI_ATTACK",L233="RHI_BUFF"),1,IF(L233="RHI_ULT",Boss参数!$B$52,0))</f>
        <v>0</v>
      </c>
      <c r="EZ233" s="1">
        <f>MIN(6,SUMIFS($EY$3:EY233,$EX$3:EX233,"&gt;="&amp;MAX(1,EX233-Boss参数!$B$87+1),$EX$3:EX233,"&lt;="&amp;EX233))</f>
        <v>0</v>
      </c>
      <c r="FA233" s="1">
        <f t="shared" si="278"/>
        <v>0</v>
      </c>
      <c r="FB233" s="17">
        <f>IF(L233="BOSS_CONSERVATIVE",B233+Boss参数!$B$91,FB232)</f>
        <v>7</v>
      </c>
      <c r="FC233" s="17">
        <f t="shared" si="279"/>
        <v>0</v>
      </c>
      <c r="FD233" s="17">
        <f>IF(D233="",FD232,FD232+IF(AND(DG233&lt;&gt;DG232,INDEX(回合状态!$C$7:$C$17,MATCH(DG233,回合状态!$A$7:$A$17,0))&lt;&gt;"洞穿"),1,0))</f>
        <v>8</v>
      </c>
      <c r="FE233" s="17">
        <f>IF(D233="",0,IF(AND(OR(L233="END_TURN",DH233="敌方"),INDEX(回合状态!$C$7:$C$17,MATCH(DG233,回合状态!$A$7:$A$17,0))&lt;&gt;"洞穿",SUMIFS($FE$3:FE232,$DG$3:DG232,DG233)=0),1,0))</f>
        <v>0</v>
      </c>
    </row>
    <row r="234" spans="1:161" ht="84.95" customHeight="1">
      <c r="A234" s="1" t="str">
        <f>行动模拟!A240</f>
        <v/>
      </c>
      <c r="B234" s="1">
        <f>IF(D234="",0,INDEX(回合状态!$B$7:$B$17,MATCH(DG234,回合状态!$A$7:$A$17,0)))</f>
        <v>0</v>
      </c>
      <c r="C234" s="1">
        <f>行动模拟!C240</f>
        <v>0</v>
      </c>
      <c r="D234" s="1" t="str">
        <f>IF(行动模拟!D240="","",行动模拟!D240)</f>
        <v/>
      </c>
      <c r="E234" s="1" t="str">
        <f>IF($D234="","",IFERROR(INDEX(技能数据库!$B$4:$B$38,MATCH($D234,技能数据库!$A$4:$A$38,0)),""))</f>
        <v/>
      </c>
      <c r="F234" s="1" t="str">
        <f>IF($D234="","",IFERROR(INDEX(技能数据库!$C$4:$C$38,MATCH($D234,技能数据库!$A$4:$A$38,0)),""))</f>
        <v/>
      </c>
      <c r="G234" s="1" t="str">
        <f>IF($D234="","",IFERROR(INDEX(技能数据库!$D$4:$D$38,MATCH($D234,技能数据库!$A$4:$A$38,0)),""))</f>
        <v/>
      </c>
      <c r="H234" s="1" t="str">
        <f>IF($D234="","",IFERROR(INDEX(技能数据库!$E$4:$E$38,MATCH($D234,技能数据库!$A$4:$A$38,0)),""))</f>
        <v/>
      </c>
      <c r="I234" s="1" t="str">
        <f>IF($D234="","",IFERROR(INDEX(技能数据库!$F$4:$F$38,MATCH($D234,技能数据库!$A$4:$A$38,0)),""))</f>
        <v/>
      </c>
      <c r="J234" s="1" t="str">
        <f>IF($D234="","",IFERROR(INDEX(技能数据库!$G$4:$G$38,MATCH($D234,技能数据库!$A$4:$A$38,0)),""))</f>
        <v/>
      </c>
      <c r="K234" s="1" t="str">
        <f>IF($D234="","",IFERROR(INDEX(技能数据库!$H$4:$H$38,MATCH($D234,技能数据库!$A$4:$A$38,0)),""))</f>
        <v/>
      </c>
      <c r="L234" s="1" t="str">
        <f>IF($D234="","",IFERROR(INDEX(技能数据库!$I$4:$I$38,MATCH($D234,技能数据库!$A$4:$A$38,0)),""))</f>
        <v/>
      </c>
      <c r="M234" s="1">
        <v>1</v>
      </c>
      <c r="N234" s="1"/>
      <c r="O234" s="1"/>
      <c r="P234" s="1"/>
      <c r="Q234" s="1">
        <f t="shared" si="210"/>
        <v>0</v>
      </c>
      <c r="R234" s="1">
        <v>0</v>
      </c>
      <c r="S234" s="1">
        <v>0</v>
      </c>
      <c r="T234" s="1">
        <f>行动模拟!I240</f>
        <v>0</v>
      </c>
      <c r="U234" s="1">
        <f>IF(FD234&lt;&gt;FD233,IF(BY233=1,IF(MIN(10,CA233+IF(AND(DG234&lt;&gt;DG233,DH233&lt;&gt;"洞穿",SUMIFS($FE$3:FE233,$DG$3:DG233,DG233)=0,BY233=1),3,0))&gt;=10,2,1),IF(BY233=2,IF(BZ233&lt;=1,0,2),0)),BY233)</f>
        <v>2</v>
      </c>
      <c r="V234" s="1">
        <f>IF(FD234&lt;&gt;FD233,IF(BY233=1,IF(MIN(10,CA233+IF(AND(DG234&lt;&gt;DG233,DH233&lt;&gt;"洞穿",SUMIFS($FE$3:FE233,$DG$3:DG233,DG233)=0,BY233=1),3,0))&gt;=10,2,0),IF(BY233=2,MAX(0,BZ233-1),0)),BZ233)</f>
        <v>1</v>
      </c>
      <c r="W234" s="1">
        <f>IF(AND(FD234&lt;&gt;FD233,BY233=2,BZ233&lt;=1),0,MIN(10,CA233+IF(AND(DG234&lt;&gt;DG233,DH233&lt;&gt;"洞穿",SUMIFS($FE$3:FE233,$DG$3:DG233,DG233)=0,BY233=1),3,0)))</f>
        <v>10</v>
      </c>
      <c r="X234" s="1">
        <f t="shared" si="252"/>
        <v>13</v>
      </c>
      <c r="Y234" s="1">
        <f t="shared" si="253"/>
        <v>0</v>
      </c>
      <c r="Z234" s="1">
        <f t="shared" si="254"/>
        <v>0</v>
      </c>
      <c r="AA234" s="1">
        <f t="shared" si="255"/>
        <v>0</v>
      </c>
      <c r="AB234" s="1">
        <f t="shared" si="256"/>
        <v>10</v>
      </c>
      <c r="AC234" s="1">
        <f t="shared" si="257"/>
        <v>1</v>
      </c>
      <c r="AD234" s="1">
        <f t="shared" si="258"/>
        <v>35</v>
      </c>
      <c r="AE234" s="1">
        <f>IF(D234="",0,IF(DG234&lt;&gt;DG233,IFERROR(INDEX(回合状态!$F$7:$F$17,MATCH(DG234,回合状态!$A$7:$A$17,0)),0),CI233))</f>
        <v>0</v>
      </c>
      <c r="AF234" s="1">
        <f t="shared" si="259"/>
        <v>0.875</v>
      </c>
      <c r="AG234" s="1">
        <f t="shared" si="260"/>
        <v>9</v>
      </c>
      <c r="AH234" s="1">
        <f t="shared" si="261"/>
        <v>9</v>
      </c>
      <c r="AI234" s="1">
        <f t="shared" si="262"/>
        <v>8</v>
      </c>
      <c r="AJ234" s="1">
        <f t="shared" si="263"/>
        <v>9</v>
      </c>
      <c r="AK234" s="1">
        <f t="shared" si="264"/>
        <v>8</v>
      </c>
      <c r="AL234" s="1">
        <f t="shared" si="265"/>
        <v>3</v>
      </c>
      <c r="AM234" s="1">
        <f t="shared" si="266"/>
        <v>30</v>
      </c>
      <c r="AN234" s="1">
        <f t="shared" si="267"/>
        <v>9</v>
      </c>
      <c r="AO234" s="1">
        <f t="shared" si="268"/>
        <v>0</v>
      </c>
      <c r="AP234" s="1" t="e">
        <f t="shared" si="269"/>
        <v>#VALUE!</v>
      </c>
      <c r="AQ234" s="1" t="e">
        <f t="shared" si="270"/>
        <v>#VALUE!</v>
      </c>
      <c r="AR234" s="1">
        <f t="shared" si="271"/>
        <v>0.3</v>
      </c>
      <c r="AS234" s="1">
        <f t="shared" si="272"/>
        <v>9</v>
      </c>
      <c r="AT234" s="1">
        <f t="shared" si="273"/>
        <v>0.3</v>
      </c>
      <c r="AU234" s="1">
        <f t="shared" si="274"/>
        <v>9</v>
      </c>
      <c r="AV234" s="1">
        <f>MIN(5,SUMIFS($EL$3:EL234,$B$3:B234,"&gt;="&amp;MAX(1,B234-2),$B$3:B234,"&lt;="&amp;B234)+EC234)</f>
        <v>0</v>
      </c>
      <c r="AW234" s="1">
        <f>MIN(6,SUMIFS($EY$3:EY233,$EX$3:EX233,"&gt;="&amp;MAX(1,EX234-Boss参数!$B$87+1),$EX$3:EX233,"&lt;="&amp;EX234))</f>
        <v>0</v>
      </c>
      <c r="AX234" s="1">
        <f>MIN(4,COUNTIFS($B$3:$B$233,"&gt;="&amp;MAX(1,$B234-2),$B$3:$B$233,"&lt;="&amp;$B234,$L$3:$L$233,"37_FOLLOW"))</f>
        <v>0</v>
      </c>
      <c r="AY234" s="1" t="str">
        <f>IF($E234="","",IF($E234="系统",0,ROUNDDOWN(INDEX(角色面板!$C$4:$C$7,MATCH($E234,角色面板!$A$4:$A$7,0))*(1+INDEX(角色面板!$C$11:$C$14,MATCH($E234,角色面板!$A$11:$A$14,0))+IF($E234="小瑞安侬",MAX(IF($B234&lt;=$AQ234,$AP234,0),IF(AND($L234="RHI_ATTACK",$EE234&gt;0),0.11+0.01*$G234,0)),0)+IF($E234="J",$AD234*Boss参数!$B$18,0))+IF(FD234&lt;=$AN234,MIN(Boss参数!$B$21,ROUNDDOWN(角色面板!$C$19*Boss参数!$B$20,0)),0)+IF(AND($B234&lt;=$AK234,$E234&lt;&gt;"小瑞安侬"),$DY234,0),0)))</f>
        <v/>
      </c>
      <c r="AZ234" s="1" t="str">
        <f>IF($E234="","",MAX(0,MIN(1,IFERROR(INDEX(角色面板!$G$18:$G$21,MATCH($E234,角色面板!$A$18:$A$21,0)),0)-FC234*Boss参数!$B$89-Boss参数!$E$4)))</f>
        <v/>
      </c>
      <c r="BA234" s="1" t="str">
        <f>IF(E234="","",(IF($E234="","",IF($E234="红弩箭",Boss参数!$B$80,IF($E234="J",Boss参数!$B$81,IFERROR(INDEX(角色面板!$H$18:$H$21,MATCH($E234,角色面板!$A$18:$A$21,0)),0)))+IF($B234&lt;=$AI234,Boss参数!$B$13,0)+MIN(30,$AM234)*Boss参数!$B$17+IF(AND($L234="LILYA_ULT",$X234&gt;=6),1,0)+IF(AND($Y234=1,$L234="LILYA_INSIGHT"),IF(MOD($AA234+1,3)=0,Boss参数!$B$83,Boss参数!$B$82),IF(AND($Y234=1,$L234="LILYA_FINISH"),Boss参数!$B$84,0))))-FC234*Boss参数!$B$90)</f>
        <v/>
      </c>
      <c r="BB234" s="1" t="str">
        <f>IF($E234="","",IFERROR(INDEX(角色面板!$M$18:$M$21,MATCH($E234,角色面板!$A$18:$A$21,0)),0)+$AW234*Boss参数!$B$12+IF($B234&lt;=$AG234,$AF234,0)+$EI234+IF($L234="LILYA_DIVE",IF($U234=1,IF($G234=1,0.3,IF($G234=2,0.4,0.5)),IF($U234=2,IF($G234=1,0.6,IF($G234=2,0.8,1)),0)),0)+$R234+IF(AND($E234="J",OR($L234="J_COUNTER",$L234="J_HARD")),Boss参数!$B$79,0)+IF(AND(OR(L234="J_COUNTER",L234="J_HARD"),FA234&gt;=Boss参数!$B$59),FA234*Boss参数!$B$40,0))</f>
        <v/>
      </c>
      <c r="BC234" s="1" t="e">
        <f>IF($E234="","",IFERROR(INDEX(角色面板!$K$18:$K$21,MATCH($E234,角色面板!$A$18:$A$21,0)),0)+IF($B234&lt;=$AH234,Boss参数!$B$46,0)+IF($E234="红弩箭",IF($U234=1,0.6,IF($U234=2,1.2,0))+$W234*0.06,0))-DI234*Boss参数!$B$23</f>
        <v>#VALUE!</v>
      </c>
      <c r="BD234" s="1" t="e">
        <f>IF($E234="","",IFERROR(INDEX(角色面板!$L$18:$L$21,MATCH($E234,角色面板!$A$18:$A$21,0)),0)+IF($B234&lt;=$AH234,Boss参数!$B$46,0)+IF($E234="J",$AL234*Boss参数!$B$16,0)+IF($E234="红弩箭",$X234*0.025,0)+IF(AND($L234="LILYA_ULT",$X234&gt;=6),1,0))-DI234*Boss参数!$B$23</f>
        <v>#VALUE!</v>
      </c>
      <c r="BE234" s="1" t="str">
        <f>IF($E234="","",IF($H234="洞知",IF($E234="红弩箭",$AO234*Boss参数!$B$15,0)+$AX234*Boss参数!$B$14,0))</f>
        <v/>
      </c>
      <c r="BF234" s="1">
        <f t="shared" si="211"/>
        <v>0</v>
      </c>
      <c r="BG234" s="1">
        <f>IF($D234="",0,IF(AND($L234&lt;&gt;"LILYA_DIVE",$L234&lt;&gt;"LILYA_ULT",$L234&lt;&gt;"LILYA_INSIGHT",$L234&lt;&gt;"LILYA_FINISH",$L234&lt;&gt;"37_FOLLOW",$L234&lt;&gt;"RHI_ATTACK",$L234&lt;&gt;"RHI_BERRY",$L234&lt;&gt;"J_COUNTER",$L234&lt;&gt;"J_ULT"),$J234,0)+IF($L234="LILYA_DIVE",$J234+IF($U234=1,IF($G234=1,6,IF($G234=2,12,18)),IF($U234=2,IF($G234=1,12,IF($G234=2,24,36)),0)),0)+IF($L234="LILYA_ULT",$J234+IF($X234&gt;=6,18,0),0)+IF($L234="LILYA_INSIGHT",IF($Y234=1,IF(MOD($AA234+1,3)=0,32,15),0),0)+IF($L234="LILYA_FINISH",IF($Y234=1,50+2.5*$Z234,0),0)+IF($L234="37_FOLLOW",$J234,0)+IF($L234="RHI_ATTACK",$J234*IF($B234&lt;=$AJ234,2,1),0)+IF($L234="RHI_BERRY",15+1.5*$AV234,0)+IF($L234="J_COUNTER",$J234+$AD234*Boss参数!$B$39,0)+IF($L234="J_ULT",$J234+Boss参数!$B$45*MAX(0,$AE234+$AD234-Boss参数!$I$4),0)+$S234)</f>
        <v>0</v>
      </c>
      <c r="BH234" s="1">
        <f t="shared" si="212"/>
        <v>0</v>
      </c>
      <c r="BI234" s="1" t="str">
        <f>IF(E234="","",IF(DT234=1,1+Boss参数!$B$8+AV234*Boss参数!$B$19,1))</f>
        <v/>
      </c>
      <c r="BJ234" s="1">
        <f>IF($I234="现实",Boss参数!$C$4,IF($I234="精神",Boss参数!$D$4,0))</f>
        <v>0</v>
      </c>
      <c r="BK234" s="1" t="str">
        <f>IF($E234="","",MAX($AY234*Boss参数!$B$9,$AY234-$BJ234*(1-$BF234)))</f>
        <v/>
      </c>
      <c r="BL234" s="1">
        <f>MAX(0,Boss参数!$F$4+IF(DT234=0,Boss参数!$B$27,0)-EJ234)</f>
        <v>1.25</v>
      </c>
      <c r="BM234" s="1">
        <f>Boss参数!$G$4+DU234-IF(Y234=1,Boss参数!$B$11,0)</f>
        <v>0.4</v>
      </c>
      <c r="BN234" s="1" t="str">
        <f>IF($E234="","",MAX(Boss参数!$B$10,1+IFERROR(INDEX(角色面板!$I$18:$I$21,MATCH($E234,角色面板!$A$18:$A$21,0)),0)+$BB234+Boss参数!$H$4-$BM234))</f>
        <v/>
      </c>
      <c r="BO234" s="1" t="str">
        <f>IF(E234="","",IF(OR(L234="J_COUNTER",L234="J_HARD"),MAX(0,1+INDEX(角色面板!$K$18:$K$21,MATCH(E234,角色面板!$A$18:$A$21,0))-DI234*Boss参数!$B$23+IF(OR(Boss参数!$B$43=1,L234="J_HARD"),IF(B234&lt;=AH234,Boss参数!$B$46,0),0)),MAX(0,IF(OR(H234="术法",L234="RHI_BERRY",AND(L234="37_FOLLOW",Boss参数!$B$31=1)),1+BC234,IF(H234="仪式",1+BD234,IF(H234="洞知",EK234,1))))))</f>
        <v/>
      </c>
      <c r="BP234" s="1" t="str">
        <f t="shared" si="213"/>
        <v/>
      </c>
      <c r="BQ234" s="1">
        <f t="shared" si="214"/>
        <v>0</v>
      </c>
      <c r="BR234" s="1">
        <f t="shared" si="215"/>
        <v>0</v>
      </c>
      <c r="BS234" s="1">
        <f>IF(BH234=0,0,ROUNDDOWN(AY234*BH234,0)*DV234*IF(Boss参数!$B$29=1,BN234,1)*IF(Boss参数!$B$33=1,BO234,1)*IF(Boss参数!$B$76=1,1-ES234,1))</f>
        <v>0</v>
      </c>
      <c r="BT234" s="1">
        <f t="shared" si="216"/>
        <v>0</v>
      </c>
      <c r="BU234" s="1">
        <f>IF(D234="",0,MIN(IF(Boss参数!$B$77=1,Boss参数!$B$63*Boss参数!$B$62,Boss参数!$B$61*Boss参数!$B$62),DW234+ROUNDDOWN(BS234,0)+ROUNDDOWN(DW234*Q234,0)))</f>
        <v>0</v>
      </c>
      <c r="BV234" s="1">
        <f>IF(D234="",0,MIN(IF(Boss参数!$B$77=1,Boss参数!$B$63*Boss参数!$B$62,Boss参数!$B$61*Boss参数!$B$62),DX234+ROUNDDOWN(BT234,0)+ROUNDDOWN(DX234*Q234,0)))</f>
        <v>0</v>
      </c>
      <c r="BW234" s="1">
        <f t="shared" si="217"/>
        <v>0</v>
      </c>
      <c r="BX234" s="1" t="str">
        <f t="shared" si="218"/>
        <v/>
      </c>
      <c r="BY234" s="1">
        <f t="shared" si="219"/>
        <v>2</v>
      </c>
      <c r="BZ234" s="1">
        <f t="shared" si="220"/>
        <v>1</v>
      </c>
      <c r="CA234" s="1">
        <f>MIN(10,W234+IF(AND(L234="LILYA_COBRA",COUNTIF($L$3:L234,"LILYA_COBRA")=1),5,0)+IF(AND(L234="LILYA_DIVE",U234=1,COUNTIFS($DG$3:DG234,DG234,$L$3:L234,"LILYA_DIVE")=1),2,0)+IF(AND(FE234=1,U234=1),3,0))</f>
        <v>10</v>
      </c>
      <c r="CB234" s="1">
        <f>MIN(20,MAX(0,X234+IF(L234="LILYA_COBRA",IF(COUNTIF($L$3:L234,"LILYA_COBRA")=1,6,IF(U234=1,MAX(1,G234),IF(U234=2,2*MAX(1,G234),0))),0)+IF(AND(Y234=1,E234="红弩箭",L234&lt;&gt;"ENTER_INSIGHT"),1,0)-IF(AND(L234="LILYA_ULT",X234&gt;=6),6,0)))</f>
        <v>13</v>
      </c>
      <c r="CC234" s="1">
        <f t="shared" si="221"/>
        <v>0</v>
      </c>
      <c r="CD234" s="1">
        <f t="shared" si="222"/>
        <v>0</v>
      </c>
      <c r="CE234" s="1">
        <f t="shared" si="223"/>
        <v>0</v>
      </c>
      <c r="CF234" s="1">
        <f t="shared" si="224"/>
        <v>10</v>
      </c>
      <c r="CG234" s="1">
        <f t="shared" si="225"/>
        <v>1</v>
      </c>
      <c r="CH234" s="1">
        <f>MIN(35,AD234+IF(L234="J_HARD",6,0)+IF(L234="J_COUNTER",Boss参数!$B$30,0))</f>
        <v>35</v>
      </c>
      <c r="CI234" s="1">
        <f>MIN(Boss参数!$I$4,AE234+IF(L234="J_HARD",6,0)+IF(L234="J_ULT",AD234,0)+IF(L234="J_COUNTER",Boss参数!$B$30,0))</f>
        <v>0</v>
      </c>
      <c r="CJ234" s="1">
        <f>IF(L234="J_ULT",AD234*Boss参数!$B$41,IF(B234&lt;=AG234,AF234,0))</f>
        <v>0.875</v>
      </c>
      <c r="CK234" s="1">
        <f t="shared" si="226"/>
        <v>9</v>
      </c>
      <c r="CL234" s="1">
        <f t="shared" si="227"/>
        <v>9</v>
      </c>
      <c r="CM234" s="1">
        <f t="shared" si="228"/>
        <v>8</v>
      </c>
      <c r="CN234" s="1">
        <f t="shared" si="229"/>
        <v>9</v>
      </c>
      <c r="CO234" s="1">
        <f t="shared" si="230"/>
        <v>8</v>
      </c>
      <c r="CP234" s="1">
        <f t="shared" si="231"/>
        <v>3</v>
      </c>
      <c r="CQ234" s="1">
        <f t="shared" si="232"/>
        <v>30</v>
      </c>
      <c r="CR234" s="1">
        <f t="shared" si="233"/>
        <v>9</v>
      </c>
      <c r="CS234" s="1">
        <f t="shared" si="234"/>
        <v>0</v>
      </c>
      <c r="CT234" s="1" t="e">
        <f t="shared" si="235"/>
        <v>#VALUE!</v>
      </c>
      <c r="CU234" s="1" t="e">
        <f t="shared" si="236"/>
        <v>#VALUE!</v>
      </c>
      <c r="CV234" s="1">
        <f t="shared" si="237"/>
        <v>0.3</v>
      </c>
      <c r="CW234" s="1">
        <f t="shared" si="238"/>
        <v>9</v>
      </c>
      <c r="CX234" s="1">
        <f t="shared" si="239"/>
        <v>0.3</v>
      </c>
      <c r="CY234" s="1">
        <f t="shared" si="240"/>
        <v>9</v>
      </c>
      <c r="CZ234" s="1"/>
      <c r="DA234" s="1"/>
      <c r="DB234" s="1"/>
      <c r="DC234" s="1"/>
      <c r="DD234" s="1"/>
      <c r="DE234" s="1"/>
      <c r="DF234" s="1"/>
      <c r="DG234" s="1" t="str">
        <f>IF(D234="","",行动模拟!B240)</f>
        <v/>
      </c>
      <c r="DH234" s="1" t="str">
        <f>IF(L234="END_TURN","回合结束",IF(D234="","",IF(INDEX(回合状态!$C$7:$C$17,MATCH(DG234,回合状态!$A$7:$A$17,0))="洞穿","洞穿",IF(OR(L234="J_COUNTER",L234="BOSS_ACTION",L234="BOSS_CONSERVATIVE"),"敌方",IF(AND(L234="37_FOLLOW",DG234=DG233,DH233="敌方"),"敌方",IF(INDEX(回合状态!$C$7:$C$17,MATCH(DG234,回合状态!$A$7:$A$17,0))="普通","出牌",INDEX(回合状态!$C$7:$C$17,MATCH(DG234,回合状态!$A$7:$A$17,0))))))))</f>
        <v/>
      </c>
      <c r="DI234" s="1">
        <f t="shared" si="241"/>
        <v>0</v>
      </c>
      <c r="DJ234" s="1">
        <f>IF(D234="",0,MIN(Boss参数!$B$25,IF(OR(AND(DH234="敌方",OR(DH233&lt;&gt;"敌方",DG234&lt;&gt;DG233)),AND(L234="END_TURN",DH234&lt;&gt;"洞穿"),AND(DG234&lt;&gt;DG233,DH233&lt;&gt;"洞穿",L233&lt;&gt;"END_TURN",COUNTIFS($DG$3:DG233,DG233,$DH$3:DH233,"敌方")=0)),EW234,DN233)))</f>
        <v>0</v>
      </c>
      <c r="DK234" s="1">
        <f>IF(D234="",0,MIN(Boss参数!$B$25,IF(OR(AND(DH234="敌方",OR(DH233&lt;&gt;"敌方",DG234&lt;&gt;DG233)),AND(L234="END_TURN",DH234&lt;&gt;"洞穿"),AND(DG234&lt;&gt;DG233,DH233&lt;&gt;"洞穿",L233&lt;&gt;"END_TURN",COUNTIFS($DG$3:DG233,DG233,$DH$3:DH233,"敌方")=0)),EW234,DO233)))</f>
        <v>0</v>
      </c>
      <c r="DL234" s="1">
        <f>IF(D234="",0,MIN(Boss参数!$B$25,IF(OR(AND(DH234="敌方",OR(DH233&lt;&gt;"敌方",DG234&lt;&gt;DG233)),AND(L234="END_TURN",DH234&lt;&gt;"洞穿"),AND(DG234&lt;&gt;DG233,DH233&lt;&gt;"洞穿",L233&lt;&gt;"END_TURN",COUNTIFS($DG$3:DG233,DG233,$DH$3:DH233,"敌方")=0)),EW234,DP233)))</f>
        <v>0</v>
      </c>
      <c r="DM234" s="1">
        <f>IF(D234="",0,MIN(Boss参数!$B$25,IF(OR(AND(DH234="敌方",OR(DH233&lt;&gt;"敌方",DG234&lt;&gt;DG233)),AND(L234="END_TURN",DH234&lt;&gt;"洞穿"),AND(DG234&lt;&gt;DG233,DH233&lt;&gt;"洞穿",L233&lt;&gt;"END_TURN",COUNTIFS($DG$3:DG233,DG233,$DH$3:DH233,"敌方")=0)),EW234,DQ233)))</f>
        <v>0</v>
      </c>
      <c r="DN234" s="1">
        <f>MAX(0,MIN(Boss参数!$B$25,DJ234+DR234)-IF(E234="红弩箭",2*DR234,0))</f>
        <v>0</v>
      </c>
      <c r="DO234" s="1">
        <f>MAX(0,MIN(Boss参数!$B$25,DK234+DR234)-IF(E234="37",2*DR234,0))</f>
        <v>0</v>
      </c>
      <c r="DP234" s="1">
        <f>MAX(0,MIN(Boss参数!$B$25,DL234+DR234)-IF(E234="小瑞安侬",2*DR234,0))</f>
        <v>0</v>
      </c>
      <c r="DQ234" s="1">
        <f>MAX(0,MIN(Boss参数!$B$25,DM234+DR234)-IF(E234="J",2*DR234,0))</f>
        <v>0</v>
      </c>
      <c r="DR234" s="1">
        <f t="shared" si="242"/>
        <v>0</v>
      </c>
      <c r="DS234" s="1">
        <f t="shared" si="243"/>
        <v>0</v>
      </c>
      <c r="DT234" s="1">
        <f>IF(OR(E234="",E234="系统"),0,IF(OR(AND(DS234=1,Boss参数!$B$32=1),L234="RHI_BERRY",OR(AND(INDEX(角色面板!$B$18:$B$21,MATCH(E234,角色面板!$A$18:$A$21,0))="星",Boss参数!$B$4="岩"),AND(INDEX(角色面板!$B$18:$B$21,MATCH(E234,角色面板!$A$18:$A$21,0))="岩",Boss参数!$B$4="兽"),AND(INDEX(角色面板!$B$18:$B$21,MATCH(E234,角色面板!$A$18:$A$21,0))="兽",Boss参数!$B$4="木"),AND(INDEX(角色面板!$B$18:$B$21,MATCH(E234,角色面板!$A$18:$A$21,0))="木",Boss参数!$B$4="星"),AND(INDEX(角色面板!$B$18:$B$21,MATCH(E234,角色面板!$A$18:$A$21,0))="智",Boss参数!$B$4="灵"),AND(INDEX(角色面板!$B$18:$B$21,MATCH(E234,角色面板!$A$18:$A$21,0))="灵",Boss参数!$B$4="智"))),1,0))</f>
        <v>0</v>
      </c>
      <c r="DU234" s="1">
        <f>IF(D234="",0,INDEX(回合状态!$E$7:$E$17,MATCH(DG234,回合状态!$A$7:$A$17,0))+IF(AND(DH234="敌方",OR(INDEX(回合状态!$C$7:$C$17,MATCH(DG234,回合状态!$A$7:$A$17,0))="普通",INDEX(回合状态!$C$7:$C$17,MATCH(DG234,回合状态!$A$7:$A$17,0))="额外")),0.05,0))</f>
        <v>0</v>
      </c>
      <c r="DV234" s="1">
        <f>MAX(Boss参数!$B$28,1+IF(AND(E234="37",AC234&gt;0,BH234&gt;0),Boss参数!$B$42,0)-DI234*Boss参数!$B$24+EA234-ER234)</f>
        <v>9.9999999999999978E-2</v>
      </c>
      <c r="DW234" s="1">
        <f>MIN(IF(Boss参数!$B$77=1,Boss参数!$B$63*Boss参数!$B$62,Boss参数!$B$61*Boss参数!$B$62),ROUNDDOWN(BQ234*(1-ES234),0))</f>
        <v>0</v>
      </c>
      <c r="DX234" s="1">
        <f>MIN(IF(Boss参数!$B$77=1,Boss参数!$B$63*Boss参数!$B$62,Boss参数!$B$61*Boss参数!$B$62),ROUNDDOWN(BR234*(1-ES234),0))</f>
        <v>0</v>
      </c>
      <c r="DY234" s="1">
        <f t="shared" si="275"/>
        <v>250</v>
      </c>
      <c r="DZ234" s="1">
        <f>IF(L234="RHI_ULT",MIN(Boss参数!$B$48,ROUNDDOWN(AY234*Boss参数!$B$47,0)),DY234)</f>
        <v>250</v>
      </c>
      <c r="EA234" s="1">
        <v>0</v>
      </c>
      <c r="EB234" s="1">
        <f t="shared" si="244"/>
        <v>0</v>
      </c>
      <c r="EC234" s="1">
        <f>SUMIFS($EB$3:EB234,$B$3:B234,"&gt;="&amp;MAX(1,B234-2),$B$3:B234,"&lt;="&amp;B234)*Boss参数!$B$51</f>
        <v>0</v>
      </c>
      <c r="ED234" s="1">
        <f>IF(D234="",EG233,IF(AND(DG234&lt;&gt;DG233,DH234&lt;&gt;"洞穿"),MIN(Boss参数!$B$55,EG233+2),EG233))</f>
        <v>0</v>
      </c>
      <c r="EE234" s="1">
        <f t="shared" si="245"/>
        <v>0</v>
      </c>
      <c r="EF234" s="1">
        <f>IF(AND(OR(L234="END_TURN",AND(DH234="敌方",OR(DH233&lt;&gt;"敌方",DG234&lt;&gt;DG233))),SUMIFS($EF$3:EF233,$DG$3:DG233,DG234)=0),MIN(1,MAX(0,ED234-EE234)),0)</f>
        <v>0</v>
      </c>
      <c r="EG234" s="1">
        <f t="shared" si="246"/>
        <v>0</v>
      </c>
      <c r="EH234" s="1">
        <f>Boss参数!$B$53-IF(Y234=1,Boss参数!$B$54,0)</f>
        <v>0</v>
      </c>
      <c r="EI234" s="1">
        <f t="shared" si="247"/>
        <v>0.15</v>
      </c>
      <c r="EJ234" s="1">
        <f t="shared" si="248"/>
        <v>0.15</v>
      </c>
      <c r="EK234" s="1" t="e">
        <f t="shared" si="249"/>
        <v>#VALUE!</v>
      </c>
      <c r="EL234" s="1">
        <f t="shared" si="276"/>
        <v>0</v>
      </c>
      <c r="EM234" s="1">
        <f>IF(AND(DG234&lt;&gt;DG233,DH234="洞穿"),0,IF(L234="ENTER_INSIGHT",Boss参数!$B$57,EO233))</f>
        <v>0</v>
      </c>
      <c r="EN234" s="1">
        <f>IF(AND(Y234=1,H234="洞知",EM234&gt;0),Boss参数!$B$56,0)</f>
        <v>0</v>
      </c>
      <c r="EO234" s="1">
        <f t="shared" si="250"/>
        <v>0</v>
      </c>
      <c r="EP234" s="1">
        <f t="shared" si="277"/>
        <v>23210479</v>
      </c>
      <c r="EQ234" s="1">
        <f>ROUNDDOWN(EP234/Boss参数!$B$62,0)</f>
        <v>232</v>
      </c>
      <c r="ER234" s="1">
        <f>IF(EQ234&gt;=Boss参数!$B$66,Boss参数!$B$69,IF(EQ234&gt;=Boss参数!$B$65,Boss参数!$B$68,IF(EQ234&gt;=Boss参数!$B$64,Boss参数!$B$67,0)))</f>
        <v>0.9</v>
      </c>
      <c r="ES234" s="1">
        <f>MIN(1,IF(EQ234&gt;=Boss参数!$B$66,Boss参数!$B$72+ROUNDDOWN((EQ234-Boss参数!$B$66)/Boss参数!$B$73,0)*Boss参数!$B$74,IF(EQ234&gt;=Boss参数!$B$65,Boss参数!$B$71,IF(EQ234&gt;=Boss参数!$B$64,Boss参数!$B$70,0))))</f>
        <v>0.65</v>
      </c>
      <c r="ET234" s="1">
        <f>MIN(Boss参数!$B$61*Boss参数!$B$62,EP234+IF(AND(Boss参数!$B$60=1,ISNUMBER(验证表!H240)),验证表!H240,EU234))</f>
        <v>23210479</v>
      </c>
      <c r="EU234" s="1">
        <f>IF(D234="",0,IF(验证表!G240="是",BV234,IF(验证表!G240="否",BU234,BW234)))</f>
        <v>0</v>
      </c>
      <c r="EV234" s="1">
        <f>IF(EQ234&gt;=Boss参数!$B$66,2,IF(EQ234&gt;=Boss参数!$B$65,1,0))</f>
        <v>2</v>
      </c>
      <c r="EW234" s="1">
        <f t="shared" si="251"/>
        <v>3</v>
      </c>
      <c r="EX234" s="1">
        <f>IF(D234="",0,INDEX(回合状态!$D$7:$D$17,MATCH(DG234,回合状态!$A$7:$A$17,0)))</f>
        <v>0</v>
      </c>
      <c r="EY234" s="1">
        <f>IF(OR(L234="RHI_ATTACK",L234="RHI_BUFF"),1,IF(L234="RHI_ULT",Boss参数!$B$52,0))</f>
        <v>0</v>
      </c>
      <c r="EZ234" s="1">
        <f>MIN(6,SUMIFS($EY$3:EY234,$EX$3:EX234,"&gt;="&amp;MAX(1,EX234-Boss参数!$B$87+1),$EX$3:EX234,"&lt;="&amp;EX234))</f>
        <v>0</v>
      </c>
      <c r="FA234" s="1">
        <f t="shared" si="278"/>
        <v>0</v>
      </c>
      <c r="FB234" s="17">
        <f>IF(L234="BOSS_CONSERVATIVE",B234+Boss参数!$B$91,FB233)</f>
        <v>7</v>
      </c>
      <c r="FC234" s="17">
        <f t="shared" si="279"/>
        <v>0</v>
      </c>
      <c r="FD234" s="17">
        <f>IF(D234="",FD233,FD233+IF(AND(DG234&lt;&gt;DG233,INDEX(回合状态!$C$7:$C$17,MATCH(DG234,回合状态!$A$7:$A$17,0))&lt;&gt;"洞穿"),1,0))</f>
        <v>8</v>
      </c>
      <c r="FE234" s="17">
        <f>IF(D234="",0,IF(AND(OR(L234="END_TURN",DH234="敌方"),INDEX(回合状态!$C$7:$C$17,MATCH(DG234,回合状态!$A$7:$A$17,0))&lt;&gt;"洞穿",SUMIFS($FE$3:FE233,$DG$3:DG233,DG234)=0),1,0))</f>
        <v>0</v>
      </c>
    </row>
    <row r="235" spans="1:161" ht="84.95" customHeight="1">
      <c r="A235" s="1" t="str">
        <f>行动模拟!A241</f>
        <v/>
      </c>
      <c r="B235" s="1">
        <f>IF(D235="",0,INDEX(回合状态!$B$7:$B$17,MATCH(DG235,回合状态!$A$7:$A$17,0)))</f>
        <v>0</v>
      </c>
      <c r="C235" s="1">
        <f>行动模拟!C241</f>
        <v>0</v>
      </c>
      <c r="D235" s="1" t="str">
        <f>IF(行动模拟!D241="","",行动模拟!D241)</f>
        <v/>
      </c>
      <c r="E235" s="1" t="str">
        <f>IF($D235="","",IFERROR(INDEX(技能数据库!$B$4:$B$38,MATCH($D235,技能数据库!$A$4:$A$38,0)),""))</f>
        <v/>
      </c>
      <c r="F235" s="1" t="str">
        <f>IF($D235="","",IFERROR(INDEX(技能数据库!$C$4:$C$38,MATCH($D235,技能数据库!$A$4:$A$38,0)),""))</f>
        <v/>
      </c>
      <c r="G235" s="1" t="str">
        <f>IF($D235="","",IFERROR(INDEX(技能数据库!$D$4:$D$38,MATCH($D235,技能数据库!$A$4:$A$38,0)),""))</f>
        <v/>
      </c>
      <c r="H235" s="1" t="str">
        <f>IF($D235="","",IFERROR(INDEX(技能数据库!$E$4:$E$38,MATCH($D235,技能数据库!$A$4:$A$38,0)),""))</f>
        <v/>
      </c>
      <c r="I235" s="1" t="str">
        <f>IF($D235="","",IFERROR(INDEX(技能数据库!$F$4:$F$38,MATCH($D235,技能数据库!$A$4:$A$38,0)),""))</f>
        <v/>
      </c>
      <c r="J235" s="1" t="str">
        <f>IF($D235="","",IFERROR(INDEX(技能数据库!$G$4:$G$38,MATCH($D235,技能数据库!$A$4:$A$38,0)),""))</f>
        <v/>
      </c>
      <c r="K235" s="1" t="str">
        <f>IF($D235="","",IFERROR(INDEX(技能数据库!$H$4:$H$38,MATCH($D235,技能数据库!$A$4:$A$38,0)),""))</f>
        <v/>
      </c>
      <c r="L235" s="1" t="str">
        <f>IF($D235="","",IFERROR(INDEX(技能数据库!$I$4:$I$38,MATCH($D235,技能数据库!$A$4:$A$38,0)),""))</f>
        <v/>
      </c>
      <c r="M235" s="1">
        <v>1</v>
      </c>
      <c r="N235" s="1"/>
      <c r="O235" s="1"/>
      <c r="P235" s="1"/>
      <c r="Q235" s="1">
        <f t="shared" si="210"/>
        <v>0</v>
      </c>
      <c r="R235" s="1">
        <v>0</v>
      </c>
      <c r="S235" s="1">
        <v>0</v>
      </c>
      <c r="T235" s="1">
        <f>行动模拟!I241</f>
        <v>0</v>
      </c>
      <c r="U235" s="1">
        <f>IF(FD235&lt;&gt;FD234,IF(BY234=1,IF(MIN(10,CA234+IF(AND(DG235&lt;&gt;DG234,DH234&lt;&gt;"洞穿",SUMIFS($FE$3:FE234,$DG$3:DG234,DG234)=0,BY234=1),3,0))&gt;=10,2,1),IF(BY234=2,IF(BZ234&lt;=1,0,2),0)),BY234)</f>
        <v>2</v>
      </c>
      <c r="V235" s="1">
        <f>IF(FD235&lt;&gt;FD234,IF(BY234=1,IF(MIN(10,CA234+IF(AND(DG235&lt;&gt;DG234,DH234&lt;&gt;"洞穿",SUMIFS($FE$3:FE234,$DG$3:DG234,DG234)=0,BY234=1),3,0))&gt;=10,2,0),IF(BY234=2,MAX(0,BZ234-1),0)),BZ234)</f>
        <v>1</v>
      </c>
      <c r="W235" s="1">
        <f>IF(AND(FD235&lt;&gt;FD234,BY234=2,BZ234&lt;=1),0,MIN(10,CA234+IF(AND(DG235&lt;&gt;DG234,DH234&lt;&gt;"洞穿",SUMIFS($FE$3:FE234,$DG$3:DG234,DG234)=0,BY234=1),3,0)))</f>
        <v>10</v>
      </c>
      <c r="X235" s="1">
        <f t="shared" si="252"/>
        <v>13</v>
      </c>
      <c r="Y235" s="1">
        <f t="shared" si="253"/>
        <v>0</v>
      </c>
      <c r="Z235" s="1">
        <f t="shared" si="254"/>
        <v>0</v>
      </c>
      <c r="AA235" s="1">
        <f t="shared" si="255"/>
        <v>0</v>
      </c>
      <c r="AB235" s="1">
        <f t="shared" si="256"/>
        <v>10</v>
      </c>
      <c r="AC235" s="1">
        <f t="shared" si="257"/>
        <v>1</v>
      </c>
      <c r="AD235" s="1">
        <f t="shared" si="258"/>
        <v>35</v>
      </c>
      <c r="AE235" s="1">
        <f>IF(D235="",0,IF(DG235&lt;&gt;DG234,IFERROR(INDEX(回合状态!$F$7:$F$17,MATCH(DG235,回合状态!$A$7:$A$17,0)),0),CI234))</f>
        <v>0</v>
      </c>
      <c r="AF235" s="1">
        <f t="shared" si="259"/>
        <v>0.875</v>
      </c>
      <c r="AG235" s="1">
        <f t="shared" si="260"/>
        <v>9</v>
      </c>
      <c r="AH235" s="1">
        <f t="shared" si="261"/>
        <v>9</v>
      </c>
      <c r="AI235" s="1">
        <f t="shared" si="262"/>
        <v>8</v>
      </c>
      <c r="AJ235" s="1">
        <f t="shared" si="263"/>
        <v>9</v>
      </c>
      <c r="AK235" s="1">
        <f t="shared" si="264"/>
        <v>8</v>
      </c>
      <c r="AL235" s="1">
        <f t="shared" si="265"/>
        <v>3</v>
      </c>
      <c r="AM235" s="1">
        <f t="shared" si="266"/>
        <v>30</v>
      </c>
      <c r="AN235" s="1">
        <f t="shared" si="267"/>
        <v>9</v>
      </c>
      <c r="AO235" s="1">
        <f t="shared" si="268"/>
        <v>0</v>
      </c>
      <c r="AP235" s="1" t="e">
        <f t="shared" si="269"/>
        <v>#VALUE!</v>
      </c>
      <c r="AQ235" s="1" t="e">
        <f t="shared" si="270"/>
        <v>#VALUE!</v>
      </c>
      <c r="AR235" s="1">
        <f t="shared" si="271"/>
        <v>0.3</v>
      </c>
      <c r="AS235" s="1">
        <f t="shared" si="272"/>
        <v>9</v>
      </c>
      <c r="AT235" s="1">
        <f t="shared" si="273"/>
        <v>0.3</v>
      </c>
      <c r="AU235" s="1">
        <f t="shared" si="274"/>
        <v>9</v>
      </c>
      <c r="AV235" s="1">
        <f>MIN(5,SUMIFS($EL$3:EL235,$B$3:B235,"&gt;="&amp;MAX(1,B235-2),$B$3:B235,"&lt;="&amp;B235)+EC235)</f>
        <v>0</v>
      </c>
      <c r="AW235" s="1">
        <f>MIN(6,SUMIFS($EY$3:EY234,$EX$3:EX234,"&gt;="&amp;MAX(1,EX235-Boss参数!$B$87+1),$EX$3:EX234,"&lt;="&amp;EX235))</f>
        <v>0</v>
      </c>
      <c r="AX235" s="1">
        <f>MIN(4,COUNTIFS($B$3:$B$234,"&gt;="&amp;MAX(1,$B235-2),$B$3:$B$234,"&lt;="&amp;$B235,$L$3:$L$234,"37_FOLLOW"))</f>
        <v>0</v>
      </c>
      <c r="AY235" s="1" t="str">
        <f>IF($E235="","",IF($E235="系统",0,ROUNDDOWN(INDEX(角色面板!$C$4:$C$7,MATCH($E235,角色面板!$A$4:$A$7,0))*(1+INDEX(角色面板!$C$11:$C$14,MATCH($E235,角色面板!$A$11:$A$14,0))+IF($E235="小瑞安侬",MAX(IF($B235&lt;=$AQ235,$AP235,0),IF(AND($L235="RHI_ATTACK",$EE235&gt;0),0.11+0.01*$G235,0)),0)+IF($E235="J",$AD235*Boss参数!$B$18,0))+IF(FD235&lt;=$AN235,MIN(Boss参数!$B$21,ROUNDDOWN(角色面板!$C$19*Boss参数!$B$20,0)),0)+IF(AND($B235&lt;=$AK235,$E235&lt;&gt;"小瑞安侬"),$DY235,0),0)))</f>
        <v/>
      </c>
      <c r="AZ235" s="1" t="str">
        <f>IF($E235="","",MAX(0,MIN(1,IFERROR(INDEX(角色面板!$G$18:$G$21,MATCH($E235,角色面板!$A$18:$A$21,0)),0)-FC235*Boss参数!$B$89-Boss参数!$E$4)))</f>
        <v/>
      </c>
      <c r="BA235" s="1" t="str">
        <f>IF(E235="","",(IF($E235="","",IF($E235="红弩箭",Boss参数!$B$80,IF($E235="J",Boss参数!$B$81,IFERROR(INDEX(角色面板!$H$18:$H$21,MATCH($E235,角色面板!$A$18:$A$21,0)),0)))+IF($B235&lt;=$AI235,Boss参数!$B$13,0)+MIN(30,$AM235)*Boss参数!$B$17+IF(AND($L235="LILYA_ULT",$X235&gt;=6),1,0)+IF(AND($Y235=1,$L235="LILYA_INSIGHT"),IF(MOD($AA235+1,3)=0,Boss参数!$B$83,Boss参数!$B$82),IF(AND($Y235=1,$L235="LILYA_FINISH"),Boss参数!$B$84,0))))-FC235*Boss参数!$B$90)</f>
        <v/>
      </c>
      <c r="BB235" s="1" t="str">
        <f>IF($E235="","",IFERROR(INDEX(角色面板!$M$18:$M$21,MATCH($E235,角色面板!$A$18:$A$21,0)),0)+$AW235*Boss参数!$B$12+IF($B235&lt;=$AG235,$AF235,0)+$EI235+IF($L235="LILYA_DIVE",IF($U235=1,IF($G235=1,0.3,IF($G235=2,0.4,0.5)),IF($U235=2,IF($G235=1,0.6,IF($G235=2,0.8,1)),0)),0)+$R235+IF(AND($E235="J",OR($L235="J_COUNTER",$L235="J_HARD")),Boss参数!$B$79,0)+IF(AND(OR(L235="J_COUNTER",L235="J_HARD"),FA235&gt;=Boss参数!$B$59),FA235*Boss参数!$B$40,0))</f>
        <v/>
      </c>
      <c r="BC235" s="1" t="e">
        <f>IF($E235="","",IFERROR(INDEX(角色面板!$K$18:$K$21,MATCH($E235,角色面板!$A$18:$A$21,0)),0)+IF($B235&lt;=$AH235,Boss参数!$B$46,0)+IF($E235="红弩箭",IF($U235=1,0.6,IF($U235=2,1.2,0))+$W235*0.06,0))-DI235*Boss参数!$B$23</f>
        <v>#VALUE!</v>
      </c>
      <c r="BD235" s="1" t="e">
        <f>IF($E235="","",IFERROR(INDEX(角色面板!$L$18:$L$21,MATCH($E235,角色面板!$A$18:$A$21,0)),0)+IF($B235&lt;=$AH235,Boss参数!$B$46,0)+IF($E235="J",$AL235*Boss参数!$B$16,0)+IF($E235="红弩箭",$X235*0.025,0)+IF(AND($L235="LILYA_ULT",$X235&gt;=6),1,0))-DI235*Boss参数!$B$23</f>
        <v>#VALUE!</v>
      </c>
      <c r="BE235" s="1" t="str">
        <f>IF($E235="","",IF($H235="洞知",IF($E235="红弩箭",$AO235*Boss参数!$B$15,0)+$AX235*Boss参数!$B$14,0))</f>
        <v/>
      </c>
      <c r="BF235" s="1">
        <f t="shared" si="211"/>
        <v>0</v>
      </c>
      <c r="BG235" s="1">
        <f>IF($D235="",0,IF(AND($L235&lt;&gt;"LILYA_DIVE",$L235&lt;&gt;"LILYA_ULT",$L235&lt;&gt;"LILYA_INSIGHT",$L235&lt;&gt;"LILYA_FINISH",$L235&lt;&gt;"37_FOLLOW",$L235&lt;&gt;"RHI_ATTACK",$L235&lt;&gt;"RHI_BERRY",$L235&lt;&gt;"J_COUNTER",$L235&lt;&gt;"J_ULT"),$J235,0)+IF($L235="LILYA_DIVE",$J235+IF($U235=1,IF($G235=1,6,IF($G235=2,12,18)),IF($U235=2,IF($G235=1,12,IF($G235=2,24,36)),0)),0)+IF($L235="LILYA_ULT",$J235+IF($X235&gt;=6,18,0),0)+IF($L235="LILYA_INSIGHT",IF($Y235=1,IF(MOD($AA235+1,3)=0,32,15),0),0)+IF($L235="LILYA_FINISH",IF($Y235=1,50+2.5*$Z235,0),0)+IF($L235="37_FOLLOW",$J235,0)+IF($L235="RHI_ATTACK",$J235*IF($B235&lt;=$AJ235,2,1),0)+IF($L235="RHI_BERRY",15+1.5*$AV235,0)+IF($L235="J_COUNTER",$J235+$AD235*Boss参数!$B$39,0)+IF($L235="J_ULT",$J235+Boss参数!$B$45*MAX(0,$AE235+$AD235-Boss参数!$I$4),0)+$S235)</f>
        <v>0</v>
      </c>
      <c r="BH235" s="1">
        <f t="shared" si="212"/>
        <v>0</v>
      </c>
      <c r="BI235" s="1" t="str">
        <f>IF(E235="","",IF(DT235=1,1+Boss参数!$B$8+AV235*Boss参数!$B$19,1))</f>
        <v/>
      </c>
      <c r="BJ235" s="1">
        <f>IF($I235="现实",Boss参数!$C$4,IF($I235="精神",Boss参数!$D$4,0))</f>
        <v>0</v>
      </c>
      <c r="BK235" s="1" t="str">
        <f>IF($E235="","",MAX($AY235*Boss参数!$B$9,$AY235-$BJ235*(1-$BF235)))</f>
        <v/>
      </c>
      <c r="BL235" s="1">
        <f>MAX(0,Boss参数!$F$4+IF(DT235=0,Boss参数!$B$27,0)-EJ235)</f>
        <v>1.25</v>
      </c>
      <c r="BM235" s="1">
        <f>Boss参数!$G$4+DU235-IF(Y235=1,Boss参数!$B$11,0)</f>
        <v>0.4</v>
      </c>
      <c r="BN235" s="1" t="str">
        <f>IF($E235="","",MAX(Boss参数!$B$10,1+IFERROR(INDEX(角色面板!$I$18:$I$21,MATCH($E235,角色面板!$A$18:$A$21,0)),0)+$BB235+Boss参数!$H$4-$BM235))</f>
        <v/>
      </c>
      <c r="BO235" s="1" t="str">
        <f>IF(E235="","",IF(OR(L235="J_COUNTER",L235="J_HARD"),MAX(0,1+INDEX(角色面板!$K$18:$K$21,MATCH(E235,角色面板!$A$18:$A$21,0))-DI235*Boss参数!$B$23+IF(OR(Boss参数!$B$43=1,L235="J_HARD"),IF(B235&lt;=AH235,Boss参数!$B$46,0),0)),MAX(0,IF(OR(H235="术法",L235="RHI_BERRY",AND(L235="37_FOLLOW",Boss参数!$B$31=1)),1+BC235,IF(H235="仪式",1+BD235,IF(H235="洞知",EK235,1))))))</f>
        <v/>
      </c>
      <c r="BP235" s="1" t="str">
        <f t="shared" si="213"/>
        <v/>
      </c>
      <c r="BQ235" s="1">
        <f t="shared" si="214"/>
        <v>0</v>
      </c>
      <c r="BR235" s="1">
        <f t="shared" si="215"/>
        <v>0</v>
      </c>
      <c r="BS235" s="1">
        <f>IF(BH235=0,0,ROUNDDOWN(AY235*BH235,0)*DV235*IF(Boss参数!$B$29=1,BN235,1)*IF(Boss参数!$B$33=1,BO235,1)*IF(Boss参数!$B$76=1,1-ES235,1))</f>
        <v>0</v>
      </c>
      <c r="BT235" s="1">
        <f t="shared" si="216"/>
        <v>0</v>
      </c>
      <c r="BU235" s="1">
        <f>IF(D235="",0,MIN(IF(Boss参数!$B$77=1,Boss参数!$B$63*Boss参数!$B$62,Boss参数!$B$61*Boss参数!$B$62),DW235+ROUNDDOWN(BS235,0)+ROUNDDOWN(DW235*Q235,0)))</f>
        <v>0</v>
      </c>
      <c r="BV235" s="1">
        <f>IF(D235="",0,MIN(IF(Boss参数!$B$77=1,Boss参数!$B$63*Boss参数!$B$62,Boss参数!$B$61*Boss参数!$B$62),DX235+ROUNDDOWN(BT235,0)+ROUNDDOWN(DX235*Q235,0)))</f>
        <v>0</v>
      </c>
      <c r="BW235" s="1">
        <f t="shared" si="217"/>
        <v>0</v>
      </c>
      <c r="BX235" s="1" t="str">
        <f t="shared" si="218"/>
        <v/>
      </c>
      <c r="BY235" s="1">
        <f t="shared" si="219"/>
        <v>2</v>
      </c>
      <c r="BZ235" s="1">
        <f t="shared" si="220"/>
        <v>1</v>
      </c>
      <c r="CA235" s="1">
        <f>MIN(10,W235+IF(AND(L235="LILYA_COBRA",COUNTIF($L$3:L235,"LILYA_COBRA")=1),5,0)+IF(AND(L235="LILYA_DIVE",U235=1,COUNTIFS($DG$3:DG235,DG235,$L$3:L235,"LILYA_DIVE")=1),2,0)+IF(AND(FE235=1,U235=1),3,0))</f>
        <v>10</v>
      </c>
      <c r="CB235" s="1">
        <f>MIN(20,MAX(0,X235+IF(L235="LILYA_COBRA",IF(COUNTIF($L$3:L235,"LILYA_COBRA")=1,6,IF(U235=1,MAX(1,G235),IF(U235=2,2*MAX(1,G235),0))),0)+IF(AND(Y235=1,E235="红弩箭",L235&lt;&gt;"ENTER_INSIGHT"),1,0)-IF(AND(L235="LILYA_ULT",X235&gt;=6),6,0)))</f>
        <v>13</v>
      </c>
      <c r="CC235" s="1">
        <f t="shared" si="221"/>
        <v>0</v>
      </c>
      <c r="CD235" s="1">
        <f t="shared" si="222"/>
        <v>0</v>
      </c>
      <c r="CE235" s="1">
        <f t="shared" si="223"/>
        <v>0</v>
      </c>
      <c r="CF235" s="1">
        <f t="shared" si="224"/>
        <v>10</v>
      </c>
      <c r="CG235" s="1">
        <f t="shared" si="225"/>
        <v>1</v>
      </c>
      <c r="CH235" s="1">
        <f>MIN(35,AD235+IF(L235="J_HARD",6,0)+IF(L235="J_COUNTER",Boss参数!$B$30,0))</f>
        <v>35</v>
      </c>
      <c r="CI235" s="1">
        <f>MIN(Boss参数!$I$4,AE235+IF(L235="J_HARD",6,0)+IF(L235="J_ULT",AD235,0)+IF(L235="J_COUNTER",Boss参数!$B$30,0))</f>
        <v>0</v>
      </c>
      <c r="CJ235" s="1">
        <f>IF(L235="J_ULT",AD235*Boss参数!$B$41,IF(B235&lt;=AG235,AF235,0))</f>
        <v>0.875</v>
      </c>
      <c r="CK235" s="1">
        <f t="shared" si="226"/>
        <v>9</v>
      </c>
      <c r="CL235" s="1">
        <f t="shared" si="227"/>
        <v>9</v>
      </c>
      <c r="CM235" s="1">
        <f t="shared" si="228"/>
        <v>8</v>
      </c>
      <c r="CN235" s="1">
        <f t="shared" si="229"/>
        <v>9</v>
      </c>
      <c r="CO235" s="1">
        <f t="shared" si="230"/>
        <v>8</v>
      </c>
      <c r="CP235" s="1">
        <f t="shared" si="231"/>
        <v>3</v>
      </c>
      <c r="CQ235" s="1">
        <f t="shared" si="232"/>
        <v>30</v>
      </c>
      <c r="CR235" s="1">
        <f t="shared" si="233"/>
        <v>9</v>
      </c>
      <c r="CS235" s="1">
        <f t="shared" si="234"/>
        <v>0</v>
      </c>
      <c r="CT235" s="1" t="e">
        <f t="shared" si="235"/>
        <v>#VALUE!</v>
      </c>
      <c r="CU235" s="1" t="e">
        <f t="shared" si="236"/>
        <v>#VALUE!</v>
      </c>
      <c r="CV235" s="1">
        <f t="shared" si="237"/>
        <v>0.3</v>
      </c>
      <c r="CW235" s="1">
        <f t="shared" si="238"/>
        <v>9</v>
      </c>
      <c r="CX235" s="1">
        <f t="shared" si="239"/>
        <v>0.3</v>
      </c>
      <c r="CY235" s="1">
        <f t="shared" si="240"/>
        <v>9</v>
      </c>
      <c r="CZ235" s="1"/>
      <c r="DA235" s="1"/>
      <c r="DB235" s="1"/>
      <c r="DC235" s="1"/>
      <c r="DD235" s="1"/>
      <c r="DE235" s="1"/>
      <c r="DF235" s="1"/>
      <c r="DG235" s="1" t="str">
        <f>IF(D235="","",行动模拟!B241)</f>
        <v/>
      </c>
      <c r="DH235" s="1" t="str">
        <f>IF(L235="END_TURN","回合结束",IF(D235="","",IF(INDEX(回合状态!$C$7:$C$17,MATCH(DG235,回合状态!$A$7:$A$17,0))="洞穿","洞穿",IF(OR(L235="J_COUNTER",L235="BOSS_ACTION",L235="BOSS_CONSERVATIVE"),"敌方",IF(AND(L235="37_FOLLOW",DG235=DG234,DH234="敌方"),"敌方",IF(INDEX(回合状态!$C$7:$C$17,MATCH(DG235,回合状态!$A$7:$A$17,0))="普通","出牌",INDEX(回合状态!$C$7:$C$17,MATCH(DG235,回合状态!$A$7:$A$17,0))))))))</f>
        <v/>
      </c>
      <c r="DI235" s="1">
        <f t="shared" si="241"/>
        <v>0</v>
      </c>
      <c r="DJ235" s="1">
        <f>IF(D235="",0,MIN(Boss参数!$B$25,IF(OR(AND(DH235="敌方",OR(DH234&lt;&gt;"敌方",DG235&lt;&gt;DG234)),AND(L235="END_TURN",DH235&lt;&gt;"洞穿"),AND(DG235&lt;&gt;DG234,DH234&lt;&gt;"洞穿",L234&lt;&gt;"END_TURN",COUNTIFS($DG$3:DG234,DG234,$DH$3:DH234,"敌方")=0)),EW235,DN234)))</f>
        <v>0</v>
      </c>
      <c r="DK235" s="1">
        <f>IF(D235="",0,MIN(Boss参数!$B$25,IF(OR(AND(DH235="敌方",OR(DH234&lt;&gt;"敌方",DG235&lt;&gt;DG234)),AND(L235="END_TURN",DH235&lt;&gt;"洞穿"),AND(DG235&lt;&gt;DG234,DH234&lt;&gt;"洞穿",L234&lt;&gt;"END_TURN",COUNTIFS($DG$3:DG234,DG234,$DH$3:DH234,"敌方")=0)),EW235,DO234)))</f>
        <v>0</v>
      </c>
      <c r="DL235" s="1">
        <f>IF(D235="",0,MIN(Boss参数!$B$25,IF(OR(AND(DH235="敌方",OR(DH234&lt;&gt;"敌方",DG235&lt;&gt;DG234)),AND(L235="END_TURN",DH235&lt;&gt;"洞穿"),AND(DG235&lt;&gt;DG234,DH234&lt;&gt;"洞穿",L234&lt;&gt;"END_TURN",COUNTIFS($DG$3:DG234,DG234,$DH$3:DH234,"敌方")=0)),EW235,DP234)))</f>
        <v>0</v>
      </c>
      <c r="DM235" s="1">
        <f>IF(D235="",0,MIN(Boss参数!$B$25,IF(OR(AND(DH235="敌方",OR(DH234&lt;&gt;"敌方",DG235&lt;&gt;DG234)),AND(L235="END_TURN",DH235&lt;&gt;"洞穿"),AND(DG235&lt;&gt;DG234,DH234&lt;&gt;"洞穿",L234&lt;&gt;"END_TURN",COUNTIFS($DG$3:DG234,DG234,$DH$3:DH234,"敌方")=0)),EW235,DQ234)))</f>
        <v>0</v>
      </c>
      <c r="DN235" s="1">
        <f>MAX(0,MIN(Boss参数!$B$25,DJ235+DR235)-IF(E235="红弩箭",2*DR235,0))</f>
        <v>0</v>
      </c>
      <c r="DO235" s="1">
        <f>MAX(0,MIN(Boss参数!$B$25,DK235+DR235)-IF(E235="37",2*DR235,0))</f>
        <v>0</v>
      </c>
      <c r="DP235" s="1">
        <f>MAX(0,MIN(Boss参数!$B$25,DL235+DR235)-IF(E235="小瑞安侬",2*DR235,0))</f>
        <v>0</v>
      </c>
      <c r="DQ235" s="1">
        <f>MAX(0,MIN(Boss参数!$B$25,DM235+DR235)-IF(E235="J",2*DR235,0))</f>
        <v>0</v>
      </c>
      <c r="DR235" s="1">
        <f t="shared" si="242"/>
        <v>0</v>
      </c>
      <c r="DS235" s="1">
        <f t="shared" si="243"/>
        <v>0</v>
      </c>
      <c r="DT235" s="1">
        <f>IF(OR(E235="",E235="系统"),0,IF(OR(AND(DS235=1,Boss参数!$B$32=1),L235="RHI_BERRY",OR(AND(INDEX(角色面板!$B$18:$B$21,MATCH(E235,角色面板!$A$18:$A$21,0))="星",Boss参数!$B$4="岩"),AND(INDEX(角色面板!$B$18:$B$21,MATCH(E235,角色面板!$A$18:$A$21,0))="岩",Boss参数!$B$4="兽"),AND(INDEX(角色面板!$B$18:$B$21,MATCH(E235,角色面板!$A$18:$A$21,0))="兽",Boss参数!$B$4="木"),AND(INDEX(角色面板!$B$18:$B$21,MATCH(E235,角色面板!$A$18:$A$21,0))="木",Boss参数!$B$4="星"),AND(INDEX(角色面板!$B$18:$B$21,MATCH(E235,角色面板!$A$18:$A$21,0))="智",Boss参数!$B$4="灵"),AND(INDEX(角色面板!$B$18:$B$21,MATCH(E235,角色面板!$A$18:$A$21,0))="灵",Boss参数!$B$4="智"))),1,0))</f>
        <v>0</v>
      </c>
      <c r="DU235" s="1">
        <f>IF(D235="",0,INDEX(回合状态!$E$7:$E$17,MATCH(DG235,回合状态!$A$7:$A$17,0))+IF(AND(DH235="敌方",OR(INDEX(回合状态!$C$7:$C$17,MATCH(DG235,回合状态!$A$7:$A$17,0))="普通",INDEX(回合状态!$C$7:$C$17,MATCH(DG235,回合状态!$A$7:$A$17,0))="额外")),0.05,0))</f>
        <v>0</v>
      </c>
      <c r="DV235" s="1">
        <f>MAX(Boss参数!$B$28,1+IF(AND(E235="37",AC235&gt;0,BH235&gt;0),Boss参数!$B$42,0)-DI235*Boss参数!$B$24+EA235-ER235)</f>
        <v>9.9999999999999978E-2</v>
      </c>
      <c r="DW235" s="1">
        <f>MIN(IF(Boss参数!$B$77=1,Boss参数!$B$63*Boss参数!$B$62,Boss参数!$B$61*Boss参数!$B$62),ROUNDDOWN(BQ235*(1-ES235),0))</f>
        <v>0</v>
      </c>
      <c r="DX235" s="1">
        <f>MIN(IF(Boss参数!$B$77=1,Boss参数!$B$63*Boss参数!$B$62,Boss参数!$B$61*Boss参数!$B$62),ROUNDDOWN(BR235*(1-ES235),0))</f>
        <v>0</v>
      </c>
      <c r="DY235" s="1">
        <f t="shared" si="275"/>
        <v>250</v>
      </c>
      <c r="DZ235" s="1">
        <f>IF(L235="RHI_ULT",MIN(Boss参数!$B$48,ROUNDDOWN(AY235*Boss参数!$B$47,0)),DY235)</f>
        <v>250</v>
      </c>
      <c r="EA235" s="1">
        <v>0</v>
      </c>
      <c r="EB235" s="1">
        <f t="shared" si="244"/>
        <v>0</v>
      </c>
      <c r="EC235" s="1">
        <f>SUMIFS($EB$3:EB235,$B$3:B235,"&gt;="&amp;MAX(1,B235-2),$B$3:B235,"&lt;="&amp;B235)*Boss参数!$B$51</f>
        <v>0</v>
      </c>
      <c r="ED235" s="1">
        <f>IF(D235="",EG234,IF(AND(DG235&lt;&gt;DG234,DH235&lt;&gt;"洞穿"),MIN(Boss参数!$B$55,EG234+2),EG234))</f>
        <v>0</v>
      </c>
      <c r="EE235" s="1">
        <f t="shared" si="245"/>
        <v>0</v>
      </c>
      <c r="EF235" s="1">
        <f>IF(AND(OR(L235="END_TURN",AND(DH235="敌方",OR(DH234&lt;&gt;"敌方",DG235&lt;&gt;DG234))),SUMIFS($EF$3:EF234,$DG$3:DG234,DG235)=0),MIN(1,MAX(0,ED235-EE235)),0)</f>
        <v>0</v>
      </c>
      <c r="EG235" s="1">
        <f t="shared" si="246"/>
        <v>0</v>
      </c>
      <c r="EH235" s="1">
        <f>Boss参数!$B$53-IF(Y235=1,Boss参数!$B$54,0)</f>
        <v>0</v>
      </c>
      <c r="EI235" s="1">
        <f t="shared" si="247"/>
        <v>0.15</v>
      </c>
      <c r="EJ235" s="1">
        <f t="shared" si="248"/>
        <v>0.15</v>
      </c>
      <c r="EK235" s="1" t="e">
        <f t="shared" si="249"/>
        <v>#VALUE!</v>
      </c>
      <c r="EL235" s="1">
        <f t="shared" si="276"/>
        <v>0</v>
      </c>
      <c r="EM235" s="1">
        <f>IF(AND(DG235&lt;&gt;DG234,DH235="洞穿"),0,IF(L235="ENTER_INSIGHT",Boss参数!$B$57,EO234))</f>
        <v>0</v>
      </c>
      <c r="EN235" s="1">
        <f>IF(AND(Y235=1,H235="洞知",EM235&gt;0),Boss参数!$B$56,0)</f>
        <v>0</v>
      </c>
      <c r="EO235" s="1">
        <f t="shared" si="250"/>
        <v>0</v>
      </c>
      <c r="EP235" s="1">
        <f t="shared" si="277"/>
        <v>23210479</v>
      </c>
      <c r="EQ235" s="1">
        <f>ROUNDDOWN(EP235/Boss参数!$B$62,0)</f>
        <v>232</v>
      </c>
      <c r="ER235" s="1">
        <f>IF(EQ235&gt;=Boss参数!$B$66,Boss参数!$B$69,IF(EQ235&gt;=Boss参数!$B$65,Boss参数!$B$68,IF(EQ235&gt;=Boss参数!$B$64,Boss参数!$B$67,0)))</f>
        <v>0.9</v>
      </c>
      <c r="ES235" s="1">
        <f>MIN(1,IF(EQ235&gt;=Boss参数!$B$66,Boss参数!$B$72+ROUNDDOWN((EQ235-Boss参数!$B$66)/Boss参数!$B$73,0)*Boss参数!$B$74,IF(EQ235&gt;=Boss参数!$B$65,Boss参数!$B$71,IF(EQ235&gt;=Boss参数!$B$64,Boss参数!$B$70,0))))</f>
        <v>0.65</v>
      </c>
      <c r="ET235" s="1">
        <f>MIN(Boss参数!$B$61*Boss参数!$B$62,EP235+IF(AND(Boss参数!$B$60=1,ISNUMBER(验证表!H241)),验证表!H241,EU235))</f>
        <v>23210479</v>
      </c>
      <c r="EU235" s="1">
        <f>IF(D235="",0,IF(验证表!G241="是",BV235,IF(验证表!G241="否",BU235,BW235)))</f>
        <v>0</v>
      </c>
      <c r="EV235" s="1">
        <f>IF(EQ235&gt;=Boss参数!$B$66,2,IF(EQ235&gt;=Boss参数!$B$65,1,0))</f>
        <v>2</v>
      </c>
      <c r="EW235" s="1">
        <f t="shared" si="251"/>
        <v>3</v>
      </c>
      <c r="EX235" s="1">
        <f>IF(D235="",0,INDEX(回合状态!$D$7:$D$17,MATCH(DG235,回合状态!$A$7:$A$17,0)))</f>
        <v>0</v>
      </c>
      <c r="EY235" s="1">
        <f>IF(OR(L235="RHI_ATTACK",L235="RHI_BUFF"),1,IF(L235="RHI_ULT",Boss参数!$B$52,0))</f>
        <v>0</v>
      </c>
      <c r="EZ235" s="1">
        <f>MIN(6,SUMIFS($EY$3:EY235,$EX$3:EX235,"&gt;="&amp;MAX(1,EX235-Boss参数!$B$87+1),$EX$3:EX235,"&lt;="&amp;EX235))</f>
        <v>0</v>
      </c>
      <c r="FA235" s="1">
        <f t="shared" si="278"/>
        <v>0</v>
      </c>
      <c r="FB235" s="17">
        <f>IF(L235="BOSS_CONSERVATIVE",B235+Boss参数!$B$91,FB234)</f>
        <v>7</v>
      </c>
      <c r="FC235" s="17">
        <f t="shared" si="279"/>
        <v>0</v>
      </c>
      <c r="FD235" s="17">
        <f>IF(D235="",FD234,FD234+IF(AND(DG235&lt;&gt;DG234,INDEX(回合状态!$C$7:$C$17,MATCH(DG235,回合状态!$A$7:$A$17,0))&lt;&gt;"洞穿"),1,0))</f>
        <v>8</v>
      </c>
      <c r="FE235" s="17">
        <f>IF(D235="",0,IF(AND(OR(L235="END_TURN",DH235="敌方"),INDEX(回合状态!$C$7:$C$17,MATCH(DG235,回合状态!$A$7:$A$17,0))&lt;&gt;"洞穿",SUMIFS($FE$3:FE234,$DG$3:DG234,DG235)=0),1,0))</f>
        <v>0</v>
      </c>
    </row>
    <row r="236" spans="1:161" ht="84.95" customHeight="1">
      <c r="A236" s="1" t="str">
        <f>行动模拟!A242</f>
        <v/>
      </c>
      <c r="B236" s="1">
        <f>IF(D236="",0,INDEX(回合状态!$B$7:$B$17,MATCH(DG236,回合状态!$A$7:$A$17,0)))</f>
        <v>0</v>
      </c>
      <c r="C236" s="1">
        <f>行动模拟!C242</f>
        <v>0</v>
      </c>
      <c r="D236" s="1" t="str">
        <f>IF(行动模拟!D242="","",行动模拟!D242)</f>
        <v/>
      </c>
      <c r="E236" s="1" t="str">
        <f>IF($D236="","",IFERROR(INDEX(技能数据库!$B$4:$B$38,MATCH($D236,技能数据库!$A$4:$A$38,0)),""))</f>
        <v/>
      </c>
      <c r="F236" s="1" t="str">
        <f>IF($D236="","",IFERROR(INDEX(技能数据库!$C$4:$C$38,MATCH($D236,技能数据库!$A$4:$A$38,0)),""))</f>
        <v/>
      </c>
      <c r="G236" s="1" t="str">
        <f>IF($D236="","",IFERROR(INDEX(技能数据库!$D$4:$D$38,MATCH($D236,技能数据库!$A$4:$A$38,0)),""))</f>
        <v/>
      </c>
      <c r="H236" s="1" t="str">
        <f>IF($D236="","",IFERROR(INDEX(技能数据库!$E$4:$E$38,MATCH($D236,技能数据库!$A$4:$A$38,0)),""))</f>
        <v/>
      </c>
      <c r="I236" s="1" t="str">
        <f>IF($D236="","",IFERROR(INDEX(技能数据库!$F$4:$F$38,MATCH($D236,技能数据库!$A$4:$A$38,0)),""))</f>
        <v/>
      </c>
      <c r="J236" s="1" t="str">
        <f>IF($D236="","",IFERROR(INDEX(技能数据库!$G$4:$G$38,MATCH($D236,技能数据库!$A$4:$A$38,0)),""))</f>
        <v/>
      </c>
      <c r="K236" s="1" t="str">
        <f>IF($D236="","",IFERROR(INDEX(技能数据库!$H$4:$H$38,MATCH($D236,技能数据库!$A$4:$A$38,0)),""))</f>
        <v/>
      </c>
      <c r="L236" s="1" t="str">
        <f>IF($D236="","",IFERROR(INDEX(技能数据库!$I$4:$I$38,MATCH($D236,技能数据库!$A$4:$A$38,0)),""))</f>
        <v/>
      </c>
      <c r="M236" s="1">
        <v>1</v>
      </c>
      <c r="N236" s="1"/>
      <c r="O236" s="1"/>
      <c r="P236" s="1"/>
      <c r="Q236" s="1">
        <f t="shared" si="210"/>
        <v>0</v>
      </c>
      <c r="R236" s="1">
        <v>0</v>
      </c>
      <c r="S236" s="1">
        <v>0</v>
      </c>
      <c r="T236" s="1">
        <f>行动模拟!I242</f>
        <v>0</v>
      </c>
      <c r="U236" s="1">
        <f>IF(FD236&lt;&gt;FD235,IF(BY235=1,IF(MIN(10,CA235+IF(AND(DG236&lt;&gt;DG235,DH235&lt;&gt;"洞穿",SUMIFS($FE$3:FE235,$DG$3:DG235,DG235)=0,BY235=1),3,0))&gt;=10,2,1),IF(BY235=2,IF(BZ235&lt;=1,0,2),0)),BY235)</f>
        <v>2</v>
      </c>
      <c r="V236" s="1">
        <f>IF(FD236&lt;&gt;FD235,IF(BY235=1,IF(MIN(10,CA235+IF(AND(DG236&lt;&gt;DG235,DH235&lt;&gt;"洞穿",SUMIFS($FE$3:FE235,$DG$3:DG235,DG235)=0,BY235=1),3,0))&gt;=10,2,0),IF(BY235=2,MAX(0,BZ235-1),0)),BZ235)</f>
        <v>1</v>
      </c>
      <c r="W236" s="1">
        <f>IF(AND(FD236&lt;&gt;FD235,BY235=2,BZ235&lt;=1),0,MIN(10,CA235+IF(AND(DG236&lt;&gt;DG235,DH235&lt;&gt;"洞穿",SUMIFS($FE$3:FE235,$DG$3:DG235,DG235)=0,BY235=1),3,0)))</f>
        <v>10</v>
      </c>
      <c r="X236" s="1">
        <f t="shared" si="252"/>
        <v>13</v>
      </c>
      <c r="Y236" s="1">
        <f t="shared" si="253"/>
        <v>0</v>
      </c>
      <c r="Z236" s="1">
        <f t="shared" si="254"/>
        <v>0</v>
      </c>
      <c r="AA236" s="1">
        <f t="shared" si="255"/>
        <v>0</v>
      </c>
      <c r="AB236" s="1">
        <f t="shared" si="256"/>
        <v>10</v>
      </c>
      <c r="AC236" s="1">
        <f t="shared" si="257"/>
        <v>1</v>
      </c>
      <c r="AD236" s="1">
        <f t="shared" si="258"/>
        <v>35</v>
      </c>
      <c r="AE236" s="1">
        <f>IF(D236="",0,IF(DG236&lt;&gt;DG235,IFERROR(INDEX(回合状态!$F$7:$F$17,MATCH(DG236,回合状态!$A$7:$A$17,0)),0),CI235))</f>
        <v>0</v>
      </c>
      <c r="AF236" s="1">
        <f t="shared" si="259"/>
        <v>0.875</v>
      </c>
      <c r="AG236" s="1">
        <f t="shared" si="260"/>
        <v>9</v>
      </c>
      <c r="AH236" s="1">
        <f t="shared" si="261"/>
        <v>9</v>
      </c>
      <c r="AI236" s="1">
        <f t="shared" si="262"/>
        <v>8</v>
      </c>
      <c r="AJ236" s="1">
        <f t="shared" si="263"/>
        <v>9</v>
      </c>
      <c r="AK236" s="1">
        <f t="shared" si="264"/>
        <v>8</v>
      </c>
      <c r="AL236" s="1">
        <f t="shared" si="265"/>
        <v>3</v>
      </c>
      <c r="AM236" s="1">
        <f t="shared" si="266"/>
        <v>30</v>
      </c>
      <c r="AN236" s="1">
        <f t="shared" si="267"/>
        <v>9</v>
      </c>
      <c r="AO236" s="1">
        <f t="shared" si="268"/>
        <v>0</v>
      </c>
      <c r="AP236" s="1" t="e">
        <f t="shared" si="269"/>
        <v>#VALUE!</v>
      </c>
      <c r="AQ236" s="1" t="e">
        <f t="shared" si="270"/>
        <v>#VALUE!</v>
      </c>
      <c r="AR236" s="1">
        <f t="shared" si="271"/>
        <v>0.3</v>
      </c>
      <c r="AS236" s="1">
        <f t="shared" si="272"/>
        <v>9</v>
      </c>
      <c r="AT236" s="1">
        <f t="shared" si="273"/>
        <v>0.3</v>
      </c>
      <c r="AU236" s="1">
        <f t="shared" si="274"/>
        <v>9</v>
      </c>
      <c r="AV236" s="1">
        <f>MIN(5,SUMIFS($EL$3:EL236,$B$3:B236,"&gt;="&amp;MAX(1,B236-2),$B$3:B236,"&lt;="&amp;B236)+EC236)</f>
        <v>0</v>
      </c>
      <c r="AW236" s="1">
        <f>MIN(6,SUMIFS($EY$3:EY235,$EX$3:EX235,"&gt;="&amp;MAX(1,EX236-Boss参数!$B$87+1),$EX$3:EX235,"&lt;="&amp;EX236))</f>
        <v>0</v>
      </c>
      <c r="AX236" s="1">
        <f>MIN(4,COUNTIFS($B$3:$B$235,"&gt;="&amp;MAX(1,$B236-2),$B$3:$B$235,"&lt;="&amp;$B236,$L$3:$L$235,"37_FOLLOW"))</f>
        <v>0</v>
      </c>
      <c r="AY236" s="1" t="str">
        <f>IF($E236="","",IF($E236="系统",0,ROUNDDOWN(INDEX(角色面板!$C$4:$C$7,MATCH($E236,角色面板!$A$4:$A$7,0))*(1+INDEX(角色面板!$C$11:$C$14,MATCH($E236,角色面板!$A$11:$A$14,0))+IF($E236="小瑞安侬",MAX(IF($B236&lt;=$AQ236,$AP236,0),IF(AND($L236="RHI_ATTACK",$EE236&gt;0),0.11+0.01*$G236,0)),0)+IF($E236="J",$AD236*Boss参数!$B$18,0))+IF(FD236&lt;=$AN236,MIN(Boss参数!$B$21,ROUNDDOWN(角色面板!$C$19*Boss参数!$B$20,0)),0)+IF(AND($B236&lt;=$AK236,$E236&lt;&gt;"小瑞安侬"),$DY236,0),0)))</f>
        <v/>
      </c>
      <c r="AZ236" s="1" t="str">
        <f>IF($E236="","",MAX(0,MIN(1,IFERROR(INDEX(角色面板!$G$18:$G$21,MATCH($E236,角色面板!$A$18:$A$21,0)),0)-FC236*Boss参数!$B$89-Boss参数!$E$4)))</f>
        <v/>
      </c>
      <c r="BA236" s="1" t="str">
        <f>IF(E236="","",(IF($E236="","",IF($E236="红弩箭",Boss参数!$B$80,IF($E236="J",Boss参数!$B$81,IFERROR(INDEX(角色面板!$H$18:$H$21,MATCH($E236,角色面板!$A$18:$A$21,0)),0)))+IF($B236&lt;=$AI236,Boss参数!$B$13,0)+MIN(30,$AM236)*Boss参数!$B$17+IF(AND($L236="LILYA_ULT",$X236&gt;=6),1,0)+IF(AND($Y236=1,$L236="LILYA_INSIGHT"),IF(MOD($AA236+1,3)=0,Boss参数!$B$83,Boss参数!$B$82),IF(AND($Y236=1,$L236="LILYA_FINISH"),Boss参数!$B$84,0))))-FC236*Boss参数!$B$90)</f>
        <v/>
      </c>
      <c r="BB236" s="1" t="str">
        <f>IF($E236="","",IFERROR(INDEX(角色面板!$M$18:$M$21,MATCH($E236,角色面板!$A$18:$A$21,0)),0)+$AW236*Boss参数!$B$12+IF($B236&lt;=$AG236,$AF236,0)+$EI236+IF($L236="LILYA_DIVE",IF($U236=1,IF($G236=1,0.3,IF($G236=2,0.4,0.5)),IF($U236=2,IF($G236=1,0.6,IF($G236=2,0.8,1)),0)),0)+$R236+IF(AND($E236="J",OR($L236="J_COUNTER",$L236="J_HARD")),Boss参数!$B$79,0)+IF(AND(OR(L236="J_COUNTER",L236="J_HARD"),FA236&gt;=Boss参数!$B$59),FA236*Boss参数!$B$40,0))</f>
        <v/>
      </c>
      <c r="BC236" s="1" t="e">
        <f>IF($E236="","",IFERROR(INDEX(角色面板!$K$18:$K$21,MATCH($E236,角色面板!$A$18:$A$21,0)),0)+IF($B236&lt;=$AH236,Boss参数!$B$46,0)+IF($E236="红弩箭",IF($U236=1,0.6,IF($U236=2,1.2,0))+$W236*0.06,0))-DI236*Boss参数!$B$23</f>
        <v>#VALUE!</v>
      </c>
      <c r="BD236" s="1" t="e">
        <f>IF($E236="","",IFERROR(INDEX(角色面板!$L$18:$L$21,MATCH($E236,角色面板!$A$18:$A$21,0)),0)+IF($B236&lt;=$AH236,Boss参数!$B$46,0)+IF($E236="J",$AL236*Boss参数!$B$16,0)+IF($E236="红弩箭",$X236*0.025,0)+IF(AND($L236="LILYA_ULT",$X236&gt;=6),1,0))-DI236*Boss参数!$B$23</f>
        <v>#VALUE!</v>
      </c>
      <c r="BE236" s="1" t="str">
        <f>IF($E236="","",IF($H236="洞知",IF($E236="红弩箭",$AO236*Boss参数!$B$15,0)+$AX236*Boss参数!$B$14,0))</f>
        <v/>
      </c>
      <c r="BF236" s="1">
        <f t="shared" si="211"/>
        <v>0</v>
      </c>
      <c r="BG236" s="1">
        <f>IF($D236="",0,IF(AND($L236&lt;&gt;"LILYA_DIVE",$L236&lt;&gt;"LILYA_ULT",$L236&lt;&gt;"LILYA_INSIGHT",$L236&lt;&gt;"LILYA_FINISH",$L236&lt;&gt;"37_FOLLOW",$L236&lt;&gt;"RHI_ATTACK",$L236&lt;&gt;"RHI_BERRY",$L236&lt;&gt;"J_COUNTER",$L236&lt;&gt;"J_ULT"),$J236,0)+IF($L236="LILYA_DIVE",$J236+IF($U236=1,IF($G236=1,6,IF($G236=2,12,18)),IF($U236=2,IF($G236=1,12,IF($G236=2,24,36)),0)),0)+IF($L236="LILYA_ULT",$J236+IF($X236&gt;=6,18,0),0)+IF($L236="LILYA_INSIGHT",IF($Y236=1,IF(MOD($AA236+1,3)=0,32,15),0),0)+IF($L236="LILYA_FINISH",IF($Y236=1,50+2.5*$Z236,0),0)+IF($L236="37_FOLLOW",$J236,0)+IF($L236="RHI_ATTACK",$J236*IF($B236&lt;=$AJ236,2,1),0)+IF($L236="RHI_BERRY",15+1.5*$AV236,0)+IF($L236="J_COUNTER",$J236+$AD236*Boss参数!$B$39,0)+IF($L236="J_ULT",$J236+Boss参数!$B$45*MAX(0,$AE236+$AD236-Boss参数!$I$4),0)+$S236)</f>
        <v>0</v>
      </c>
      <c r="BH236" s="1">
        <f t="shared" si="212"/>
        <v>0</v>
      </c>
      <c r="BI236" s="1" t="str">
        <f>IF(E236="","",IF(DT236=1,1+Boss参数!$B$8+AV236*Boss参数!$B$19,1))</f>
        <v/>
      </c>
      <c r="BJ236" s="1">
        <f>IF($I236="现实",Boss参数!$C$4,IF($I236="精神",Boss参数!$D$4,0))</f>
        <v>0</v>
      </c>
      <c r="BK236" s="1" t="str">
        <f>IF($E236="","",MAX($AY236*Boss参数!$B$9,$AY236-$BJ236*(1-$BF236)))</f>
        <v/>
      </c>
      <c r="BL236" s="1">
        <f>MAX(0,Boss参数!$F$4+IF(DT236=0,Boss参数!$B$27,0)-EJ236)</f>
        <v>1.25</v>
      </c>
      <c r="BM236" s="1">
        <f>Boss参数!$G$4+DU236-IF(Y236=1,Boss参数!$B$11,0)</f>
        <v>0.4</v>
      </c>
      <c r="BN236" s="1" t="str">
        <f>IF($E236="","",MAX(Boss参数!$B$10,1+IFERROR(INDEX(角色面板!$I$18:$I$21,MATCH($E236,角色面板!$A$18:$A$21,0)),0)+$BB236+Boss参数!$H$4-$BM236))</f>
        <v/>
      </c>
      <c r="BO236" s="1" t="str">
        <f>IF(E236="","",IF(OR(L236="J_COUNTER",L236="J_HARD"),MAX(0,1+INDEX(角色面板!$K$18:$K$21,MATCH(E236,角色面板!$A$18:$A$21,0))-DI236*Boss参数!$B$23+IF(OR(Boss参数!$B$43=1,L236="J_HARD"),IF(B236&lt;=AH236,Boss参数!$B$46,0),0)),MAX(0,IF(OR(H236="术法",L236="RHI_BERRY",AND(L236="37_FOLLOW",Boss参数!$B$31=1)),1+BC236,IF(H236="仪式",1+BD236,IF(H236="洞知",EK236,1))))))</f>
        <v/>
      </c>
      <c r="BP236" s="1" t="str">
        <f t="shared" si="213"/>
        <v/>
      </c>
      <c r="BQ236" s="1">
        <f t="shared" si="214"/>
        <v>0</v>
      </c>
      <c r="BR236" s="1">
        <f t="shared" si="215"/>
        <v>0</v>
      </c>
      <c r="BS236" s="1">
        <f>IF(BH236=0,0,ROUNDDOWN(AY236*BH236,0)*DV236*IF(Boss参数!$B$29=1,BN236,1)*IF(Boss参数!$B$33=1,BO236,1)*IF(Boss参数!$B$76=1,1-ES236,1))</f>
        <v>0</v>
      </c>
      <c r="BT236" s="1">
        <f t="shared" si="216"/>
        <v>0</v>
      </c>
      <c r="BU236" s="1">
        <f>IF(D236="",0,MIN(IF(Boss参数!$B$77=1,Boss参数!$B$63*Boss参数!$B$62,Boss参数!$B$61*Boss参数!$B$62),DW236+ROUNDDOWN(BS236,0)+ROUNDDOWN(DW236*Q236,0)))</f>
        <v>0</v>
      </c>
      <c r="BV236" s="1">
        <f>IF(D236="",0,MIN(IF(Boss参数!$B$77=1,Boss参数!$B$63*Boss参数!$B$62,Boss参数!$B$61*Boss参数!$B$62),DX236+ROUNDDOWN(BT236,0)+ROUNDDOWN(DX236*Q236,0)))</f>
        <v>0</v>
      </c>
      <c r="BW236" s="1">
        <f t="shared" si="217"/>
        <v>0</v>
      </c>
      <c r="BX236" s="1" t="str">
        <f t="shared" si="218"/>
        <v/>
      </c>
      <c r="BY236" s="1">
        <f t="shared" si="219"/>
        <v>2</v>
      </c>
      <c r="BZ236" s="1">
        <f t="shared" si="220"/>
        <v>1</v>
      </c>
      <c r="CA236" s="1">
        <f>MIN(10,W236+IF(AND(L236="LILYA_COBRA",COUNTIF($L$3:L236,"LILYA_COBRA")=1),5,0)+IF(AND(L236="LILYA_DIVE",U236=1,COUNTIFS($DG$3:DG236,DG236,$L$3:L236,"LILYA_DIVE")=1),2,0)+IF(AND(FE236=1,U236=1),3,0))</f>
        <v>10</v>
      </c>
      <c r="CB236" s="1">
        <f>MIN(20,MAX(0,X236+IF(L236="LILYA_COBRA",IF(COUNTIF($L$3:L236,"LILYA_COBRA")=1,6,IF(U236=1,MAX(1,G236),IF(U236=2,2*MAX(1,G236),0))),0)+IF(AND(Y236=1,E236="红弩箭",L236&lt;&gt;"ENTER_INSIGHT"),1,0)-IF(AND(L236="LILYA_ULT",X236&gt;=6),6,0)))</f>
        <v>13</v>
      </c>
      <c r="CC236" s="1">
        <f t="shared" si="221"/>
        <v>0</v>
      </c>
      <c r="CD236" s="1">
        <f t="shared" si="222"/>
        <v>0</v>
      </c>
      <c r="CE236" s="1">
        <f t="shared" si="223"/>
        <v>0</v>
      </c>
      <c r="CF236" s="1">
        <f t="shared" si="224"/>
        <v>10</v>
      </c>
      <c r="CG236" s="1">
        <f t="shared" si="225"/>
        <v>1</v>
      </c>
      <c r="CH236" s="1">
        <f>MIN(35,AD236+IF(L236="J_HARD",6,0)+IF(L236="J_COUNTER",Boss参数!$B$30,0))</f>
        <v>35</v>
      </c>
      <c r="CI236" s="1">
        <f>MIN(Boss参数!$I$4,AE236+IF(L236="J_HARD",6,0)+IF(L236="J_ULT",AD236,0)+IF(L236="J_COUNTER",Boss参数!$B$30,0))</f>
        <v>0</v>
      </c>
      <c r="CJ236" s="1">
        <f>IF(L236="J_ULT",AD236*Boss参数!$B$41,IF(B236&lt;=AG236,AF236,0))</f>
        <v>0.875</v>
      </c>
      <c r="CK236" s="1">
        <f t="shared" si="226"/>
        <v>9</v>
      </c>
      <c r="CL236" s="1">
        <f t="shared" si="227"/>
        <v>9</v>
      </c>
      <c r="CM236" s="1">
        <f t="shared" si="228"/>
        <v>8</v>
      </c>
      <c r="CN236" s="1">
        <f t="shared" si="229"/>
        <v>9</v>
      </c>
      <c r="CO236" s="1">
        <f t="shared" si="230"/>
        <v>8</v>
      </c>
      <c r="CP236" s="1">
        <f t="shared" si="231"/>
        <v>3</v>
      </c>
      <c r="CQ236" s="1">
        <f t="shared" si="232"/>
        <v>30</v>
      </c>
      <c r="CR236" s="1">
        <f t="shared" si="233"/>
        <v>9</v>
      </c>
      <c r="CS236" s="1">
        <f t="shared" si="234"/>
        <v>0</v>
      </c>
      <c r="CT236" s="1" t="e">
        <f t="shared" si="235"/>
        <v>#VALUE!</v>
      </c>
      <c r="CU236" s="1" t="e">
        <f t="shared" si="236"/>
        <v>#VALUE!</v>
      </c>
      <c r="CV236" s="1">
        <f t="shared" si="237"/>
        <v>0.3</v>
      </c>
      <c r="CW236" s="1">
        <f t="shared" si="238"/>
        <v>9</v>
      </c>
      <c r="CX236" s="1">
        <f t="shared" si="239"/>
        <v>0.3</v>
      </c>
      <c r="CY236" s="1">
        <f t="shared" si="240"/>
        <v>9</v>
      </c>
      <c r="CZ236" s="1"/>
      <c r="DA236" s="1"/>
      <c r="DB236" s="1"/>
      <c r="DC236" s="1"/>
      <c r="DD236" s="1"/>
      <c r="DE236" s="1"/>
      <c r="DF236" s="1"/>
      <c r="DG236" s="1" t="str">
        <f>IF(D236="","",行动模拟!B242)</f>
        <v/>
      </c>
      <c r="DH236" s="1" t="str">
        <f>IF(L236="END_TURN","回合结束",IF(D236="","",IF(INDEX(回合状态!$C$7:$C$17,MATCH(DG236,回合状态!$A$7:$A$17,0))="洞穿","洞穿",IF(OR(L236="J_COUNTER",L236="BOSS_ACTION",L236="BOSS_CONSERVATIVE"),"敌方",IF(AND(L236="37_FOLLOW",DG236=DG235,DH235="敌方"),"敌方",IF(INDEX(回合状态!$C$7:$C$17,MATCH(DG236,回合状态!$A$7:$A$17,0))="普通","出牌",INDEX(回合状态!$C$7:$C$17,MATCH(DG236,回合状态!$A$7:$A$17,0))))))))</f>
        <v/>
      </c>
      <c r="DI236" s="1">
        <f t="shared" si="241"/>
        <v>0</v>
      </c>
      <c r="DJ236" s="1">
        <f>IF(D236="",0,MIN(Boss参数!$B$25,IF(OR(AND(DH236="敌方",OR(DH235&lt;&gt;"敌方",DG236&lt;&gt;DG235)),AND(L236="END_TURN",DH236&lt;&gt;"洞穿"),AND(DG236&lt;&gt;DG235,DH235&lt;&gt;"洞穿",L235&lt;&gt;"END_TURN",COUNTIFS($DG$3:DG235,DG235,$DH$3:DH235,"敌方")=0)),EW236,DN235)))</f>
        <v>0</v>
      </c>
      <c r="DK236" s="1">
        <f>IF(D236="",0,MIN(Boss参数!$B$25,IF(OR(AND(DH236="敌方",OR(DH235&lt;&gt;"敌方",DG236&lt;&gt;DG235)),AND(L236="END_TURN",DH236&lt;&gt;"洞穿"),AND(DG236&lt;&gt;DG235,DH235&lt;&gt;"洞穿",L235&lt;&gt;"END_TURN",COUNTIFS($DG$3:DG235,DG235,$DH$3:DH235,"敌方")=0)),EW236,DO235)))</f>
        <v>0</v>
      </c>
      <c r="DL236" s="1">
        <f>IF(D236="",0,MIN(Boss参数!$B$25,IF(OR(AND(DH236="敌方",OR(DH235&lt;&gt;"敌方",DG236&lt;&gt;DG235)),AND(L236="END_TURN",DH236&lt;&gt;"洞穿"),AND(DG236&lt;&gt;DG235,DH235&lt;&gt;"洞穿",L235&lt;&gt;"END_TURN",COUNTIFS($DG$3:DG235,DG235,$DH$3:DH235,"敌方")=0)),EW236,DP235)))</f>
        <v>0</v>
      </c>
      <c r="DM236" s="1">
        <f>IF(D236="",0,MIN(Boss参数!$B$25,IF(OR(AND(DH236="敌方",OR(DH235&lt;&gt;"敌方",DG236&lt;&gt;DG235)),AND(L236="END_TURN",DH236&lt;&gt;"洞穿"),AND(DG236&lt;&gt;DG235,DH235&lt;&gt;"洞穿",L235&lt;&gt;"END_TURN",COUNTIFS($DG$3:DG235,DG235,$DH$3:DH235,"敌方")=0)),EW236,DQ235)))</f>
        <v>0</v>
      </c>
      <c r="DN236" s="1">
        <f>MAX(0,MIN(Boss参数!$B$25,DJ236+DR236)-IF(E236="红弩箭",2*DR236,0))</f>
        <v>0</v>
      </c>
      <c r="DO236" s="1">
        <f>MAX(0,MIN(Boss参数!$B$25,DK236+DR236)-IF(E236="37",2*DR236,0))</f>
        <v>0</v>
      </c>
      <c r="DP236" s="1">
        <f>MAX(0,MIN(Boss参数!$B$25,DL236+DR236)-IF(E236="小瑞安侬",2*DR236,0))</f>
        <v>0</v>
      </c>
      <c r="DQ236" s="1">
        <f>MAX(0,MIN(Boss参数!$B$25,DM236+DR236)-IF(E236="J",2*DR236,0))</f>
        <v>0</v>
      </c>
      <c r="DR236" s="1">
        <f t="shared" si="242"/>
        <v>0</v>
      </c>
      <c r="DS236" s="1">
        <f t="shared" si="243"/>
        <v>0</v>
      </c>
      <c r="DT236" s="1">
        <f>IF(OR(E236="",E236="系统"),0,IF(OR(AND(DS236=1,Boss参数!$B$32=1),L236="RHI_BERRY",OR(AND(INDEX(角色面板!$B$18:$B$21,MATCH(E236,角色面板!$A$18:$A$21,0))="星",Boss参数!$B$4="岩"),AND(INDEX(角色面板!$B$18:$B$21,MATCH(E236,角色面板!$A$18:$A$21,0))="岩",Boss参数!$B$4="兽"),AND(INDEX(角色面板!$B$18:$B$21,MATCH(E236,角色面板!$A$18:$A$21,0))="兽",Boss参数!$B$4="木"),AND(INDEX(角色面板!$B$18:$B$21,MATCH(E236,角色面板!$A$18:$A$21,0))="木",Boss参数!$B$4="星"),AND(INDEX(角色面板!$B$18:$B$21,MATCH(E236,角色面板!$A$18:$A$21,0))="智",Boss参数!$B$4="灵"),AND(INDEX(角色面板!$B$18:$B$21,MATCH(E236,角色面板!$A$18:$A$21,0))="灵",Boss参数!$B$4="智"))),1,0))</f>
        <v>0</v>
      </c>
      <c r="DU236" s="1">
        <f>IF(D236="",0,INDEX(回合状态!$E$7:$E$17,MATCH(DG236,回合状态!$A$7:$A$17,0))+IF(AND(DH236="敌方",OR(INDEX(回合状态!$C$7:$C$17,MATCH(DG236,回合状态!$A$7:$A$17,0))="普通",INDEX(回合状态!$C$7:$C$17,MATCH(DG236,回合状态!$A$7:$A$17,0))="额外")),0.05,0))</f>
        <v>0</v>
      </c>
      <c r="DV236" s="1">
        <f>MAX(Boss参数!$B$28,1+IF(AND(E236="37",AC236&gt;0,BH236&gt;0),Boss参数!$B$42,0)-DI236*Boss参数!$B$24+EA236-ER236)</f>
        <v>9.9999999999999978E-2</v>
      </c>
      <c r="DW236" s="1">
        <f>MIN(IF(Boss参数!$B$77=1,Boss参数!$B$63*Boss参数!$B$62,Boss参数!$B$61*Boss参数!$B$62),ROUNDDOWN(BQ236*(1-ES236),0))</f>
        <v>0</v>
      </c>
      <c r="DX236" s="1">
        <f>MIN(IF(Boss参数!$B$77=1,Boss参数!$B$63*Boss参数!$B$62,Boss参数!$B$61*Boss参数!$B$62),ROUNDDOWN(BR236*(1-ES236),0))</f>
        <v>0</v>
      </c>
      <c r="DY236" s="1">
        <f t="shared" si="275"/>
        <v>250</v>
      </c>
      <c r="DZ236" s="1">
        <f>IF(L236="RHI_ULT",MIN(Boss参数!$B$48,ROUNDDOWN(AY236*Boss参数!$B$47,0)),DY236)</f>
        <v>250</v>
      </c>
      <c r="EA236" s="1">
        <v>0</v>
      </c>
      <c r="EB236" s="1">
        <f t="shared" si="244"/>
        <v>0</v>
      </c>
      <c r="EC236" s="1">
        <f>SUMIFS($EB$3:EB236,$B$3:B236,"&gt;="&amp;MAX(1,B236-2),$B$3:B236,"&lt;="&amp;B236)*Boss参数!$B$51</f>
        <v>0</v>
      </c>
      <c r="ED236" s="1">
        <f>IF(D236="",EG235,IF(AND(DG236&lt;&gt;DG235,DH236&lt;&gt;"洞穿"),MIN(Boss参数!$B$55,EG235+2),EG235))</f>
        <v>0</v>
      </c>
      <c r="EE236" s="1">
        <f t="shared" si="245"/>
        <v>0</v>
      </c>
      <c r="EF236" s="1">
        <f>IF(AND(OR(L236="END_TURN",AND(DH236="敌方",OR(DH235&lt;&gt;"敌方",DG236&lt;&gt;DG235))),SUMIFS($EF$3:EF235,$DG$3:DG235,DG236)=0),MIN(1,MAX(0,ED236-EE236)),0)</f>
        <v>0</v>
      </c>
      <c r="EG236" s="1">
        <f t="shared" si="246"/>
        <v>0</v>
      </c>
      <c r="EH236" s="1">
        <f>Boss参数!$B$53-IF(Y236=1,Boss参数!$B$54,0)</f>
        <v>0</v>
      </c>
      <c r="EI236" s="1">
        <f t="shared" si="247"/>
        <v>0.15</v>
      </c>
      <c r="EJ236" s="1">
        <f t="shared" si="248"/>
        <v>0.15</v>
      </c>
      <c r="EK236" s="1" t="e">
        <f t="shared" si="249"/>
        <v>#VALUE!</v>
      </c>
      <c r="EL236" s="1">
        <f t="shared" si="276"/>
        <v>0</v>
      </c>
      <c r="EM236" s="1">
        <f>IF(AND(DG236&lt;&gt;DG235,DH236="洞穿"),0,IF(L236="ENTER_INSIGHT",Boss参数!$B$57,EO235))</f>
        <v>0</v>
      </c>
      <c r="EN236" s="1">
        <f>IF(AND(Y236=1,H236="洞知",EM236&gt;0),Boss参数!$B$56,0)</f>
        <v>0</v>
      </c>
      <c r="EO236" s="1">
        <f t="shared" si="250"/>
        <v>0</v>
      </c>
      <c r="EP236" s="1">
        <f t="shared" si="277"/>
        <v>23210479</v>
      </c>
      <c r="EQ236" s="1">
        <f>ROUNDDOWN(EP236/Boss参数!$B$62,0)</f>
        <v>232</v>
      </c>
      <c r="ER236" s="1">
        <f>IF(EQ236&gt;=Boss参数!$B$66,Boss参数!$B$69,IF(EQ236&gt;=Boss参数!$B$65,Boss参数!$B$68,IF(EQ236&gt;=Boss参数!$B$64,Boss参数!$B$67,0)))</f>
        <v>0.9</v>
      </c>
      <c r="ES236" s="1">
        <f>MIN(1,IF(EQ236&gt;=Boss参数!$B$66,Boss参数!$B$72+ROUNDDOWN((EQ236-Boss参数!$B$66)/Boss参数!$B$73,0)*Boss参数!$B$74,IF(EQ236&gt;=Boss参数!$B$65,Boss参数!$B$71,IF(EQ236&gt;=Boss参数!$B$64,Boss参数!$B$70,0))))</f>
        <v>0.65</v>
      </c>
      <c r="ET236" s="1">
        <f>MIN(Boss参数!$B$61*Boss参数!$B$62,EP236+IF(AND(Boss参数!$B$60=1,ISNUMBER(验证表!H242)),验证表!H242,EU236))</f>
        <v>23210479</v>
      </c>
      <c r="EU236" s="1">
        <f>IF(D236="",0,IF(验证表!G242="是",BV236,IF(验证表!G242="否",BU236,BW236)))</f>
        <v>0</v>
      </c>
      <c r="EV236" s="1">
        <f>IF(EQ236&gt;=Boss参数!$B$66,2,IF(EQ236&gt;=Boss参数!$B$65,1,0))</f>
        <v>2</v>
      </c>
      <c r="EW236" s="1">
        <f t="shared" si="251"/>
        <v>3</v>
      </c>
      <c r="EX236" s="1">
        <f>IF(D236="",0,INDEX(回合状态!$D$7:$D$17,MATCH(DG236,回合状态!$A$7:$A$17,0)))</f>
        <v>0</v>
      </c>
      <c r="EY236" s="1">
        <f>IF(OR(L236="RHI_ATTACK",L236="RHI_BUFF"),1,IF(L236="RHI_ULT",Boss参数!$B$52,0))</f>
        <v>0</v>
      </c>
      <c r="EZ236" s="1">
        <f>MIN(6,SUMIFS($EY$3:EY236,$EX$3:EX236,"&gt;="&amp;MAX(1,EX236-Boss参数!$B$87+1),$EX$3:EX236,"&lt;="&amp;EX236))</f>
        <v>0</v>
      </c>
      <c r="FA236" s="1">
        <f t="shared" si="278"/>
        <v>0</v>
      </c>
      <c r="FB236" s="17">
        <f>IF(L236="BOSS_CONSERVATIVE",B236+Boss参数!$B$91,FB235)</f>
        <v>7</v>
      </c>
      <c r="FC236" s="17">
        <f t="shared" si="279"/>
        <v>0</v>
      </c>
      <c r="FD236" s="17">
        <f>IF(D236="",FD235,FD235+IF(AND(DG236&lt;&gt;DG235,INDEX(回合状态!$C$7:$C$17,MATCH(DG236,回合状态!$A$7:$A$17,0))&lt;&gt;"洞穿"),1,0))</f>
        <v>8</v>
      </c>
      <c r="FE236" s="17">
        <f>IF(D236="",0,IF(AND(OR(L236="END_TURN",DH236="敌方"),INDEX(回合状态!$C$7:$C$17,MATCH(DG236,回合状态!$A$7:$A$17,0))&lt;&gt;"洞穿",SUMIFS($FE$3:FE235,$DG$3:DG235,DG236)=0),1,0))</f>
        <v>0</v>
      </c>
    </row>
    <row r="237" spans="1:161" ht="84.95" customHeight="1">
      <c r="A237" s="1" t="str">
        <f>行动模拟!A243</f>
        <v/>
      </c>
      <c r="B237" s="1">
        <f>IF(D237="",0,INDEX(回合状态!$B$7:$B$17,MATCH(DG237,回合状态!$A$7:$A$17,0)))</f>
        <v>0</v>
      </c>
      <c r="C237" s="1">
        <f>行动模拟!C243</f>
        <v>0</v>
      </c>
      <c r="D237" s="1" t="str">
        <f>IF(行动模拟!D243="","",行动模拟!D243)</f>
        <v/>
      </c>
      <c r="E237" s="1" t="str">
        <f>IF($D237="","",IFERROR(INDEX(技能数据库!$B$4:$B$38,MATCH($D237,技能数据库!$A$4:$A$38,0)),""))</f>
        <v/>
      </c>
      <c r="F237" s="1" t="str">
        <f>IF($D237="","",IFERROR(INDEX(技能数据库!$C$4:$C$38,MATCH($D237,技能数据库!$A$4:$A$38,0)),""))</f>
        <v/>
      </c>
      <c r="G237" s="1" t="str">
        <f>IF($D237="","",IFERROR(INDEX(技能数据库!$D$4:$D$38,MATCH($D237,技能数据库!$A$4:$A$38,0)),""))</f>
        <v/>
      </c>
      <c r="H237" s="1" t="str">
        <f>IF($D237="","",IFERROR(INDEX(技能数据库!$E$4:$E$38,MATCH($D237,技能数据库!$A$4:$A$38,0)),""))</f>
        <v/>
      </c>
      <c r="I237" s="1" t="str">
        <f>IF($D237="","",IFERROR(INDEX(技能数据库!$F$4:$F$38,MATCH($D237,技能数据库!$A$4:$A$38,0)),""))</f>
        <v/>
      </c>
      <c r="J237" s="1" t="str">
        <f>IF($D237="","",IFERROR(INDEX(技能数据库!$G$4:$G$38,MATCH($D237,技能数据库!$A$4:$A$38,0)),""))</f>
        <v/>
      </c>
      <c r="K237" s="1" t="str">
        <f>IF($D237="","",IFERROR(INDEX(技能数据库!$H$4:$H$38,MATCH($D237,技能数据库!$A$4:$A$38,0)),""))</f>
        <v/>
      </c>
      <c r="L237" s="1" t="str">
        <f>IF($D237="","",IFERROR(INDEX(技能数据库!$I$4:$I$38,MATCH($D237,技能数据库!$A$4:$A$38,0)),""))</f>
        <v/>
      </c>
      <c r="M237" s="1">
        <v>1</v>
      </c>
      <c r="N237" s="1"/>
      <c r="O237" s="1"/>
      <c r="P237" s="1"/>
      <c r="Q237" s="1">
        <f t="shared" si="210"/>
        <v>0</v>
      </c>
      <c r="R237" s="1">
        <v>0</v>
      </c>
      <c r="S237" s="1">
        <v>0</v>
      </c>
      <c r="T237" s="1">
        <f>行动模拟!I243</f>
        <v>0</v>
      </c>
      <c r="U237" s="1">
        <f>IF(FD237&lt;&gt;FD236,IF(BY236=1,IF(MIN(10,CA236+IF(AND(DG237&lt;&gt;DG236,DH236&lt;&gt;"洞穿",SUMIFS($FE$3:FE236,$DG$3:DG236,DG236)=0,BY236=1),3,0))&gt;=10,2,1),IF(BY236=2,IF(BZ236&lt;=1,0,2),0)),BY236)</f>
        <v>2</v>
      </c>
      <c r="V237" s="1">
        <f>IF(FD237&lt;&gt;FD236,IF(BY236=1,IF(MIN(10,CA236+IF(AND(DG237&lt;&gt;DG236,DH236&lt;&gt;"洞穿",SUMIFS($FE$3:FE236,$DG$3:DG236,DG236)=0,BY236=1),3,0))&gt;=10,2,0),IF(BY236=2,MAX(0,BZ236-1),0)),BZ236)</f>
        <v>1</v>
      </c>
      <c r="W237" s="1">
        <f>IF(AND(FD237&lt;&gt;FD236,BY236=2,BZ236&lt;=1),0,MIN(10,CA236+IF(AND(DG237&lt;&gt;DG236,DH236&lt;&gt;"洞穿",SUMIFS($FE$3:FE236,$DG$3:DG236,DG236)=0,BY236=1),3,0)))</f>
        <v>10</v>
      </c>
      <c r="X237" s="1">
        <f t="shared" si="252"/>
        <v>13</v>
      </c>
      <c r="Y237" s="1">
        <f t="shared" si="253"/>
        <v>0</v>
      </c>
      <c r="Z237" s="1">
        <f t="shared" si="254"/>
        <v>0</v>
      </c>
      <c r="AA237" s="1">
        <f t="shared" si="255"/>
        <v>0</v>
      </c>
      <c r="AB237" s="1">
        <f t="shared" si="256"/>
        <v>10</v>
      </c>
      <c r="AC237" s="1">
        <f t="shared" si="257"/>
        <v>1</v>
      </c>
      <c r="AD237" s="1">
        <f t="shared" si="258"/>
        <v>35</v>
      </c>
      <c r="AE237" s="1">
        <f>IF(D237="",0,IF(DG237&lt;&gt;DG236,IFERROR(INDEX(回合状态!$F$7:$F$17,MATCH(DG237,回合状态!$A$7:$A$17,0)),0),CI236))</f>
        <v>0</v>
      </c>
      <c r="AF237" s="1">
        <f t="shared" si="259"/>
        <v>0.875</v>
      </c>
      <c r="AG237" s="1">
        <f t="shared" si="260"/>
        <v>9</v>
      </c>
      <c r="AH237" s="1">
        <f t="shared" si="261"/>
        <v>9</v>
      </c>
      <c r="AI237" s="1">
        <f t="shared" si="262"/>
        <v>8</v>
      </c>
      <c r="AJ237" s="1">
        <f t="shared" si="263"/>
        <v>9</v>
      </c>
      <c r="AK237" s="1">
        <f t="shared" si="264"/>
        <v>8</v>
      </c>
      <c r="AL237" s="1">
        <f t="shared" si="265"/>
        <v>3</v>
      </c>
      <c r="AM237" s="1">
        <f t="shared" si="266"/>
        <v>30</v>
      </c>
      <c r="AN237" s="1">
        <f t="shared" si="267"/>
        <v>9</v>
      </c>
      <c r="AO237" s="1">
        <f t="shared" si="268"/>
        <v>0</v>
      </c>
      <c r="AP237" s="1" t="e">
        <f t="shared" si="269"/>
        <v>#VALUE!</v>
      </c>
      <c r="AQ237" s="1" t="e">
        <f t="shared" si="270"/>
        <v>#VALUE!</v>
      </c>
      <c r="AR237" s="1">
        <f t="shared" si="271"/>
        <v>0.3</v>
      </c>
      <c r="AS237" s="1">
        <f t="shared" si="272"/>
        <v>9</v>
      </c>
      <c r="AT237" s="1">
        <f t="shared" si="273"/>
        <v>0.3</v>
      </c>
      <c r="AU237" s="1">
        <f t="shared" si="274"/>
        <v>9</v>
      </c>
      <c r="AV237" s="1">
        <f>MIN(5,SUMIFS($EL$3:EL237,$B$3:B237,"&gt;="&amp;MAX(1,B237-2),$B$3:B237,"&lt;="&amp;B237)+EC237)</f>
        <v>0</v>
      </c>
      <c r="AW237" s="1">
        <f>MIN(6,SUMIFS($EY$3:EY236,$EX$3:EX236,"&gt;="&amp;MAX(1,EX237-Boss参数!$B$87+1),$EX$3:EX236,"&lt;="&amp;EX237))</f>
        <v>0</v>
      </c>
      <c r="AX237" s="1">
        <f>MIN(4,COUNTIFS($B$3:$B$236,"&gt;="&amp;MAX(1,$B237-2),$B$3:$B$236,"&lt;="&amp;$B237,$L$3:$L$236,"37_FOLLOW"))</f>
        <v>0</v>
      </c>
      <c r="AY237" s="1" t="str">
        <f>IF($E237="","",IF($E237="系统",0,ROUNDDOWN(INDEX(角色面板!$C$4:$C$7,MATCH($E237,角色面板!$A$4:$A$7,0))*(1+INDEX(角色面板!$C$11:$C$14,MATCH($E237,角色面板!$A$11:$A$14,0))+IF($E237="小瑞安侬",MAX(IF($B237&lt;=$AQ237,$AP237,0),IF(AND($L237="RHI_ATTACK",$EE237&gt;0),0.11+0.01*$G237,0)),0)+IF($E237="J",$AD237*Boss参数!$B$18,0))+IF(FD237&lt;=$AN237,MIN(Boss参数!$B$21,ROUNDDOWN(角色面板!$C$19*Boss参数!$B$20,0)),0)+IF(AND($B237&lt;=$AK237,$E237&lt;&gt;"小瑞安侬"),$DY237,0),0)))</f>
        <v/>
      </c>
      <c r="AZ237" s="1" t="str">
        <f>IF($E237="","",MAX(0,MIN(1,IFERROR(INDEX(角色面板!$G$18:$G$21,MATCH($E237,角色面板!$A$18:$A$21,0)),0)-FC237*Boss参数!$B$89-Boss参数!$E$4)))</f>
        <v/>
      </c>
      <c r="BA237" s="1" t="str">
        <f>IF(E237="","",(IF($E237="","",IF($E237="红弩箭",Boss参数!$B$80,IF($E237="J",Boss参数!$B$81,IFERROR(INDEX(角色面板!$H$18:$H$21,MATCH($E237,角色面板!$A$18:$A$21,0)),0)))+IF($B237&lt;=$AI237,Boss参数!$B$13,0)+MIN(30,$AM237)*Boss参数!$B$17+IF(AND($L237="LILYA_ULT",$X237&gt;=6),1,0)+IF(AND($Y237=1,$L237="LILYA_INSIGHT"),IF(MOD($AA237+1,3)=0,Boss参数!$B$83,Boss参数!$B$82),IF(AND($Y237=1,$L237="LILYA_FINISH"),Boss参数!$B$84,0))))-FC237*Boss参数!$B$90)</f>
        <v/>
      </c>
      <c r="BB237" s="1" t="str">
        <f>IF($E237="","",IFERROR(INDEX(角色面板!$M$18:$M$21,MATCH($E237,角色面板!$A$18:$A$21,0)),0)+$AW237*Boss参数!$B$12+IF($B237&lt;=$AG237,$AF237,0)+$EI237+IF($L237="LILYA_DIVE",IF($U237=1,IF($G237=1,0.3,IF($G237=2,0.4,0.5)),IF($U237=2,IF($G237=1,0.6,IF($G237=2,0.8,1)),0)),0)+$R237+IF(AND($E237="J",OR($L237="J_COUNTER",$L237="J_HARD")),Boss参数!$B$79,0)+IF(AND(OR(L237="J_COUNTER",L237="J_HARD"),FA237&gt;=Boss参数!$B$59),FA237*Boss参数!$B$40,0))</f>
        <v/>
      </c>
      <c r="BC237" s="1" t="e">
        <f>IF($E237="","",IFERROR(INDEX(角色面板!$K$18:$K$21,MATCH($E237,角色面板!$A$18:$A$21,0)),0)+IF($B237&lt;=$AH237,Boss参数!$B$46,0)+IF($E237="红弩箭",IF($U237=1,0.6,IF($U237=2,1.2,0))+$W237*0.06,0))-DI237*Boss参数!$B$23</f>
        <v>#VALUE!</v>
      </c>
      <c r="BD237" s="1" t="e">
        <f>IF($E237="","",IFERROR(INDEX(角色面板!$L$18:$L$21,MATCH($E237,角色面板!$A$18:$A$21,0)),0)+IF($B237&lt;=$AH237,Boss参数!$B$46,0)+IF($E237="J",$AL237*Boss参数!$B$16,0)+IF($E237="红弩箭",$X237*0.025,0)+IF(AND($L237="LILYA_ULT",$X237&gt;=6),1,0))-DI237*Boss参数!$B$23</f>
        <v>#VALUE!</v>
      </c>
      <c r="BE237" s="1" t="str">
        <f>IF($E237="","",IF($H237="洞知",IF($E237="红弩箭",$AO237*Boss参数!$B$15,0)+$AX237*Boss参数!$B$14,0))</f>
        <v/>
      </c>
      <c r="BF237" s="1">
        <f t="shared" si="211"/>
        <v>0</v>
      </c>
      <c r="BG237" s="1">
        <f>IF($D237="",0,IF(AND($L237&lt;&gt;"LILYA_DIVE",$L237&lt;&gt;"LILYA_ULT",$L237&lt;&gt;"LILYA_INSIGHT",$L237&lt;&gt;"LILYA_FINISH",$L237&lt;&gt;"37_FOLLOW",$L237&lt;&gt;"RHI_ATTACK",$L237&lt;&gt;"RHI_BERRY",$L237&lt;&gt;"J_COUNTER",$L237&lt;&gt;"J_ULT"),$J237,0)+IF($L237="LILYA_DIVE",$J237+IF($U237=1,IF($G237=1,6,IF($G237=2,12,18)),IF($U237=2,IF($G237=1,12,IF($G237=2,24,36)),0)),0)+IF($L237="LILYA_ULT",$J237+IF($X237&gt;=6,18,0),0)+IF($L237="LILYA_INSIGHT",IF($Y237=1,IF(MOD($AA237+1,3)=0,32,15),0),0)+IF($L237="LILYA_FINISH",IF($Y237=1,50+2.5*$Z237,0),0)+IF($L237="37_FOLLOW",$J237,0)+IF($L237="RHI_ATTACK",$J237*IF($B237&lt;=$AJ237,2,1),0)+IF($L237="RHI_BERRY",15+1.5*$AV237,0)+IF($L237="J_COUNTER",$J237+$AD237*Boss参数!$B$39,0)+IF($L237="J_ULT",$J237+Boss参数!$B$45*MAX(0,$AE237+$AD237-Boss参数!$I$4),0)+$S237)</f>
        <v>0</v>
      </c>
      <c r="BH237" s="1">
        <f t="shared" si="212"/>
        <v>0</v>
      </c>
      <c r="BI237" s="1" t="str">
        <f>IF(E237="","",IF(DT237=1,1+Boss参数!$B$8+AV237*Boss参数!$B$19,1))</f>
        <v/>
      </c>
      <c r="BJ237" s="1">
        <f>IF($I237="现实",Boss参数!$C$4,IF($I237="精神",Boss参数!$D$4,0))</f>
        <v>0</v>
      </c>
      <c r="BK237" s="1" t="str">
        <f>IF($E237="","",MAX($AY237*Boss参数!$B$9,$AY237-$BJ237*(1-$BF237)))</f>
        <v/>
      </c>
      <c r="BL237" s="1">
        <f>MAX(0,Boss参数!$F$4+IF(DT237=0,Boss参数!$B$27,0)-EJ237)</f>
        <v>1.25</v>
      </c>
      <c r="BM237" s="1">
        <f>Boss参数!$G$4+DU237-IF(Y237=1,Boss参数!$B$11,0)</f>
        <v>0.4</v>
      </c>
      <c r="BN237" s="1" t="str">
        <f>IF($E237="","",MAX(Boss参数!$B$10,1+IFERROR(INDEX(角色面板!$I$18:$I$21,MATCH($E237,角色面板!$A$18:$A$21,0)),0)+$BB237+Boss参数!$H$4-$BM237))</f>
        <v/>
      </c>
      <c r="BO237" s="1" t="str">
        <f>IF(E237="","",IF(OR(L237="J_COUNTER",L237="J_HARD"),MAX(0,1+INDEX(角色面板!$K$18:$K$21,MATCH(E237,角色面板!$A$18:$A$21,0))-DI237*Boss参数!$B$23+IF(OR(Boss参数!$B$43=1,L237="J_HARD"),IF(B237&lt;=AH237,Boss参数!$B$46,0),0)),MAX(0,IF(OR(H237="术法",L237="RHI_BERRY",AND(L237="37_FOLLOW",Boss参数!$B$31=1)),1+BC237,IF(H237="仪式",1+BD237,IF(H237="洞知",EK237,1))))))</f>
        <v/>
      </c>
      <c r="BP237" s="1" t="str">
        <f t="shared" si="213"/>
        <v/>
      </c>
      <c r="BQ237" s="1">
        <f t="shared" si="214"/>
        <v>0</v>
      </c>
      <c r="BR237" s="1">
        <f t="shared" si="215"/>
        <v>0</v>
      </c>
      <c r="BS237" s="1">
        <f>IF(BH237=0,0,ROUNDDOWN(AY237*BH237,0)*DV237*IF(Boss参数!$B$29=1,BN237,1)*IF(Boss参数!$B$33=1,BO237,1)*IF(Boss参数!$B$76=1,1-ES237,1))</f>
        <v>0</v>
      </c>
      <c r="BT237" s="1">
        <f t="shared" si="216"/>
        <v>0</v>
      </c>
      <c r="BU237" s="1">
        <f>IF(D237="",0,MIN(IF(Boss参数!$B$77=1,Boss参数!$B$63*Boss参数!$B$62,Boss参数!$B$61*Boss参数!$B$62),DW237+ROUNDDOWN(BS237,0)+ROUNDDOWN(DW237*Q237,0)))</f>
        <v>0</v>
      </c>
      <c r="BV237" s="1">
        <f>IF(D237="",0,MIN(IF(Boss参数!$B$77=1,Boss参数!$B$63*Boss参数!$B$62,Boss参数!$B$61*Boss参数!$B$62),DX237+ROUNDDOWN(BT237,0)+ROUNDDOWN(DX237*Q237,0)))</f>
        <v>0</v>
      </c>
      <c r="BW237" s="1">
        <f t="shared" si="217"/>
        <v>0</v>
      </c>
      <c r="BX237" s="1" t="str">
        <f t="shared" si="218"/>
        <v/>
      </c>
      <c r="BY237" s="1">
        <f t="shared" si="219"/>
        <v>2</v>
      </c>
      <c r="BZ237" s="1">
        <f t="shared" si="220"/>
        <v>1</v>
      </c>
      <c r="CA237" s="1">
        <f>MIN(10,W237+IF(AND(L237="LILYA_COBRA",COUNTIF($L$3:L237,"LILYA_COBRA")=1),5,0)+IF(AND(L237="LILYA_DIVE",U237=1,COUNTIFS($DG$3:DG237,DG237,$L$3:L237,"LILYA_DIVE")=1),2,0)+IF(AND(FE237=1,U237=1),3,0))</f>
        <v>10</v>
      </c>
      <c r="CB237" s="1">
        <f>MIN(20,MAX(0,X237+IF(L237="LILYA_COBRA",IF(COUNTIF($L$3:L237,"LILYA_COBRA")=1,6,IF(U237=1,MAX(1,G237),IF(U237=2,2*MAX(1,G237),0))),0)+IF(AND(Y237=1,E237="红弩箭",L237&lt;&gt;"ENTER_INSIGHT"),1,0)-IF(AND(L237="LILYA_ULT",X237&gt;=6),6,0)))</f>
        <v>13</v>
      </c>
      <c r="CC237" s="1">
        <f t="shared" si="221"/>
        <v>0</v>
      </c>
      <c r="CD237" s="1">
        <f t="shared" si="222"/>
        <v>0</v>
      </c>
      <c r="CE237" s="1">
        <f t="shared" si="223"/>
        <v>0</v>
      </c>
      <c r="CF237" s="1">
        <f t="shared" si="224"/>
        <v>10</v>
      </c>
      <c r="CG237" s="1">
        <f t="shared" si="225"/>
        <v>1</v>
      </c>
      <c r="CH237" s="1">
        <f>MIN(35,AD237+IF(L237="J_HARD",6,0)+IF(L237="J_COUNTER",Boss参数!$B$30,0))</f>
        <v>35</v>
      </c>
      <c r="CI237" s="1">
        <f>MIN(Boss参数!$I$4,AE237+IF(L237="J_HARD",6,0)+IF(L237="J_ULT",AD237,0)+IF(L237="J_COUNTER",Boss参数!$B$30,0))</f>
        <v>0</v>
      </c>
      <c r="CJ237" s="1">
        <f>IF(L237="J_ULT",AD237*Boss参数!$B$41,IF(B237&lt;=AG237,AF237,0))</f>
        <v>0.875</v>
      </c>
      <c r="CK237" s="1">
        <f t="shared" si="226"/>
        <v>9</v>
      </c>
      <c r="CL237" s="1">
        <f t="shared" si="227"/>
        <v>9</v>
      </c>
      <c r="CM237" s="1">
        <f t="shared" si="228"/>
        <v>8</v>
      </c>
      <c r="CN237" s="1">
        <f t="shared" si="229"/>
        <v>9</v>
      </c>
      <c r="CO237" s="1">
        <f t="shared" si="230"/>
        <v>8</v>
      </c>
      <c r="CP237" s="1">
        <f t="shared" si="231"/>
        <v>3</v>
      </c>
      <c r="CQ237" s="1">
        <f t="shared" si="232"/>
        <v>30</v>
      </c>
      <c r="CR237" s="1">
        <f t="shared" si="233"/>
        <v>9</v>
      </c>
      <c r="CS237" s="1">
        <f t="shared" si="234"/>
        <v>0</v>
      </c>
      <c r="CT237" s="1" t="e">
        <f t="shared" si="235"/>
        <v>#VALUE!</v>
      </c>
      <c r="CU237" s="1" t="e">
        <f t="shared" si="236"/>
        <v>#VALUE!</v>
      </c>
      <c r="CV237" s="1">
        <f t="shared" si="237"/>
        <v>0.3</v>
      </c>
      <c r="CW237" s="1">
        <f t="shared" si="238"/>
        <v>9</v>
      </c>
      <c r="CX237" s="1">
        <f t="shared" si="239"/>
        <v>0.3</v>
      </c>
      <c r="CY237" s="1">
        <f t="shared" si="240"/>
        <v>9</v>
      </c>
      <c r="CZ237" s="1"/>
      <c r="DA237" s="1"/>
      <c r="DB237" s="1"/>
      <c r="DC237" s="1"/>
      <c r="DD237" s="1"/>
      <c r="DE237" s="1"/>
      <c r="DF237" s="1"/>
      <c r="DG237" s="1" t="str">
        <f>IF(D237="","",行动模拟!B243)</f>
        <v/>
      </c>
      <c r="DH237" s="1" t="str">
        <f>IF(L237="END_TURN","回合结束",IF(D237="","",IF(INDEX(回合状态!$C$7:$C$17,MATCH(DG237,回合状态!$A$7:$A$17,0))="洞穿","洞穿",IF(OR(L237="J_COUNTER",L237="BOSS_ACTION",L237="BOSS_CONSERVATIVE"),"敌方",IF(AND(L237="37_FOLLOW",DG237=DG236,DH236="敌方"),"敌方",IF(INDEX(回合状态!$C$7:$C$17,MATCH(DG237,回合状态!$A$7:$A$17,0))="普通","出牌",INDEX(回合状态!$C$7:$C$17,MATCH(DG237,回合状态!$A$7:$A$17,0))))))))</f>
        <v/>
      </c>
      <c r="DI237" s="1">
        <f t="shared" si="241"/>
        <v>0</v>
      </c>
      <c r="DJ237" s="1">
        <f>IF(D237="",0,MIN(Boss参数!$B$25,IF(OR(AND(DH237="敌方",OR(DH236&lt;&gt;"敌方",DG237&lt;&gt;DG236)),AND(L237="END_TURN",DH237&lt;&gt;"洞穿"),AND(DG237&lt;&gt;DG236,DH236&lt;&gt;"洞穿",L236&lt;&gt;"END_TURN",COUNTIFS($DG$3:DG236,DG236,$DH$3:DH236,"敌方")=0)),EW237,DN236)))</f>
        <v>0</v>
      </c>
      <c r="DK237" s="1">
        <f>IF(D237="",0,MIN(Boss参数!$B$25,IF(OR(AND(DH237="敌方",OR(DH236&lt;&gt;"敌方",DG237&lt;&gt;DG236)),AND(L237="END_TURN",DH237&lt;&gt;"洞穿"),AND(DG237&lt;&gt;DG236,DH236&lt;&gt;"洞穿",L236&lt;&gt;"END_TURN",COUNTIFS($DG$3:DG236,DG236,$DH$3:DH236,"敌方")=0)),EW237,DO236)))</f>
        <v>0</v>
      </c>
      <c r="DL237" s="1">
        <f>IF(D237="",0,MIN(Boss参数!$B$25,IF(OR(AND(DH237="敌方",OR(DH236&lt;&gt;"敌方",DG237&lt;&gt;DG236)),AND(L237="END_TURN",DH237&lt;&gt;"洞穿"),AND(DG237&lt;&gt;DG236,DH236&lt;&gt;"洞穿",L236&lt;&gt;"END_TURN",COUNTIFS($DG$3:DG236,DG236,$DH$3:DH236,"敌方")=0)),EW237,DP236)))</f>
        <v>0</v>
      </c>
      <c r="DM237" s="1">
        <f>IF(D237="",0,MIN(Boss参数!$B$25,IF(OR(AND(DH237="敌方",OR(DH236&lt;&gt;"敌方",DG237&lt;&gt;DG236)),AND(L237="END_TURN",DH237&lt;&gt;"洞穿"),AND(DG237&lt;&gt;DG236,DH236&lt;&gt;"洞穿",L236&lt;&gt;"END_TURN",COUNTIFS($DG$3:DG236,DG236,$DH$3:DH236,"敌方")=0)),EW237,DQ236)))</f>
        <v>0</v>
      </c>
      <c r="DN237" s="1">
        <f>MAX(0,MIN(Boss参数!$B$25,DJ237+DR237)-IF(E237="红弩箭",2*DR237,0))</f>
        <v>0</v>
      </c>
      <c r="DO237" s="1">
        <f>MAX(0,MIN(Boss参数!$B$25,DK237+DR237)-IF(E237="37",2*DR237,0))</f>
        <v>0</v>
      </c>
      <c r="DP237" s="1">
        <f>MAX(0,MIN(Boss参数!$B$25,DL237+DR237)-IF(E237="小瑞安侬",2*DR237,0))</f>
        <v>0</v>
      </c>
      <c r="DQ237" s="1">
        <f>MAX(0,MIN(Boss参数!$B$25,DM237+DR237)-IF(E237="J",2*DR237,0))</f>
        <v>0</v>
      </c>
      <c r="DR237" s="1">
        <f t="shared" si="242"/>
        <v>0</v>
      </c>
      <c r="DS237" s="1">
        <f t="shared" si="243"/>
        <v>0</v>
      </c>
      <c r="DT237" s="1">
        <f>IF(OR(E237="",E237="系统"),0,IF(OR(AND(DS237=1,Boss参数!$B$32=1),L237="RHI_BERRY",OR(AND(INDEX(角色面板!$B$18:$B$21,MATCH(E237,角色面板!$A$18:$A$21,0))="星",Boss参数!$B$4="岩"),AND(INDEX(角色面板!$B$18:$B$21,MATCH(E237,角色面板!$A$18:$A$21,0))="岩",Boss参数!$B$4="兽"),AND(INDEX(角色面板!$B$18:$B$21,MATCH(E237,角色面板!$A$18:$A$21,0))="兽",Boss参数!$B$4="木"),AND(INDEX(角色面板!$B$18:$B$21,MATCH(E237,角色面板!$A$18:$A$21,0))="木",Boss参数!$B$4="星"),AND(INDEX(角色面板!$B$18:$B$21,MATCH(E237,角色面板!$A$18:$A$21,0))="智",Boss参数!$B$4="灵"),AND(INDEX(角色面板!$B$18:$B$21,MATCH(E237,角色面板!$A$18:$A$21,0))="灵",Boss参数!$B$4="智"))),1,0))</f>
        <v>0</v>
      </c>
      <c r="DU237" s="1">
        <f>IF(D237="",0,INDEX(回合状态!$E$7:$E$17,MATCH(DG237,回合状态!$A$7:$A$17,0))+IF(AND(DH237="敌方",OR(INDEX(回合状态!$C$7:$C$17,MATCH(DG237,回合状态!$A$7:$A$17,0))="普通",INDEX(回合状态!$C$7:$C$17,MATCH(DG237,回合状态!$A$7:$A$17,0))="额外")),0.05,0))</f>
        <v>0</v>
      </c>
      <c r="DV237" s="1">
        <f>MAX(Boss参数!$B$28,1+IF(AND(E237="37",AC237&gt;0,BH237&gt;0),Boss参数!$B$42,0)-DI237*Boss参数!$B$24+EA237-ER237)</f>
        <v>9.9999999999999978E-2</v>
      </c>
      <c r="DW237" s="1">
        <f>MIN(IF(Boss参数!$B$77=1,Boss参数!$B$63*Boss参数!$B$62,Boss参数!$B$61*Boss参数!$B$62),ROUNDDOWN(BQ237*(1-ES237),0))</f>
        <v>0</v>
      </c>
      <c r="DX237" s="1">
        <f>MIN(IF(Boss参数!$B$77=1,Boss参数!$B$63*Boss参数!$B$62,Boss参数!$B$61*Boss参数!$B$62),ROUNDDOWN(BR237*(1-ES237),0))</f>
        <v>0</v>
      </c>
      <c r="DY237" s="1">
        <f t="shared" si="275"/>
        <v>250</v>
      </c>
      <c r="DZ237" s="1">
        <f>IF(L237="RHI_ULT",MIN(Boss参数!$B$48,ROUNDDOWN(AY237*Boss参数!$B$47,0)),DY237)</f>
        <v>250</v>
      </c>
      <c r="EA237" s="1">
        <v>0</v>
      </c>
      <c r="EB237" s="1">
        <f t="shared" si="244"/>
        <v>0</v>
      </c>
      <c r="EC237" s="1">
        <f>SUMIFS($EB$3:EB237,$B$3:B237,"&gt;="&amp;MAX(1,B237-2),$B$3:B237,"&lt;="&amp;B237)*Boss参数!$B$51</f>
        <v>0</v>
      </c>
      <c r="ED237" s="1">
        <f>IF(D237="",EG236,IF(AND(DG237&lt;&gt;DG236,DH237&lt;&gt;"洞穿"),MIN(Boss参数!$B$55,EG236+2),EG236))</f>
        <v>0</v>
      </c>
      <c r="EE237" s="1">
        <f t="shared" si="245"/>
        <v>0</v>
      </c>
      <c r="EF237" s="1">
        <f>IF(AND(OR(L237="END_TURN",AND(DH237="敌方",OR(DH236&lt;&gt;"敌方",DG237&lt;&gt;DG236))),SUMIFS($EF$3:EF236,$DG$3:DG236,DG237)=0),MIN(1,MAX(0,ED237-EE237)),0)</f>
        <v>0</v>
      </c>
      <c r="EG237" s="1">
        <f t="shared" si="246"/>
        <v>0</v>
      </c>
      <c r="EH237" s="1">
        <f>Boss参数!$B$53-IF(Y237=1,Boss参数!$B$54,0)</f>
        <v>0</v>
      </c>
      <c r="EI237" s="1">
        <f t="shared" si="247"/>
        <v>0.15</v>
      </c>
      <c r="EJ237" s="1">
        <f t="shared" si="248"/>
        <v>0.15</v>
      </c>
      <c r="EK237" s="1" t="e">
        <f t="shared" si="249"/>
        <v>#VALUE!</v>
      </c>
      <c r="EL237" s="1">
        <f t="shared" si="276"/>
        <v>0</v>
      </c>
      <c r="EM237" s="1">
        <f>IF(AND(DG237&lt;&gt;DG236,DH237="洞穿"),0,IF(L237="ENTER_INSIGHT",Boss参数!$B$57,EO236))</f>
        <v>0</v>
      </c>
      <c r="EN237" s="1">
        <f>IF(AND(Y237=1,H237="洞知",EM237&gt;0),Boss参数!$B$56,0)</f>
        <v>0</v>
      </c>
      <c r="EO237" s="1">
        <f t="shared" si="250"/>
        <v>0</v>
      </c>
      <c r="EP237" s="1">
        <f t="shared" si="277"/>
        <v>23210479</v>
      </c>
      <c r="EQ237" s="1">
        <f>ROUNDDOWN(EP237/Boss参数!$B$62,0)</f>
        <v>232</v>
      </c>
      <c r="ER237" s="1">
        <f>IF(EQ237&gt;=Boss参数!$B$66,Boss参数!$B$69,IF(EQ237&gt;=Boss参数!$B$65,Boss参数!$B$68,IF(EQ237&gt;=Boss参数!$B$64,Boss参数!$B$67,0)))</f>
        <v>0.9</v>
      </c>
      <c r="ES237" s="1">
        <f>MIN(1,IF(EQ237&gt;=Boss参数!$B$66,Boss参数!$B$72+ROUNDDOWN((EQ237-Boss参数!$B$66)/Boss参数!$B$73,0)*Boss参数!$B$74,IF(EQ237&gt;=Boss参数!$B$65,Boss参数!$B$71,IF(EQ237&gt;=Boss参数!$B$64,Boss参数!$B$70,0))))</f>
        <v>0.65</v>
      </c>
      <c r="ET237" s="1">
        <f>MIN(Boss参数!$B$61*Boss参数!$B$62,EP237+IF(AND(Boss参数!$B$60=1,ISNUMBER(验证表!H243)),验证表!H243,EU237))</f>
        <v>23210479</v>
      </c>
      <c r="EU237" s="1">
        <f>IF(D237="",0,IF(验证表!G243="是",BV237,IF(验证表!G243="否",BU237,BW237)))</f>
        <v>0</v>
      </c>
      <c r="EV237" s="1">
        <f>IF(EQ237&gt;=Boss参数!$B$66,2,IF(EQ237&gt;=Boss参数!$B$65,1,0))</f>
        <v>2</v>
      </c>
      <c r="EW237" s="1">
        <f t="shared" si="251"/>
        <v>3</v>
      </c>
      <c r="EX237" s="1">
        <f>IF(D237="",0,INDEX(回合状态!$D$7:$D$17,MATCH(DG237,回合状态!$A$7:$A$17,0)))</f>
        <v>0</v>
      </c>
      <c r="EY237" s="1">
        <f>IF(OR(L237="RHI_ATTACK",L237="RHI_BUFF"),1,IF(L237="RHI_ULT",Boss参数!$B$52,0))</f>
        <v>0</v>
      </c>
      <c r="EZ237" s="1">
        <f>MIN(6,SUMIFS($EY$3:EY237,$EX$3:EX237,"&gt;="&amp;MAX(1,EX237-Boss参数!$B$87+1),$EX$3:EX237,"&lt;="&amp;EX237))</f>
        <v>0</v>
      </c>
      <c r="FA237" s="1">
        <f t="shared" si="278"/>
        <v>0</v>
      </c>
      <c r="FB237" s="17">
        <f>IF(L237="BOSS_CONSERVATIVE",B237+Boss参数!$B$91,FB236)</f>
        <v>7</v>
      </c>
      <c r="FC237" s="17">
        <f t="shared" si="279"/>
        <v>0</v>
      </c>
      <c r="FD237" s="17">
        <f>IF(D237="",FD236,FD236+IF(AND(DG237&lt;&gt;DG236,INDEX(回合状态!$C$7:$C$17,MATCH(DG237,回合状态!$A$7:$A$17,0))&lt;&gt;"洞穿"),1,0))</f>
        <v>8</v>
      </c>
      <c r="FE237" s="17">
        <f>IF(D237="",0,IF(AND(OR(L237="END_TURN",DH237="敌方"),INDEX(回合状态!$C$7:$C$17,MATCH(DG237,回合状态!$A$7:$A$17,0))&lt;&gt;"洞穿",SUMIFS($FE$3:FE236,$DG$3:DG236,DG237)=0),1,0))</f>
        <v>0</v>
      </c>
    </row>
    <row r="238" spans="1:161" ht="84.95" customHeight="1">
      <c r="A238" s="1" t="str">
        <f>行动模拟!A244</f>
        <v/>
      </c>
      <c r="B238" s="1">
        <f>IF(D238="",0,INDEX(回合状态!$B$7:$B$17,MATCH(DG238,回合状态!$A$7:$A$17,0)))</f>
        <v>0</v>
      </c>
      <c r="C238" s="1">
        <f>行动模拟!C244</f>
        <v>0</v>
      </c>
      <c r="D238" s="1" t="str">
        <f>IF(行动模拟!D244="","",行动模拟!D244)</f>
        <v/>
      </c>
      <c r="E238" s="1" t="str">
        <f>IF($D238="","",IFERROR(INDEX(技能数据库!$B$4:$B$38,MATCH($D238,技能数据库!$A$4:$A$38,0)),""))</f>
        <v/>
      </c>
      <c r="F238" s="1" t="str">
        <f>IF($D238="","",IFERROR(INDEX(技能数据库!$C$4:$C$38,MATCH($D238,技能数据库!$A$4:$A$38,0)),""))</f>
        <v/>
      </c>
      <c r="G238" s="1" t="str">
        <f>IF($D238="","",IFERROR(INDEX(技能数据库!$D$4:$D$38,MATCH($D238,技能数据库!$A$4:$A$38,0)),""))</f>
        <v/>
      </c>
      <c r="H238" s="1" t="str">
        <f>IF($D238="","",IFERROR(INDEX(技能数据库!$E$4:$E$38,MATCH($D238,技能数据库!$A$4:$A$38,0)),""))</f>
        <v/>
      </c>
      <c r="I238" s="1" t="str">
        <f>IF($D238="","",IFERROR(INDEX(技能数据库!$F$4:$F$38,MATCH($D238,技能数据库!$A$4:$A$38,0)),""))</f>
        <v/>
      </c>
      <c r="J238" s="1" t="str">
        <f>IF($D238="","",IFERROR(INDEX(技能数据库!$G$4:$G$38,MATCH($D238,技能数据库!$A$4:$A$38,0)),""))</f>
        <v/>
      </c>
      <c r="K238" s="1" t="str">
        <f>IF($D238="","",IFERROR(INDEX(技能数据库!$H$4:$H$38,MATCH($D238,技能数据库!$A$4:$A$38,0)),""))</f>
        <v/>
      </c>
      <c r="L238" s="1" t="str">
        <f>IF($D238="","",IFERROR(INDEX(技能数据库!$I$4:$I$38,MATCH($D238,技能数据库!$A$4:$A$38,0)),""))</f>
        <v/>
      </c>
      <c r="M238" s="1">
        <v>1</v>
      </c>
      <c r="N238" s="1"/>
      <c r="O238" s="1"/>
      <c r="P238" s="1"/>
      <c r="Q238" s="1">
        <f t="shared" si="210"/>
        <v>0</v>
      </c>
      <c r="R238" s="1">
        <v>0</v>
      </c>
      <c r="S238" s="1">
        <v>0</v>
      </c>
      <c r="T238" s="1">
        <f>行动模拟!I244</f>
        <v>0</v>
      </c>
      <c r="U238" s="1">
        <f>IF(FD238&lt;&gt;FD237,IF(BY237=1,IF(MIN(10,CA237+IF(AND(DG238&lt;&gt;DG237,DH237&lt;&gt;"洞穿",SUMIFS($FE$3:FE237,$DG$3:DG237,DG237)=0,BY237=1),3,0))&gt;=10,2,1),IF(BY237=2,IF(BZ237&lt;=1,0,2),0)),BY237)</f>
        <v>2</v>
      </c>
      <c r="V238" s="1">
        <f>IF(FD238&lt;&gt;FD237,IF(BY237=1,IF(MIN(10,CA237+IF(AND(DG238&lt;&gt;DG237,DH237&lt;&gt;"洞穿",SUMIFS($FE$3:FE237,$DG$3:DG237,DG237)=0,BY237=1),3,0))&gt;=10,2,0),IF(BY237=2,MAX(0,BZ237-1),0)),BZ237)</f>
        <v>1</v>
      </c>
      <c r="W238" s="1">
        <f>IF(AND(FD238&lt;&gt;FD237,BY237=2,BZ237&lt;=1),0,MIN(10,CA237+IF(AND(DG238&lt;&gt;DG237,DH237&lt;&gt;"洞穿",SUMIFS($FE$3:FE237,$DG$3:DG237,DG237)=0,BY237=1),3,0)))</f>
        <v>10</v>
      </c>
      <c r="X238" s="1">
        <f t="shared" si="252"/>
        <v>13</v>
      </c>
      <c r="Y238" s="1">
        <f t="shared" si="253"/>
        <v>0</v>
      </c>
      <c r="Z238" s="1">
        <f t="shared" si="254"/>
        <v>0</v>
      </c>
      <c r="AA238" s="1">
        <f t="shared" si="255"/>
        <v>0</v>
      </c>
      <c r="AB238" s="1">
        <f t="shared" si="256"/>
        <v>10</v>
      </c>
      <c r="AC238" s="1">
        <f t="shared" si="257"/>
        <v>1</v>
      </c>
      <c r="AD238" s="1">
        <f t="shared" si="258"/>
        <v>35</v>
      </c>
      <c r="AE238" s="1">
        <f>IF(D238="",0,IF(DG238&lt;&gt;DG237,IFERROR(INDEX(回合状态!$F$7:$F$17,MATCH(DG238,回合状态!$A$7:$A$17,0)),0),CI237))</f>
        <v>0</v>
      </c>
      <c r="AF238" s="1">
        <f t="shared" si="259"/>
        <v>0.875</v>
      </c>
      <c r="AG238" s="1">
        <f t="shared" si="260"/>
        <v>9</v>
      </c>
      <c r="AH238" s="1">
        <f t="shared" si="261"/>
        <v>9</v>
      </c>
      <c r="AI238" s="1">
        <f t="shared" si="262"/>
        <v>8</v>
      </c>
      <c r="AJ238" s="1">
        <f t="shared" si="263"/>
        <v>9</v>
      </c>
      <c r="AK238" s="1">
        <f t="shared" si="264"/>
        <v>8</v>
      </c>
      <c r="AL238" s="1">
        <f t="shared" si="265"/>
        <v>3</v>
      </c>
      <c r="AM238" s="1">
        <f t="shared" si="266"/>
        <v>30</v>
      </c>
      <c r="AN238" s="1">
        <f t="shared" si="267"/>
        <v>9</v>
      </c>
      <c r="AO238" s="1">
        <f t="shared" si="268"/>
        <v>0</v>
      </c>
      <c r="AP238" s="1" t="e">
        <f t="shared" si="269"/>
        <v>#VALUE!</v>
      </c>
      <c r="AQ238" s="1" t="e">
        <f t="shared" si="270"/>
        <v>#VALUE!</v>
      </c>
      <c r="AR238" s="1">
        <f t="shared" si="271"/>
        <v>0.3</v>
      </c>
      <c r="AS238" s="1">
        <f t="shared" si="272"/>
        <v>9</v>
      </c>
      <c r="AT238" s="1">
        <f t="shared" si="273"/>
        <v>0.3</v>
      </c>
      <c r="AU238" s="1">
        <f t="shared" si="274"/>
        <v>9</v>
      </c>
      <c r="AV238" s="1">
        <f>MIN(5,SUMIFS($EL$3:EL238,$B$3:B238,"&gt;="&amp;MAX(1,B238-2),$B$3:B238,"&lt;="&amp;B238)+EC238)</f>
        <v>0</v>
      </c>
      <c r="AW238" s="1">
        <f>MIN(6,SUMIFS($EY$3:EY237,$EX$3:EX237,"&gt;="&amp;MAX(1,EX238-Boss参数!$B$87+1),$EX$3:EX237,"&lt;="&amp;EX238))</f>
        <v>0</v>
      </c>
      <c r="AX238" s="1">
        <f>MIN(4,COUNTIFS($B$3:$B$237,"&gt;="&amp;MAX(1,$B238-2),$B$3:$B$237,"&lt;="&amp;$B238,$L$3:$L$237,"37_FOLLOW"))</f>
        <v>0</v>
      </c>
      <c r="AY238" s="1" t="str">
        <f>IF($E238="","",IF($E238="系统",0,ROUNDDOWN(INDEX(角色面板!$C$4:$C$7,MATCH($E238,角色面板!$A$4:$A$7,0))*(1+INDEX(角色面板!$C$11:$C$14,MATCH($E238,角色面板!$A$11:$A$14,0))+IF($E238="小瑞安侬",MAX(IF($B238&lt;=$AQ238,$AP238,0),IF(AND($L238="RHI_ATTACK",$EE238&gt;0),0.11+0.01*$G238,0)),0)+IF($E238="J",$AD238*Boss参数!$B$18,0))+IF(FD238&lt;=$AN238,MIN(Boss参数!$B$21,ROUNDDOWN(角色面板!$C$19*Boss参数!$B$20,0)),0)+IF(AND($B238&lt;=$AK238,$E238&lt;&gt;"小瑞安侬"),$DY238,0),0)))</f>
        <v/>
      </c>
      <c r="AZ238" s="1" t="str">
        <f>IF($E238="","",MAX(0,MIN(1,IFERROR(INDEX(角色面板!$G$18:$G$21,MATCH($E238,角色面板!$A$18:$A$21,0)),0)-FC238*Boss参数!$B$89-Boss参数!$E$4)))</f>
        <v/>
      </c>
      <c r="BA238" s="1" t="str">
        <f>IF(E238="","",(IF($E238="","",IF($E238="红弩箭",Boss参数!$B$80,IF($E238="J",Boss参数!$B$81,IFERROR(INDEX(角色面板!$H$18:$H$21,MATCH($E238,角色面板!$A$18:$A$21,0)),0)))+IF($B238&lt;=$AI238,Boss参数!$B$13,0)+MIN(30,$AM238)*Boss参数!$B$17+IF(AND($L238="LILYA_ULT",$X238&gt;=6),1,0)+IF(AND($Y238=1,$L238="LILYA_INSIGHT"),IF(MOD($AA238+1,3)=0,Boss参数!$B$83,Boss参数!$B$82),IF(AND($Y238=1,$L238="LILYA_FINISH"),Boss参数!$B$84,0))))-FC238*Boss参数!$B$90)</f>
        <v/>
      </c>
      <c r="BB238" s="1" t="str">
        <f>IF($E238="","",IFERROR(INDEX(角色面板!$M$18:$M$21,MATCH($E238,角色面板!$A$18:$A$21,0)),0)+$AW238*Boss参数!$B$12+IF($B238&lt;=$AG238,$AF238,0)+$EI238+IF($L238="LILYA_DIVE",IF($U238=1,IF($G238=1,0.3,IF($G238=2,0.4,0.5)),IF($U238=2,IF($G238=1,0.6,IF($G238=2,0.8,1)),0)),0)+$R238+IF(AND($E238="J",OR($L238="J_COUNTER",$L238="J_HARD")),Boss参数!$B$79,0)+IF(AND(OR(L238="J_COUNTER",L238="J_HARD"),FA238&gt;=Boss参数!$B$59),FA238*Boss参数!$B$40,0))</f>
        <v/>
      </c>
      <c r="BC238" s="1" t="e">
        <f>IF($E238="","",IFERROR(INDEX(角色面板!$K$18:$K$21,MATCH($E238,角色面板!$A$18:$A$21,0)),0)+IF($B238&lt;=$AH238,Boss参数!$B$46,0)+IF($E238="红弩箭",IF($U238=1,0.6,IF($U238=2,1.2,0))+$W238*0.06,0))-DI238*Boss参数!$B$23</f>
        <v>#VALUE!</v>
      </c>
      <c r="BD238" s="1" t="e">
        <f>IF($E238="","",IFERROR(INDEX(角色面板!$L$18:$L$21,MATCH($E238,角色面板!$A$18:$A$21,0)),0)+IF($B238&lt;=$AH238,Boss参数!$B$46,0)+IF($E238="J",$AL238*Boss参数!$B$16,0)+IF($E238="红弩箭",$X238*0.025,0)+IF(AND($L238="LILYA_ULT",$X238&gt;=6),1,0))-DI238*Boss参数!$B$23</f>
        <v>#VALUE!</v>
      </c>
      <c r="BE238" s="1" t="str">
        <f>IF($E238="","",IF($H238="洞知",IF($E238="红弩箭",$AO238*Boss参数!$B$15,0)+$AX238*Boss参数!$B$14,0))</f>
        <v/>
      </c>
      <c r="BF238" s="1">
        <f t="shared" si="211"/>
        <v>0</v>
      </c>
      <c r="BG238" s="1">
        <f>IF($D238="",0,IF(AND($L238&lt;&gt;"LILYA_DIVE",$L238&lt;&gt;"LILYA_ULT",$L238&lt;&gt;"LILYA_INSIGHT",$L238&lt;&gt;"LILYA_FINISH",$L238&lt;&gt;"37_FOLLOW",$L238&lt;&gt;"RHI_ATTACK",$L238&lt;&gt;"RHI_BERRY",$L238&lt;&gt;"J_COUNTER",$L238&lt;&gt;"J_ULT"),$J238,0)+IF($L238="LILYA_DIVE",$J238+IF($U238=1,IF($G238=1,6,IF($G238=2,12,18)),IF($U238=2,IF($G238=1,12,IF($G238=2,24,36)),0)),0)+IF($L238="LILYA_ULT",$J238+IF($X238&gt;=6,18,0),0)+IF($L238="LILYA_INSIGHT",IF($Y238=1,IF(MOD($AA238+1,3)=0,32,15),0),0)+IF($L238="LILYA_FINISH",IF($Y238=1,50+2.5*$Z238,0),0)+IF($L238="37_FOLLOW",$J238,0)+IF($L238="RHI_ATTACK",$J238*IF($B238&lt;=$AJ238,2,1),0)+IF($L238="RHI_BERRY",15+1.5*$AV238,0)+IF($L238="J_COUNTER",$J238+$AD238*Boss参数!$B$39,0)+IF($L238="J_ULT",$J238+Boss参数!$B$45*MAX(0,$AE238+$AD238-Boss参数!$I$4),0)+$S238)</f>
        <v>0</v>
      </c>
      <c r="BH238" s="1">
        <f t="shared" si="212"/>
        <v>0</v>
      </c>
      <c r="BI238" s="1" t="str">
        <f>IF(E238="","",IF(DT238=1,1+Boss参数!$B$8+AV238*Boss参数!$B$19,1))</f>
        <v/>
      </c>
      <c r="BJ238" s="1">
        <f>IF($I238="现实",Boss参数!$C$4,IF($I238="精神",Boss参数!$D$4,0))</f>
        <v>0</v>
      </c>
      <c r="BK238" s="1" t="str">
        <f>IF($E238="","",MAX($AY238*Boss参数!$B$9,$AY238-$BJ238*(1-$BF238)))</f>
        <v/>
      </c>
      <c r="BL238" s="1">
        <f>MAX(0,Boss参数!$F$4+IF(DT238=0,Boss参数!$B$27,0)-EJ238)</f>
        <v>1.25</v>
      </c>
      <c r="BM238" s="1">
        <f>Boss参数!$G$4+DU238-IF(Y238=1,Boss参数!$B$11,0)</f>
        <v>0.4</v>
      </c>
      <c r="BN238" s="1" t="str">
        <f>IF($E238="","",MAX(Boss参数!$B$10,1+IFERROR(INDEX(角色面板!$I$18:$I$21,MATCH($E238,角色面板!$A$18:$A$21,0)),0)+$BB238+Boss参数!$H$4-$BM238))</f>
        <v/>
      </c>
      <c r="BO238" s="1" t="str">
        <f>IF(E238="","",IF(OR(L238="J_COUNTER",L238="J_HARD"),MAX(0,1+INDEX(角色面板!$K$18:$K$21,MATCH(E238,角色面板!$A$18:$A$21,0))-DI238*Boss参数!$B$23+IF(OR(Boss参数!$B$43=1,L238="J_HARD"),IF(B238&lt;=AH238,Boss参数!$B$46,0),0)),MAX(0,IF(OR(H238="术法",L238="RHI_BERRY",AND(L238="37_FOLLOW",Boss参数!$B$31=1)),1+BC238,IF(H238="仪式",1+BD238,IF(H238="洞知",EK238,1))))))</f>
        <v/>
      </c>
      <c r="BP238" s="1" t="str">
        <f t="shared" si="213"/>
        <v/>
      </c>
      <c r="BQ238" s="1">
        <f t="shared" si="214"/>
        <v>0</v>
      </c>
      <c r="BR238" s="1">
        <f t="shared" si="215"/>
        <v>0</v>
      </c>
      <c r="BS238" s="1">
        <f>IF(BH238=0,0,ROUNDDOWN(AY238*BH238,0)*DV238*IF(Boss参数!$B$29=1,BN238,1)*IF(Boss参数!$B$33=1,BO238,1)*IF(Boss参数!$B$76=1,1-ES238,1))</f>
        <v>0</v>
      </c>
      <c r="BT238" s="1">
        <f t="shared" si="216"/>
        <v>0</v>
      </c>
      <c r="BU238" s="1">
        <f>IF(D238="",0,MIN(IF(Boss参数!$B$77=1,Boss参数!$B$63*Boss参数!$B$62,Boss参数!$B$61*Boss参数!$B$62),DW238+ROUNDDOWN(BS238,0)+ROUNDDOWN(DW238*Q238,0)))</f>
        <v>0</v>
      </c>
      <c r="BV238" s="1">
        <f>IF(D238="",0,MIN(IF(Boss参数!$B$77=1,Boss参数!$B$63*Boss参数!$B$62,Boss参数!$B$61*Boss参数!$B$62),DX238+ROUNDDOWN(BT238,0)+ROUNDDOWN(DX238*Q238,0)))</f>
        <v>0</v>
      </c>
      <c r="BW238" s="1">
        <f t="shared" si="217"/>
        <v>0</v>
      </c>
      <c r="BX238" s="1" t="str">
        <f t="shared" si="218"/>
        <v/>
      </c>
      <c r="BY238" s="1">
        <f t="shared" si="219"/>
        <v>2</v>
      </c>
      <c r="BZ238" s="1">
        <f t="shared" si="220"/>
        <v>1</v>
      </c>
      <c r="CA238" s="1">
        <f>MIN(10,W238+IF(AND(L238="LILYA_COBRA",COUNTIF($L$3:L238,"LILYA_COBRA")=1),5,0)+IF(AND(L238="LILYA_DIVE",U238=1,COUNTIFS($DG$3:DG238,DG238,$L$3:L238,"LILYA_DIVE")=1),2,0)+IF(AND(FE238=1,U238=1),3,0))</f>
        <v>10</v>
      </c>
      <c r="CB238" s="1">
        <f>MIN(20,MAX(0,X238+IF(L238="LILYA_COBRA",IF(COUNTIF($L$3:L238,"LILYA_COBRA")=1,6,IF(U238=1,MAX(1,G238),IF(U238=2,2*MAX(1,G238),0))),0)+IF(AND(Y238=1,E238="红弩箭",L238&lt;&gt;"ENTER_INSIGHT"),1,0)-IF(AND(L238="LILYA_ULT",X238&gt;=6),6,0)))</f>
        <v>13</v>
      </c>
      <c r="CC238" s="1">
        <f t="shared" si="221"/>
        <v>0</v>
      </c>
      <c r="CD238" s="1">
        <f t="shared" si="222"/>
        <v>0</v>
      </c>
      <c r="CE238" s="1">
        <f t="shared" si="223"/>
        <v>0</v>
      </c>
      <c r="CF238" s="1">
        <f t="shared" si="224"/>
        <v>10</v>
      </c>
      <c r="CG238" s="1">
        <f t="shared" si="225"/>
        <v>1</v>
      </c>
      <c r="CH238" s="1">
        <f>MIN(35,AD238+IF(L238="J_HARD",6,0)+IF(L238="J_COUNTER",Boss参数!$B$30,0))</f>
        <v>35</v>
      </c>
      <c r="CI238" s="1">
        <f>MIN(Boss参数!$I$4,AE238+IF(L238="J_HARD",6,0)+IF(L238="J_ULT",AD238,0)+IF(L238="J_COUNTER",Boss参数!$B$30,0))</f>
        <v>0</v>
      </c>
      <c r="CJ238" s="1">
        <f>IF(L238="J_ULT",AD238*Boss参数!$B$41,IF(B238&lt;=AG238,AF238,0))</f>
        <v>0.875</v>
      </c>
      <c r="CK238" s="1">
        <f t="shared" si="226"/>
        <v>9</v>
      </c>
      <c r="CL238" s="1">
        <f t="shared" si="227"/>
        <v>9</v>
      </c>
      <c r="CM238" s="1">
        <f t="shared" si="228"/>
        <v>8</v>
      </c>
      <c r="CN238" s="1">
        <f t="shared" si="229"/>
        <v>9</v>
      </c>
      <c r="CO238" s="1">
        <f t="shared" si="230"/>
        <v>8</v>
      </c>
      <c r="CP238" s="1">
        <f t="shared" si="231"/>
        <v>3</v>
      </c>
      <c r="CQ238" s="1">
        <f t="shared" si="232"/>
        <v>30</v>
      </c>
      <c r="CR238" s="1">
        <f t="shared" si="233"/>
        <v>9</v>
      </c>
      <c r="CS238" s="1">
        <f t="shared" si="234"/>
        <v>0</v>
      </c>
      <c r="CT238" s="1" t="e">
        <f t="shared" si="235"/>
        <v>#VALUE!</v>
      </c>
      <c r="CU238" s="1" t="e">
        <f t="shared" si="236"/>
        <v>#VALUE!</v>
      </c>
      <c r="CV238" s="1">
        <f t="shared" si="237"/>
        <v>0.3</v>
      </c>
      <c r="CW238" s="1">
        <f t="shared" si="238"/>
        <v>9</v>
      </c>
      <c r="CX238" s="1">
        <f t="shared" si="239"/>
        <v>0.3</v>
      </c>
      <c r="CY238" s="1">
        <f t="shared" si="240"/>
        <v>9</v>
      </c>
      <c r="CZ238" s="1"/>
      <c r="DA238" s="1"/>
      <c r="DB238" s="1"/>
      <c r="DC238" s="1"/>
      <c r="DD238" s="1"/>
      <c r="DE238" s="1"/>
      <c r="DF238" s="1"/>
      <c r="DG238" s="1" t="str">
        <f>IF(D238="","",行动模拟!B244)</f>
        <v/>
      </c>
      <c r="DH238" s="1" t="str">
        <f>IF(L238="END_TURN","回合结束",IF(D238="","",IF(INDEX(回合状态!$C$7:$C$17,MATCH(DG238,回合状态!$A$7:$A$17,0))="洞穿","洞穿",IF(OR(L238="J_COUNTER",L238="BOSS_ACTION",L238="BOSS_CONSERVATIVE"),"敌方",IF(AND(L238="37_FOLLOW",DG238=DG237,DH237="敌方"),"敌方",IF(INDEX(回合状态!$C$7:$C$17,MATCH(DG238,回合状态!$A$7:$A$17,0))="普通","出牌",INDEX(回合状态!$C$7:$C$17,MATCH(DG238,回合状态!$A$7:$A$17,0))))))))</f>
        <v/>
      </c>
      <c r="DI238" s="1">
        <f t="shared" si="241"/>
        <v>0</v>
      </c>
      <c r="DJ238" s="1">
        <f>IF(D238="",0,MIN(Boss参数!$B$25,IF(OR(AND(DH238="敌方",OR(DH237&lt;&gt;"敌方",DG238&lt;&gt;DG237)),AND(L238="END_TURN",DH238&lt;&gt;"洞穿"),AND(DG238&lt;&gt;DG237,DH237&lt;&gt;"洞穿",L237&lt;&gt;"END_TURN",COUNTIFS($DG$3:DG237,DG237,$DH$3:DH237,"敌方")=0)),EW238,DN237)))</f>
        <v>0</v>
      </c>
      <c r="DK238" s="1">
        <f>IF(D238="",0,MIN(Boss参数!$B$25,IF(OR(AND(DH238="敌方",OR(DH237&lt;&gt;"敌方",DG238&lt;&gt;DG237)),AND(L238="END_TURN",DH238&lt;&gt;"洞穿"),AND(DG238&lt;&gt;DG237,DH237&lt;&gt;"洞穿",L237&lt;&gt;"END_TURN",COUNTIFS($DG$3:DG237,DG237,$DH$3:DH237,"敌方")=0)),EW238,DO237)))</f>
        <v>0</v>
      </c>
      <c r="DL238" s="1">
        <f>IF(D238="",0,MIN(Boss参数!$B$25,IF(OR(AND(DH238="敌方",OR(DH237&lt;&gt;"敌方",DG238&lt;&gt;DG237)),AND(L238="END_TURN",DH238&lt;&gt;"洞穿"),AND(DG238&lt;&gt;DG237,DH237&lt;&gt;"洞穿",L237&lt;&gt;"END_TURN",COUNTIFS($DG$3:DG237,DG237,$DH$3:DH237,"敌方")=0)),EW238,DP237)))</f>
        <v>0</v>
      </c>
      <c r="DM238" s="1">
        <f>IF(D238="",0,MIN(Boss参数!$B$25,IF(OR(AND(DH238="敌方",OR(DH237&lt;&gt;"敌方",DG238&lt;&gt;DG237)),AND(L238="END_TURN",DH238&lt;&gt;"洞穿"),AND(DG238&lt;&gt;DG237,DH237&lt;&gt;"洞穿",L237&lt;&gt;"END_TURN",COUNTIFS($DG$3:DG237,DG237,$DH$3:DH237,"敌方")=0)),EW238,DQ237)))</f>
        <v>0</v>
      </c>
      <c r="DN238" s="1">
        <f>MAX(0,MIN(Boss参数!$B$25,DJ238+DR238)-IF(E238="红弩箭",2*DR238,0))</f>
        <v>0</v>
      </c>
      <c r="DO238" s="1">
        <f>MAX(0,MIN(Boss参数!$B$25,DK238+DR238)-IF(E238="37",2*DR238,0))</f>
        <v>0</v>
      </c>
      <c r="DP238" s="1">
        <f>MAX(0,MIN(Boss参数!$B$25,DL238+DR238)-IF(E238="小瑞安侬",2*DR238,0))</f>
        <v>0</v>
      </c>
      <c r="DQ238" s="1">
        <f>MAX(0,MIN(Boss参数!$B$25,DM238+DR238)-IF(E238="J",2*DR238,0))</f>
        <v>0</v>
      </c>
      <c r="DR238" s="1">
        <f t="shared" si="242"/>
        <v>0</v>
      </c>
      <c r="DS238" s="1">
        <f t="shared" si="243"/>
        <v>0</v>
      </c>
      <c r="DT238" s="1">
        <f>IF(OR(E238="",E238="系统"),0,IF(OR(AND(DS238=1,Boss参数!$B$32=1),L238="RHI_BERRY",OR(AND(INDEX(角色面板!$B$18:$B$21,MATCH(E238,角色面板!$A$18:$A$21,0))="星",Boss参数!$B$4="岩"),AND(INDEX(角色面板!$B$18:$B$21,MATCH(E238,角色面板!$A$18:$A$21,0))="岩",Boss参数!$B$4="兽"),AND(INDEX(角色面板!$B$18:$B$21,MATCH(E238,角色面板!$A$18:$A$21,0))="兽",Boss参数!$B$4="木"),AND(INDEX(角色面板!$B$18:$B$21,MATCH(E238,角色面板!$A$18:$A$21,0))="木",Boss参数!$B$4="星"),AND(INDEX(角色面板!$B$18:$B$21,MATCH(E238,角色面板!$A$18:$A$21,0))="智",Boss参数!$B$4="灵"),AND(INDEX(角色面板!$B$18:$B$21,MATCH(E238,角色面板!$A$18:$A$21,0))="灵",Boss参数!$B$4="智"))),1,0))</f>
        <v>0</v>
      </c>
      <c r="DU238" s="1">
        <f>IF(D238="",0,INDEX(回合状态!$E$7:$E$17,MATCH(DG238,回合状态!$A$7:$A$17,0))+IF(AND(DH238="敌方",OR(INDEX(回合状态!$C$7:$C$17,MATCH(DG238,回合状态!$A$7:$A$17,0))="普通",INDEX(回合状态!$C$7:$C$17,MATCH(DG238,回合状态!$A$7:$A$17,0))="额外")),0.05,0))</f>
        <v>0</v>
      </c>
      <c r="DV238" s="1">
        <f>MAX(Boss参数!$B$28,1+IF(AND(E238="37",AC238&gt;0,BH238&gt;0),Boss参数!$B$42,0)-DI238*Boss参数!$B$24+EA238-ER238)</f>
        <v>9.9999999999999978E-2</v>
      </c>
      <c r="DW238" s="1">
        <f>MIN(IF(Boss参数!$B$77=1,Boss参数!$B$63*Boss参数!$B$62,Boss参数!$B$61*Boss参数!$B$62),ROUNDDOWN(BQ238*(1-ES238),0))</f>
        <v>0</v>
      </c>
      <c r="DX238" s="1">
        <f>MIN(IF(Boss参数!$B$77=1,Boss参数!$B$63*Boss参数!$B$62,Boss参数!$B$61*Boss参数!$B$62),ROUNDDOWN(BR238*(1-ES238),0))</f>
        <v>0</v>
      </c>
      <c r="DY238" s="1">
        <f t="shared" si="275"/>
        <v>250</v>
      </c>
      <c r="DZ238" s="1">
        <f>IF(L238="RHI_ULT",MIN(Boss参数!$B$48,ROUNDDOWN(AY238*Boss参数!$B$47,0)),DY238)</f>
        <v>250</v>
      </c>
      <c r="EA238" s="1">
        <v>0</v>
      </c>
      <c r="EB238" s="1">
        <f t="shared" si="244"/>
        <v>0</v>
      </c>
      <c r="EC238" s="1">
        <f>SUMIFS($EB$3:EB238,$B$3:B238,"&gt;="&amp;MAX(1,B238-2),$B$3:B238,"&lt;="&amp;B238)*Boss参数!$B$51</f>
        <v>0</v>
      </c>
      <c r="ED238" s="1">
        <f>IF(D238="",EG237,IF(AND(DG238&lt;&gt;DG237,DH238&lt;&gt;"洞穿"),MIN(Boss参数!$B$55,EG237+2),EG237))</f>
        <v>0</v>
      </c>
      <c r="EE238" s="1">
        <f t="shared" si="245"/>
        <v>0</v>
      </c>
      <c r="EF238" s="1">
        <f>IF(AND(OR(L238="END_TURN",AND(DH238="敌方",OR(DH237&lt;&gt;"敌方",DG238&lt;&gt;DG237))),SUMIFS($EF$3:EF237,$DG$3:DG237,DG238)=0),MIN(1,MAX(0,ED238-EE238)),0)</f>
        <v>0</v>
      </c>
      <c r="EG238" s="1">
        <f t="shared" si="246"/>
        <v>0</v>
      </c>
      <c r="EH238" s="1">
        <f>Boss参数!$B$53-IF(Y238=1,Boss参数!$B$54,0)</f>
        <v>0</v>
      </c>
      <c r="EI238" s="1">
        <f t="shared" si="247"/>
        <v>0.15</v>
      </c>
      <c r="EJ238" s="1">
        <f t="shared" si="248"/>
        <v>0.15</v>
      </c>
      <c r="EK238" s="1" t="e">
        <f t="shared" si="249"/>
        <v>#VALUE!</v>
      </c>
      <c r="EL238" s="1">
        <f t="shared" si="276"/>
        <v>0</v>
      </c>
      <c r="EM238" s="1">
        <f>IF(AND(DG238&lt;&gt;DG237,DH238="洞穿"),0,IF(L238="ENTER_INSIGHT",Boss参数!$B$57,EO237))</f>
        <v>0</v>
      </c>
      <c r="EN238" s="1">
        <f>IF(AND(Y238=1,H238="洞知",EM238&gt;0),Boss参数!$B$56,0)</f>
        <v>0</v>
      </c>
      <c r="EO238" s="1">
        <f t="shared" si="250"/>
        <v>0</v>
      </c>
      <c r="EP238" s="1">
        <f t="shared" si="277"/>
        <v>23210479</v>
      </c>
      <c r="EQ238" s="1">
        <f>ROUNDDOWN(EP238/Boss参数!$B$62,0)</f>
        <v>232</v>
      </c>
      <c r="ER238" s="1">
        <f>IF(EQ238&gt;=Boss参数!$B$66,Boss参数!$B$69,IF(EQ238&gt;=Boss参数!$B$65,Boss参数!$B$68,IF(EQ238&gt;=Boss参数!$B$64,Boss参数!$B$67,0)))</f>
        <v>0.9</v>
      </c>
      <c r="ES238" s="1">
        <f>MIN(1,IF(EQ238&gt;=Boss参数!$B$66,Boss参数!$B$72+ROUNDDOWN((EQ238-Boss参数!$B$66)/Boss参数!$B$73,0)*Boss参数!$B$74,IF(EQ238&gt;=Boss参数!$B$65,Boss参数!$B$71,IF(EQ238&gt;=Boss参数!$B$64,Boss参数!$B$70,0))))</f>
        <v>0.65</v>
      </c>
      <c r="ET238" s="1">
        <f>MIN(Boss参数!$B$61*Boss参数!$B$62,EP238+IF(AND(Boss参数!$B$60=1,ISNUMBER(验证表!H244)),验证表!H244,EU238))</f>
        <v>23210479</v>
      </c>
      <c r="EU238" s="1">
        <f>IF(D238="",0,IF(验证表!G244="是",BV238,IF(验证表!G244="否",BU238,BW238)))</f>
        <v>0</v>
      </c>
      <c r="EV238" s="1">
        <f>IF(EQ238&gt;=Boss参数!$B$66,2,IF(EQ238&gt;=Boss参数!$B$65,1,0))</f>
        <v>2</v>
      </c>
      <c r="EW238" s="1">
        <f t="shared" si="251"/>
        <v>3</v>
      </c>
      <c r="EX238" s="1">
        <f>IF(D238="",0,INDEX(回合状态!$D$7:$D$17,MATCH(DG238,回合状态!$A$7:$A$17,0)))</f>
        <v>0</v>
      </c>
      <c r="EY238" s="1">
        <f>IF(OR(L238="RHI_ATTACK",L238="RHI_BUFF"),1,IF(L238="RHI_ULT",Boss参数!$B$52,0))</f>
        <v>0</v>
      </c>
      <c r="EZ238" s="1">
        <f>MIN(6,SUMIFS($EY$3:EY238,$EX$3:EX238,"&gt;="&amp;MAX(1,EX238-Boss参数!$B$87+1),$EX$3:EX238,"&lt;="&amp;EX238))</f>
        <v>0</v>
      </c>
      <c r="FA238" s="1">
        <f t="shared" si="278"/>
        <v>0</v>
      </c>
      <c r="FB238" s="17">
        <f>IF(L238="BOSS_CONSERVATIVE",B238+Boss参数!$B$91,FB237)</f>
        <v>7</v>
      </c>
      <c r="FC238" s="17">
        <f t="shared" si="279"/>
        <v>0</v>
      </c>
      <c r="FD238" s="17">
        <f>IF(D238="",FD237,FD237+IF(AND(DG238&lt;&gt;DG237,INDEX(回合状态!$C$7:$C$17,MATCH(DG238,回合状态!$A$7:$A$17,0))&lt;&gt;"洞穿"),1,0))</f>
        <v>8</v>
      </c>
      <c r="FE238" s="17">
        <f>IF(D238="",0,IF(AND(OR(L238="END_TURN",DH238="敌方"),INDEX(回合状态!$C$7:$C$17,MATCH(DG238,回合状态!$A$7:$A$17,0))&lt;&gt;"洞穿",SUMIFS($FE$3:FE237,$DG$3:DG237,DG238)=0),1,0))</f>
        <v>0</v>
      </c>
    </row>
    <row r="239" spans="1:161" ht="84.95" customHeight="1">
      <c r="A239" s="1" t="str">
        <f>行动模拟!A245</f>
        <v/>
      </c>
      <c r="B239" s="1">
        <f>IF(D239="",0,INDEX(回合状态!$B$7:$B$17,MATCH(DG239,回合状态!$A$7:$A$17,0)))</f>
        <v>0</v>
      </c>
      <c r="C239" s="1">
        <f>行动模拟!C245</f>
        <v>0</v>
      </c>
      <c r="D239" s="1" t="str">
        <f>IF(行动模拟!D245="","",行动模拟!D245)</f>
        <v/>
      </c>
      <c r="E239" s="1" t="str">
        <f>IF($D239="","",IFERROR(INDEX(技能数据库!$B$4:$B$38,MATCH($D239,技能数据库!$A$4:$A$38,0)),""))</f>
        <v/>
      </c>
      <c r="F239" s="1" t="str">
        <f>IF($D239="","",IFERROR(INDEX(技能数据库!$C$4:$C$38,MATCH($D239,技能数据库!$A$4:$A$38,0)),""))</f>
        <v/>
      </c>
      <c r="G239" s="1" t="str">
        <f>IF($D239="","",IFERROR(INDEX(技能数据库!$D$4:$D$38,MATCH($D239,技能数据库!$A$4:$A$38,0)),""))</f>
        <v/>
      </c>
      <c r="H239" s="1" t="str">
        <f>IF($D239="","",IFERROR(INDEX(技能数据库!$E$4:$E$38,MATCH($D239,技能数据库!$A$4:$A$38,0)),""))</f>
        <v/>
      </c>
      <c r="I239" s="1" t="str">
        <f>IF($D239="","",IFERROR(INDEX(技能数据库!$F$4:$F$38,MATCH($D239,技能数据库!$A$4:$A$38,0)),""))</f>
        <v/>
      </c>
      <c r="J239" s="1" t="str">
        <f>IF($D239="","",IFERROR(INDEX(技能数据库!$G$4:$G$38,MATCH($D239,技能数据库!$A$4:$A$38,0)),""))</f>
        <v/>
      </c>
      <c r="K239" s="1" t="str">
        <f>IF($D239="","",IFERROR(INDEX(技能数据库!$H$4:$H$38,MATCH($D239,技能数据库!$A$4:$A$38,0)),""))</f>
        <v/>
      </c>
      <c r="L239" s="1" t="str">
        <f>IF($D239="","",IFERROR(INDEX(技能数据库!$I$4:$I$38,MATCH($D239,技能数据库!$A$4:$A$38,0)),""))</f>
        <v/>
      </c>
      <c r="M239" s="1">
        <v>1</v>
      </c>
      <c r="N239" s="1"/>
      <c r="O239" s="1"/>
      <c r="P239" s="1"/>
      <c r="Q239" s="1">
        <f t="shared" si="210"/>
        <v>0</v>
      </c>
      <c r="R239" s="1">
        <v>0</v>
      </c>
      <c r="S239" s="1">
        <v>0</v>
      </c>
      <c r="T239" s="1">
        <f>行动模拟!I245</f>
        <v>0</v>
      </c>
      <c r="U239" s="1">
        <f>IF(FD239&lt;&gt;FD238,IF(BY238=1,IF(MIN(10,CA238+IF(AND(DG239&lt;&gt;DG238,DH238&lt;&gt;"洞穿",SUMIFS($FE$3:FE238,$DG$3:DG238,DG238)=0,BY238=1),3,0))&gt;=10,2,1),IF(BY238=2,IF(BZ238&lt;=1,0,2),0)),BY238)</f>
        <v>2</v>
      </c>
      <c r="V239" s="1">
        <f>IF(FD239&lt;&gt;FD238,IF(BY238=1,IF(MIN(10,CA238+IF(AND(DG239&lt;&gt;DG238,DH238&lt;&gt;"洞穿",SUMIFS($FE$3:FE238,$DG$3:DG238,DG238)=0,BY238=1),3,0))&gt;=10,2,0),IF(BY238=2,MAX(0,BZ238-1),0)),BZ238)</f>
        <v>1</v>
      </c>
      <c r="W239" s="1">
        <f>IF(AND(FD239&lt;&gt;FD238,BY238=2,BZ238&lt;=1),0,MIN(10,CA238+IF(AND(DG239&lt;&gt;DG238,DH238&lt;&gt;"洞穿",SUMIFS($FE$3:FE238,$DG$3:DG238,DG238)=0,BY238=1),3,0)))</f>
        <v>10</v>
      </c>
      <c r="X239" s="1">
        <f t="shared" si="252"/>
        <v>13</v>
      </c>
      <c r="Y239" s="1">
        <f t="shared" si="253"/>
        <v>0</v>
      </c>
      <c r="Z239" s="1">
        <f t="shared" si="254"/>
        <v>0</v>
      </c>
      <c r="AA239" s="1">
        <f t="shared" si="255"/>
        <v>0</v>
      </c>
      <c r="AB239" s="1">
        <f t="shared" si="256"/>
        <v>10</v>
      </c>
      <c r="AC239" s="1">
        <f t="shared" si="257"/>
        <v>1</v>
      </c>
      <c r="AD239" s="1">
        <f t="shared" si="258"/>
        <v>35</v>
      </c>
      <c r="AE239" s="1">
        <f>IF(D239="",0,IF(DG239&lt;&gt;DG238,IFERROR(INDEX(回合状态!$F$7:$F$17,MATCH(DG239,回合状态!$A$7:$A$17,0)),0),CI238))</f>
        <v>0</v>
      </c>
      <c r="AF239" s="1">
        <f t="shared" si="259"/>
        <v>0.875</v>
      </c>
      <c r="AG239" s="1">
        <f t="shared" si="260"/>
        <v>9</v>
      </c>
      <c r="AH239" s="1">
        <f t="shared" si="261"/>
        <v>9</v>
      </c>
      <c r="AI239" s="1">
        <f t="shared" si="262"/>
        <v>8</v>
      </c>
      <c r="AJ239" s="1">
        <f t="shared" si="263"/>
        <v>9</v>
      </c>
      <c r="AK239" s="1">
        <f t="shared" si="264"/>
        <v>8</v>
      </c>
      <c r="AL239" s="1">
        <f t="shared" si="265"/>
        <v>3</v>
      </c>
      <c r="AM239" s="1">
        <f t="shared" si="266"/>
        <v>30</v>
      </c>
      <c r="AN239" s="1">
        <f t="shared" si="267"/>
        <v>9</v>
      </c>
      <c r="AO239" s="1">
        <f t="shared" si="268"/>
        <v>0</v>
      </c>
      <c r="AP239" s="1" t="e">
        <f t="shared" si="269"/>
        <v>#VALUE!</v>
      </c>
      <c r="AQ239" s="1" t="e">
        <f t="shared" si="270"/>
        <v>#VALUE!</v>
      </c>
      <c r="AR239" s="1">
        <f t="shared" si="271"/>
        <v>0.3</v>
      </c>
      <c r="AS239" s="1">
        <f t="shared" si="272"/>
        <v>9</v>
      </c>
      <c r="AT239" s="1">
        <f t="shared" si="273"/>
        <v>0.3</v>
      </c>
      <c r="AU239" s="1">
        <f t="shared" si="274"/>
        <v>9</v>
      </c>
      <c r="AV239" s="1">
        <f>MIN(5,SUMIFS($EL$3:EL239,$B$3:B239,"&gt;="&amp;MAX(1,B239-2),$B$3:B239,"&lt;="&amp;B239)+EC239)</f>
        <v>0</v>
      </c>
      <c r="AW239" s="1">
        <f>MIN(6,SUMIFS($EY$3:EY238,$EX$3:EX238,"&gt;="&amp;MAX(1,EX239-Boss参数!$B$87+1),$EX$3:EX238,"&lt;="&amp;EX239))</f>
        <v>0</v>
      </c>
      <c r="AX239" s="1">
        <f>MIN(4,COUNTIFS($B$3:$B$238,"&gt;="&amp;MAX(1,$B239-2),$B$3:$B$238,"&lt;="&amp;$B239,$L$3:$L$238,"37_FOLLOW"))</f>
        <v>0</v>
      </c>
      <c r="AY239" s="1" t="str">
        <f>IF($E239="","",IF($E239="系统",0,ROUNDDOWN(INDEX(角色面板!$C$4:$C$7,MATCH($E239,角色面板!$A$4:$A$7,0))*(1+INDEX(角色面板!$C$11:$C$14,MATCH($E239,角色面板!$A$11:$A$14,0))+IF($E239="小瑞安侬",MAX(IF($B239&lt;=$AQ239,$AP239,0),IF(AND($L239="RHI_ATTACK",$EE239&gt;0),0.11+0.01*$G239,0)),0)+IF($E239="J",$AD239*Boss参数!$B$18,0))+IF(FD239&lt;=$AN239,MIN(Boss参数!$B$21,ROUNDDOWN(角色面板!$C$19*Boss参数!$B$20,0)),0)+IF(AND($B239&lt;=$AK239,$E239&lt;&gt;"小瑞安侬"),$DY239,0),0)))</f>
        <v/>
      </c>
      <c r="AZ239" s="1" t="str">
        <f>IF($E239="","",MAX(0,MIN(1,IFERROR(INDEX(角色面板!$G$18:$G$21,MATCH($E239,角色面板!$A$18:$A$21,0)),0)-FC239*Boss参数!$B$89-Boss参数!$E$4)))</f>
        <v/>
      </c>
      <c r="BA239" s="1" t="str">
        <f>IF(E239="","",(IF($E239="","",IF($E239="红弩箭",Boss参数!$B$80,IF($E239="J",Boss参数!$B$81,IFERROR(INDEX(角色面板!$H$18:$H$21,MATCH($E239,角色面板!$A$18:$A$21,0)),0)))+IF($B239&lt;=$AI239,Boss参数!$B$13,0)+MIN(30,$AM239)*Boss参数!$B$17+IF(AND($L239="LILYA_ULT",$X239&gt;=6),1,0)+IF(AND($Y239=1,$L239="LILYA_INSIGHT"),IF(MOD($AA239+1,3)=0,Boss参数!$B$83,Boss参数!$B$82),IF(AND($Y239=1,$L239="LILYA_FINISH"),Boss参数!$B$84,0))))-FC239*Boss参数!$B$90)</f>
        <v/>
      </c>
      <c r="BB239" s="1" t="str">
        <f>IF($E239="","",IFERROR(INDEX(角色面板!$M$18:$M$21,MATCH($E239,角色面板!$A$18:$A$21,0)),0)+$AW239*Boss参数!$B$12+IF($B239&lt;=$AG239,$AF239,0)+$EI239+IF($L239="LILYA_DIVE",IF($U239=1,IF($G239=1,0.3,IF($G239=2,0.4,0.5)),IF($U239=2,IF($G239=1,0.6,IF($G239=2,0.8,1)),0)),0)+$R239+IF(AND($E239="J",OR($L239="J_COUNTER",$L239="J_HARD")),Boss参数!$B$79,0)+IF(AND(OR(L239="J_COUNTER",L239="J_HARD"),FA239&gt;=Boss参数!$B$59),FA239*Boss参数!$B$40,0))</f>
        <v/>
      </c>
      <c r="BC239" s="1" t="e">
        <f>IF($E239="","",IFERROR(INDEX(角色面板!$K$18:$K$21,MATCH($E239,角色面板!$A$18:$A$21,0)),0)+IF($B239&lt;=$AH239,Boss参数!$B$46,0)+IF($E239="红弩箭",IF($U239=1,0.6,IF($U239=2,1.2,0))+$W239*0.06,0))-DI239*Boss参数!$B$23</f>
        <v>#VALUE!</v>
      </c>
      <c r="BD239" s="1" t="e">
        <f>IF($E239="","",IFERROR(INDEX(角色面板!$L$18:$L$21,MATCH($E239,角色面板!$A$18:$A$21,0)),0)+IF($B239&lt;=$AH239,Boss参数!$B$46,0)+IF($E239="J",$AL239*Boss参数!$B$16,0)+IF($E239="红弩箭",$X239*0.025,0)+IF(AND($L239="LILYA_ULT",$X239&gt;=6),1,0))-DI239*Boss参数!$B$23</f>
        <v>#VALUE!</v>
      </c>
      <c r="BE239" s="1" t="str">
        <f>IF($E239="","",IF($H239="洞知",IF($E239="红弩箭",$AO239*Boss参数!$B$15,0)+$AX239*Boss参数!$B$14,0))</f>
        <v/>
      </c>
      <c r="BF239" s="1">
        <f t="shared" si="211"/>
        <v>0</v>
      </c>
      <c r="BG239" s="1">
        <f>IF($D239="",0,IF(AND($L239&lt;&gt;"LILYA_DIVE",$L239&lt;&gt;"LILYA_ULT",$L239&lt;&gt;"LILYA_INSIGHT",$L239&lt;&gt;"LILYA_FINISH",$L239&lt;&gt;"37_FOLLOW",$L239&lt;&gt;"RHI_ATTACK",$L239&lt;&gt;"RHI_BERRY",$L239&lt;&gt;"J_COUNTER",$L239&lt;&gt;"J_ULT"),$J239,0)+IF($L239="LILYA_DIVE",$J239+IF($U239=1,IF($G239=1,6,IF($G239=2,12,18)),IF($U239=2,IF($G239=1,12,IF($G239=2,24,36)),0)),0)+IF($L239="LILYA_ULT",$J239+IF($X239&gt;=6,18,0),0)+IF($L239="LILYA_INSIGHT",IF($Y239=1,IF(MOD($AA239+1,3)=0,32,15),0),0)+IF($L239="LILYA_FINISH",IF($Y239=1,50+2.5*$Z239,0),0)+IF($L239="37_FOLLOW",$J239,0)+IF($L239="RHI_ATTACK",$J239*IF($B239&lt;=$AJ239,2,1),0)+IF($L239="RHI_BERRY",15+1.5*$AV239,0)+IF($L239="J_COUNTER",$J239+$AD239*Boss参数!$B$39,0)+IF($L239="J_ULT",$J239+Boss参数!$B$45*MAX(0,$AE239+$AD239-Boss参数!$I$4),0)+$S239)</f>
        <v>0</v>
      </c>
      <c r="BH239" s="1">
        <f t="shared" si="212"/>
        <v>0</v>
      </c>
      <c r="BI239" s="1" t="str">
        <f>IF(E239="","",IF(DT239=1,1+Boss参数!$B$8+AV239*Boss参数!$B$19,1))</f>
        <v/>
      </c>
      <c r="BJ239" s="1">
        <f>IF($I239="现实",Boss参数!$C$4,IF($I239="精神",Boss参数!$D$4,0))</f>
        <v>0</v>
      </c>
      <c r="BK239" s="1" t="str">
        <f>IF($E239="","",MAX($AY239*Boss参数!$B$9,$AY239-$BJ239*(1-$BF239)))</f>
        <v/>
      </c>
      <c r="BL239" s="1">
        <f>MAX(0,Boss参数!$F$4+IF(DT239=0,Boss参数!$B$27,0)-EJ239)</f>
        <v>1.25</v>
      </c>
      <c r="BM239" s="1">
        <f>Boss参数!$G$4+DU239-IF(Y239=1,Boss参数!$B$11,0)</f>
        <v>0.4</v>
      </c>
      <c r="BN239" s="1" t="str">
        <f>IF($E239="","",MAX(Boss参数!$B$10,1+IFERROR(INDEX(角色面板!$I$18:$I$21,MATCH($E239,角色面板!$A$18:$A$21,0)),0)+$BB239+Boss参数!$H$4-$BM239))</f>
        <v/>
      </c>
      <c r="BO239" s="1" t="str">
        <f>IF(E239="","",IF(OR(L239="J_COUNTER",L239="J_HARD"),MAX(0,1+INDEX(角色面板!$K$18:$K$21,MATCH(E239,角色面板!$A$18:$A$21,0))-DI239*Boss参数!$B$23+IF(OR(Boss参数!$B$43=1,L239="J_HARD"),IF(B239&lt;=AH239,Boss参数!$B$46,0),0)),MAX(0,IF(OR(H239="术法",L239="RHI_BERRY",AND(L239="37_FOLLOW",Boss参数!$B$31=1)),1+BC239,IF(H239="仪式",1+BD239,IF(H239="洞知",EK239,1))))))</f>
        <v/>
      </c>
      <c r="BP239" s="1" t="str">
        <f t="shared" si="213"/>
        <v/>
      </c>
      <c r="BQ239" s="1">
        <f t="shared" si="214"/>
        <v>0</v>
      </c>
      <c r="BR239" s="1">
        <f t="shared" si="215"/>
        <v>0</v>
      </c>
      <c r="BS239" s="1">
        <f>IF(BH239=0,0,ROUNDDOWN(AY239*BH239,0)*DV239*IF(Boss参数!$B$29=1,BN239,1)*IF(Boss参数!$B$33=1,BO239,1)*IF(Boss参数!$B$76=1,1-ES239,1))</f>
        <v>0</v>
      </c>
      <c r="BT239" s="1">
        <f t="shared" si="216"/>
        <v>0</v>
      </c>
      <c r="BU239" s="1">
        <f>IF(D239="",0,MIN(IF(Boss参数!$B$77=1,Boss参数!$B$63*Boss参数!$B$62,Boss参数!$B$61*Boss参数!$B$62),DW239+ROUNDDOWN(BS239,0)+ROUNDDOWN(DW239*Q239,0)))</f>
        <v>0</v>
      </c>
      <c r="BV239" s="1">
        <f>IF(D239="",0,MIN(IF(Boss参数!$B$77=1,Boss参数!$B$63*Boss参数!$B$62,Boss参数!$B$61*Boss参数!$B$62),DX239+ROUNDDOWN(BT239,0)+ROUNDDOWN(DX239*Q239,0)))</f>
        <v>0</v>
      </c>
      <c r="BW239" s="1">
        <f t="shared" si="217"/>
        <v>0</v>
      </c>
      <c r="BX239" s="1" t="str">
        <f t="shared" si="218"/>
        <v/>
      </c>
      <c r="BY239" s="1">
        <f t="shared" si="219"/>
        <v>2</v>
      </c>
      <c r="BZ239" s="1">
        <f t="shared" si="220"/>
        <v>1</v>
      </c>
      <c r="CA239" s="1">
        <f>MIN(10,W239+IF(AND(L239="LILYA_COBRA",COUNTIF($L$3:L239,"LILYA_COBRA")=1),5,0)+IF(AND(L239="LILYA_DIVE",U239=1,COUNTIFS($DG$3:DG239,DG239,$L$3:L239,"LILYA_DIVE")=1),2,0)+IF(AND(FE239=1,U239=1),3,0))</f>
        <v>10</v>
      </c>
      <c r="CB239" s="1">
        <f>MIN(20,MAX(0,X239+IF(L239="LILYA_COBRA",IF(COUNTIF($L$3:L239,"LILYA_COBRA")=1,6,IF(U239=1,MAX(1,G239),IF(U239=2,2*MAX(1,G239),0))),0)+IF(AND(Y239=1,E239="红弩箭",L239&lt;&gt;"ENTER_INSIGHT"),1,0)-IF(AND(L239="LILYA_ULT",X239&gt;=6),6,0)))</f>
        <v>13</v>
      </c>
      <c r="CC239" s="1">
        <f t="shared" si="221"/>
        <v>0</v>
      </c>
      <c r="CD239" s="1">
        <f t="shared" si="222"/>
        <v>0</v>
      </c>
      <c r="CE239" s="1">
        <f t="shared" si="223"/>
        <v>0</v>
      </c>
      <c r="CF239" s="1">
        <f t="shared" si="224"/>
        <v>10</v>
      </c>
      <c r="CG239" s="1">
        <f t="shared" si="225"/>
        <v>1</v>
      </c>
      <c r="CH239" s="1">
        <f>MIN(35,AD239+IF(L239="J_HARD",6,0)+IF(L239="J_COUNTER",Boss参数!$B$30,0))</f>
        <v>35</v>
      </c>
      <c r="CI239" s="1">
        <f>MIN(Boss参数!$I$4,AE239+IF(L239="J_HARD",6,0)+IF(L239="J_ULT",AD239,0)+IF(L239="J_COUNTER",Boss参数!$B$30,0))</f>
        <v>0</v>
      </c>
      <c r="CJ239" s="1">
        <f>IF(L239="J_ULT",AD239*Boss参数!$B$41,IF(B239&lt;=AG239,AF239,0))</f>
        <v>0.875</v>
      </c>
      <c r="CK239" s="1">
        <f t="shared" si="226"/>
        <v>9</v>
      </c>
      <c r="CL239" s="1">
        <f t="shared" si="227"/>
        <v>9</v>
      </c>
      <c r="CM239" s="1">
        <f t="shared" si="228"/>
        <v>8</v>
      </c>
      <c r="CN239" s="1">
        <f t="shared" si="229"/>
        <v>9</v>
      </c>
      <c r="CO239" s="1">
        <f t="shared" si="230"/>
        <v>8</v>
      </c>
      <c r="CP239" s="1">
        <f t="shared" si="231"/>
        <v>3</v>
      </c>
      <c r="CQ239" s="1">
        <f t="shared" si="232"/>
        <v>30</v>
      </c>
      <c r="CR239" s="1">
        <f t="shared" si="233"/>
        <v>9</v>
      </c>
      <c r="CS239" s="1">
        <f t="shared" si="234"/>
        <v>0</v>
      </c>
      <c r="CT239" s="1" t="e">
        <f t="shared" si="235"/>
        <v>#VALUE!</v>
      </c>
      <c r="CU239" s="1" t="e">
        <f t="shared" si="236"/>
        <v>#VALUE!</v>
      </c>
      <c r="CV239" s="1">
        <f t="shared" si="237"/>
        <v>0.3</v>
      </c>
      <c r="CW239" s="1">
        <f t="shared" si="238"/>
        <v>9</v>
      </c>
      <c r="CX239" s="1">
        <f t="shared" si="239"/>
        <v>0.3</v>
      </c>
      <c r="CY239" s="1">
        <f t="shared" si="240"/>
        <v>9</v>
      </c>
      <c r="CZ239" s="1"/>
      <c r="DA239" s="1"/>
      <c r="DB239" s="1"/>
      <c r="DC239" s="1"/>
      <c r="DD239" s="1"/>
      <c r="DE239" s="1"/>
      <c r="DF239" s="1"/>
      <c r="DG239" s="1" t="str">
        <f>IF(D239="","",行动模拟!B245)</f>
        <v/>
      </c>
      <c r="DH239" s="1" t="str">
        <f>IF(L239="END_TURN","回合结束",IF(D239="","",IF(INDEX(回合状态!$C$7:$C$17,MATCH(DG239,回合状态!$A$7:$A$17,0))="洞穿","洞穿",IF(OR(L239="J_COUNTER",L239="BOSS_ACTION",L239="BOSS_CONSERVATIVE"),"敌方",IF(AND(L239="37_FOLLOW",DG239=DG238,DH238="敌方"),"敌方",IF(INDEX(回合状态!$C$7:$C$17,MATCH(DG239,回合状态!$A$7:$A$17,0))="普通","出牌",INDEX(回合状态!$C$7:$C$17,MATCH(DG239,回合状态!$A$7:$A$17,0))))))))</f>
        <v/>
      </c>
      <c r="DI239" s="1">
        <f t="shared" si="241"/>
        <v>0</v>
      </c>
      <c r="DJ239" s="1">
        <f>IF(D239="",0,MIN(Boss参数!$B$25,IF(OR(AND(DH239="敌方",OR(DH238&lt;&gt;"敌方",DG239&lt;&gt;DG238)),AND(L239="END_TURN",DH239&lt;&gt;"洞穿"),AND(DG239&lt;&gt;DG238,DH238&lt;&gt;"洞穿",L238&lt;&gt;"END_TURN",COUNTIFS($DG$3:DG238,DG238,$DH$3:DH238,"敌方")=0)),EW239,DN238)))</f>
        <v>0</v>
      </c>
      <c r="DK239" s="1">
        <f>IF(D239="",0,MIN(Boss参数!$B$25,IF(OR(AND(DH239="敌方",OR(DH238&lt;&gt;"敌方",DG239&lt;&gt;DG238)),AND(L239="END_TURN",DH239&lt;&gt;"洞穿"),AND(DG239&lt;&gt;DG238,DH238&lt;&gt;"洞穿",L238&lt;&gt;"END_TURN",COUNTIFS($DG$3:DG238,DG238,$DH$3:DH238,"敌方")=0)),EW239,DO238)))</f>
        <v>0</v>
      </c>
      <c r="DL239" s="1">
        <f>IF(D239="",0,MIN(Boss参数!$B$25,IF(OR(AND(DH239="敌方",OR(DH238&lt;&gt;"敌方",DG239&lt;&gt;DG238)),AND(L239="END_TURN",DH239&lt;&gt;"洞穿"),AND(DG239&lt;&gt;DG238,DH238&lt;&gt;"洞穿",L238&lt;&gt;"END_TURN",COUNTIFS($DG$3:DG238,DG238,$DH$3:DH238,"敌方")=0)),EW239,DP238)))</f>
        <v>0</v>
      </c>
      <c r="DM239" s="1">
        <f>IF(D239="",0,MIN(Boss参数!$B$25,IF(OR(AND(DH239="敌方",OR(DH238&lt;&gt;"敌方",DG239&lt;&gt;DG238)),AND(L239="END_TURN",DH239&lt;&gt;"洞穿"),AND(DG239&lt;&gt;DG238,DH238&lt;&gt;"洞穿",L238&lt;&gt;"END_TURN",COUNTIFS($DG$3:DG238,DG238,$DH$3:DH238,"敌方")=0)),EW239,DQ238)))</f>
        <v>0</v>
      </c>
      <c r="DN239" s="1">
        <f>MAX(0,MIN(Boss参数!$B$25,DJ239+DR239)-IF(E239="红弩箭",2*DR239,0))</f>
        <v>0</v>
      </c>
      <c r="DO239" s="1">
        <f>MAX(0,MIN(Boss参数!$B$25,DK239+DR239)-IF(E239="37",2*DR239,0))</f>
        <v>0</v>
      </c>
      <c r="DP239" s="1">
        <f>MAX(0,MIN(Boss参数!$B$25,DL239+DR239)-IF(E239="小瑞安侬",2*DR239,0))</f>
        <v>0</v>
      </c>
      <c r="DQ239" s="1">
        <f>MAX(0,MIN(Boss参数!$B$25,DM239+DR239)-IF(E239="J",2*DR239,0))</f>
        <v>0</v>
      </c>
      <c r="DR239" s="1">
        <f t="shared" si="242"/>
        <v>0</v>
      </c>
      <c r="DS239" s="1">
        <f t="shared" si="243"/>
        <v>0</v>
      </c>
      <c r="DT239" s="1">
        <f>IF(OR(E239="",E239="系统"),0,IF(OR(AND(DS239=1,Boss参数!$B$32=1),L239="RHI_BERRY",OR(AND(INDEX(角色面板!$B$18:$B$21,MATCH(E239,角色面板!$A$18:$A$21,0))="星",Boss参数!$B$4="岩"),AND(INDEX(角色面板!$B$18:$B$21,MATCH(E239,角色面板!$A$18:$A$21,0))="岩",Boss参数!$B$4="兽"),AND(INDEX(角色面板!$B$18:$B$21,MATCH(E239,角色面板!$A$18:$A$21,0))="兽",Boss参数!$B$4="木"),AND(INDEX(角色面板!$B$18:$B$21,MATCH(E239,角色面板!$A$18:$A$21,0))="木",Boss参数!$B$4="星"),AND(INDEX(角色面板!$B$18:$B$21,MATCH(E239,角色面板!$A$18:$A$21,0))="智",Boss参数!$B$4="灵"),AND(INDEX(角色面板!$B$18:$B$21,MATCH(E239,角色面板!$A$18:$A$21,0))="灵",Boss参数!$B$4="智"))),1,0))</f>
        <v>0</v>
      </c>
      <c r="DU239" s="1">
        <f>IF(D239="",0,INDEX(回合状态!$E$7:$E$17,MATCH(DG239,回合状态!$A$7:$A$17,0))+IF(AND(DH239="敌方",OR(INDEX(回合状态!$C$7:$C$17,MATCH(DG239,回合状态!$A$7:$A$17,0))="普通",INDEX(回合状态!$C$7:$C$17,MATCH(DG239,回合状态!$A$7:$A$17,0))="额外")),0.05,0))</f>
        <v>0</v>
      </c>
      <c r="DV239" s="1">
        <f>MAX(Boss参数!$B$28,1+IF(AND(E239="37",AC239&gt;0,BH239&gt;0),Boss参数!$B$42,0)-DI239*Boss参数!$B$24+EA239-ER239)</f>
        <v>9.9999999999999978E-2</v>
      </c>
      <c r="DW239" s="1">
        <f>MIN(IF(Boss参数!$B$77=1,Boss参数!$B$63*Boss参数!$B$62,Boss参数!$B$61*Boss参数!$B$62),ROUNDDOWN(BQ239*(1-ES239),0))</f>
        <v>0</v>
      </c>
      <c r="DX239" s="1">
        <f>MIN(IF(Boss参数!$B$77=1,Boss参数!$B$63*Boss参数!$B$62,Boss参数!$B$61*Boss参数!$B$62),ROUNDDOWN(BR239*(1-ES239),0))</f>
        <v>0</v>
      </c>
      <c r="DY239" s="1">
        <f t="shared" si="275"/>
        <v>250</v>
      </c>
      <c r="DZ239" s="1">
        <f>IF(L239="RHI_ULT",MIN(Boss参数!$B$48,ROUNDDOWN(AY239*Boss参数!$B$47,0)),DY239)</f>
        <v>250</v>
      </c>
      <c r="EA239" s="1">
        <v>0</v>
      </c>
      <c r="EB239" s="1">
        <f t="shared" si="244"/>
        <v>0</v>
      </c>
      <c r="EC239" s="1">
        <f>SUMIFS($EB$3:EB239,$B$3:B239,"&gt;="&amp;MAX(1,B239-2),$B$3:B239,"&lt;="&amp;B239)*Boss参数!$B$51</f>
        <v>0</v>
      </c>
      <c r="ED239" s="1">
        <f>IF(D239="",EG238,IF(AND(DG239&lt;&gt;DG238,DH239&lt;&gt;"洞穿"),MIN(Boss参数!$B$55,EG238+2),EG238))</f>
        <v>0</v>
      </c>
      <c r="EE239" s="1">
        <f t="shared" si="245"/>
        <v>0</v>
      </c>
      <c r="EF239" s="1">
        <f>IF(AND(OR(L239="END_TURN",AND(DH239="敌方",OR(DH238&lt;&gt;"敌方",DG239&lt;&gt;DG238))),SUMIFS($EF$3:EF238,$DG$3:DG238,DG239)=0),MIN(1,MAX(0,ED239-EE239)),0)</f>
        <v>0</v>
      </c>
      <c r="EG239" s="1">
        <f t="shared" si="246"/>
        <v>0</v>
      </c>
      <c r="EH239" s="1">
        <f>Boss参数!$B$53-IF(Y239=1,Boss参数!$B$54,0)</f>
        <v>0</v>
      </c>
      <c r="EI239" s="1">
        <f t="shared" si="247"/>
        <v>0.15</v>
      </c>
      <c r="EJ239" s="1">
        <f t="shared" si="248"/>
        <v>0.15</v>
      </c>
      <c r="EK239" s="1" t="e">
        <f t="shared" si="249"/>
        <v>#VALUE!</v>
      </c>
      <c r="EL239" s="1">
        <f t="shared" si="276"/>
        <v>0</v>
      </c>
      <c r="EM239" s="1">
        <f>IF(AND(DG239&lt;&gt;DG238,DH239="洞穿"),0,IF(L239="ENTER_INSIGHT",Boss参数!$B$57,EO238))</f>
        <v>0</v>
      </c>
      <c r="EN239" s="1">
        <f>IF(AND(Y239=1,H239="洞知",EM239&gt;0),Boss参数!$B$56,0)</f>
        <v>0</v>
      </c>
      <c r="EO239" s="1">
        <f t="shared" si="250"/>
        <v>0</v>
      </c>
      <c r="EP239" s="1">
        <f t="shared" si="277"/>
        <v>23210479</v>
      </c>
      <c r="EQ239" s="1">
        <f>ROUNDDOWN(EP239/Boss参数!$B$62,0)</f>
        <v>232</v>
      </c>
      <c r="ER239" s="1">
        <f>IF(EQ239&gt;=Boss参数!$B$66,Boss参数!$B$69,IF(EQ239&gt;=Boss参数!$B$65,Boss参数!$B$68,IF(EQ239&gt;=Boss参数!$B$64,Boss参数!$B$67,0)))</f>
        <v>0.9</v>
      </c>
      <c r="ES239" s="1">
        <f>MIN(1,IF(EQ239&gt;=Boss参数!$B$66,Boss参数!$B$72+ROUNDDOWN((EQ239-Boss参数!$B$66)/Boss参数!$B$73,0)*Boss参数!$B$74,IF(EQ239&gt;=Boss参数!$B$65,Boss参数!$B$71,IF(EQ239&gt;=Boss参数!$B$64,Boss参数!$B$70,0))))</f>
        <v>0.65</v>
      </c>
      <c r="ET239" s="1">
        <f>MIN(Boss参数!$B$61*Boss参数!$B$62,EP239+IF(AND(Boss参数!$B$60=1,ISNUMBER(验证表!H245)),验证表!H245,EU239))</f>
        <v>23210479</v>
      </c>
      <c r="EU239" s="1">
        <f>IF(D239="",0,IF(验证表!G245="是",BV239,IF(验证表!G245="否",BU239,BW239)))</f>
        <v>0</v>
      </c>
      <c r="EV239" s="1">
        <f>IF(EQ239&gt;=Boss参数!$B$66,2,IF(EQ239&gt;=Boss参数!$B$65,1,0))</f>
        <v>2</v>
      </c>
      <c r="EW239" s="1">
        <f t="shared" si="251"/>
        <v>3</v>
      </c>
      <c r="EX239" s="1">
        <f>IF(D239="",0,INDEX(回合状态!$D$7:$D$17,MATCH(DG239,回合状态!$A$7:$A$17,0)))</f>
        <v>0</v>
      </c>
      <c r="EY239" s="1">
        <f>IF(OR(L239="RHI_ATTACK",L239="RHI_BUFF"),1,IF(L239="RHI_ULT",Boss参数!$B$52,0))</f>
        <v>0</v>
      </c>
      <c r="EZ239" s="1">
        <f>MIN(6,SUMIFS($EY$3:EY239,$EX$3:EX239,"&gt;="&amp;MAX(1,EX239-Boss参数!$B$87+1),$EX$3:EX239,"&lt;="&amp;EX239))</f>
        <v>0</v>
      </c>
      <c r="FA239" s="1">
        <f t="shared" si="278"/>
        <v>0</v>
      </c>
      <c r="FB239" s="17">
        <f>IF(L239="BOSS_CONSERVATIVE",B239+Boss参数!$B$91,FB238)</f>
        <v>7</v>
      </c>
      <c r="FC239" s="17">
        <f t="shared" si="279"/>
        <v>0</v>
      </c>
      <c r="FD239" s="17">
        <f>IF(D239="",FD238,FD238+IF(AND(DG239&lt;&gt;DG238,INDEX(回合状态!$C$7:$C$17,MATCH(DG239,回合状态!$A$7:$A$17,0))&lt;&gt;"洞穿"),1,0))</f>
        <v>8</v>
      </c>
      <c r="FE239" s="17">
        <f>IF(D239="",0,IF(AND(OR(L239="END_TURN",DH239="敌方"),INDEX(回合状态!$C$7:$C$17,MATCH(DG239,回合状态!$A$7:$A$17,0))&lt;&gt;"洞穿",SUMIFS($FE$3:FE238,$DG$3:DG238,DG239)=0),1,0))</f>
        <v>0</v>
      </c>
    </row>
    <row r="240" spans="1:161" ht="84.95" customHeight="1">
      <c r="A240" s="1" t="str">
        <f>行动模拟!A246</f>
        <v/>
      </c>
      <c r="B240" s="1">
        <f>IF(D240="",0,INDEX(回合状态!$B$7:$B$17,MATCH(DG240,回合状态!$A$7:$A$17,0)))</f>
        <v>0</v>
      </c>
      <c r="C240" s="1">
        <f>行动模拟!C246</f>
        <v>0</v>
      </c>
      <c r="D240" s="1" t="str">
        <f>IF(行动模拟!D246="","",行动模拟!D246)</f>
        <v/>
      </c>
      <c r="E240" s="1" t="str">
        <f>IF($D240="","",IFERROR(INDEX(技能数据库!$B$4:$B$38,MATCH($D240,技能数据库!$A$4:$A$38,0)),""))</f>
        <v/>
      </c>
      <c r="F240" s="1" t="str">
        <f>IF($D240="","",IFERROR(INDEX(技能数据库!$C$4:$C$38,MATCH($D240,技能数据库!$A$4:$A$38,0)),""))</f>
        <v/>
      </c>
      <c r="G240" s="1" t="str">
        <f>IF($D240="","",IFERROR(INDEX(技能数据库!$D$4:$D$38,MATCH($D240,技能数据库!$A$4:$A$38,0)),""))</f>
        <v/>
      </c>
      <c r="H240" s="1" t="str">
        <f>IF($D240="","",IFERROR(INDEX(技能数据库!$E$4:$E$38,MATCH($D240,技能数据库!$A$4:$A$38,0)),""))</f>
        <v/>
      </c>
      <c r="I240" s="1" t="str">
        <f>IF($D240="","",IFERROR(INDEX(技能数据库!$F$4:$F$38,MATCH($D240,技能数据库!$A$4:$A$38,0)),""))</f>
        <v/>
      </c>
      <c r="J240" s="1" t="str">
        <f>IF($D240="","",IFERROR(INDEX(技能数据库!$G$4:$G$38,MATCH($D240,技能数据库!$A$4:$A$38,0)),""))</f>
        <v/>
      </c>
      <c r="K240" s="1" t="str">
        <f>IF($D240="","",IFERROR(INDEX(技能数据库!$H$4:$H$38,MATCH($D240,技能数据库!$A$4:$A$38,0)),""))</f>
        <v/>
      </c>
      <c r="L240" s="1" t="str">
        <f>IF($D240="","",IFERROR(INDEX(技能数据库!$I$4:$I$38,MATCH($D240,技能数据库!$A$4:$A$38,0)),""))</f>
        <v/>
      </c>
      <c r="M240" s="1">
        <v>1</v>
      </c>
      <c r="N240" s="1"/>
      <c r="O240" s="1"/>
      <c r="P240" s="1"/>
      <c r="Q240" s="1">
        <f t="shared" si="210"/>
        <v>0</v>
      </c>
      <c r="R240" s="1">
        <v>0</v>
      </c>
      <c r="S240" s="1">
        <v>0</v>
      </c>
      <c r="T240" s="1">
        <f>行动模拟!I246</f>
        <v>0</v>
      </c>
      <c r="U240" s="1">
        <f>IF(FD240&lt;&gt;FD239,IF(BY239=1,IF(MIN(10,CA239+IF(AND(DG240&lt;&gt;DG239,DH239&lt;&gt;"洞穿",SUMIFS($FE$3:FE239,$DG$3:DG239,DG239)=0,BY239=1),3,0))&gt;=10,2,1),IF(BY239=2,IF(BZ239&lt;=1,0,2),0)),BY239)</f>
        <v>2</v>
      </c>
      <c r="V240" s="1">
        <f>IF(FD240&lt;&gt;FD239,IF(BY239=1,IF(MIN(10,CA239+IF(AND(DG240&lt;&gt;DG239,DH239&lt;&gt;"洞穿",SUMIFS($FE$3:FE239,$DG$3:DG239,DG239)=0,BY239=1),3,0))&gt;=10,2,0),IF(BY239=2,MAX(0,BZ239-1),0)),BZ239)</f>
        <v>1</v>
      </c>
      <c r="W240" s="1">
        <f>IF(AND(FD240&lt;&gt;FD239,BY239=2,BZ239&lt;=1),0,MIN(10,CA239+IF(AND(DG240&lt;&gt;DG239,DH239&lt;&gt;"洞穿",SUMIFS($FE$3:FE239,$DG$3:DG239,DG239)=0,BY239=1),3,0)))</f>
        <v>10</v>
      </c>
      <c r="X240" s="1">
        <f t="shared" si="252"/>
        <v>13</v>
      </c>
      <c r="Y240" s="1">
        <f t="shared" si="253"/>
        <v>0</v>
      </c>
      <c r="Z240" s="1">
        <f t="shared" si="254"/>
        <v>0</v>
      </c>
      <c r="AA240" s="1">
        <f t="shared" si="255"/>
        <v>0</v>
      </c>
      <c r="AB240" s="1">
        <f t="shared" si="256"/>
        <v>10</v>
      </c>
      <c r="AC240" s="1">
        <f t="shared" si="257"/>
        <v>1</v>
      </c>
      <c r="AD240" s="1">
        <f t="shared" si="258"/>
        <v>35</v>
      </c>
      <c r="AE240" s="1">
        <f>IF(D240="",0,IF(DG240&lt;&gt;DG239,IFERROR(INDEX(回合状态!$F$7:$F$17,MATCH(DG240,回合状态!$A$7:$A$17,0)),0),CI239))</f>
        <v>0</v>
      </c>
      <c r="AF240" s="1">
        <f t="shared" si="259"/>
        <v>0.875</v>
      </c>
      <c r="AG240" s="1">
        <f t="shared" si="260"/>
        <v>9</v>
      </c>
      <c r="AH240" s="1">
        <f t="shared" si="261"/>
        <v>9</v>
      </c>
      <c r="AI240" s="1">
        <f t="shared" si="262"/>
        <v>8</v>
      </c>
      <c r="AJ240" s="1">
        <f t="shared" si="263"/>
        <v>9</v>
      </c>
      <c r="AK240" s="1">
        <f t="shared" si="264"/>
        <v>8</v>
      </c>
      <c r="AL240" s="1">
        <f t="shared" si="265"/>
        <v>3</v>
      </c>
      <c r="AM240" s="1">
        <f t="shared" si="266"/>
        <v>30</v>
      </c>
      <c r="AN240" s="1">
        <f t="shared" si="267"/>
        <v>9</v>
      </c>
      <c r="AO240" s="1">
        <f t="shared" si="268"/>
        <v>0</v>
      </c>
      <c r="AP240" s="1" t="e">
        <f t="shared" si="269"/>
        <v>#VALUE!</v>
      </c>
      <c r="AQ240" s="1" t="e">
        <f t="shared" si="270"/>
        <v>#VALUE!</v>
      </c>
      <c r="AR240" s="1">
        <f t="shared" si="271"/>
        <v>0.3</v>
      </c>
      <c r="AS240" s="1">
        <f t="shared" si="272"/>
        <v>9</v>
      </c>
      <c r="AT240" s="1">
        <f t="shared" si="273"/>
        <v>0.3</v>
      </c>
      <c r="AU240" s="1">
        <f t="shared" si="274"/>
        <v>9</v>
      </c>
      <c r="AV240" s="1">
        <f>MIN(5,SUMIFS($EL$3:EL240,$B$3:B240,"&gt;="&amp;MAX(1,B240-2),$B$3:B240,"&lt;="&amp;B240)+EC240)</f>
        <v>0</v>
      </c>
      <c r="AW240" s="1">
        <f>MIN(6,SUMIFS($EY$3:EY239,$EX$3:EX239,"&gt;="&amp;MAX(1,EX240-Boss参数!$B$87+1),$EX$3:EX239,"&lt;="&amp;EX240))</f>
        <v>0</v>
      </c>
      <c r="AX240" s="1">
        <f>MIN(4,COUNTIFS($B$3:$B$239,"&gt;="&amp;MAX(1,$B240-2),$B$3:$B$239,"&lt;="&amp;$B240,$L$3:$L$239,"37_FOLLOW"))</f>
        <v>0</v>
      </c>
      <c r="AY240" s="1" t="str">
        <f>IF($E240="","",IF($E240="系统",0,ROUNDDOWN(INDEX(角色面板!$C$4:$C$7,MATCH($E240,角色面板!$A$4:$A$7,0))*(1+INDEX(角色面板!$C$11:$C$14,MATCH($E240,角色面板!$A$11:$A$14,0))+IF($E240="小瑞安侬",MAX(IF($B240&lt;=$AQ240,$AP240,0),IF(AND($L240="RHI_ATTACK",$EE240&gt;0),0.11+0.01*$G240,0)),0)+IF($E240="J",$AD240*Boss参数!$B$18,0))+IF(FD240&lt;=$AN240,MIN(Boss参数!$B$21,ROUNDDOWN(角色面板!$C$19*Boss参数!$B$20,0)),0)+IF(AND($B240&lt;=$AK240,$E240&lt;&gt;"小瑞安侬"),$DY240,0),0)))</f>
        <v/>
      </c>
      <c r="AZ240" s="1" t="str">
        <f>IF($E240="","",MAX(0,MIN(1,IFERROR(INDEX(角色面板!$G$18:$G$21,MATCH($E240,角色面板!$A$18:$A$21,0)),0)-FC240*Boss参数!$B$89-Boss参数!$E$4)))</f>
        <v/>
      </c>
      <c r="BA240" s="1" t="str">
        <f>IF(E240="","",(IF($E240="","",IF($E240="红弩箭",Boss参数!$B$80,IF($E240="J",Boss参数!$B$81,IFERROR(INDEX(角色面板!$H$18:$H$21,MATCH($E240,角色面板!$A$18:$A$21,0)),0)))+IF($B240&lt;=$AI240,Boss参数!$B$13,0)+MIN(30,$AM240)*Boss参数!$B$17+IF(AND($L240="LILYA_ULT",$X240&gt;=6),1,0)+IF(AND($Y240=1,$L240="LILYA_INSIGHT"),IF(MOD($AA240+1,3)=0,Boss参数!$B$83,Boss参数!$B$82),IF(AND($Y240=1,$L240="LILYA_FINISH"),Boss参数!$B$84,0))))-FC240*Boss参数!$B$90)</f>
        <v/>
      </c>
      <c r="BB240" s="1" t="str">
        <f>IF($E240="","",IFERROR(INDEX(角色面板!$M$18:$M$21,MATCH($E240,角色面板!$A$18:$A$21,0)),0)+$AW240*Boss参数!$B$12+IF($B240&lt;=$AG240,$AF240,0)+$EI240+IF($L240="LILYA_DIVE",IF($U240=1,IF($G240=1,0.3,IF($G240=2,0.4,0.5)),IF($U240=2,IF($G240=1,0.6,IF($G240=2,0.8,1)),0)),0)+$R240+IF(AND($E240="J",OR($L240="J_COUNTER",$L240="J_HARD")),Boss参数!$B$79,0)+IF(AND(OR(L240="J_COUNTER",L240="J_HARD"),FA240&gt;=Boss参数!$B$59),FA240*Boss参数!$B$40,0))</f>
        <v/>
      </c>
      <c r="BC240" s="1" t="e">
        <f>IF($E240="","",IFERROR(INDEX(角色面板!$K$18:$K$21,MATCH($E240,角色面板!$A$18:$A$21,0)),0)+IF($B240&lt;=$AH240,Boss参数!$B$46,0)+IF($E240="红弩箭",IF($U240=1,0.6,IF($U240=2,1.2,0))+$W240*0.06,0))-DI240*Boss参数!$B$23</f>
        <v>#VALUE!</v>
      </c>
      <c r="BD240" s="1" t="e">
        <f>IF($E240="","",IFERROR(INDEX(角色面板!$L$18:$L$21,MATCH($E240,角色面板!$A$18:$A$21,0)),0)+IF($B240&lt;=$AH240,Boss参数!$B$46,0)+IF($E240="J",$AL240*Boss参数!$B$16,0)+IF($E240="红弩箭",$X240*0.025,0)+IF(AND($L240="LILYA_ULT",$X240&gt;=6),1,0))-DI240*Boss参数!$B$23</f>
        <v>#VALUE!</v>
      </c>
      <c r="BE240" s="1" t="str">
        <f>IF($E240="","",IF($H240="洞知",IF($E240="红弩箭",$AO240*Boss参数!$B$15,0)+$AX240*Boss参数!$B$14,0))</f>
        <v/>
      </c>
      <c r="BF240" s="1">
        <f t="shared" si="211"/>
        <v>0</v>
      </c>
      <c r="BG240" s="1">
        <f>IF($D240="",0,IF(AND($L240&lt;&gt;"LILYA_DIVE",$L240&lt;&gt;"LILYA_ULT",$L240&lt;&gt;"LILYA_INSIGHT",$L240&lt;&gt;"LILYA_FINISH",$L240&lt;&gt;"37_FOLLOW",$L240&lt;&gt;"RHI_ATTACK",$L240&lt;&gt;"RHI_BERRY",$L240&lt;&gt;"J_COUNTER",$L240&lt;&gt;"J_ULT"),$J240,0)+IF($L240="LILYA_DIVE",$J240+IF($U240=1,IF($G240=1,6,IF($G240=2,12,18)),IF($U240=2,IF($G240=1,12,IF($G240=2,24,36)),0)),0)+IF($L240="LILYA_ULT",$J240+IF($X240&gt;=6,18,0),0)+IF($L240="LILYA_INSIGHT",IF($Y240=1,IF(MOD($AA240+1,3)=0,32,15),0),0)+IF($L240="LILYA_FINISH",IF($Y240=1,50+2.5*$Z240,0),0)+IF($L240="37_FOLLOW",$J240,0)+IF($L240="RHI_ATTACK",$J240*IF($B240&lt;=$AJ240,2,1),0)+IF($L240="RHI_BERRY",15+1.5*$AV240,0)+IF($L240="J_COUNTER",$J240+$AD240*Boss参数!$B$39,0)+IF($L240="J_ULT",$J240+Boss参数!$B$45*MAX(0,$AE240+$AD240-Boss参数!$I$4),0)+$S240)</f>
        <v>0</v>
      </c>
      <c r="BH240" s="1">
        <f t="shared" si="212"/>
        <v>0</v>
      </c>
      <c r="BI240" s="1" t="str">
        <f>IF(E240="","",IF(DT240=1,1+Boss参数!$B$8+AV240*Boss参数!$B$19,1))</f>
        <v/>
      </c>
      <c r="BJ240" s="1">
        <f>IF($I240="现实",Boss参数!$C$4,IF($I240="精神",Boss参数!$D$4,0))</f>
        <v>0</v>
      </c>
      <c r="BK240" s="1" t="str">
        <f>IF($E240="","",MAX($AY240*Boss参数!$B$9,$AY240-$BJ240*(1-$BF240)))</f>
        <v/>
      </c>
      <c r="BL240" s="1">
        <f>MAX(0,Boss参数!$F$4+IF(DT240=0,Boss参数!$B$27,0)-EJ240)</f>
        <v>1.25</v>
      </c>
      <c r="BM240" s="1">
        <f>Boss参数!$G$4+DU240-IF(Y240=1,Boss参数!$B$11,0)</f>
        <v>0.4</v>
      </c>
      <c r="BN240" s="1" t="str">
        <f>IF($E240="","",MAX(Boss参数!$B$10,1+IFERROR(INDEX(角色面板!$I$18:$I$21,MATCH($E240,角色面板!$A$18:$A$21,0)),0)+$BB240+Boss参数!$H$4-$BM240))</f>
        <v/>
      </c>
      <c r="BO240" s="1" t="str">
        <f>IF(E240="","",IF(OR(L240="J_COUNTER",L240="J_HARD"),MAX(0,1+INDEX(角色面板!$K$18:$K$21,MATCH(E240,角色面板!$A$18:$A$21,0))-DI240*Boss参数!$B$23+IF(OR(Boss参数!$B$43=1,L240="J_HARD"),IF(B240&lt;=AH240,Boss参数!$B$46,0),0)),MAX(0,IF(OR(H240="术法",L240="RHI_BERRY",AND(L240="37_FOLLOW",Boss参数!$B$31=1)),1+BC240,IF(H240="仪式",1+BD240,IF(H240="洞知",EK240,1))))))</f>
        <v/>
      </c>
      <c r="BP240" s="1" t="str">
        <f t="shared" si="213"/>
        <v/>
      </c>
      <c r="BQ240" s="1">
        <f t="shared" si="214"/>
        <v>0</v>
      </c>
      <c r="BR240" s="1">
        <f t="shared" si="215"/>
        <v>0</v>
      </c>
      <c r="BS240" s="1">
        <f>IF(BH240=0,0,ROUNDDOWN(AY240*BH240,0)*DV240*IF(Boss参数!$B$29=1,BN240,1)*IF(Boss参数!$B$33=1,BO240,1)*IF(Boss参数!$B$76=1,1-ES240,1))</f>
        <v>0</v>
      </c>
      <c r="BT240" s="1">
        <f t="shared" si="216"/>
        <v>0</v>
      </c>
      <c r="BU240" s="1">
        <f>IF(D240="",0,MIN(IF(Boss参数!$B$77=1,Boss参数!$B$63*Boss参数!$B$62,Boss参数!$B$61*Boss参数!$B$62),DW240+ROUNDDOWN(BS240,0)+ROUNDDOWN(DW240*Q240,0)))</f>
        <v>0</v>
      </c>
      <c r="BV240" s="1">
        <f>IF(D240="",0,MIN(IF(Boss参数!$B$77=1,Boss参数!$B$63*Boss参数!$B$62,Boss参数!$B$61*Boss参数!$B$62),DX240+ROUNDDOWN(BT240,0)+ROUNDDOWN(DX240*Q240,0)))</f>
        <v>0</v>
      </c>
      <c r="BW240" s="1">
        <f t="shared" si="217"/>
        <v>0</v>
      </c>
      <c r="BX240" s="1" t="str">
        <f t="shared" si="218"/>
        <v/>
      </c>
      <c r="BY240" s="1">
        <f t="shared" si="219"/>
        <v>2</v>
      </c>
      <c r="BZ240" s="1">
        <f t="shared" si="220"/>
        <v>1</v>
      </c>
      <c r="CA240" s="1">
        <f>MIN(10,W240+IF(AND(L240="LILYA_COBRA",COUNTIF($L$3:L240,"LILYA_COBRA")=1),5,0)+IF(AND(L240="LILYA_DIVE",U240=1,COUNTIFS($DG$3:DG240,DG240,$L$3:L240,"LILYA_DIVE")=1),2,0)+IF(AND(FE240=1,U240=1),3,0))</f>
        <v>10</v>
      </c>
      <c r="CB240" s="1">
        <f>MIN(20,MAX(0,X240+IF(L240="LILYA_COBRA",IF(COUNTIF($L$3:L240,"LILYA_COBRA")=1,6,IF(U240=1,MAX(1,G240),IF(U240=2,2*MAX(1,G240),0))),0)+IF(AND(Y240=1,E240="红弩箭",L240&lt;&gt;"ENTER_INSIGHT"),1,0)-IF(AND(L240="LILYA_ULT",X240&gt;=6),6,0)))</f>
        <v>13</v>
      </c>
      <c r="CC240" s="1">
        <f t="shared" si="221"/>
        <v>0</v>
      </c>
      <c r="CD240" s="1">
        <f t="shared" si="222"/>
        <v>0</v>
      </c>
      <c r="CE240" s="1">
        <f t="shared" si="223"/>
        <v>0</v>
      </c>
      <c r="CF240" s="1">
        <f t="shared" si="224"/>
        <v>10</v>
      </c>
      <c r="CG240" s="1">
        <f t="shared" si="225"/>
        <v>1</v>
      </c>
      <c r="CH240" s="1">
        <f>MIN(35,AD240+IF(L240="J_HARD",6,0)+IF(L240="J_COUNTER",Boss参数!$B$30,0))</f>
        <v>35</v>
      </c>
      <c r="CI240" s="1">
        <f>MIN(Boss参数!$I$4,AE240+IF(L240="J_HARD",6,0)+IF(L240="J_ULT",AD240,0)+IF(L240="J_COUNTER",Boss参数!$B$30,0))</f>
        <v>0</v>
      </c>
      <c r="CJ240" s="1">
        <f>IF(L240="J_ULT",AD240*Boss参数!$B$41,IF(B240&lt;=AG240,AF240,0))</f>
        <v>0.875</v>
      </c>
      <c r="CK240" s="1">
        <f t="shared" si="226"/>
        <v>9</v>
      </c>
      <c r="CL240" s="1">
        <f t="shared" si="227"/>
        <v>9</v>
      </c>
      <c r="CM240" s="1">
        <f t="shared" si="228"/>
        <v>8</v>
      </c>
      <c r="CN240" s="1">
        <f t="shared" si="229"/>
        <v>9</v>
      </c>
      <c r="CO240" s="1">
        <f t="shared" si="230"/>
        <v>8</v>
      </c>
      <c r="CP240" s="1">
        <f t="shared" si="231"/>
        <v>3</v>
      </c>
      <c r="CQ240" s="1">
        <f t="shared" si="232"/>
        <v>30</v>
      </c>
      <c r="CR240" s="1">
        <f t="shared" si="233"/>
        <v>9</v>
      </c>
      <c r="CS240" s="1">
        <f t="shared" si="234"/>
        <v>0</v>
      </c>
      <c r="CT240" s="1" t="e">
        <f t="shared" si="235"/>
        <v>#VALUE!</v>
      </c>
      <c r="CU240" s="1" t="e">
        <f t="shared" si="236"/>
        <v>#VALUE!</v>
      </c>
      <c r="CV240" s="1">
        <f t="shared" si="237"/>
        <v>0.3</v>
      </c>
      <c r="CW240" s="1">
        <f t="shared" si="238"/>
        <v>9</v>
      </c>
      <c r="CX240" s="1">
        <f t="shared" si="239"/>
        <v>0.3</v>
      </c>
      <c r="CY240" s="1">
        <f t="shared" si="240"/>
        <v>9</v>
      </c>
      <c r="CZ240" s="1"/>
      <c r="DA240" s="1"/>
      <c r="DB240" s="1"/>
      <c r="DC240" s="1"/>
      <c r="DD240" s="1"/>
      <c r="DE240" s="1"/>
      <c r="DF240" s="1"/>
      <c r="DG240" s="1" t="str">
        <f>IF(D240="","",行动模拟!B246)</f>
        <v/>
      </c>
      <c r="DH240" s="1" t="str">
        <f>IF(L240="END_TURN","回合结束",IF(D240="","",IF(INDEX(回合状态!$C$7:$C$17,MATCH(DG240,回合状态!$A$7:$A$17,0))="洞穿","洞穿",IF(OR(L240="J_COUNTER",L240="BOSS_ACTION",L240="BOSS_CONSERVATIVE"),"敌方",IF(AND(L240="37_FOLLOW",DG240=DG239,DH239="敌方"),"敌方",IF(INDEX(回合状态!$C$7:$C$17,MATCH(DG240,回合状态!$A$7:$A$17,0))="普通","出牌",INDEX(回合状态!$C$7:$C$17,MATCH(DG240,回合状态!$A$7:$A$17,0))))))))</f>
        <v/>
      </c>
      <c r="DI240" s="1">
        <f t="shared" si="241"/>
        <v>0</v>
      </c>
      <c r="DJ240" s="1">
        <f>IF(D240="",0,MIN(Boss参数!$B$25,IF(OR(AND(DH240="敌方",OR(DH239&lt;&gt;"敌方",DG240&lt;&gt;DG239)),AND(L240="END_TURN",DH240&lt;&gt;"洞穿"),AND(DG240&lt;&gt;DG239,DH239&lt;&gt;"洞穿",L239&lt;&gt;"END_TURN",COUNTIFS($DG$3:DG239,DG239,$DH$3:DH239,"敌方")=0)),EW240,DN239)))</f>
        <v>0</v>
      </c>
      <c r="DK240" s="1">
        <f>IF(D240="",0,MIN(Boss参数!$B$25,IF(OR(AND(DH240="敌方",OR(DH239&lt;&gt;"敌方",DG240&lt;&gt;DG239)),AND(L240="END_TURN",DH240&lt;&gt;"洞穿"),AND(DG240&lt;&gt;DG239,DH239&lt;&gt;"洞穿",L239&lt;&gt;"END_TURN",COUNTIFS($DG$3:DG239,DG239,$DH$3:DH239,"敌方")=0)),EW240,DO239)))</f>
        <v>0</v>
      </c>
      <c r="DL240" s="1">
        <f>IF(D240="",0,MIN(Boss参数!$B$25,IF(OR(AND(DH240="敌方",OR(DH239&lt;&gt;"敌方",DG240&lt;&gt;DG239)),AND(L240="END_TURN",DH240&lt;&gt;"洞穿"),AND(DG240&lt;&gt;DG239,DH239&lt;&gt;"洞穿",L239&lt;&gt;"END_TURN",COUNTIFS($DG$3:DG239,DG239,$DH$3:DH239,"敌方")=0)),EW240,DP239)))</f>
        <v>0</v>
      </c>
      <c r="DM240" s="1">
        <f>IF(D240="",0,MIN(Boss参数!$B$25,IF(OR(AND(DH240="敌方",OR(DH239&lt;&gt;"敌方",DG240&lt;&gt;DG239)),AND(L240="END_TURN",DH240&lt;&gt;"洞穿"),AND(DG240&lt;&gt;DG239,DH239&lt;&gt;"洞穿",L239&lt;&gt;"END_TURN",COUNTIFS($DG$3:DG239,DG239,$DH$3:DH239,"敌方")=0)),EW240,DQ239)))</f>
        <v>0</v>
      </c>
      <c r="DN240" s="1">
        <f>MAX(0,MIN(Boss参数!$B$25,DJ240+DR240)-IF(E240="红弩箭",2*DR240,0))</f>
        <v>0</v>
      </c>
      <c r="DO240" s="1">
        <f>MAX(0,MIN(Boss参数!$B$25,DK240+DR240)-IF(E240="37",2*DR240,0))</f>
        <v>0</v>
      </c>
      <c r="DP240" s="1">
        <f>MAX(0,MIN(Boss参数!$B$25,DL240+DR240)-IF(E240="小瑞安侬",2*DR240,0))</f>
        <v>0</v>
      </c>
      <c r="DQ240" s="1">
        <f>MAX(0,MIN(Boss参数!$B$25,DM240+DR240)-IF(E240="J",2*DR240,0))</f>
        <v>0</v>
      </c>
      <c r="DR240" s="1">
        <f t="shared" si="242"/>
        <v>0</v>
      </c>
      <c r="DS240" s="1">
        <f t="shared" si="243"/>
        <v>0</v>
      </c>
      <c r="DT240" s="1">
        <f>IF(OR(E240="",E240="系统"),0,IF(OR(AND(DS240=1,Boss参数!$B$32=1),L240="RHI_BERRY",OR(AND(INDEX(角色面板!$B$18:$B$21,MATCH(E240,角色面板!$A$18:$A$21,0))="星",Boss参数!$B$4="岩"),AND(INDEX(角色面板!$B$18:$B$21,MATCH(E240,角色面板!$A$18:$A$21,0))="岩",Boss参数!$B$4="兽"),AND(INDEX(角色面板!$B$18:$B$21,MATCH(E240,角色面板!$A$18:$A$21,0))="兽",Boss参数!$B$4="木"),AND(INDEX(角色面板!$B$18:$B$21,MATCH(E240,角色面板!$A$18:$A$21,0))="木",Boss参数!$B$4="星"),AND(INDEX(角色面板!$B$18:$B$21,MATCH(E240,角色面板!$A$18:$A$21,0))="智",Boss参数!$B$4="灵"),AND(INDEX(角色面板!$B$18:$B$21,MATCH(E240,角色面板!$A$18:$A$21,0))="灵",Boss参数!$B$4="智"))),1,0))</f>
        <v>0</v>
      </c>
      <c r="DU240" s="1">
        <f>IF(D240="",0,INDEX(回合状态!$E$7:$E$17,MATCH(DG240,回合状态!$A$7:$A$17,0))+IF(AND(DH240="敌方",OR(INDEX(回合状态!$C$7:$C$17,MATCH(DG240,回合状态!$A$7:$A$17,0))="普通",INDEX(回合状态!$C$7:$C$17,MATCH(DG240,回合状态!$A$7:$A$17,0))="额外")),0.05,0))</f>
        <v>0</v>
      </c>
      <c r="DV240" s="1">
        <f>MAX(Boss参数!$B$28,1+IF(AND(E240="37",AC240&gt;0,BH240&gt;0),Boss参数!$B$42,0)-DI240*Boss参数!$B$24+EA240-ER240)</f>
        <v>9.9999999999999978E-2</v>
      </c>
      <c r="DW240" s="1">
        <f>MIN(IF(Boss参数!$B$77=1,Boss参数!$B$63*Boss参数!$B$62,Boss参数!$B$61*Boss参数!$B$62),ROUNDDOWN(BQ240*(1-ES240),0))</f>
        <v>0</v>
      </c>
      <c r="DX240" s="1">
        <f>MIN(IF(Boss参数!$B$77=1,Boss参数!$B$63*Boss参数!$B$62,Boss参数!$B$61*Boss参数!$B$62),ROUNDDOWN(BR240*(1-ES240),0))</f>
        <v>0</v>
      </c>
      <c r="DY240" s="1">
        <f t="shared" si="275"/>
        <v>250</v>
      </c>
      <c r="DZ240" s="1">
        <f>IF(L240="RHI_ULT",MIN(Boss参数!$B$48,ROUNDDOWN(AY240*Boss参数!$B$47,0)),DY240)</f>
        <v>250</v>
      </c>
      <c r="EA240" s="1">
        <v>0</v>
      </c>
      <c r="EB240" s="1">
        <f t="shared" si="244"/>
        <v>0</v>
      </c>
      <c r="EC240" s="1">
        <f>SUMIFS($EB$3:EB240,$B$3:B240,"&gt;="&amp;MAX(1,B240-2),$B$3:B240,"&lt;="&amp;B240)*Boss参数!$B$51</f>
        <v>0</v>
      </c>
      <c r="ED240" s="1">
        <f>IF(D240="",EG239,IF(AND(DG240&lt;&gt;DG239,DH240&lt;&gt;"洞穿"),MIN(Boss参数!$B$55,EG239+2),EG239))</f>
        <v>0</v>
      </c>
      <c r="EE240" s="1">
        <f t="shared" si="245"/>
        <v>0</v>
      </c>
      <c r="EF240" s="1">
        <f>IF(AND(OR(L240="END_TURN",AND(DH240="敌方",OR(DH239&lt;&gt;"敌方",DG240&lt;&gt;DG239))),SUMIFS($EF$3:EF239,$DG$3:DG239,DG240)=0),MIN(1,MAX(0,ED240-EE240)),0)</f>
        <v>0</v>
      </c>
      <c r="EG240" s="1">
        <f t="shared" si="246"/>
        <v>0</v>
      </c>
      <c r="EH240" s="1">
        <f>Boss参数!$B$53-IF(Y240=1,Boss参数!$B$54,0)</f>
        <v>0</v>
      </c>
      <c r="EI240" s="1">
        <f t="shared" si="247"/>
        <v>0.15</v>
      </c>
      <c r="EJ240" s="1">
        <f t="shared" si="248"/>
        <v>0.15</v>
      </c>
      <c r="EK240" s="1" t="e">
        <f t="shared" si="249"/>
        <v>#VALUE!</v>
      </c>
      <c r="EL240" s="1">
        <f t="shared" si="276"/>
        <v>0</v>
      </c>
      <c r="EM240" s="1">
        <f>IF(AND(DG240&lt;&gt;DG239,DH240="洞穿"),0,IF(L240="ENTER_INSIGHT",Boss参数!$B$57,EO239))</f>
        <v>0</v>
      </c>
      <c r="EN240" s="1">
        <f>IF(AND(Y240=1,H240="洞知",EM240&gt;0),Boss参数!$B$56,0)</f>
        <v>0</v>
      </c>
      <c r="EO240" s="1">
        <f t="shared" si="250"/>
        <v>0</v>
      </c>
      <c r="EP240" s="1">
        <f t="shared" si="277"/>
        <v>23210479</v>
      </c>
      <c r="EQ240" s="1">
        <f>ROUNDDOWN(EP240/Boss参数!$B$62,0)</f>
        <v>232</v>
      </c>
      <c r="ER240" s="1">
        <f>IF(EQ240&gt;=Boss参数!$B$66,Boss参数!$B$69,IF(EQ240&gt;=Boss参数!$B$65,Boss参数!$B$68,IF(EQ240&gt;=Boss参数!$B$64,Boss参数!$B$67,0)))</f>
        <v>0.9</v>
      </c>
      <c r="ES240" s="1">
        <f>MIN(1,IF(EQ240&gt;=Boss参数!$B$66,Boss参数!$B$72+ROUNDDOWN((EQ240-Boss参数!$B$66)/Boss参数!$B$73,0)*Boss参数!$B$74,IF(EQ240&gt;=Boss参数!$B$65,Boss参数!$B$71,IF(EQ240&gt;=Boss参数!$B$64,Boss参数!$B$70,0))))</f>
        <v>0.65</v>
      </c>
      <c r="ET240" s="1">
        <f>MIN(Boss参数!$B$61*Boss参数!$B$62,EP240+IF(AND(Boss参数!$B$60=1,ISNUMBER(验证表!H246)),验证表!H246,EU240))</f>
        <v>23210479</v>
      </c>
      <c r="EU240" s="1">
        <f>IF(D240="",0,IF(验证表!G246="是",BV240,IF(验证表!G246="否",BU240,BW240)))</f>
        <v>0</v>
      </c>
      <c r="EV240" s="1">
        <f>IF(EQ240&gt;=Boss参数!$B$66,2,IF(EQ240&gt;=Boss参数!$B$65,1,0))</f>
        <v>2</v>
      </c>
      <c r="EW240" s="1">
        <f t="shared" si="251"/>
        <v>3</v>
      </c>
      <c r="EX240" s="1">
        <f>IF(D240="",0,INDEX(回合状态!$D$7:$D$17,MATCH(DG240,回合状态!$A$7:$A$17,0)))</f>
        <v>0</v>
      </c>
      <c r="EY240" s="1">
        <f>IF(OR(L240="RHI_ATTACK",L240="RHI_BUFF"),1,IF(L240="RHI_ULT",Boss参数!$B$52,0))</f>
        <v>0</v>
      </c>
      <c r="EZ240" s="1">
        <f>MIN(6,SUMIFS($EY$3:EY240,$EX$3:EX240,"&gt;="&amp;MAX(1,EX240-Boss参数!$B$87+1),$EX$3:EX240,"&lt;="&amp;EX240))</f>
        <v>0</v>
      </c>
      <c r="FA240" s="1">
        <f t="shared" si="278"/>
        <v>0</v>
      </c>
      <c r="FB240" s="17">
        <f>IF(L240="BOSS_CONSERVATIVE",B240+Boss参数!$B$91,FB239)</f>
        <v>7</v>
      </c>
      <c r="FC240" s="17">
        <f t="shared" si="279"/>
        <v>0</v>
      </c>
      <c r="FD240" s="17">
        <f>IF(D240="",FD239,FD239+IF(AND(DG240&lt;&gt;DG239,INDEX(回合状态!$C$7:$C$17,MATCH(DG240,回合状态!$A$7:$A$17,0))&lt;&gt;"洞穿"),1,0))</f>
        <v>8</v>
      </c>
      <c r="FE240" s="17">
        <f>IF(D240="",0,IF(AND(OR(L240="END_TURN",DH240="敌方"),INDEX(回合状态!$C$7:$C$17,MATCH(DG240,回合状态!$A$7:$A$17,0))&lt;&gt;"洞穿",SUMIFS($FE$3:FE239,$DG$3:DG239,DG240)=0),1,0))</f>
        <v>0</v>
      </c>
    </row>
    <row r="241" spans="1:161" ht="84.95" customHeight="1">
      <c r="A241" s="1" t="str">
        <f>行动模拟!A247</f>
        <v/>
      </c>
      <c r="B241" s="1">
        <f>IF(D241="",0,INDEX(回合状态!$B$7:$B$17,MATCH(DG241,回合状态!$A$7:$A$17,0)))</f>
        <v>0</v>
      </c>
      <c r="C241" s="1">
        <f>行动模拟!C247</f>
        <v>0</v>
      </c>
      <c r="D241" s="1" t="str">
        <f>IF(行动模拟!D247="","",行动模拟!D247)</f>
        <v/>
      </c>
      <c r="E241" s="1" t="str">
        <f>IF($D241="","",IFERROR(INDEX(技能数据库!$B$4:$B$38,MATCH($D241,技能数据库!$A$4:$A$38,0)),""))</f>
        <v/>
      </c>
      <c r="F241" s="1" t="str">
        <f>IF($D241="","",IFERROR(INDEX(技能数据库!$C$4:$C$38,MATCH($D241,技能数据库!$A$4:$A$38,0)),""))</f>
        <v/>
      </c>
      <c r="G241" s="1" t="str">
        <f>IF($D241="","",IFERROR(INDEX(技能数据库!$D$4:$D$38,MATCH($D241,技能数据库!$A$4:$A$38,0)),""))</f>
        <v/>
      </c>
      <c r="H241" s="1" t="str">
        <f>IF($D241="","",IFERROR(INDEX(技能数据库!$E$4:$E$38,MATCH($D241,技能数据库!$A$4:$A$38,0)),""))</f>
        <v/>
      </c>
      <c r="I241" s="1" t="str">
        <f>IF($D241="","",IFERROR(INDEX(技能数据库!$F$4:$F$38,MATCH($D241,技能数据库!$A$4:$A$38,0)),""))</f>
        <v/>
      </c>
      <c r="J241" s="1" t="str">
        <f>IF($D241="","",IFERROR(INDEX(技能数据库!$G$4:$G$38,MATCH($D241,技能数据库!$A$4:$A$38,0)),""))</f>
        <v/>
      </c>
      <c r="K241" s="1" t="str">
        <f>IF($D241="","",IFERROR(INDEX(技能数据库!$H$4:$H$38,MATCH($D241,技能数据库!$A$4:$A$38,0)),""))</f>
        <v/>
      </c>
      <c r="L241" s="1" t="str">
        <f>IF($D241="","",IFERROR(INDEX(技能数据库!$I$4:$I$38,MATCH($D241,技能数据库!$A$4:$A$38,0)),""))</f>
        <v/>
      </c>
      <c r="M241" s="1">
        <v>1</v>
      </c>
      <c r="N241" s="1"/>
      <c r="O241" s="1"/>
      <c r="P241" s="1"/>
      <c r="Q241" s="1">
        <f t="shared" si="210"/>
        <v>0</v>
      </c>
      <c r="R241" s="1">
        <v>0</v>
      </c>
      <c r="S241" s="1">
        <v>0</v>
      </c>
      <c r="T241" s="1">
        <f>行动模拟!I247</f>
        <v>0</v>
      </c>
      <c r="U241" s="1">
        <f>IF(FD241&lt;&gt;FD240,IF(BY240=1,IF(MIN(10,CA240+IF(AND(DG241&lt;&gt;DG240,DH240&lt;&gt;"洞穿",SUMIFS($FE$3:FE240,$DG$3:DG240,DG240)=0,BY240=1),3,0))&gt;=10,2,1),IF(BY240=2,IF(BZ240&lt;=1,0,2),0)),BY240)</f>
        <v>2</v>
      </c>
      <c r="V241" s="1">
        <f>IF(FD241&lt;&gt;FD240,IF(BY240=1,IF(MIN(10,CA240+IF(AND(DG241&lt;&gt;DG240,DH240&lt;&gt;"洞穿",SUMIFS($FE$3:FE240,$DG$3:DG240,DG240)=0,BY240=1),3,0))&gt;=10,2,0),IF(BY240=2,MAX(0,BZ240-1),0)),BZ240)</f>
        <v>1</v>
      </c>
      <c r="W241" s="1">
        <f>IF(AND(FD241&lt;&gt;FD240,BY240=2,BZ240&lt;=1),0,MIN(10,CA240+IF(AND(DG241&lt;&gt;DG240,DH240&lt;&gt;"洞穿",SUMIFS($FE$3:FE240,$DG$3:DG240,DG240)=0,BY240=1),3,0)))</f>
        <v>10</v>
      </c>
      <c r="X241" s="1">
        <f t="shared" si="252"/>
        <v>13</v>
      </c>
      <c r="Y241" s="1">
        <f t="shared" si="253"/>
        <v>0</v>
      </c>
      <c r="Z241" s="1">
        <f t="shared" si="254"/>
        <v>0</v>
      </c>
      <c r="AA241" s="1">
        <f t="shared" si="255"/>
        <v>0</v>
      </c>
      <c r="AB241" s="1">
        <f t="shared" si="256"/>
        <v>10</v>
      </c>
      <c r="AC241" s="1">
        <f t="shared" si="257"/>
        <v>1</v>
      </c>
      <c r="AD241" s="1">
        <f t="shared" si="258"/>
        <v>35</v>
      </c>
      <c r="AE241" s="1">
        <f>IF(D241="",0,IF(DG241&lt;&gt;DG240,IFERROR(INDEX(回合状态!$F$7:$F$17,MATCH(DG241,回合状态!$A$7:$A$17,0)),0),CI240))</f>
        <v>0</v>
      </c>
      <c r="AF241" s="1">
        <f t="shared" si="259"/>
        <v>0.875</v>
      </c>
      <c r="AG241" s="1">
        <f t="shared" si="260"/>
        <v>9</v>
      </c>
      <c r="AH241" s="1">
        <f t="shared" si="261"/>
        <v>9</v>
      </c>
      <c r="AI241" s="1">
        <f t="shared" si="262"/>
        <v>8</v>
      </c>
      <c r="AJ241" s="1">
        <f t="shared" si="263"/>
        <v>9</v>
      </c>
      <c r="AK241" s="1">
        <f t="shared" si="264"/>
        <v>8</v>
      </c>
      <c r="AL241" s="1">
        <f t="shared" si="265"/>
        <v>3</v>
      </c>
      <c r="AM241" s="1">
        <f t="shared" si="266"/>
        <v>30</v>
      </c>
      <c r="AN241" s="1">
        <f t="shared" si="267"/>
        <v>9</v>
      </c>
      <c r="AO241" s="1">
        <f t="shared" si="268"/>
        <v>0</v>
      </c>
      <c r="AP241" s="1" t="e">
        <f t="shared" si="269"/>
        <v>#VALUE!</v>
      </c>
      <c r="AQ241" s="1" t="e">
        <f t="shared" si="270"/>
        <v>#VALUE!</v>
      </c>
      <c r="AR241" s="1">
        <f t="shared" si="271"/>
        <v>0.3</v>
      </c>
      <c r="AS241" s="1">
        <f t="shared" si="272"/>
        <v>9</v>
      </c>
      <c r="AT241" s="1">
        <f t="shared" si="273"/>
        <v>0.3</v>
      </c>
      <c r="AU241" s="1">
        <f t="shared" si="274"/>
        <v>9</v>
      </c>
      <c r="AV241" s="1">
        <f>MIN(5,SUMIFS($EL$3:EL241,$B$3:B241,"&gt;="&amp;MAX(1,B241-2),$B$3:B241,"&lt;="&amp;B241)+EC241)</f>
        <v>0</v>
      </c>
      <c r="AW241" s="1">
        <f>MIN(6,SUMIFS($EY$3:EY240,$EX$3:EX240,"&gt;="&amp;MAX(1,EX241-Boss参数!$B$87+1),$EX$3:EX240,"&lt;="&amp;EX241))</f>
        <v>0</v>
      </c>
      <c r="AX241" s="1">
        <f>MIN(4,COUNTIFS($B$3:$B$240,"&gt;="&amp;MAX(1,$B241-2),$B$3:$B$240,"&lt;="&amp;$B241,$L$3:$L$240,"37_FOLLOW"))</f>
        <v>0</v>
      </c>
      <c r="AY241" s="1" t="str">
        <f>IF($E241="","",IF($E241="系统",0,ROUNDDOWN(INDEX(角色面板!$C$4:$C$7,MATCH($E241,角色面板!$A$4:$A$7,0))*(1+INDEX(角色面板!$C$11:$C$14,MATCH($E241,角色面板!$A$11:$A$14,0))+IF($E241="小瑞安侬",MAX(IF($B241&lt;=$AQ241,$AP241,0),IF(AND($L241="RHI_ATTACK",$EE241&gt;0),0.11+0.01*$G241,0)),0)+IF($E241="J",$AD241*Boss参数!$B$18,0))+IF(FD241&lt;=$AN241,MIN(Boss参数!$B$21,ROUNDDOWN(角色面板!$C$19*Boss参数!$B$20,0)),0)+IF(AND($B241&lt;=$AK241,$E241&lt;&gt;"小瑞安侬"),$DY241,0),0)))</f>
        <v/>
      </c>
      <c r="AZ241" s="1" t="str">
        <f>IF($E241="","",MAX(0,MIN(1,IFERROR(INDEX(角色面板!$G$18:$G$21,MATCH($E241,角色面板!$A$18:$A$21,0)),0)-FC241*Boss参数!$B$89-Boss参数!$E$4)))</f>
        <v/>
      </c>
      <c r="BA241" s="1" t="str">
        <f>IF(E241="","",(IF($E241="","",IF($E241="红弩箭",Boss参数!$B$80,IF($E241="J",Boss参数!$B$81,IFERROR(INDEX(角色面板!$H$18:$H$21,MATCH($E241,角色面板!$A$18:$A$21,0)),0)))+IF($B241&lt;=$AI241,Boss参数!$B$13,0)+MIN(30,$AM241)*Boss参数!$B$17+IF(AND($L241="LILYA_ULT",$X241&gt;=6),1,0)+IF(AND($Y241=1,$L241="LILYA_INSIGHT"),IF(MOD($AA241+1,3)=0,Boss参数!$B$83,Boss参数!$B$82),IF(AND($Y241=1,$L241="LILYA_FINISH"),Boss参数!$B$84,0))))-FC241*Boss参数!$B$90)</f>
        <v/>
      </c>
      <c r="BB241" s="1" t="str">
        <f>IF($E241="","",IFERROR(INDEX(角色面板!$M$18:$M$21,MATCH($E241,角色面板!$A$18:$A$21,0)),0)+$AW241*Boss参数!$B$12+IF($B241&lt;=$AG241,$AF241,0)+$EI241+IF($L241="LILYA_DIVE",IF($U241=1,IF($G241=1,0.3,IF($G241=2,0.4,0.5)),IF($U241=2,IF($G241=1,0.6,IF($G241=2,0.8,1)),0)),0)+$R241+IF(AND($E241="J",OR($L241="J_COUNTER",$L241="J_HARD")),Boss参数!$B$79,0)+IF(AND(OR(L241="J_COUNTER",L241="J_HARD"),FA241&gt;=Boss参数!$B$59),FA241*Boss参数!$B$40,0))</f>
        <v/>
      </c>
      <c r="BC241" s="1" t="e">
        <f>IF($E241="","",IFERROR(INDEX(角色面板!$K$18:$K$21,MATCH($E241,角色面板!$A$18:$A$21,0)),0)+IF($B241&lt;=$AH241,Boss参数!$B$46,0)+IF($E241="红弩箭",IF($U241=1,0.6,IF($U241=2,1.2,0))+$W241*0.06,0))-DI241*Boss参数!$B$23</f>
        <v>#VALUE!</v>
      </c>
      <c r="BD241" s="1" t="e">
        <f>IF($E241="","",IFERROR(INDEX(角色面板!$L$18:$L$21,MATCH($E241,角色面板!$A$18:$A$21,0)),0)+IF($B241&lt;=$AH241,Boss参数!$B$46,0)+IF($E241="J",$AL241*Boss参数!$B$16,0)+IF($E241="红弩箭",$X241*0.025,0)+IF(AND($L241="LILYA_ULT",$X241&gt;=6),1,0))-DI241*Boss参数!$B$23</f>
        <v>#VALUE!</v>
      </c>
      <c r="BE241" s="1" t="str">
        <f>IF($E241="","",IF($H241="洞知",IF($E241="红弩箭",$AO241*Boss参数!$B$15,0)+$AX241*Boss参数!$B$14,0))</f>
        <v/>
      </c>
      <c r="BF241" s="1">
        <f t="shared" si="211"/>
        <v>0</v>
      </c>
      <c r="BG241" s="1">
        <f>IF($D241="",0,IF(AND($L241&lt;&gt;"LILYA_DIVE",$L241&lt;&gt;"LILYA_ULT",$L241&lt;&gt;"LILYA_INSIGHT",$L241&lt;&gt;"LILYA_FINISH",$L241&lt;&gt;"37_FOLLOW",$L241&lt;&gt;"RHI_ATTACK",$L241&lt;&gt;"RHI_BERRY",$L241&lt;&gt;"J_COUNTER",$L241&lt;&gt;"J_ULT"),$J241,0)+IF($L241="LILYA_DIVE",$J241+IF($U241=1,IF($G241=1,6,IF($G241=2,12,18)),IF($U241=2,IF($G241=1,12,IF($G241=2,24,36)),0)),0)+IF($L241="LILYA_ULT",$J241+IF($X241&gt;=6,18,0),0)+IF($L241="LILYA_INSIGHT",IF($Y241=1,IF(MOD($AA241+1,3)=0,32,15),0),0)+IF($L241="LILYA_FINISH",IF($Y241=1,50+2.5*$Z241,0),0)+IF($L241="37_FOLLOW",$J241,0)+IF($L241="RHI_ATTACK",$J241*IF($B241&lt;=$AJ241,2,1),0)+IF($L241="RHI_BERRY",15+1.5*$AV241,0)+IF($L241="J_COUNTER",$J241+$AD241*Boss参数!$B$39,0)+IF($L241="J_ULT",$J241+Boss参数!$B$45*MAX(0,$AE241+$AD241-Boss参数!$I$4),0)+$S241)</f>
        <v>0</v>
      </c>
      <c r="BH241" s="1">
        <f t="shared" si="212"/>
        <v>0</v>
      </c>
      <c r="BI241" s="1" t="str">
        <f>IF(E241="","",IF(DT241=1,1+Boss参数!$B$8+AV241*Boss参数!$B$19,1))</f>
        <v/>
      </c>
      <c r="BJ241" s="1">
        <f>IF($I241="现实",Boss参数!$C$4,IF($I241="精神",Boss参数!$D$4,0))</f>
        <v>0</v>
      </c>
      <c r="BK241" s="1" t="str">
        <f>IF($E241="","",MAX($AY241*Boss参数!$B$9,$AY241-$BJ241*(1-$BF241)))</f>
        <v/>
      </c>
      <c r="BL241" s="1">
        <f>MAX(0,Boss参数!$F$4+IF(DT241=0,Boss参数!$B$27,0)-EJ241)</f>
        <v>1.25</v>
      </c>
      <c r="BM241" s="1">
        <f>Boss参数!$G$4+DU241-IF(Y241=1,Boss参数!$B$11,0)</f>
        <v>0.4</v>
      </c>
      <c r="BN241" s="1" t="str">
        <f>IF($E241="","",MAX(Boss参数!$B$10,1+IFERROR(INDEX(角色面板!$I$18:$I$21,MATCH($E241,角色面板!$A$18:$A$21,0)),0)+$BB241+Boss参数!$H$4-$BM241))</f>
        <v/>
      </c>
      <c r="BO241" s="1" t="str">
        <f>IF(E241="","",IF(OR(L241="J_COUNTER",L241="J_HARD"),MAX(0,1+INDEX(角色面板!$K$18:$K$21,MATCH(E241,角色面板!$A$18:$A$21,0))-DI241*Boss参数!$B$23+IF(OR(Boss参数!$B$43=1,L241="J_HARD"),IF(B241&lt;=AH241,Boss参数!$B$46,0),0)),MAX(0,IF(OR(H241="术法",L241="RHI_BERRY",AND(L241="37_FOLLOW",Boss参数!$B$31=1)),1+BC241,IF(H241="仪式",1+BD241,IF(H241="洞知",EK241,1))))))</f>
        <v/>
      </c>
      <c r="BP241" s="1" t="str">
        <f t="shared" si="213"/>
        <v/>
      </c>
      <c r="BQ241" s="1">
        <f t="shared" si="214"/>
        <v>0</v>
      </c>
      <c r="BR241" s="1">
        <f t="shared" si="215"/>
        <v>0</v>
      </c>
      <c r="BS241" s="1">
        <f>IF(BH241=0,0,ROUNDDOWN(AY241*BH241,0)*DV241*IF(Boss参数!$B$29=1,BN241,1)*IF(Boss参数!$B$33=1,BO241,1)*IF(Boss参数!$B$76=1,1-ES241,1))</f>
        <v>0</v>
      </c>
      <c r="BT241" s="1">
        <f t="shared" si="216"/>
        <v>0</v>
      </c>
      <c r="BU241" s="1">
        <f>IF(D241="",0,MIN(IF(Boss参数!$B$77=1,Boss参数!$B$63*Boss参数!$B$62,Boss参数!$B$61*Boss参数!$B$62),DW241+ROUNDDOWN(BS241,0)+ROUNDDOWN(DW241*Q241,0)))</f>
        <v>0</v>
      </c>
      <c r="BV241" s="1">
        <f>IF(D241="",0,MIN(IF(Boss参数!$B$77=1,Boss参数!$B$63*Boss参数!$B$62,Boss参数!$B$61*Boss参数!$B$62),DX241+ROUNDDOWN(BT241,0)+ROUNDDOWN(DX241*Q241,0)))</f>
        <v>0</v>
      </c>
      <c r="BW241" s="1">
        <f t="shared" si="217"/>
        <v>0</v>
      </c>
      <c r="BX241" s="1" t="str">
        <f t="shared" si="218"/>
        <v/>
      </c>
      <c r="BY241" s="1">
        <f t="shared" si="219"/>
        <v>2</v>
      </c>
      <c r="BZ241" s="1">
        <f t="shared" si="220"/>
        <v>1</v>
      </c>
      <c r="CA241" s="1">
        <f>MIN(10,W241+IF(AND(L241="LILYA_COBRA",COUNTIF($L$3:L241,"LILYA_COBRA")=1),5,0)+IF(AND(L241="LILYA_DIVE",U241=1,COUNTIFS($DG$3:DG241,DG241,$L$3:L241,"LILYA_DIVE")=1),2,0)+IF(AND(FE241=1,U241=1),3,0))</f>
        <v>10</v>
      </c>
      <c r="CB241" s="1">
        <f>MIN(20,MAX(0,X241+IF(L241="LILYA_COBRA",IF(COUNTIF($L$3:L241,"LILYA_COBRA")=1,6,IF(U241=1,MAX(1,G241),IF(U241=2,2*MAX(1,G241),0))),0)+IF(AND(Y241=1,E241="红弩箭",L241&lt;&gt;"ENTER_INSIGHT"),1,0)-IF(AND(L241="LILYA_ULT",X241&gt;=6),6,0)))</f>
        <v>13</v>
      </c>
      <c r="CC241" s="1">
        <f t="shared" si="221"/>
        <v>0</v>
      </c>
      <c r="CD241" s="1">
        <f t="shared" si="222"/>
        <v>0</v>
      </c>
      <c r="CE241" s="1">
        <f t="shared" si="223"/>
        <v>0</v>
      </c>
      <c r="CF241" s="1">
        <f t="shared" si="224"/>
        <v>10</v>
      </c>
      <c r="CG241" s="1">
        <f t="shared" si="225"/>
        <v>1</v>
      </c>
      <c r="CH241" s="1">
        <f>MIN(35,AD241+IF(L241="J_HARD",6,0)+IF(L241="J_COUNTER",Boss参数!$B$30,0))</f>
        <v>35</v>
      </c>
      <c r="CI241" s="1">
        <f>MIN(Boss参数!$I$4,AE241+IF(L241="J_HARD",6,0)+IF(L241="J_ULT",AD241,0)+IF(L241="J_COUNTER",Boss参数!$B$30,0))</f>
        <v>0</v>
      </c>
      <c r="CJ241" s="1">
        <f>IF(L241="J_ULT",AD241*Boss参数!$B$41,IF(B241&lt;=AG241,AF241,0))</f>
        <v>0.875</v>
      </c>
      <c r="CK241" s="1">
        <f t="shared" si="226"/>
        <v>9</v>
      </c>
      <c r="CL241" s="1">
        <f t="shared" si="227"/>
        <v>9</v>
      </c>
      <c r="CM241" s="1">
        <f t="shared" si="228"/>
        <v>8</v>
      </c>
      <c r="CN241" s="1">
        <f t="shared" si="229"/>
        <v>9</v>
      </c>
      <c r="CO241" s="1">
        <f t="shared" si="230"/>
        <v>8</v>
      </c>
      <c r="CP241" s="1">
        <f t="shared" si="231"/>
        <v>3</v>
      </c>
      <c r="CQ241" s="1">
        <f t="shared" si="232"/>
        <v>30</v>
      </c>
      <c r="CR241" s="1">
        <f t="shared" si="233"/>
        <v>9</v>
      </c>
      <c r="CS241" s="1">
        <f t="shared" si="234"/>
        <v>0</v>
      </c>
      <c r="CT241" s="1" t="e">
        <f t="shared" si="235"/>
        <v>#VALUE!</v>
      </c>
      <c r="CU241" s="1" t="e">
        <f t="shared" si="236"/>
        <v>#VALUE!</v>
      </c>
      <c r="CV241" s="1">
        <f t="shared" si="237"/>
        <v>0.3</v>
      </c>
      <c r="CW241" s="1">
        <f t="shared" si="238"/>
        <v>9</v>
      </c>
      <c r="CX241" s="1">
        <f t="shared" si="239"/>
        <v>0.3</v>
      </c>
      <c r="CY241" s="1">
        <f t="shared" si="240"/>
        <v>9</v>
      </c>
      <c r="CZ241" s="1"/>
      <c r="DA241" s="1"/>
      <c r="DB241" s="1"/>
      <c r="DC241" s="1"/>
      <c r="DD241" s="1"/>
      <c r="DE241" s="1"/>
      <c r="DF241" s="1"/>
      <c r="DG241" s="1" t="str">
        <f>IF(D241="","",行动模拟!B247)</f>
        <v/>
      </c>
      <c r="DH241" s="1" t="str">
        <f>IF(L241="END_TURN","回合结束",IF(D241="","",IF(INDEX(回合状态!$C$7:$C$17,MATCH(DG241,回合状态!$A$7:$A$17,0))="洞穿","洞穿",IF(OR(L241="J_COUNTER",L241="BOSS_ACTION",L241="BOSS_CONSERVATIVE"),"敌方",IF(AND(L241="37_FOLLOW",DG241=DG240,DH240="敌方"),"敌方",IF(INDEX(回合状态!$C$7:$C$17,MATCH(DG241,回合状态!$A$7:$A$17,0))="普通","出牌",INDEX(回合状态!$C$7:$C$17,MATCH(DG241,回合状态!$A$7:$A$17,0))))))))</f>
        <v/>
      </c>
      <c r="DI241" s="1">
        <f t="shared" si="241"/>
        <v>0</v>
      </c>
      <c r="DJ241" s="1">
        <f>IF(D241="",0,MIN(Boss参数!$B$25,IF(OR(AND(DH241="敌方",OR(DH240&lt;&gt;"敌方",DG241&lt;&gt;DG240)),AND(L241="END_TURN",DH241&lt;&gt;"洞穿"),AND(DG241&lt;&gt;DG240,DH240&lt;&gt;"洞穿",L240&lt;&gt;"END_TURN",COUNTIFS($DG$3:DG240,DG240,$DH$3:DH240,"敌方")=0)),EW241,DN240)))</f>
        <v>0</v>
      </c>
      <c r="DK241" s="1">
        <f>IF(D241="",0,MIN(Boss参数!$B$25,IF(OR(AND(DH241="敌方",OR(DH240&lt;&gt;"敌方",DG241&lt;&gt;DG240)),AND(L241="END_TURN",DH241&lt;&gt;"洞穿"),AND(DG241&lt;&gt;DG240,DH240&lt;&gt;"洞穿",L240&lt;&gt;"END_TURN",COUNTIFS($DG$3:DG240,DG240,$DH$3:DH240,"敌方")=0)),EW241,DO240)))</f>
        <v>0</v>
      </c>
      <c r="DL241" s="1">
        <f>IF(D241="",0,MIN(Boss参数!$B$25,IF(OR(AND(DH241="敌方",OR(DH240&lt;&gt;"敌方",DG241&lt;&gt;DG240)),AND(L241="END_TURN",DH241&lt;&gt;"洞穿"),AND(DG241&lt;&gt;DG240,DH240&lt;&gt;"洞穿",L240&lt;&gt;"END_TURN",COUNTIFS($DG$3:DG240,DG240,$DH$3:DH240,"敌方")=0)),EW241,DP240)))</f>
        <v>0</v>
      </c>
      <c r="DM241" s="1">
        <f>IF(D241="",0,MIN(Boss参数!$B$25,IF(OR(AND(DH241="敌方",OR(DH240&lt;&gt;"敌方",DG241&lt;&gt;DG240)),AND(L241="END_TURN",DH241&lt;&gt;"洞穿"),AND(DG241&lt;&gt;DG240,DH240&lt;&gt;"洞穿",L240&lt;&gt;"END_TURN",COUNTIFS($DG$3:DG240,DG240,$DH$3:DH240,"敌方")=0)),EW241,DQ240)))</f>
        <v>0</v>
      </c>
      <c r="DN241" s="1">
        <f>MAX(0,MIN(Boss参数!$B$25,DJ241+DR241)-IF(E241="红弩箭",2*DR241,0))</f>
        <v>0</v>
      </c>
      <c r="DO241" s="1">
        <f>MAX(0,MIN(Boss参数!$B$25,DK241+DR241)-IF(E241="37",2*DR241,0))</f>
        <v>0</v>
      </c>
      <c r="DP241" s="1">
        <f>MAX(0,MIN(Boss参数!$B$25,DL241+DR241)-IF(E241="小瑞安侬",2*DR241,0))</f>
        <v>0</v>
      </c>
      <c r="DQ241" s="1">
        <f>MAX(0,MIN(Boss参数!$B$25,DM241+DR241)-IF(E241="J",2*DR241,0))</f>
        <v>0</v>
      </c>
      <c r="DR241" s="1">
        <f t="shared" si="242"/>
        <v>0</v>
      </c>
      <c r="DS241" s="1">
        <f t="shared" si="243"/>
        <v>0</v>
      </c>
      <c r="DT241" s="1">
        <f>IF(OR(E241="",E241="系统"),0,IF(OR(AND(DS241=1,Boss参数!$B$32=1),L241="RHI_BERRY",OR(AND(INDEX(角色面板!$B$18:$B$21,MATCH(E241,角色面板!$A$18:$A$21,0))="星",Boss参数!$B$4="岩"),AND(INDEX(角色面板!$B$18:$B$21,MATCH(E241,角色面板!$A$18:$A$21,0))="岩",Boss参数!$B$4="兽"),AND(INDEX(角色面板!$B$18:$B$21,MATCH(E241,角色面板!$A$18:$A$21,0))="兽",Boss参数!$B$4="木"),AND(INDEX(角色面板!$B$18:$B$21,MATCH(E241,角色面板!$A$18:$A$21,0))="木",Boss参数!$B$4="星"),AND(INDEX(角色面板!$B$18:$B$21,MATCH(E241,角色面板!$A$18:$A$21,0))="智",Boss参数!$B$4="灵"),AND(INDEX(角色面板!$B$18:$B$21,MATCH(E241,角色面板!$A$18:$A$21,0))="灵",Boss参数!$B$4="智"))),1,0))</f>
        <v>0</v>
      </c>
      <c r="DU241" s="1">
        <f>IF(D241="",0,INDEX(回合状态!$E$7:$E$17,MATCH(DG241,回合状态!$A$7:$A$17,0))+IF(AND(DH241="敌方",OR(INDEX(回合状态!$C$7:$C$17,MATCH(DG241,回合状态!$A$7:$A$17,0))="普通",INDEX(回合状态!$C$7:$C$17,MATCH(DG241,回合状态!$A$7:$A$17,0))="额外")),0.05,0))</f>
        <v>0</v>
      </c>
      <c r="DV241" s="1">
        <f>MAX(Boss参数!$B$28,1+IF(AND(E241="37",AC241&gt;0,BH241&gt;0),Boss参数!$B$42,0)-DI241*Boss参数!$B$24+EA241-ER241)</f>
        <v>9.9999999999999978E-2</v>
      </c>
      <c r="DW241" s="1">
        <f>MIN(IF(Boss参数!$B$77=1,Boss参数!$B$63*Boss参数!$B$62,Boss参数!$B$61*Boss参数!$B$62),ROUNDDOWN(BQ241*(1-ES241),0))</f>
        <v>0</v>
      </c>
      <c r="DX241" s="1">
        <f>MIN(IF(Boss参数!$B$77=1,Boss参数!$B$63*Boss参数!$B$62,Boss参数!$B$61*Boss参数!$B$62),ROUNDDOWN(BR241*(1-ES241),0))</f>
        <v>0</v>
      </c>
      <c r="DY241" s="1">
        <f t="shared" si="275"/>
        <v>250</v>
      </c>
      <c r="DZ241" s="1">
        <f>IF(L241="RHI_ULT",MIN(Boss参数!$B$48,ROUNDDOWN(AY241*Boss参数!$B$47,0)),DY241)</f>
        <v>250</v>
      </c>
      <c r="EA241" s="1">
        <v>0</v>
      </c>
      <c r="EB241" s="1">
        <f t="shared" si="244"/>
        <v>0</v>
      </c>
      <c r="EC241" s="1">
        <f>SUMIFS($EB$3:EB241,$B$3:B241,"&gt;="&amp;MAX(1,B241-2),$B$3:B241,"&lt;="&amp;B241)*Boss参数!$B$51</f>
        <v>0</v>
      </c>
      <c r="ED241" s="1">
        <f>IF(D241="",EG240,IF(AND(DG241&lt;&gt;DG240,DH241&lt;&gt;"洞穿"),MIN(Boss参数!$B$55,EG240+2),EG240))</f>
        <v>0</v>
      </c>
      <c r="EE241" s="1">
        <f t="shared" si="245"/>
        <v>0</v>
      </c>
      <c r="EF241" s="1">
        <f>IF(AND(OR(L241="END_TURN",AND(DH241="敌方",OR(DH240&lt;&gt;"敌方",DG241&lt;&gt;DG240))),SUMIFS($EF$3:EF240,$DG$3:DG240,DG241)=0),MIN(1,MAX(0,ED241-EE241)),0)</f>
        <v>0</v>
      </c>
      <c r="EG241" s="1">
        <f t="shared" si="246"/>
        <v>0</v>
      </c>
      <c r="EH241" s="1">
        <f>Boss参数!$B$53-IF(Y241=1,Boss参数!$B$54,0)</f>
        <v>0</v>
      </c>
      <c r="EI241" s="1">
        <f t="shared" si="247"/>
        <v>0.15</v>
      </c>
      <c r="EJ241" s="1">
        <f t="shared" si="248"/>
        <v>0.15</v>
      </c>
      <c r="EK241" s="1" t="e">
        <f t="shared" si="249"/>
        <v>#VALUE!</v>
      </c>
      <c r="EL241" s="1">
        <f t="shared" si="276"/>
        <v>0</v>
      </c>
      <c r="EM241" s="1">
        <f>IF(AND(DG241&lt;&gt;DG240,DH241="洞穿"),0,IF(L241="ENTER_INSIGHT",Boss参数!$B$57,EO240))</f>
        <v>0</v>
      </c>
      <c r="EN241" s="1">
        <f>IF(AND(Y241=1,H241="洞知",EM241&gt;0),Boss参数!$B$56,0)</f>
        <v>0</v>
      </c>
      <c r="EO241" s="1">
        <f t="shared" si="250"/>
        <v>0</v>
      </c>
      <c r="EP241" s="1">
        <f t="shared" si="277"/>
        <v>23210479</v>
      </c>
      <c r="EQ241" s="1">
        <f>ROUNDDOWN(EP241/Boss参数!$B$62,0)</f>
        <v>232</v>
      </c>
      <c r="ER241" s="1">
        <f>IF(EQ241&gt;=Boss参数!$B$66,Boss参数!$B$69,IF(EQ241&gt;=Boss参数!$B$65,Boss参数!$B$68,IF(EQ241&gt;=Boss参数!$B$64,Boss参数!$B$67,0)))</f>
        <v>0.9</v>
      </c>
      <c r="ES241" s="1">
        <f>MIN(1,IF(EQ241&gt;=Boss参数!$B$66,Boss参数!$B$72+ROUNDDOWN((EQ241-Boss参数!$B$66)/Boss参数!$B$73,0)*Boss参数!$B$74,IF(EQ241&gt;=Boss参数!$B$65,Boss参数!$B$71,IF(EQ241&gt;=Boss参数!$B$64,Boss参数!$B$70,0))))</f>
        <v>0.65</v>
      </c>
      <c r="ET241" s="1">
        <f>MIN(Boss参数!$B$61*Boss参数!$B$62,EP241+IF(AND(Boss参数!$B$60=1,ISNUMBER(验证表!H247)),验证表!H247,EU241))</f>
        <v>23210479</v>
      </c>
      <c r="EU241" s="1">
        <f>IF(D241="",0,IF(验证表!G247="是",BV241,IF(验证表!G247="否",BU241,BW241)))</f>
        <v>0</v>
      </c>
      <c r="EV241" s="1">
        <f>IF(EQ241&gt;=Boss参数!$B$66,2,IF(EQ241&gt;=Boss参数!$B$65,1,0))</f>
        <v>2</v>
      </c>
      <c r="EW241" s="1">
        <f t="shared" si="251"/>
        <v>3</v>
      </c>
      <c r="EX241" s="1">
        <f>IF(D241="",0,INDEX(回合状态!$D$7:$D$17,MATCH(DG241,回合状态!$A$7:$A$17,0)))</f>
        <v>0</v>
      </c>
      <c r="EY241" s="1">
        <f>IF(OR(L241="RHI_ATTACK",L241="RHI_BUFF"),1,IF(L241="RHI_ULT",Boss参数!$B$52,0))</f>
        <v>0</v>
      </c>
      <c r="EZ241" s="1">
        <f>MIN(6,SUMIFS($EY$3:EY241,$EX$3:EX241,"&gt;="&amp;MAX(1,EX241-Boss参数!$B$87+1),$EX$3:EX241,"&lt;="&amp;EX241))</f>
        <v>0</v>
      </c>
      <c r="FA241" s="1">
        <f t="shared" si="278"/>
        <v>0</v>
      </c>
      <c r="FB241" s="17">
        <f>IF(L241="BOSS_CONSERVATIVE",B241+Boss参数!$B$91,FB240)</f>
        <v>7</v>
      </c>
      <c r="FC241" s="17">
        <f t="shared" si="279"/>
        <v>0</v>
      </c>
      <c r="FD241" s="17">
        <f>IF(D241="",FD240,FD240+IF(AND(DG241&lt;&gt;DG240,INDEX(回合状态!$C$7:$C$17,MATCH(DG241,回合状态!$A$7:$A$17,0))&lt;&gt;"洞穿"),1,0))</f>
        <v>8</v>
      </c>
      <c r="FE241" s="17">
        <f>IF(D241="",0,IF(AND(OR(L241="END_TURN",DH241="敌方"),INDEX(回合状态!$C$7:$C$17,MATCH(DG241,回合状态!$A$7:$A$17,0))&lt;&gt;"洞穿",SUMIFS($FE$3:FE240,$DG$3:DG240,DG241)=0),1,0))</f>
        <v>0</v>
      </c>
    </row>
    <row r="242" spans="1:161" ht="84.95" customHeight="1">
      <c r="A242" s="1" t="str">
        <f>行动模拟!A248</f>
        <v/>
      </c>
      <c r="B242" s="1">
        <f>IF(D242="",0,INDEX(回合状态!$B$7:$B$17,MATCH(DG242,回合状态!$A$7:$A$17,0)))</f>
        <v>0</v>
      </c>
      <c r="C242" s="1">
        <f>行动模拟!C248</f>
        <v>0</v>
      </c>
      <c r="D242" s="1" t="str">
        <f>IF(行动模拟!D248="","",行动模拟!D248)</f>
        <v/>
      </c>
      <c r="E242" s="1" t="str">
        <f>IF($D242="","",IFERROR(INDEX(技能数据库!$B$4:$B$38,MATCH($D242,技能数据库!$A$4:$A$38,0)),""))</f>
        <v/>
      </c>
      <c r="F242" s="1" t="str">
        <f>IF($D242="","",IFERROR(INDEX(技能数据库!$C$4:$C$38,MATCH($D242,技能数据库!$A$4:$A$38,0)),""))</f>
        <v/>
      </c>
      <c r="G242" s="1" t="str">
        <f>IF($D242="","",IFERROR(INDEX(技能数据库!$D$4:$D$38,MATCH($D242,技能数据库!$A$4:$A$38,0)),""))</f>
        <v/>
      </c>
      <c r="H242" s="1" t="str">
        <f>IF($D242="","",IFERROR(INDEX(技能数据库!$E$4:$E$38,MATCH($D242,技能数据库!$A$4:$A$38,0)),""))</f>
        <v/>
      </c>
      <c r="I242" s="1" t="str">
        <f>IF($D242="","",IFERROR(INDEX(技能数据库!$F$4:$F$38,MATCH($D242,技能数据库!$A$4:$A$38,0)),""))</f>
        <v/>
      </c>
      <c r="J242" s="1" t="str">
        <f>IF($D242="","",IFERROR(INDEX(技能数据库!$G$4:$G$38,MATCH($D242,技能数据库!$A$4:$A$38,0)),""))</f>
        <v/>
      </c>
      <c r="K242" s="1" t="str">
        <f>IF($D242="","",IFERROR(INDEX(技能数据库!$H$4:$H$38,MATCH($D242,技能数据库!$A$4:$A$38,0)),""))</f>
        <v/>
      </c>
      <c r="L242" s="1" t="str">
        <f>IF($D242="","",IFERROR(INDEX(技能数据库!$I$4:$I$38,MATCH($D242,技能数据库!$A$4:$A$38,0)),""))</f>
        <v/>
      </c>
      <c r="M242" s="1">
        <v>1</v>
      </c>
      <c r="N242" s="1"/>
      <c r="O242" s="1"/>
      <c r="P242" s="1"/>
      <c r="Q242" s="1">
        <f t="shared" si="210"/>
        <v>0</v>
      </c>
      <c r="R242" s="1">
        <v>0</v>
      </c>
      <c r="S242" s="1">
        <v>0</v>
      </c>
      <c r="T242" s="1">
        <f>行动模拟!I248</f>
        <v>0</v>
      </c>
      <c r="U242" s="1">
        <f>IF(FD242&lt;&gt;FD241,IF(BY241=1,IF(MIN(10,CA241+IF(AND(DG242&lt;&gt;DG241,DH241&lt;&gt;"洞穿",SUMIFS($FE$3:FE241,$DG$3:DG241,DG241)=0,BY241=1),3,0))&gt;=10,2,1),IF(BY241=2,IF(BZ241&lt;=1,0,2),0)),BY241)</f>
        <v>2</v>
      </c>
      <c r="V242" s="1">
        <f>IF(FD242&lt;&gt;FD241,IF(BY241=1,IF(MIN(10,CA241+IF(AND(DG242&lt;&gt;DG241,DH241&lt;&gt;"洞穿",SUMIFS($FE$3:FE241,$DG$3:DG241,DG241)=0,BY241=1),3,0))&gt;=10,2,0),IF(BY241=2,MAX(0,BZ241-1),0)),BZ241)</f>
        <v>1</v>
      </c>
      <c r="W242" s="1">
        <f>IF(AND(FD242&lt;&gt;FD241,BY241=2,BZ241&lt;=1),0,MIN(10,CA241+IF(AND(DG242&lt;&gt;DG241,DH241&lt;&gt;"洞穿",SUMIFS($FE$3:FE241,$DG$3:DG241,DG241)=0,BY241=1),3,0)))</f>
        <v>10</v>
      </c>
      <c r="X242" s="1">
        <f t="shared" si="252"/>
        <v>13</v>
      </c>
      <c r="Y242" s="1">
        <f t="shared" si="253"/>
        <v>0</v>
      </c>
      <c r="Z242" s="1">
        <f t="shared" si="254"/>
        <v>0</v>
      </c>
      <c r="AA242" s="1">
        <f t="shared" si="255"/>
        <v>0</v>
      </c>
      <c r="AB242" s="1">
        <f t="shared" si="256"/>
        <v>10</v>
      </c>
      <c r="AC242" s="1">
        <f t="shared" si="257"/>
        <v>1</v>
      </c>
      <c r="AD242" s="1">
        <f t="shared" si="258"/>
        <v>35</v>
      </c>
      <c r="AE242" s="1">
        <f>IF(D242="",0,IF(DG242&lt;&gt;DG241,IFERROR(INDEX(回合状态!$F$7:$F$17,MATCH(DG242,回合状态!$A$7:$A$17,0)),0),CI241))</f>
        <v>0</v>
      </c>
      <c r="AF242" s="1">
        <f t="shared" si="259"/>
        <v>0.875</v>
      </c>
      <c r="AG242" s="1">
        <f t="shared" si="260"/>
        <v>9</v>
      </c>
      <c r="AH242" s="1">
        <f t="shared" si="261"/>
        <v>9</v>
      </c>
      <c r="AI242" s="1">
        <f t="shared" si="262"/>
        <v>8</v>
      </c>
      <c r="AJ242" s="1">
        <f t="shared" si="263"/>
        <v>9</v>
      </c>
      <c r="AK242" s="1">
        <f t="shared" si="264"/>
        <v>8</v>
      </c>
      <c r="AL242" s="1">
        <f t="shared" si="265"/>
        <v>3</v>
      </c>
      <c r="AM242" s="1">
        <f t="shared" si="266"/>
        <v>30</v>
      </c>
      <c r="AN242" s="1">
        <f t="shared" si="267"/>
        <v>9</v>
      </c>
      <c r="AO242" s="1">
        <f t="shared" si="268"/>
        <v>0</v>
      </c>
      <c r="AP242" s="1" t="e">
        <f t="shared" si="269"/>
        <v>#VALUE!</v>
      </c>
      <c r="AQ242" s="1" t="e">
        <f t="shared" si="270"/>
        <v>#VALUE!</v>
      </c>
      <c r="AR242" s="1">
        <f t="shared" si="271"/>
        <v>0.3</v>
      </c>
      <c r="AS242" s="1">
        <f t="shared" si="272"/>
        <v>9</v>
      </c>
      <c r="AT242" s="1">
        <f t="shared" si="273"/>
        <v>0.3</v>
      </c>
      <c r="AU242" s="1">
        <f t="shared" si="274"/>
        <v>9</v>
      </c>
      <c r="AV242" s="1">
        <f>MIN(5,SUMIFS($EL$3:EL242,$B$3:B242,"&gt;="&amp;MAX(1,B242-2),$B$3:B242,"&lt;="&amp;B242)+EC242)</f>
        <v>0</v>
      </c>
      <c r="AW242" s="1">
        <f>MIN(6,SUMIFS($EY$3:EY241,$EX$3:EX241,"&gt;="&amp;MAX(1,EX242-Boss参数!$B$87+1),$EX$3:EX241,"&lt;="&amp;EX242))</f>
        <v>0</v>
      </c>
      <c r="AX242" s="1">
        <f>MIN(4,COUNTIFS($B$3:$B$241,"&gt;="&amp;MAX(1,$B242-2),$B$3:$B$241,"&lt;="&amp;$B242,$L$3:$L$241,"37_FOLLOW"))</f>
        <v>0</v>
      </c>
      <c r="AY242" s="1" t="str">
        <f>IF($E242="","",IF($E242="系统",0,ROUNDDOWN(INDEX(角色面板!$C$4:$C$7,MATCH($E242,角色面板!$A$4:$A$7,0))*(1+INDEX(角色面板!$C$11:$C$14,MATCH($E242,角色面板!$A$11:$A$14,0))+IF($E242="小瑞安侬",MAX(IF($B242&lt;=$AQ242,$AP242,0),IF(AND($L242="RHI_ATTACK",$EE242&gt;0),0.11+0.01*$G242,0)),0)+IF($E242="J",$AD242*Boss参数!$B$18,0))+IF(FD242&lt;=$AN242,MIN(Boss参数!$B$21,ROUNDDOWN(角色面板!$C$19*Boss参数!$B$20,0)),0)+IF(AND($B242&lt;=$AK242,$E242&lt;&gt;"小瑞安侬"),$DY242,0),0)))</f>
        <v/>
      </c>
      <c r="AZ242" s="1" t="str">
        <f>IF($E242="","",MAX(0,MIN(1,IFERROR(INDEX(角色面板!$G$18:$G$21,MATCH($E242,角色面板!$A$18:$A$21,0)),0)-FC242*Boss参数!$B$89-Boss参数!$E$4)))</f>
        <v/>
      </c>
      <c r="BA242" s="1" t="str">
        <f>IF(E242="","",(IF($E242="","",IF($E242="红弩箭",Boss参数!$B$80,IF($E242="J",Boss参数!$B$81,IFERROR(INDEX(角色面板!$H$18:$H$21,MATCH($E242,角色面板!$A$18:$A$21,0)),0)))+IF($B242&lt;=$AI242,Boss参数!$B$13,0)+MIN(30,$AM242)*Boss参数!$B$17+IF(AND($L242="LILYA_ULT",$X242&gt;=6),1,0)+IF(AND($Y242=1,$L242="LILYA_INSIGHT"),IF(MOD($AA242+1,3)=0,Boss参数!$B$83,Boss参数!$B$82),IF(AND($Y242=1,$L242="LILYA_FINISH"),Boss参数!$B$84,0))))-FC242*Boss参数!$B$90)</f>
        <v/>
      </c>
      <c r="BB242" s="1" t="str">
        <f>IF($E242="","",IFERROR(INDEX(角色面板!$M$18:$M$21,MATCH($E242,角色面板!$A$18:$A$21,0)),0)+$AW242*Boss参数!$B$12+IF($B242&lt;=$AG242,$AF242,0)+$EI242+IF($L242="LILYA_DIVE",IF($U242=1,IF($G242=1,0.3,IF($G242=2,0.4,0.5)),IF($U242=2,IF($G242=1,0.6,IF($G242=2,0.8,1)),0)),0)+$R242+IF(AND($E242="J",OR($L242="J_COUNTER",$L242="J_HARD")),Boss参数!$B$79,0)+IF(AND(OR(L242="J_COUNTER",L242="J_HARD"),FA242&gt;=Boss参数!$B$59),FA242*Boss参数!$B$40,0))</f>
        <v/>
      </c>
      <c r="BC242" s="1" t="e">
        <f>IF($E242="","",IFERROR(INDEX(角色面板!$K$18:$K$21,MATCH($E242,角色面板!$A$18:$A$21,0)),0)+IF($B242&lt;=$AH242,Boss参数!$B$46,0)+IF($E242="红弩箭",IF($U242=1,0.6,IF($U242=2,1.2,0))+$W242*0.06,0))-DI242*Boss参数!$B$23</f>
        <v>#VALUE!</v>
      </c>
      <c r="BD242" s="1" t="e">
        <f>IF($E242="","",IFERROR(INDEX(角色面板!$L$18:$L$21,MATCH($E242,角色面板!$A$18:$A$21,0)),0)+IF($B242&lt;=$AH242,Boss参数!$B$46,0)+IF($E242="J",$AL242*Boss参数!$B$16,0)+IF($E242="红弩箭",$X242*0.025,0)+IF(AND($L242="LILYA_ULT",$X242&gt;=6),1,0))-DI242*Boss参数!$B$23</f>
        <v>#VALUE!</v>
      </c>
      <c r="BE242" s="1" t="str">
        <f>IF($E242="","",IF($H242="洞知",IF($E242="红弩箭",$AO242*Boss参数!$B$15,0)+$AX242*Boss参数!$B$14,0))</f>
        <v/>
      </c>
      <c r="BF242" s="1">
        <f t="shared" si="211"/>
        <v>0</v>
      </c>
      <c r="BG242" s="1">
        <f>IF($D242="",0,IF(AND($L242&lt;&gt;"LILYA_DIVE",$L242&lt;&gt;"LILYA_ULT",$L242&lt;&gt;"LILYA_INSIGHT",$L242&lt;&gt;"LILYA_FINISH",$L242&lt;&gt;"37_FOLLOW",$L242&lt;&gt;"RHI_ATTACK",$L242&lt;&gt;"RHI_BERRY",$L242&lt;&gt;"J_COUNTER",$L242&lt;&gt;"J_ULT"),$J242,0)+IF($L242="LILYA_DIVE",$J242+IF($U242=1,IF($G242=1,6,IF($G242=2,12,18)),IF($U242=2,IF($G242=1,12,IF($G242=2,24,36)),0)),0)+IF($L242="LILYA_ULT",$J242+IF($X242&gt;=6,18,0),0)+IF($L242="LILYA_INSIGHT",IF($Y242=1,IF(MOD($AA242+1,3)=0,32,15),0),0)+IF($L242="LILYA_FINISH",IF($Y242=1,50+2.5*$Z242,0),0)+IF($L242="37_FOLLOW",$J242,0)+IF($L242="RHI_ATTACK",$J242*IF($B242&lt;=$AJ242,2,1),0)+IF($L242="RHI_BERRY",15+1.5*$AV242,0)+IF($L242="J_COUNTER",$J242+$AD242*Boss参数!$B$39,0)+IF($L242="J_ULT",$J242+Boss参数!$B$45*MAX(0,$AE242+$AD242-Boss参数!$I$4),0)+$S242)</f>
        <v>0</v>
      </c>
      <c r="BH242" s="1">
        <f t="shared" si="212"/>
        <v>0</v>
      </c>
      <c r="BI242" s="1" t="str">
        <f>IF(E242="","",IF(DT242=1,1+Boss参数!$B$8+AV242*Boss参数!$B$19,1))</f>
        <v/>
      </c>
      <c r="BJ242" s="1">
        <f>IF($I242="现实",Boss参数!$C$4,IF($I242="精神",Boss参数!$D$4,0))</f>
        <v>0</v>
      </c>
      <c r="BK242" s="1" t="str">
        <f>IF($E242="","",MAX($AY242*Boss参数!$B$9,$AY242-$BJ242*(1-$BF242)))</f>
        <v/>
      </c>
      <c r="BL242" s="1">
        <f>MAX(0,Boss参数!$F$4+IF(DT242=0,Boss参数!$B$27,0)-EJ242)</f>
        <v>1.25</v>
      </c>
      <c r="BM242" s="1">
        <f>Boss参数!$G$4+DU242-IF(Y242=1,Boss参数!$B$11,0)</f>
        <v>0.4</v>
      </c>
      <c r="BN242" s="1" t="str">
        <f>IF($E242="","",MAX(Boss参数!$B$10,1+IFERROR(INDEX(角色面板!$I$18:$I$21,MATCH($E242,角色面板!$A$18:$A$21,0)),0)+$BB242+Boss参数!$H$4-$BM242))</f>
        <v/>
      </c>
      <c r="BO242" s="1" t="str">
        <f>IF(E242="","",IF(OR(L242="J_COUNTER",L242="J_HARD"),MAX(0,1+INDEX(角色面板!$K$18:$K$21,MATCH(E242,角色面板!$A$18:$A$21,0))-DI242*Boss参数!$B$23+IF(OR(Boss参数!$B$43=1,L242="J_HARD"),IF(B242&lt;=AH242,Boss参数!$B$46,0),0)),MAX(0,IF(OR(H242="术法",L242="RHI_BERRY",AND(L242="37_FOLLOW",Boss参数!$B$31=1)),1+BC242,IF(H242="仪式",1+BD242,IF(H242="洞知",EK242,1))))))</f>
        <v/>
      </c>
      <c r="BP242" s="1" t="str">
        <f t="shared" si="213"/>
        <v/>
      </c>
      <c r="BQ242" s="1">
        <f t="shared" si="214"/>
        <v>0</v>
      </c>
      <c r="BR242" s="1">
        <f t="shared" si="215"/>
        <v>0</v>
      </c>
      <c r="BS242" s="1">
        <f>IF(BH242=0,0,ROUNDDOWN(AY242*BH242,0)*DV242*IF(Boss参数!$B$29=1,BN242,1)*IF(Boss参数!$B$33=1,BO242,1)*IF(Boss参数!$B$76=1,1-ES242,1))</f>
        <v>0</v>
      </c>
      <c r="BT242" s="1">
        <f t="shared" si="216"/>
        <v>0</v>
      </c>
      <c r="BU242" s="1">
        <f>IF(D242="",0,MIN(IF(Boss参数!$B$77=1,Boss参数!$B$63*Boss参数!$B$62,Boss参数!$B$61*Boss参数!$B$62),DW242+ROUNDDOWN(BS242,0)+ROUNDDOWN(DW242*Q242,0)))</f>
        <v>0</v>
      </c>
      <c r="BV242" s="1">
        <f>IF(D242="",0,MIN(IF(Boss参数!$B$77=1,Boss参数!$B$63*Boss参数!$B$62,Boss参数!$B$61*Boss参数!$B$62),DX242+ROUNDDOWN(BT242,0)+ROUNDDOWN(DX242*Q242,0)))</f>
        <v>0</v>
      </c>
      <c r="BW242" s="1">
        <f t="shared" si="217"/>
        <v>0</v>
      </c>
      <c r="BX242" s="1" t="str">
        <f t="shared" si="218"/>
        <v/>
      </c>
      <c r="BY242" s="1">
        <f t="shared" si="219"/>
        <v>2</v>
      </c>
      <c r="BZ242" s="1">
        <f t="shared" si="220"/>
        <v>1</v>
      </c>
      <c r="CA242" s="1">
        <f>MIN(10,W242+IF(AND(L242="LILYA_COBRA",COUNTIF($L$3:L242,"LILYA_COBRA")=1),5,0)+IF(AND(L242="LILYA_DIVE",U242=1,COUNTIFS($DG$3:DG242,DG242,$L$3:L242,"LILYA_DIVE")=1),2,0)+IF(AND(FE242=1,U242=1),3,0))</f>
        <v>10</v>
      </c>
      <c r="CB242" s="1">
        <f>MIN(20,MAX(0,X242+IF(L242="LILYA_COBRA",IF(COUNTIF($L$3:L242,"LILYA_COBRA")=1,6,IF(U242=1,MAX(1,G242),IF(U242=2,2*MAX(1,G242),0))),0)+IF(AND(Y242=1,E242="红弩箭",L242&lt;&gt;"ENTER_INSIGHT"),1,0)-IF(AND(L242="LILYA_ULT",X242&gt;=6),6,0)))</f>
        <v>13</v>
      </c>
      <c r="CC242" s="1">
        <f t="shared" si="221"/>
        <v>0</v>
      </c>
      <c r="CD242" s="1">
        <f t="shared" si="222"/>
        <v>0</v>
      </c>
      <c r="CE242" s="1">
        <f t="shared" si="223"/>
        <v>0</v>
      </c>
      <c r="CF242" s="1">
        <f t="shared" si="224"/>
        <v>10</v>
      </c>
      <c r="CG242" s="1">
        <f t="shared" si="225"/>
        <v>1</v>
      </c>
      <c r="CH242" s="1">
        <f>MIN(35,AD242+IF(L242="J_HARD",6,0)+IF(L242="J_COUNTER",Boss参数!$B$30,0))</f>
        <v>35</v>
      </c>
      <c r="CI242" s="1">
        <f>MIN(Boss参数!$I$4,AE242+IF(L242="J_HARD",6,0)+IF(L242="J_ULT",AD242,0)+IF(L242="J_COUNTER",Boss参数!$B$30,0))</f>
        <v>0</v>
      </c>
      <c r="CJ242" s="1">
        <f>IF(L242="J_ULT",AD242*Boss参数!$B$41,IF(B242&lt;=AG242,AF242,0))</f>
        <v>0.875</v>
      </c>
      <c r="CK242" s="1">
        <f t="shared" si="226"/>
        <v>9</v>
      </c>
      <c r="CL242" s="1">
        <f t="shared" si="227"/>
        <v>9</v>
      </c>
      <c r="CM242" s="1">
        <f t="shared" si="228"/>
        <v>8</v>
      </c>
      <c r="CN242" s="1">
        <f t="shared" si="229"/>
        <v>9</v>
      </c>
      <c r="CO242" s="1">
        <f t="shared" si="230"/>
        <v>8</v>
      </c>
      <c r="CP242" s="1">
        <f t="shared" si="231"/>
        <v>3</v>
      </c>
      <c r="CQ242" s="1">
        <f t="shared" si="232"/>
        <v>30</v>
      </c>
      <c r="CR242" s="1">
        <f t="shared" si="233"/>
        <v>9</v>
      </c>
      <c r="CS242" s="1">
        <f t="shared" si="234"/>
        <v>0</v>
      </c>
      <c r="CT242" s="1" t="e">
        <f t="shared" si="235"/>
        <v>#VALUE!</v>
      </c>
      <c r="CU242" s="1" t="e">
        <f t="shared" si="236"/>
        <v>#VALUE!</v>
      </c>
      <c r="CV242" s="1">
        <f t="shared" si="237"/>
        <v>0.3</v>
      </c>
      <c r="CW242" s="1">
        <f t="shared" si="238"/>
        <v>9</v>
      </c>
      <c r="CX242" s="1">
        <f t="shared" si="239"/>
        <v>0.3</v>
      </c>
      <c r="CY242" s="1">
        <f t="shared" si="240"/>
        <v>9</v>
      </c>
      <c r="CZ242" s="1"/>
      <c r="DA242" s="1"/>
      <c r="DB242" s="1"/>
      <c r="DC242" s="1"/>
      <c r="DD242" s="1"/>
      <c r="DE242" s="1"/>
      <c r="DF242" s="1"/>
      <c r="DG242" s="1" t="str">
        <f>IF(D242="","",行动模拟!B248)</f>
        <v/>
      </c>
      <c r="DH242" s="1" t="str">
        <f>IF(L242="END_TURN","回合结束",IF(D242="","",IF(INDEX(回合状态!$C$7:$C$17,MATCH(DG242,回合状态!$A$7:$A$17,0))="洞穿","洞穿",IF(OR(L242="J_COUNTER",L242="BOSS_ACTION",L242="BOSS_CONSERVATIVE"),"敌方",IF(AND(L242="37_FOLLOW",DG242=DG241,DH241="敌方"),"敌方",IF(INDEX(回合状态!$C$7:$C$17,MATCH(DG242,回合状态!$A$7:$A$17,0))="普通","出牌",INDEX(回合状态!$C$7:$C$17,MATCH(DG242,回合状态!$A$7:$A$17,0))))))))</f>
        <v/>
      </c>
      <c r="DI242" s="1">
        <f t="shared" si="241"/>
        <v>0</v>
      </c>
      <c r="DJ242" s="1">
        <f>IF(D242="",0,MIN(Boss参数!$B$25,IF(OR(AND(DH242="敌方",OR(DH241&lt;&gt;"敌方",DG242&lt;&gt;DG241)),AND(L242="END_TURN",DH242&lt;&gt;"洞穿"),AND(DG242&lt;&gt;DG241,DH241&lt;&gt;"洞穿",L241&lt;&gt;"END_TURN",COUNTIFS($DG$3:DG241,DG241,$DH$3:DH241,"敌方")=0)),EW242,DN241)))</f>
        <v>0</v>
      </c>
      <c r="DK242" s="1">
        <f>IF(D242="",0,MIN(Boss参数!$B$25,IF(OR(AND(DH242="敌方",OR(DH241&lt;&gt;"敌方",DG242&lt;&gt;DG241)),AND(L242="END_TURN",DH242&lt;&gt;"洞穿"),AND(DG242&lt;&gt;DG241,DH241&lt;&gt;"洞穿",L241&lt;&gt;"END_TURN",COUNTIFS($DG$3:DG241,DG241,$DH$3:DH241,"敌方")=0)),EW242,DO241)))</f>
        <v>0</v>
      </c>
      <c r="DL242" s="1">
        <f>IF(D242="",0,MIN(Boss参数!$B$25,IF(OR(AND(DH242="敌方",OR(DH241&lt;&gt;"敌方",DG242&lt;&gt;DG241)),AND(L242="END_TURN",DH242&lt;&gt;"洞穿"),AND(DG242&lt;&gt;DG241,DH241&lt;&gt;"洞穿",L241&lt;&gt;"END_TURN",COUNTIFS($DG$3:DG241,DG241,$DH$3:DH241,"敌方")=0)),EW242,DP241)))</f>
        <v>0</v>
      </c>
      <c r="DM242" s="1">
        <f>IF(D242="",0,MIN(Boss参数!$B$25,IF(OR(AND(DH242="敌方",OR(DH241&lt;&gt;"敌方",DG242&lt;&gt;DG241)),AND(L242="END_TURN",DH242&lt;&gt;"洞穿"),AND(DG242&lt;&gt;DG241,DH241&lt;&gt;"洞穿",L241&lt;&gt;"END_TURN",COUNTIFS($DG$3:DG241,DG241,$DH$3:DH241,"敌方")=0)),EW242,DQ241)))</f>
        <v>0</v>
      </c>
      <c r="DN242" s="1">
        <f>MAX(0,MIN(Boss参数!$B$25,DJ242+DR242)-IF(E242="红弩箭",2*DR242,0))</f>
        <v>0</v>
      </c>
      <c r="DO242" s="1">
        <f>MAX(0,MIN(Boss参数!$B$25,DK242+DR242)-IF(E242="37",2*DR242,0))</f>
        <v>0</v>
      </c>
      <c r="DP242" s="1">
        <f>MAX(0,MIN(Boss参数!$B$25,DL242+DR242)-IF(E242="小瑞安侬",2*DR242,0))</f>
        <v>0</v>
      </c>
      <c r="DQ242" s="1">
        <f>MAX(0,MIN(Boss参数!$B$25,DM242+DR242)-IF(E242="J",2*DR242,0))</f>
        <v>0</v>
      </c>
      <c r="DR242" s="1">
        <f t="shared" si="242"/>
        <v>0</v>
      </c>
      <c r="DS242" s="1">
        <f t="shared" si="243"/>
        <v>0</v>
      </c>
      <c r="DT242" s="1">
        <f>IF(OR(E242="",E242="系统"),0,IF(OR(AND(DS242=1,Boss参数!$B$32=1),L242="RHI_BERRY",OR(AND(INDEX(角色面板!$B$18:$B$21,MATCH(E242,角色面板!$A$18:$A$21,0))="星",Boss参数!$B$4="岩"),AND(INDEX(角色面板!$B$18:$B$21,MATCH(E242,角色面板!$A$18:$A$21,0))="岩",Boss参数!$B$4="兽"),AND(INDEX(角色面板!$B$18:$B$21,MATCH(E242,角色面板!$A$18:$A$21,0))="兽",Boss参数!$B$4="木"),AND(INDEX(角色面板!$B$18:$B$21,MATCH(E242,角色面板!$A$18:$A$21,0))="木",Boss参数!$B$4="星"),AND(INDEX(角色面板!$B$18:$B$21,MATCH(E242,角色面板!$A$18:$A$21,0))="智",Boss参数!$B$4="灵"),AND(INDEX(角色面板!$B$18:$B$21,MATCH(E242,角色面板!$A$18:$A$21,0))="灵",Boss参数!$B$4="智"))),1,0))</f>
        <v>0</v>
      </c>
      <c r="DU242" s="1">
        <f>IF(D242="",0,INDEX(回合状态!$E$7:$E$17,MATCH(DG242,回合状态!$A$7:$A$17,0))+IF(AND(DH242="敌方",OR(INDEX(回合状态!$C$7:$C$17,MATCH(DG242,回合状态!$A$7:$A$17,0))="普通",INDEX(回合状态!$C$7:$C$17,MATCH(DG242,回合状态!$A$7:$A$17,0))="额外")),0.05,0))</f>
        <v>0</v>
      </c>
      <c r="DV242" s="1">
        <f>MAX(Boss参数!$B$28,1+IF(AND(E242="37",AC242&gt;0,BH242&gt;0),Boss参数!$B$42,0)-DI242*Boss参数!$B$24+EA242-ER242)</f>
        <v>9.9999999999999978E-2</v>
      </c>
      <c r="DW242" s="1">
        <f>MIN(IF(Boss参数!$B$77=1,Boss参数!$B$63*Boss参数!$B$62,Boss参数!$B$61*Boss参数!$B$62),ROUNDDOWN(BQ242*(1-ES242),0))</f>
        <v>0</v>
      </c>
      <c r="DX242" s="1">
        <f>MIN(IF(Boss参数!$B$77=1,Boss参数!$B$63*Boss参数!$B$62,Boss参数!$B$61*Boss参数!$B$62),ROUNDDOWN(BR242*(1-ES242),0))</f>
        <v>0</v>
      </c>
      <c r="DY242" s="1">
        <f t="shared" si="275"/>
        <v>250</v>
      </c>
      <c r="DZ242" s="1">
        <f>IF(L242="RHI_ULT",MIN(Boss参数!$B$48,ROUNDDOWN(AY242*Boss参数!$B$47,0)),DY242)</f>
        <v>250</v>
      </c>
      <c r="EA242" s="1">
        <v>0</v>
      </c>
      <c r="EB242" s="1">
        <f t="shared" si="244"/>
        <v>0</v>
      </c>
      <c r="EC242" s="1">
        <f>SUMIFS($EB$3:EB242,$B$3:B242,"&gt;="&amp;MAX(1,B242-2),$B$3:B242,"&lt;="&amp;B242)*Boss参数!$B$51</f>
        <v>0</v>
      </c>
      <c r="ED242" s="1">
        <f>IF(D242="",EG241,IF(AND(DG242&lt;&gt;DG241,DH242&lt;&gt;"洞穿"),MIN(Boss参数!$B$55,EG241+2),EG241))</f>
        <v>0</v>
      </c>
      <c r="EE242" s="1">
        <f t="shared" si="245"/>
        <v>0</v>
      </c>
      <c r="EF242" s="1">
        <f>IF(AND(OR(L242="END_TURN",AND(DH242="敌方",OR(DH241&lt;&gt;"敌方",DG242&lt;&gt;DG241))),SUMIFS($EF$3:EF241,$DG$3:DG241,DG242)=0),MIN(1,MAX(0,ED242-EE242)),0)</f>
        <v>0</v>
      </c>
      <c r="EG242" s="1">
        <f t="shared" si="246"/>
        <v>0</v>
      </c>
      <c r="EH242" s="1">
        <f>Boss参数!$B$53-IF(Y242=1,Boss参数!$B$54,0)</f>
        <v>0</v>
      </c>
      <c r="EI242" s="1">
        <f t="shared" si="247"/>
        <v>0.15</v>
      </c>
      <c r="EJ242" s="1">
        <f t="shared" si="248"/>
        <v>0.15</v>
      </c>
      <c r="EK242" s="1" t="e">
        <f t="shared" si="249"/>
        <v>#VALUE!</v>
      </c>
      <c r="EL242" s="1">
        <f t="shared" si="276"/>
        <v>0</v>
      </c>
      <c r="EM242" s="1">
        <f>IF(AND(DG242&lt;&gt;DG241,DH242="洞穿"),0,IF(L242="ENTER_INSIGHT",Boss参数!$B$57,EO241))</f>
        <v>0</v>
      </c>
      <c r="EN242" s="1">
        <f>IF(AND(Y242=1,H242="洞知",EM242&gt;0),Boss参数!$B$56,0)</f>
        <v>0</v>
      </c>
      <c r="EO242" s="1">
        <f t="shared" si="250"/>
        <v>0</v>
      </c>
      <c r="EP242" s="1">
        <f t="shared" si="277"/>
        <v>23210479</v>
      </c>
      <c r="EQ242" s="1">
        <f>ROUNDDOWN(EP242/Boss参数!$B$62,0)</f>
        <v>232</v>
      </c>
      <c r="ER242" s="1">
        <f>IF(EQ242&gt;=Boss参数!$B$66,Boss参数!$B$69,IF(EQ242&gt;=Boss参数!$B$65,Boss参数!$B$68,IF(EQ242&gt;=Boss参数!$B$64,Boss参数!$B$67,0)))</f>
        <v>0.9</v>
      </c>
      <c r="ES242" s="1">
        <f>MIN(1,IF(EQ242&gt;=Boss参数!$B$66,Boss参数!$B$72+ROUNDDOWN((EQ242-Boss参数!$B$66)/Boss参数!$B$73,0)*Boss参数!$B$74,IF(EQ242&gt;=Boss参数!$B$65,Boss参数!$B$71,IF(EQ242&gt;=Boss参数!$B$64,Boss参数!$B$70,0))))</f>
        <v>0.65</v>
      </c>
      <c r="ET242" s="1">
        <f>MIN(Boss参数!$B$61*Boss参数!$B$62,EP242+IF(AND(Boss参数!$B$60=1,ISNUMBER(验证表!H248)),验证表!H248,EU242))</f>
        <v>23210479</v>
      </c>
      <c r="EU242" s="1">
        <f>IF(D242="",0,IF(验证表!G248="是",BV242,IF(验证表!G248="否",BU242,BW242)))</f>
        <v>0</v>
      </c>
      <c r="EV242" s="1">
        <f>IF(EQ242&gt;=Boss参数!$B$66,2,IF(EQ242&gt;=Boss参数!$B$65,1,0))</f>
        <v>2</v>
      </c>
      <c r="EW242" s="1">
        <f t="shared" si="251"/>
        <v>3</v>
      </c>
      <c r="EX242" s="1">
        <f>IF(D242="",0,INDEX(回合状态!$D$7:$D$17,MATCH(DG242,回合状态!$A$7:$A$17,0)))</f>
        <v>0</v>
      </c>
      <c r="EY242" s="1">
        <f>IF(OR(L242="RHI_ATTACK",L242="RHI_BUFF"),1,IF(L242="RHI_ULT",Boss参数!$B$52,0))</f>
        <v>0</v>
      </c>
      <c r="EZ242" s="1">
        <f>MIN(6,SUMIFS($EY$3:EY242,$EX$3:EX242,"&gt;="&amp;MAX(1,EX242-Boss参数!$B$87+1),$EX$3:EX242,"&lt;="&amp;EX242))</f>
        <v>0</v>
      </c>
      <c r="FA242" s="1">
        <f t="shared" si="278"/>
        <v>0</v>
      </c>
      <c r="FB242" s="17">
        <f>IF(L242="BOSS_CONSERVATIVE",B242+Boss参数!$B$91,FB241)</f>
        <v>7</v>
      </c>
      <c r="FC242" s="17">
        <f t="shared" si="279"/>
        <v>0</v>
      </c>
      <c r="FD242" s="17">
        <f>IF(D242="",FD241,FD241+IF(AND(DG242&lt;&gt;DG241,INDEX(回合状态!$C$7:$C$17,MATCH(DG242,回合状态!$A$7:$A$17,0))&lt;&gt;"洞穿"),1,0))</f>
        <v>8</v>
      </c>
      <c r="FE242" s="17">
        <f>IF(D242="",0,IF(AND(OR(L242="END_TURN",DH242="敌方"),INDEX(回合状态!$C$7:$C$17,MATCH(DG242,回合状态!$A$7:$A$17,0))&lt;&gt;"洞穿",SUMIFS($FE$3:FE241,$DG$3:DG241,DG242)=0),1,0))</f>
        <v>0</v>
      </c>
    </row>
  </sheetData>
  <sheetProtection algorithmName="SHA-512" hashValue="+jnf0QyI9X09hHNBr9daLttfv5su5lK1Ng43g1gtRt5Ndjn+E1aVbjEXmBd8eDbP3WCePe2OWo+JJa6Lj6Yncg==" saltValue="X6m33twkz41edwb2rVAoPQ==" spinCount="100000" sheet="1" objects="1" scenarios="1"/>
  <phoneticPr fontId="4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workbookViewId="0">
      <pane xSplit="1" ySplit="6" topLeftCell="B7" activePane="bottomRight" state="frozen"/>
      <selection activeCell="B11" sqref="B11"/>
      <selection pane="topRight" activeCell="B11" sqref="B11"/>
      <selection pane="bottomLeft" activeCell="B11" sqref="B11"/>
      <selection pane="bottomRight" activeCell="C12" sqref="C12"/>
    </sheetView>
  </sheetViews>
  <sheetFormatPr defaultRowHeight="14.25"/>
  <cols>
    <col min="1" max="1" width="28" customWidth="1"/>
    <col min="2" max="3" width="14" customWidth="1"/>
    <col min="4" max="4" width="15" customWidth="1"/>
    <col min="5" max="5" width="29" customWidth="1"/>
    <col min="6" max="6" width="27" customWidth="1"/>
    <col min="7" max="7" width="51" customWidth="1"/>
  </cols>
  <sheetData>
    <row r="1" spans="1:7" ht="36" customHeight="1">
      <c r="A1" s="42" t="s">
        <v>543</v>
      </c>
      <c r="B1" s="42"/>
      <c r="C1" s="42"/>
      <c r="D1" s="42"/>
      <c r="E1" s="42"/>
      <c r="F1" s="42"/>
      <c r="G1" s="42"/>
    </row>
    <row r="2" spans="1:7" ht="65.099999999999994" customHeight="1">
      <c r="A2" s="42" t="s">
        <v>544</v>
      </c>
      <c r="B2" s="42"/>
      <c r="C2" s="42"/>
      <c r="D2" s="42"/>
      <c r="E2" s="42"/>
      <c r="F2" s="42"/>
      <c r="G2" s="42"/>
    </row>
    <row r="3" spans="1:7" ht="38.1" customHeight="1">
      <c r="A3" s="1"/>
      <c r="B3" s="1"/>
      <c r="C3" s="1"/>
      <c r="D3" s="1"/>
      <c r="E3" s="1"/>
      <c r="F3" s="1"/>
      <c r="G3" s="1"/>
    </row>
    <row r="4" spans="1:7" ht="38.1" customHeight="1">
      <c r="A4" s="1"/>
      <c r="B4" s="1"/>
      <c r="C4" s="1"/>
      <c r="D4" s="1"/>
      <c r="E4" s="1"/>
      <c r="F4" s="1"/>
      <c r="G4" s="1"/>
    </row>
    <row r="5" spans="1:7" ht="38.1" customHeight="1">
      <c r="A5" s="1"/>
      <c r="B5" s="1"/>
      <c r="C5" s="1"/>
      <c r="D5" s="1"/>
      <c r="E5" s="1"/>
      <c r="F5" s="1"/>
      <c r="G5" s="1"/>
    </row>
    <row r="6" spans="1:7" ht="38.1" customHeight="1">
      <c r="A6" s="2" t="s">
        <v>545</v>
      </c>
      <c r="B6" s="2" t="s">
        <v>546</v>
      </c>
      <c r="C6" s="2" t="s">
        <v>547</v>
      </c>
      <c r="D6" s="2" t="s">
        <v>539</v>
      </c>
      <c r="E6" s="2" t="s">
        <v>548</v>
      </c>
      <c r="F6" s="2" t="s">
        <v>549</v>
      </c>
      <c r="G6" s="2" t="s">
        <v>34</v>
      </c>
    </row>
    <row r="7" spans="1:7" ht="38.1" customHeight="1">
      <c r="A7" s="1">
        <v>1</v>
      </c>
      <c r="B7" s="1">
        <v>1</v>
      </c>
      <c r="C7" s="1" t="s">
        <v>550</v>
      </c>
      <c r="D7" s="3">
        <v>1</v>
      </c>
      <c r="E7" s="8">
        <f>0</f>
        <v>0</v>
      </c>
      <c r="F7" s="3">
        <v>0</v>
      </c>
      <c r="G7" s="1" t="s">
        <v>624</v>
      </c>
    </row>
    <row r="8" spans="1:7" ht="38.1" customHeight="1">
      <c r="A8" s="1">
        <v>2</v>
      </c>
      <c r="B8" s="1">
        <v>2</v>
      </c>
      <c r="C8" s="1" t="s">
        <v>550</v>
      </c>
      <c r="D8" s="3">
        <v>2</v>
      </c>
      <c r="E8" s="8">
        <f t="shared" ref="E8:E17" si="0">E7+IF(OR(C7="普通",C7="额外"),0.05,0)</f>
        <v>0.05</v>
      </c>
      <c r="F8" s="3">
        <v>4</v>
      </c>
      <c r="G8" s="1" t="s">
        <v>624</v>
      </c>
    </row>
    <row r="9" spans="1:7" ht="38.1" customHeight="1">
      <c r="A9" s="1">
        <v>3</v>
      </c>
      <c r="B9" s="1">
        <v>3</v>
      </c>
      <c r="C9" s="1" t="s">
        <v>550</v>
      </c>
      <c r="D9" s="3">
        <v>3</v>
      </c>
      <c r="E9" s="8">
        <f t="shared" si="0"/>
        <v>0.1</v>
      </c>
      <c r="F9" s="3">
        <v>6</v>
      </c>
      <c r="G9" s="1" t="s">
        <v>624</v>
      </c>
    </row>
    <row r="10" spans="1:7" ht="38.1" customHeight="1">
      <c r="A10" s="1" t="s">
        <v>80</v>
      </c>
      <c r="B10" s="1">
        <v>3</v>
      </c>
      <c r="C10" s="1" t="s">
        <v>551</v>
      </c>
      <c r="D10" s="3">
        <v>4</v>
      </c>
      <c r="E10" s="8">
        <f t="shared" si="0"/>
        <v>0.15000000000000002</v>
      </c>
      <c r="F10" s="3">
        <v>15</v>
      </c>
      <c r="G10" s="1" t="s">
        <v>624</v>
      </c>
    </row>
    <row r="11" spans="1:7" ht="38.1" customHeight="1">
      <c r="A11" s="1" t="s">
        <v>552</v>
      </c>
      <c r="B11" s="1">
        <v>3</v>
      </c>
      <c r="C11" s="1" t="s">
        <v>553</v>
      </c>
      <c r="D11" s="3">
        <v>4</v>
      </c>
      <c r="E11" s="8">
        <f t="shared" si="0"/>
        <v>0.15000000000000002</v>
      </c>
      <c r="F11" s="3">
        <v>15</v>
      </c>
      <c r="G11" s="1" t="s">
        <v>625</v>
      </c>
    </row>
    <row r="12" spans="1:7" ht="38.1" customHeight="1">
      <c r="A12" s="1">
        <v>4</v>
      </c>
      <c r="B12" s="1">
        <v>4</v>
      </c>
      <c r="C12" s="1" t="s">
        <v>550</v>
      </c>
      <c r="D12" s="3">
        <v>4</v>
      </c>
      <c r="E12" s="8">
        <f t="shared" si="0"/>
        <v>0.2</v>
      </c>
      <c r="F12" s="3">
        <v>13</v>
      </c>
      <c r="G12" s="1" t="s">
        <v>626</v>
      </c>
    </row>
    <row r="13" spans="1:7" ht="38.1" customHeight="1">
      <c r="A13" s="1">
        <v>5</v>
      </c>
      <c r="B13" s="1">
        <v>5</v>
      </c>
      <c r="C13" s="1" t="s">
        <v>550</v>
      </c>
      <c r="D13" s="3">
        <v>5</v>
      </c>
      <c r="E13" s="8">
        <f t="shared" si="0"/>
        <v>0.25</v>
      </c>
      <c r="F13" s="3">
        <v>15</v>
      </c>
      <c r="G13" s="1" t="s">
        <v>625</v>
      </c>
    </row>
    <row r="14" spans="1:7" ht="38.1" customHeight="1">
      <c r="A14" s="1">
        <v>6</v>
      </c>
      <c r="B14" s="1">
        <v>6</v>
      </c>
      <c r="C14" s="1" t="s">
        <v>550</v>
      </c>
      <c r="D14" s="3">
        <v>6</v>
      </c>
      <c r="E14" s="8">
        <f t="shared" si="0"/>
        <v>0.3</v>
      </c>
      <c r="F14" s="3">
        <v>11</v>
      </c>
      <c r="G14" s="1" t="s">
        <v>625</v>
      </c>
    </row>
    <row r="15" spans="1:7" ht="38.1" customHeight="1">
      <c r="A15" s="1" t="s">
        <v>554</v>
      </c>
      <c r="B15" s="1">
        <v>7</v>
      </c>
      <c r="C15" s="1" t="s">
        <v>555</v>
      </c>
      <c r="D15" s="3">
        <v>7</v>
      </c>
      <c r="E15" s="8">
        <f t="shared" si="0"/>
        <v>0.35</v>
      </c>
      <c r="F15" s="3">
        <v>15</v>
      </c>
      <c r="G15" s="1" t="s">
        <v>625</v>
      </c>
    </row>
    <row r="16" spans="1:7" ht="38.1" customHeight="1">
      <c r="A16" s="1" t="s">
        <v>556</v>
      </c>
      <c r="B16" s="1">
        <v>7</v>
      </c>
      <c r="C16" s="1" t="s">
        <v>551</v>
      </c>
      <c r="D16" s="3">
        <v>8</v>
      </c>
      <c r="E16" s="8">
        <f t="shared" si="0"/>
        <v>0.35</v>
      </c>
      <c r="F16" s="3">
        <v>15</v>
      </c>
      <c r="G16" s="1" t="s">
        <v>625</v>
      </c>
    </row>
    <row r="17" spans="1:7" ht="38.1" customHeight="1">
      <c r="A17" s="1" t="s">
        <v>557</v>
      </c>
      <c r="B17" s="1">
        <v>8</v>
      </c>
      <c r="C17" s="1" t="s">
        <v>550</v>
      </c>
      <c r="D17" s="3">
        <v>8</v>
      </c>
      <c r="E17" s="8">
        <f t="shared" si="0"/>
        <v>0.35</v>
      </c>
      <c r="F17" s="3"/>
      <c r="G17" s="1" t="s">
        <v>627</v>
      </c>
    </row>
  </sheetData>
  <sheetProtection algorithmName="SHA-512" hashValue="BasWr2nFXwGUHCtUYxgykUT+2WQZPEcTDJfyTUEwk/w6Vji8fYtSop9wAtPNHuqBBqH+vD6NnD2BrteJ2j6ioQ==" saltValue="ZACVBs0TpKHJhkYV9Oxjyg==" spinCount="100000" sheet="1" objects="1" scenarios="1"/>
  <mergeCells count="2">
    <mergeCell ref="A1:G1"/>
    <mergeCell ref="A2:G2"/>
  </mergeCells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5"/>
  <sheetViews>
    <sheetView workbookViewId="0">
      <pane xSplit="1" ySplit="1" topLeftCell="B2" activePane="bottomRight" state="frozen"/>
      <selection activeCell="B11" sqref="B11"/>
      <selection pane="topRight" activeCell="B11" sqref="B11"/>
      <selection pane="bottomLeft" activeCell="B11" sqref="B11"/>
      <selection pane="bottomRight" activeCell="B4" sqref="B4"/>
    </sheetView>
  </sheetViews>
  <sheetFormatPr defaultRowHeight="14.25"/>
  <cols>
    <col min="1" max="1" width="22" customWidth="1"/>
    <col min="2" max="2" width="65" customWidth="1"/>
    <col min="3" max="3" width="52" customWidth="1"/>
  </cols>
  <sheetData>
    <row r="1" spans="1:3" ht="99.95" customHeight="1">
      <c r="A1" s="22" t="s">
        <v>628</v>
      </c>
      <c r="B1" s="22" t="s">
        <v>629</v>
      </c>
      <c r="C1" s="22" t="s">
        <v>630</v>
      </c>
    </row>
    <row r="2" spans="1:3" ht="99.95" customHeight="1">
      <c r="A2" s="17" t="s">
        <v>631</v>
      </c>
      <c r="B2" s="17" t="s">
        <v>632</v>
      </c>
      <c r="C2" s="17" t="s">
        <v>633</v>
      </c>
    </row>
    <row r="3" spans="1:3" ht="99.95" customHeight="1">
      <c r="A3" s="17" t="s">
        <v>634</v>
      </c>
      <c r="B3" s="17" t="s">
        <v>635</v>
      </c>
      <c r="C3" s="17" t="s">
        <v>636</v>
      </c>
    </row>
    <row r="4" spans="1:3" ht="99.95" customHeight="1">
      <c r="A4" s="17" t="s">
        <v>637</v>
      </c>
      <c r="B4" s="17" t="s">
        <v>638</v>
      </c>
      <c r="C4" s="17" t="s">
        <v>639</v>
      </c>
    </row>
    <row r="5" spans="1:3" ht="99.95" customHeight="1">
      <c r="A5" s="17" t="s">
        <v>640</v>
      </c>
      <c r="B5" s="17" t="s">
        <v>641</v>
      </c>
      <c r="C5" s="17" t="s">
        <v>642</v>
      </c>
    </row>
    <row r="6" spans="1:3" ht="50.1" customHeight="1">
      <c r="A6" s="1" t="s">
        <v>558</v>
      </c>
      <c r="B6" s="1" t="s">
        <v>559</v>
      </c>
      <c r="C6" s="1" t="s">
        <v>560</v>
      </c>
    </row>
    <row r="7" spans="1:3" ht="38.1" customHeight="1">
      <c r="A7" s="1" t="s">
        <v>561</v>
      </c>
      <c r="B7" s="1" t="s">
        <v>562</v>
      </c>
      <c r="C7" s="1" t="s">
        <v>563</v>
      </c>
    </row>
    <row r="8" spans="1:3" ht="69.95" customHeight="1">
      <c r="A8" s="17" t="s">
        <v>643</v>
      </c>
      <c r="B8" s="17" t="s">
        <v>644</v>
      </c>
      <c r="C8" s="17" t="s">
        <v>645</v>
      </c>
    </row>
    <row r="9" spans="1:3" ht="69.95" customHeight="1">
      <c r="A9" s="17" t="s">
        <v>646</v>
      </c>
      <c r="B9" s="17" t="s">
        <v>647</v>
      </c>
      <c r="C9" s="17" t="s">
        <v>648</v>
      </c>
    </row>
    <row r="10" spans="1:3" ht="69.95" customHeight="1">
      <c r="A10" s="17" t="s">
        <v>649</v>
      </c>
      <c r="B10" s="17" t="s">
        <v>650</v>
      </c>
      <c r="C10" s="17" t="s">
        <v>651</v>
      </c>
    </row>
    <row r="11" spans="1:3" ht="69.95" customHeight="1">
      <c r="A11" s="17" t="s">
        <v>652</v>
      </c>
      <c r="B11" s="17" t="s">
        <v>653</v>
      </c>
      <c r="C11" s="17" t="s">
        <v>654</v>
      </c>
    </row>
    <row r="12" spans="1:3" ht="105" customHeight="1">
      <c r="A12" s="17" t="s">
        <v>655</v>
      </c>
      <c r="B12" s="17" t="s">
        <v>656</v>
      </c>
      <c r="C12" s="17" t="s">
        <v>657</v>
      </c>
    </row>
    <row r="13" spans="1:3" ht="105" customHeight="1">
      <c r="A13" s="17" t="s">
        <v>142</v>
      </c>
      <c r="B13" s="17" t="s">
        <v>573</v>
      </c>
      <c r="C13" s="17" t="s">
        <v>658</v>
      </c>
    </row>
    <row r="14" spans="1:3" ht="84.95" customHeight="1">
      <c r="A14" s="17" t="s">
        <v>659</v>
      </c>
      <c r="B14" s="17" t="s">
        <v>660</v>
      </c>
      <c r="C14" s="17" t="s">
        <v>661</v>
      </c>
    </row>
    <row r="15" spans="1:3" ht="84.95" customHeight="1">
      <c r="A15" s="17" t="s">
        <v>662</v>
      </c>
      <c r="B15" s="17" t="s">
        <v>663</v>
      </c>
      <c r="C15" s="17" t="s">
        <v>664</v>
      </c>
    </row>
    <row r="16" spans="1:3" ht="84.95" customHeight="1">
      <c r="A16" s="17" t="s">
        <v>665</v>
      </c>
      <c r="B16" s="17" t="s">
        <v>666</v>
      </c>
      <c r="C16" s="17" t="s">
        <v>667</v>
      </c>
    </row>
    <row r="17" spans="1:3" ht="84.95" customHeight="1">
      <c r="A17" s="17" t="s">
        <v>668</v>
      </c>
      <c r="B17" s="17" t="s">
        <v>669</v>
      </c>
      <c r="C17" s="17" t="s">
        <v>670</v>
      </c>
    </row>
    <row r="18" spans="1:3" ht="84.95" customHeight="1">
      <c r="A18" s="17" t="s">
        <v>671</v>
      </c>
      <c r="B18" s="17" t="s">
        <v>672</v>
      </c>
      <c r="C18" s="17" t="s">
        <v>673</v>
      </c>
    </row>
    <row r="19" spans="1:3" ht="84.95" customHeight="1">
      <c r="A19" s="17" t="s">
        <v>674</v>
      </c>
      <c r="B19" s="17" t="s">
        <v>675</v>
      </c>
      <c r="C19" s="17" t="s">
        <v>676</v>
      </c>
    </row>
    <row r="20" spans="1:3" ht="84.95" customHeight="1">
      <c r="A20" s="17" t="s">
        <v>677</v>
      </c>
      <c r="B20" s="17" t="s">
        <v>678</v>
      </c>
      <c r="C20" s="17" t="s">
        <v>679</v>
      </c>
    </row>
    <row r="21" spans="1:3" ht="84.95" customHeight="1">
      <c r="A21" s="17" t="s">
        <v>680</v>
      </c>
      <c r="B21" s="17" t="s">
        <v>681</v>
      </c>
      <c r="C21" s="17" t="s">
        <v>682</v>
      </c>
    </row>
    <row r="22" spans="1:3" ht="84.95" customHeight="1">
      <c r="A22" s="17" t="s">
        <v>683</v>
      </c>
      <c r="B22" s="17" t="s">
        <v>684</v>
      </c>
      <c r="C22" s="17" t="s">
        <v>685</v>
      </c>
    </row>
    <row r="23" spans="1:3">
      <c r="A23" t="s">
        <v>686</v>
      </c>
      <c r="B23" t="s">
        <v>687</v>
      </c>
      <c r="C23" t="s">
        <v>688</v>
      </c>
    </row>
    <row r="24" spans="1:3">
      <c r="A24" t="s">
        <v>689</v>
      </c>
      <c r="B24" t="s">
        <v>690</v>
      </c>
      <c r="C24" t="s">
        <v>691</v>
      </c>
    </row>
    <row r="25" spans="1:3">
      <c r="A25" t="s">
        <v>692</v>
      </c>
      <c r="B25" t="s">
        <v>693</v>
      </c>
      <c r="C25" t="s">
        <v>694</v>
      </c>
    </row>
    <row r="26" spans="1:3" ht="99.95" customHeight="1">
      <c r="A26" s="17" t="s">
        <v>695</v>
      </c>
      <c r="B26" s="17" t="s">
        <v>696</v>
      </c>
      <c r="C26" s="17" t="s">
        <v>697</v>
      </c>
    </row>
    <row r="27" spans="1:3" ht="99.95" customHeight="1">
      <c r="A27" s="17" t="s">
        <v>698</v>
      </c>
      <c r="B27" s="17" t="s">
        <v>699</v>
      </c>
      <c r="C27" s="17" t="s">
        <v>700</v>
      </c>
    </row>
    <row r="28" spans="1:3" ht="99.95" customHeight="1">
      <c r="A28" s="17" t="s">
        <v>701</v>
      </c>
      <c r="B28" s="17" t="s">
        <v>702</v>
      </c>
      <c r="C28" s="17" t="s">
        <v>703</v>
      </c>
    </row>
    <row r="29" spans="1:3" ht="99.95" customHeight="1">
      <c r="A29" s="17" t="s">
        <v>704</v>
      </c>
      <c r="B29" s="17" t="s">
        <v>705</v>
      </c>
      <c r="C29" s="17" t="s">
        <v>706</v>
      </c>
    </row>
    <row r="30" spans="1:3" ht="99.95" customHeight="1">
      <c r="A30" s="17" t="s">
        <v>707</v>
      </c>
      <c r="B30" s="17" t="s">
        <v>708</v>
      </c>
      <c r="C30" s="17" t="s">
        <v>709</v>
      </c>
    </row>
    <row r="31" spans="1:3" ht="99.95" customHeight="1">
      <c r="A31" s="17" t="s">
        <v>710</v>
      </c>
      <c r="B31" s="17" t="s">
        <v>711</v>
      </c>
      <c r="C31" s="17" t="s">
        <v>712</v>
      </c>
    </row>
    <row r="32" spans="1:3" ht="99.95" customHeight="1">
      <c r="A32" s="17" t="s">
        <v>713</v>
      </c>
      <c r="B32" s="17" t="s">
        <v>714</v>
      </c>
      <c r="C32" s="17" t="s">
        <v>715</v>
      </c>
    </row>
    <row r="33" spans="1:3" ht="99.95" customHeight="1">
      <c r="A33" s="17" t="s">
        <v>716</v>
      </c>
      <c r="B33" s="17" t="s">
        <v>717</v>
      </c>
      <c r="C33" s="17" t="s">
        <v>718</v>
      </c>
    </row>
    <row r="34" spans="1:3" ht="99.95" customHeight="1">
      <c r="A34" s="17" t="s">
        <v>719</v>
      </c>
      <c r="B34" s="17" t="s">
        <v>720</v>
      </c>
      <c r="C34" s="17" t="s">
        <v>721</v>
      </c>
    </row>
    <row r="35" spans="1:3" ht="99.95" customHeight="1">
      <c r="A35" s="17" t="s">
        <v>722</v>
      </c>
      <c r="B35" s="17" t="s">
        <v>723</v>
      </c>
      <c r="C35" s="17" t="s">
        <v>724</v>
      </c>
    </row>
  </sheetData>
  <sheetProtection algorithmName="SHA-512" hashValue="QRhpBNlgAvY6ANjOzfrFZ+eAAsUd7C+Ke5WyCNk4yjLuLrh+ju1Ohbwkssu4a6pstKya2YBbXpBwQQCukSHLvg==" saltValue="34z/jCashmW9kdG3ED6Uww==" spinCount="100000" sheet="1" objects="1" scenarios="1"/>
  <phoneticPr fontId="4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"/>
  <sheetViews>
    <sheetView workbookViewId="0">
      <pane xSplit="1" ySplit="1" topLeftCell="B2" activePane="bottomRight" state="frozen"/>
      <selection activeCell="B11" sqref="B11"/>
      <selection pane="topRight" activeCell="B11" sqref="B11"/>
      <selection pane="bottomLeft" activeCell="B11" sqref="B11"/>
      <selection pane="bottomRight" activeCell="B4" sqref="B4"/>
    </sheetView>
  </sheetViews>
  <sheetFormatPr defaultRowHeight="14.25"/>
  <cols>
    <col min="1" max="1" width="21" customWidth="1"/>
    <col min="2" max="2" width="70" customWidth="1"/>
    <col min="3" max="3" width="60" customWidth="1"/>
  </cols>
  <sheetData>
    <row r="1" spans="1:3" ht="105" customHeight="1">
      <c r="A1" s="22" t="s">
        <v>725</v>
      </c>
      <c r="B1" s="22" t="s">
        <v>726</v>
      </c>
      <c r="C1" s="22" t="s">
        <v>727</v>
      </c>
    </row>
    <row r="2" spans="1:3" ht="105" customHeight="1">
      <c r="A2" s="17" t="s">
        <v>728</v>
      </c>
      <c r="B2" s="17" t="s">
        <v>729</v>
      </c>
      <c r="C2" s="17" t="s">
        <v>730</v>
      </c>
    </row>
    <row r="3" spans="1:3" ht="105" customHeight="1">
      <c r="A3" s="17" t="s">
        <v>731</v>
      </c>
      <c r="B3" s="17" t="s">
        <v>732</v>
      </c>
      <c r="C3" s="17" t="s">
        <v>733</v>
      </c>
    </row>
    <row r="4" spans="1:3" ht="105" customHeight="1">
      <c r="A4" s="17" t="s">
        <v>734</v>
      </c>
      <c r="B4" s="17" t="s">
        <v>735</v>
      </c>
      <c r="C4" s="17" t="s">
        <v>736</v>
      </c>
    </row>
    <row r="5" spans="1:3" ht="105" customHeight="1">
      <c r="A5" s="17" t="s">
        <v>737</v>
      </c>
      <c r="B5" s="17" t="s">
        <v>738</v>
      </c>
      <c r="C5" s="17" t="s">
        <v>739</v>
      </c>
    </row>
    <row r="6" spans="1:3" ht="105" customHeight="1">
      <c r="A6" s="17" t="s">
        <v>740</v>
      </c>
      <c r="B6" s="17" t="s">
        <v>741</v>
      </c>
      <c r="C6" s="17" t="s">
        <v>742</v>
      </c>
    </row>
    <row r="7" spans="1:3" ht="105" customHeight="1">
      <c r="A7" s="17" t="s">
        <v>743</v>
      </c>
      <c r="B7" s="17" t="s">
        <v>744</v>
      </c>
      <c r="C7" s="17" t="s">
        <v>745</v>
      </c>
    </row>
    <row r="8" spans="1:3" ht="105" customHeight="1">
      <c r="A8" s="17" t="s">
        <v>746</v>
      </c>
      <c r="B8" s="17" t="s">
        <v>747</v>
      </c>
      <c r="C8" s="17" t="s">
        <v>748</v>
      </c>
    </row>
    <row r="9" spans="1:3" ht="105" customHeight="1">
      <c r="A9" s="17" t="s">
        <v>749</v>
      </c>
      <c r="B9" s="17" t="s">
        <v>750</v>
      </c>
      <c r="C9" s="17" t="s">
        <v>751</v>
      </c>
    </row>
    <row r="10" spans="1:3" ht="105" customHeight="1">
      <c r="A10" s="17" t="s">
        <v>752</v>
      </c>
      <c r="B10" s="17" t="s">
        <v>753</v>
      </c>
      <c r="C10" s="17" t="s">
        <v>754</v>
      </c>
    </row>
    <row r="11" spans="1:3" ht="105" customHeight="1">
      <c r="A11" s="17" t="s">
        <v>755</v>
      </c>
      <c r="B11" s="17" t="s">
        <v>756</v>
      </c>
      <c r="C11" s="17" t="s">
        <v>757</v>
      </c>
    </row>
    <row r="12" spans="1:3" ht="105" customHeight="1">
      <c r="A12" s="17" t="s">
        <v>758</v>
      </c>
      <c r="B12" s="17" t="s">
        <v>759</v>
      </c>
      <c r="C12" s="17" t="s">
        <v>760</v>
      </c>
    </row>
    <row r="13" spans="1:3" ht="105" customHeight="1">
      <c r="A13" s="17" t="s">
        <v>761</v>
      </c>
      <c r="B13" s="17" t="s">
        <v>762</v>
      </c>
      <c r="C13" s="17" t="s">
        <v>763</v>
      </c>
    </row>
    <row r="14" spans="1:3" ht="105" customHeight="1">
      <c r="A14" s="17" t="s">
        <v>764</v>
      </c>
      <c r="B14" s="17" t="s">
        <v>765</v>
      </c>
      <c r="C14" s="17" t="s">
        <v>766</v>
      </c>
    </row>
    <row r="15" spans="1:3" ht="105" customHeight="1">
      <c r="A15" s="17" t="s">
        <v>767</v>
      </c>
      <c r="B15" s="17" t="s">
        <v>768</v>
      </c>
      <c r="C15" s="17" t="s">
        <v>769</v>
      </c>
    </row>
    <row r="16" spans="1:3" ht="105" customHeight="1">
      <c r="A16" s="17" t="s">
        <v>770</v>
      </c>
      <c r="B16" s="17" t="s">
        <v>771</v>
      </c>
      <c r="C16" s="17" t="s">
        <v>772</v>
      </c>
    </row>
    <row r="17" spans="1:3" ht="105" customHeight="1">
      <c r="A17" s="17" t="s">
        <v>773</v>
      </c>
      <c r="B17" s="17" t="s">
        <v>774</v>
      </c>
      <c r="C17" s="17" t="s">
        <v>775</v>
      </c>
    </row>
    <row r="18" spans="1:3" ht="105" customHeight="1">
      <c r="A18" s="17" t="s">
        <v>776</v>
      </c>
      <c r="B18" s="17" t="s">
        <v>777</v>
      </c>
      <c r="C18" s="17" t="s">
        <v>778</v>
      </c>
    </row>
    <row r="19" spans="1:3" ht="105" customHeight="1">
      <c r="A19" s="17" t="s">
        <v>779</v>
      </c>
      <c r="B19" s="17" t="s">
        <v>780</v>
      </c>
      <c r="C19" s="17" t="s">
        <v>781</v>
      </c>
    </row>
    <row r="20" spans="1:3" ht="105" customHeight="1">
      <c r="A20" s="17" t="s">
        <v>782</v>
      </c>
      <c r="B20" s="17" t="s">
        <v>783</v>
      </c>
      <c r="C20" s="17" t="s">
        <v>784</v>
      </c>
    </row>
    <row r="21" spans="1:3" ht="105" customHeight="1">
      <c r="A21" s="17" t="s">
        <v>785</v>
      </c>
      <c r="B21" s="17" t="s">
        <v>786</v>
      </c>
      <c r="C21" s="17" t="s">
        <v>787</v>
      </c>
    </row>
    <row r="22" spans="1:3" ht="105" customHeight="1">
      <c r="A22" s="17" t="s">
        <v>788</v>
      </c>
      <c r="B22" s="17" t="s">
        <v>789</v>
      </c>
      <c r="C22" s="17" t="s">
        <v>790</v>
      </c>
    </row>
    <row r="23" spans="1:3" ht="105" customHeight="1">
      <c r="A23" s="17" t="s">
        <v>791</v>
      </c>
      <c r="B23" s="17" t="s">
        <v>792</v>
      </c>
      <c r="C23" s="17" t="s">
        <v>793</v>
      </c>
    </row>
  </sheetData>
  <sheetProtection algorithmName="SHA-512" hashValue="6RgYQcbI/WP295FK2w1PHvfmrwbc/qNfQYnCsPJU2khkoV6XB3kpTBDUHgmyZRgWm0id5RIzYVjPQC2Et7AzqA==" saltValue="uRReKDJc/6BzqBaDIedM/g==" spinCount="100000" sheet="1" objects="1" scenarios="1"/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45"/>
  <sheetViews>
    <sheetView workbookViewId="0">
      <pane xSplit="1" ySplit="5" topLeftCell="B6" activePane="bottomRight" state="frozen"/>
      <selection activeCell="B11" sqref="B11"/>
      <selection pane="topRight" activeCell="B11" sqref="B11"/>
      <selection pane="bottomLeft" activeCell="B11" sqref="B11"/>
      <selection pane="bottomRight" activeCell="B10" sqref="B10"/>
    </sheetView>
  </sheetViews>
  <sheetFormatPr defaultRowHeight="14.25"/>
  <cols>
    <col min="1" max="1" width="55" customWidth="1"/>
    <col min="2" max="2" width="14" customWidth="1"/>
    <col min="3" max="3" width="15" customWidth="1"/>
    <col min="4" max="4" width="25" customWidth="1"/>
    <col min="5" max="5" width="14" customWidth="1"/>
    <col min="6" max="7" width="15" customWidth="1"/>
    <col min="8" max="8" width="14" customWidth="1"/>
  </cols>
  <sheetData>
    <row r="1" spans="1:8" ht="36" customHeight="1">
      <c r="A1" s="42" t="s">
        <v>564</v>
      </c>
      <c r="B1" s="42"/>
      <c r="C1" s="42"/>
      <c r="D1" s="42"/>
      <c r="E1" s="42"/>
      <c r="F1" s="42"/>
      <c r="G1" s="42"/>
      <c r="H1" s="42"/>
    </row>
    <row r="2" spans="1:8" ht="65.099999999999994" customHeight="1">
      <c r="A2" s="42" t="s">
        <v>565</v>
      </c>
      <c r="B2" s="42"/>
      <c r="C2" s="42"/>
      <c r="D2" s="42"/>
      <c r="E2" s="42"/>
      <c r="F2" s="42"/>
      <c r="G2" s="42"/>
      <c r="H2" s="42"/>
    </row>
    <row r="3" spans="1:8" ht="38.1" customHeight="1">
      <c r="A3" s="1"/>
      <c r="B3" s="1"/>
      <c r="C3" s="1"/>
      <c r="D3" s="1"/>
      <c r="E3" s="1"/>
      <c r="F3" s="1"/>
      <c r="G3" s="1"/>
      <c r="H3" s="1"/>
    </row>
    <row r="4" spans="1:8" ht="38.1" customHeight="1">
      <c r="A4" s="1"/>
      <c r="B4" s="1"/>
      <c r="C4" s="1"/>
      <c r="D4" s="1"/>
      <c r="E4" s="1"/>
      <c r="F4" s="1"/>
      <c r="G4" s="1"/>
      <c r="H4" s="1"/>
    </row>
    <row r="5" spans="1:8" ht="38.1" customHeight="1">
      <c r="A5" s="2" t="s">
        <v>365</v>
      </c>
      <c r="B5" s="2" t="s">
        <v>366</v>
      </c>
      <c r="C5" s="2" t="s">
        <v>539</v>
      </c>
      <c r="D5" s="2" t="s">
        <v>566</v>
      </c>
      <c r="E5" s="2" t="s">
        <v>567</v>
      </c>
      <c r="F5" s="2" t="s">
        <v>568</v>
      </c>
      <c r="G5" s="2" t="s">
        <v>569</v>
      </c>
      <c r="H5" s="2" t="s">
        <v>570</v>
      </c>
    </row>
    <row r="6" spans="1:8" ht="38.1" customHeight="1">
      <c r="A6" s="1">
        <f t="shared" ref="A6:A69" si="0">IF(D6="","",ROW()-5)</f>
        <v>1</v>
      </c>
      <c r="B6" s="1" t="str">
        <f>IF(后台计算!D3="","",后台计算!DH3)</f>
        <v>出牌</v>
      </c>
      <c r="C6" s="1">
        <f>IF(后台计算!D3="","",后台计算!EX3)</f>
        <v>1</v>
      </c>
      <c r="D6" s="1" t="str">
        <f>IF(行动模拟!D9="","",行动模拟!D9)</f>
        <v>小瑞安侬｜悄冥冥术阵</v>
      </c>
      <c r="E6" s="1">
        <f>IF(后台计算!D3="","",后台计算!EY3)</f>
        <v>1</v>
      </c>
      <c r="F6" s="1">
        <f>IF(后台计算!D3="","",后台计算!AW3)</f>
        <v>0</v>
      </c>
      <c r="G6" s="1">
        <f>IF(后台计算!D3="","",后台计算!EZ3)</f>
        <v>1</v>
      </c>
      <c r="H6" s="1">
        <f>0</f>
        <v>0</v>
      </c>
    </row>
    <row r="7" spans="1:8" ht="38.1" customHeight="1">
      <c r="A7" s="1">
        <f t="shared" si="0"/>
        <v>2</v>
      </c>
      <c r="B7" s="1" t="str">
        <f>IF(后台计算!D4="","",后台计算!DH4)</f>
        <v>出牌</v>
      </c>
      <c r="C7" s="1">
        <f>IF(后台计算!D4="","",后台计算!EX4)</f>
        <v>1</v>
      </c>
      <c r="D7" s="1" t="str">
        <f>IF(行动模拟!D10="","",行动模拟!D10)</f>
        <v>J｜热处理</v>
      </c>
      <c r="E7" s="1">
        <f>IF(后台计算!D4="","",后台计算!EY4)</f>
        <v>0</v>
      </c>
      <c r="F7" s="1">
        <f>IF(后台计算!D4="","",后台计算!AW4)</f>
        <v>1</v>
      </c>
      <c r="G7" s="1">
        <f>IF(后台计算!D4="","",后台计算!EZ4)</f>
        <v>1</v>
      </c>
      <c r="H7" s="1">
        <f>IF(D7="","",MAX(0,后台计算!EZ3-F7))</f>
        <v>0</v>
      </c>
    </row>
    <row r="8" spans="1:8" ht="38.1" customHeight="1">
      <c r="A8" s="1">
        <f t="shared" si="0"/>
        <v>3</v>
      </c>
      <c r="B8" s="1" t="str">
        <f>IF(后台计算!D5="","",后台计算!DH5)</f>
        <v>出牌</v>
      </c>
      <c r="C8" s="1">
        <f>IF(后台计算!D5="","",后台计算!EX5)</f>
        <v>1</v>
      </c>
      <c r="D8" s="1" t="str">
        <f>IF(行动模拟!D11="","",行动模拟!D11)</f>
        <v>红弩箭｜眼镜蛇机动</v>
      </c>
      <c r="E8" s="1">
        <f>IF(后台计算!D5="","",后台计算!EY5)</f>
        <v>0</v>
      </c>
      <c r="F8" s="1">
        <f>IF(后台计算!D5="","",后台计算!AW5)</f>
        <v>1</v>
      </c>
      <c r="G8" s="1">
        <f>IF(后台计算!D5="","",后台计算!EZ5)</f>
        <v>1</v>
      </c>
      <c r="H8" s="1">
        <f>IF(D8="","",MAX(0,后台计算!EZ4-F8))</f>
        <v>0</v>
      </c>
    </row>
    <row r="9" spans="1:8" ht="38.1" customHeight="1">
      <c r="A9" s="1">
        <f t="shared" si="0"/>
        <v>4</v>
      </c>
      <c r="B9" s="1" t="str">
        <f>IF(后台计算!D6="","",后台计算!DH6)</f>
        <v>出牌</v>
      </c>
      <c r="C9" s="1">
        <f>IF(后台计算!D6="","",后台计算!EX6)</f>
        <v>1</v>
      </c>
      <c r="D9" s="1" t="str">
        <f>IF(行动模拟!D12="","",行动模拟!D12)</f>
        <v>红弩箭｜极限俯冲Ⅰ</v>
      </c>
      <c r="E9" s="1">
        <f>IF(后台计算!D6="","",后台计算!EY6)</f>
        <v>0</v>
      </c>
      <c r="F9" s="1">
        <f>IF(后台计算!D6="","",后台计算!AW6)</f>
        <v>1</v>
      </c>
      <c r="G9" s="1">
        <f>IF(后台计算!D6="","",后台计算!EZ6)</f>
        <v>1</v>
      </c>
      <c r="H9" s="1">
        <f>IF(D9="","",MAX(0,后台计算!EZ5-F9))</f>
        <v>0</v>
      </c>
    </row>
    <row r="10" spans="1:8" ht="38.1" customHeight="1">
      <c r="A10" s="1">
        <f t="shared" si="0"/>
        <v>5</v>
      </c>
      <c r="B10" s="1" t="str">
        <f>IF(后台计算!D7="","",后台计算!DH7)</f>
        <v>敌方</v>
      </c>
      <c r="C10" s="1">
        <f>IF(后台计算!D7="","",后台计算!EX7)</f>
        <v>1</v>
      </c>
      <c r="D10" s="1" t="str">
        <f>IF(行动模拟!D13="","",行动模拟!D13)</f>
        <v>J｜高温回火</v>
      </c>
      <c r="E10" s="1">
        <f>IF(后台计算!D7="","",后台计算!EY7)</f>
        <v>0</v>
      </c>
      <c r="F10" s="1">
        <f>IF(后台计算!D7="","",后台计算!AW7)</f>
        <v>1</v>
      </c>
      <c r="G10" s="1">
        <f>IF(后台计算!D7="","",后台计算!EZ7)</f>
        <v>1</v>
      </c>
      <c r="H10" s="1">
        <f>IF(D10="","",MAX(0,后台计算!EZ6-F10))</f>
        <v>0</v>
      </c>
    </row>
    <row r="11" spans="1:8" ht="38.1" customHeight="1">
      <c r="A11" s="1">
        <f t="shared" si="0"/>
        <v>6</v>
      </c>
      <c r="B11" s="1" t="str">
        <f>IF(后台计算!D8="","",后台计算!DH8)</f>
        <v>敌方</v>
      </c>
      <c r="C11" s="1">
        <f>IF(后台计算!D8="","",后台计算!EX8)</f>
        <v>1</v>
      </c>
      <c r="D11" s="1" t="str">
        <f>IF(行动模拟!D14="","",行动模拟!D14)</f>
        <v>37｜补充算式</v>
      </c>
      <c r="E11" s="1">
        <f>IF(后台计算!D8="","",后台计算!EY8)</f>
        <v>0</v>
      </c>
      <c r="F11" s="1">
        <f>IF(后台计算!D8="","",后台计算!AW8)</f>
        <v>1</v>
      </c>
      <c r="G11" s="1">
        <f>IF(后台计算!D8="","",后台计算!EZ8)</f>
        <v>1</v>
      </c>
      <c r="H11" s="1">
        <f>IF(D11="","",MAX(0,后台计算!EZ7-F11))</f>
        <v>0</v>
      </c>
    </row>
    <row r="12" spans="1:8" ht="38.1" customHeight="1">
      <c r="A12" s="1">
        <f t="shared" si="0"/>
        <v>7</v>
      </c>
      <c r="B12" s="1" t="str">
        <f>IF(后台计算!D9="","",后台计算!DH9)</f>
        <v>敌方</v>
      </c>
      <c r="C12" s="1">
        <f>IF(后台计算!D9="","",后台计算!EX9)</f>
        <v>1</v>
      </c>
      <c r="D12" s="1" t="str">
        <f>IF(行动模拟!D15="","",行动模拟!D15)</f>
        <v>J｜高温回火</v>
      </c>
      <c r="E12" s="1">
        <f>IF(后台计算!D9="","",后台计算!EY9)</f>
        <v>0</v>
      </c>
      <c r="F12" s="1">
        <f>IF(后台计算!D9="","",后台计算!AW9)</f>
        <v>1</v>
      </c>
      <c r="G12" s="1">
        <f>IF(后台计算!D9="","",后台计算!EZ9)</f>
        <v>1</v>
      </c>
      <c r="H12" s="1">
        <f>IF(D12="","",MAX(0,后台计算!EZ8-F12))</f>
        <v>0</v>
      </c>
    </row>
    <row r="13" spans="1:8" ht="38.1" customHeight="1">
      <c r="A13" s="1">
        <f t="shared" si="0"/>
        <v>8</v>
      </c>
      <c r="B13" s="1" t="str">
        <f>IF(后台计算!D10="","",后台计算!DH10)</f>
        <v>敌方</v>
      </c>
      <c r="C13" s="1">
        <f>IF(后台计算!D10="","",后台计算!EX10)</f>
        <v>1</v>
      </c>
      <c r="D13" s="1" t="str">
        <f>IF(行动模拟!D16="","",行动模拟!D16)</f>
        <v>J｜高温回火</v>
      </c>
      <c r="E13" s="1">
        <f>IF(后台计算!D10="","",后台计算!EY10)</f>
        <v>0</v>
      </c>
      <c r="F13" s="1">
        <f>IF(后台计算!D10="","",后台计算!AW10)</f>
        <v>1</v>
      </c>
      <c r="G13" s="1">
        <f>IF(后台计算!D10="","",后台计算!EZ10)</f>
        <v>1</v>
      </c>
      <c r="H13" s="1">
        <f>IF(D13="","",MAX(0,后台计算!EZ9-F13))</f>
        <v>0</v>
      </c>
    </row>
    <row r="14" spans="1:8" ht="38.1" customHeight="1">
      <c r="A14" s="1">
        <f t="shared" si="0"/>
        <v>9</v>
      </c>
      <c r="B14" s="1" t="str">
        <f>IF(后台计算!D11="","",后台计算!DH11)</f>
        <v>敌方</v>
      </c>
      <c r="C14" s="1">
        <f>IF(后台计算!D11="","",后台计算!EX11)</f>
        <v>1</v>
      </c>
      <c r="D14" s="1" t="str">
        <f>IF(行动模拟!D17="","",行动模拟!D17)</f>
        <v>J｜高温回火</v>
      </c>
      <c r="E14" s="1">
        <f>IF(后台计算!D11="","",后台计算!EY11)</f>
        <v>0</v>
      </c>
      <c r="F14" s="1">
        <f>IF(后台计算!D11="","",后台计算!AW11)</f>
        <v>1</v>
      </c>
      <c r="G14" s="1">
        <f>IF(后台计算!D11="","",后台计算!EZ11)</f>
        <v>1</v>
      </c>
      <c r="H14" s="1">
        <f>IF(D14="","",MAX(0,后台计算!EZ10-F14))</f>
        <v>0</v>
      </c>
    </row>
    <row r="15" spans="1:8" ht="38.1" customHeight="1">
      <c r="A15" s="1">
        <f t="shared" si="0"/>
        <v>10</v>
      </c>
      <c r="B15" s="1" t="str">
        <f>IF(后台计算!D12="","",后台计算!DH12)</f>
        <v>出牌</v>
      </c>
      <c r="C15" s="1">
        <f>IF(后台计算!D12="","",后台计算!EX12)</f>
        <v>2</v>
      </c>
      <c r="D15" s="1" t="str">
        <f>IF(行动模拟!D18="","",行动模拟!D18)</f>
        <v>小瑞安侬｜唱予无忧之诗</v>
      </c>
      <c r="E15" s="1">
        <f>IF(后台计算!D12="","",后台计算!EY12)</f>
        <v>1</v>
      </c>
      <c r="F15" s="1">
        <f>IF(后台计算!D12="","",后台计算!AW12)</f>
        <v>1</v>
      </c>
      <c r="G15" s="1">
        <f>IF(后台计算!D12="","",后台计算!EZ12)</f>
        <v>2</v>
      </c>
      <c r="H15" s="1">
        <f>IF(D15="","",MAX(0,后台计算!EZ11-F15))</f>
        <v>0</v>
      </c>
    </row>
    <row r="16" spans="1:8" ht="38.1" customHeight="1">
      <c r="A16" s="1">
        <f t="shared" si="0"/>
        <v>11</v>
      </c>
      <c r="B16" s="1" t="str">
        <f>IF(后台计算!D13="","",后台计算!DH13)</f>
        <v>出牌</v>
      </c>
      <c r="C16" s="1">
        <f>IF(后台计算!D13="","",后台计算!EX13)</f>
        <v>2</v>
      </c>
      <c r="D16" s="1" t="str">
        <f>IF(行动模拟!D19="","",行动模拟!D19)</f>
        <v>J｜热处理</v>
      </c>
      <c r="E16" s="1">
        <f>IF(后台计算!D13="","",后台计算!EY13)</f>
        <v>0</v>
      </c>
      <c r="F16" s="1">
        <f>IF(后台计算!D13="","",后台计算!AW13)</f>
        <v>2</v>
      </c>
      <c r="G16" s="1">
        <f>IF(后台计算!D13="","",后台计算!EZ13)</f>
        <v>2</v>
      </c>
      <c r="H16" s="1">
        <f>IF(D16="","",MAX(0,后台计算!EZ12-F16))</f>
        <v>0</v>
      </c>
    </row>
    <row r="17" spans="1:8" ht="38.1" customHeight="1">
      <c r="A17" s="1">
        <f t="shared" si="0"/>
        <v>12</v>
      </c>
      <c r="B17" s="1" t="str">
        <f>IF(后台计算!D14="","",后台计算!DH14)</f>
        <v>出牌</v>
      </c>
      <c r="C17" s="1">
        <f>IF(后台计算!D14="","",后台计算!EX14)</f>
        <v>2</v>
      </c>
      <c r="D17" s="1" t="str">
        <f>IF(行动模拟!D20="","",行动模拟!D20)</f>
        <v>37｜补充算式</v>
      </c>
      <c r="E17" s="1">
        <f>IF(后台计算!D14="","",后台计算!EY14)</f>
        <v>0</v>
      </c>
      <c r="F17" s="1">
        <f>IF(后台计算!D14="","",后台计算!AW14)</f>
        <v>2</v>
      </c>
      <c r="G17" s="1">
        <f>IF(后台计算!D14="","",后台计算!EZ14)</f>
        <v>2</v>
      </c>
      <c r="H17" s="1">
        <f>IF(D17="","",MAX(0,后台计算!EZ13-F17))</f>
        <v>0</v>
      </c>
    </row>
    <row r="18" spans="1:8" ht="38.1" customHeight="1">
      <c r="A18" s="1">
        <f t="shared" si="0"/>
        <v>13</v>
      </c>
      <c r="B18" s="1" t="str">
        <f>IF(后台计算!D15="","",后台计算!DH15)</f>
        <v>出牌</v>
      </c>
      <c r="C18" s="1">
        <f>IF(后台计算!D15="","",后台计算!EX15)</f>
        <v>2</v>
      </c>
      <c r="D18" s="1" t="str">
        <f>IF(行动模拟!D21="","",行动模拟!D21)</f>
        <v>37｜曲线映射Ⅰ</v>
      </c>
      <c r="E18" s="1">
        <f>IF(后台计算!D15="","",后台计算!EY15)</f>
        <v>0</v>
      </c>
      <c r="F18" s="1">
        <f>IF(后台计算!D15="","",后台计算!AW15)</f>
        <v>2</v>
      </c>
      <c r="G18" s="1">
        <f>IF(后台计算!D15="","",后台计算!EZ15)</f>
        <v>2</v>
      </c>
      <c r="H18" s="1">
        <f>IF(D18="","",MAX(0,后台计算!EZ14-F18))</f>
        <v>0</v>
      </c>
    </row>
    <row r="19" spans="1:8" ht="38.1" customHeight="1">
      <c r="A19" s="1">
        <f t="shared" si="0"/>
        <v>14</v>
      </c>
      <c r="B19" s="1" t="str">
        <f>IF(后台计算!D16="","",后台计算!DH16)</f>
        <v>出牌</v>
      </c>
      <c r="C19" s="1">
        <f>IF(后台计算!D16="","",后台计算!EX16)</f>
        <v>2</v>
      </c>
      <c r="D19" s="1" t="str">
        <f>IF(行动模拟!D22="","",行动模拟!D22)</f>
        <v>37｜三角正论Ⅰ</v>
      </c>
      <c r="E19" s="1">
        <f>IF(后台计算!D16="","",后台计算!EY16)</f>
        <v>0</v>
      </c>
      <c r="F19" s="1">
        <f>IF(后台计算!D16="","",后台计算!AW16)</f>
        <v>2</v>
      </c>
      <c r="G19" s="1">
        <f>IF(后台计算!D16="","",后台计算!EZ16)</f>
        <v>2</v>
      </c>
      <c r="H19" s="1">
        <f>IF(D19="","",MAX(0,后台计算!EZ15-F19))</f>
        <v>0</v>
      </c>
    </row>
    <row r="20" spans="1:8" ht="38.1" customHeight="1">
      <c r="A20" s="1">
        <f t="shared" si="0"/>
        <v>15</v>
      </c>
      <c r="B20" s="1" t="str">
        <f>IF(后台计算!D17="","",后台计算!DH17)</f>
        <v>敌方</v>
      </c>
      <c r="C20" s="1">
        <f>IF(后台计算!D17="","",后台计算!EX17)</f>
        <v>2</v>
      </c>
      <c r="D20" s="1" t="str">
        <f>IF(行动模拟!D23="","",行动模拟!D23)</f>
        <v>J｜高温回火</v>
      </c>
      <c r="E20" s="1">
        <f>IF(后台计算!D17="","",后台计算!EY17)</f>
        <v>0</v>
      </c>
      <c r="F20" s="1">
        <f>IF(后台计算!D17="","",后台计算!AW17)</f>
        <v>2</v>
      </c>
      <c r="G20" s="1">
        <f>IF(后台计算!D17="","",后台计算!EZ17)</f>
        <v>2</v>
      </c>
      <c r="H20" s="1">
        <f>IF(D20="","",MAX(0,后台计算!EZ16-F20))</f>
        <v>0</v>
      </c>
    </row>
    <row r="21" spans="1:8" ht="38.1" customHeight="1">
      <c r="A21" s="1">
        <f t="shared" si="0"/>
        <v>16</v>
      </c>
      <c r="B21" s="1" t="str">
        <f>IF(后台计算!D18="","",后台计算!DH18)</f>
        <v>敌方</v>
      </c>
      <c r="C21" s="1">
        <f>IF(后台计算!D18="","",后台计算!EX18)</f>
        <v>2</v>
      </c>
      <c r="D21" s="1" t="str">
        <f>IF(行动模拟!D24="","",行动模拟!D24)</f>
        <v>J｜高温回火</v>
      </c>
      <c r="E21" s="1">
        <f>IF(后台计算!D18="","",后台计算!EY18)</f>
        <v>0</v>
      </c>
      <c r="F21" s="1">
        <f>IF(后台计算!D18="","",后台计算!AW18)</f>
        <v>2</v>
      </c>
      <c r="G21" s="1">
        <f>IF(后台计算!D18="","",后台计算!EZ18)</f>
        <v>2</v>
      </c>
      <c r="H21" s="1">
        <f>IF(D21="","",MAX(0,后台计算!EZ17-F21))</f>
        <v>0</v>
      </c>
    </row>
    <row r="22" spans="1:8" ht="38.1" customHeight="1">
      <c r="A22" s="1">
        <f t="shared" si="0"/>
        <v>17</v>
      </c>
      <c r="B22" s="1" t="str">
        <f>IF(后台计算!D19="","",后台计算!DH19)</f>
        <v>敌方</v>
      </c>
      <c r="C22" s="1">
        <f>IF(后台计算!D19="","",后台计算!EX19)</f>
        <v>2</v>
      </c>
      <c r="D22" s="1" t="str">
        <f>IF(行动模拟!D25="","",行动模拟!D25)</f>
        <v>J｜高温回火</v>
      </c>
      <c r="E22" s="1">
        <f>IF(后台计算!D19="","",后台计算!EY19)</f>
        <v>0</v>
      </c>
      <c r="F22" s="1">
        <f>IF(后台计算!D19="","",后台计算!AW19)</f>
        <v>2</v>
      </c>
      <c r="G22" s="1">
        <f>IF(后台计算!D19="","",后台计算!EZ19)</f>
        <v>2</v>
      </c>
      <c r="H22" s="1">
        <f>IF(D22="","",MAX(0,后台计算!EZ18-F22))</f>
        <v>0</v>
      </c>
    </row>
    <row r="23" spans="1:8" ht="38.1" customHeight="1">
      <c r="A23" s="1">
        <f t="shared" si="0"/>
        <v>18</v>
      </c>
      <c r="B23" s="1" t="str">
        <f>IF(后台计算!D20="","",后台计算!DH20)</f>
        <v>敌方</v>
      </c>
      <c r="C23" s="1">
        <f>IF(后台计算!D20="","",后台计算!EX20)</f>
        <v>2</v>
      </c>
      <c r="D23" s="1" t="str">
        <f>IF(行动模拟!D26="","",行动模拟!D26)</f>
        <v>37｜补充算式</v>
      </c>
      <c r="E23" s="1">
        <f>IF(后台计算!D20="","",后台计算!EY20)</f>
        <v>0</v>
      </c>
      <c r="F23" s="1">
        <f>IF(后台计算!D20="","",后台计算!AW20)</f>
        <v>2</v>
      </c>
      <c r="G23" s="1">
        <f>IF(后台计算!D20="","",后台计算!EZ20)</f>
        <v>2</v>
      </c>
      <c r="H23" s="1">
        <f>IF(D23="","",MAX(0,后台计算!EZ19-F23))</f>
        <v>0</v>
      </c>
    </row>
    <row r="24" spans="1:8" ht="38.1" customHeight="1">
      <c r="A24" s="1">
        <f t="shared" si="0"/>
        <v>19</v>
      </c>
      <c r="B24" s="1" t="str">
        <f>IF(后台计算!D21="","",后台计算!DH21)</f>
        <v>敌方</v>
      </c>
      <c r="C24" s="1">
        <f>IF(后台计算!D21="","",后台计算!EX21)</f>
        <v>2</v>
      </c>
      <c r="D24" s="1" t="str">
        <f>IF(行动模拟!D27="","",行动模拟!D27)</f>
        <v>J｜高温回火</v>
      </c>
      <c r="E24" s="1">
        <f>IF(后台计算!D21="","",后台计算!EY21)</f>
        <v>0</v>
      </c>
      <c r="F24" s="1">
        <f>IF(后台计算!D21="","",后台计算!AW21)</f>
        <v>2</v>
      </c>
      <c r="G24" s="1">
        <f>IF(后台计算!D21="","",后台计算!EZ21)</f>
        <v>2</v>
      </c>
      <c r="H24" s="1">
        <f>IF(D24="","",MAX(0,后台计算!EZ20-F24))</f>
        <v>0</v>
      </c>
    </row>
    <row r="25" spans="1:8" ht="38.1" customHeight="1">
      <c r="A25" s="1">
        <f t="shared" si="0"/>
        <v>20</v>
      </c>
      <c r="B25" s="1" t="str">
        <f>IF(后台计算!D22="","",后台计算!DH22)</f>
        <v>出牌</v>
      </c>
      <c r="C25" s="1">
        <f>IF(后台计算!D22="","",后台计算!EX22)</f>
        <v>3</v>
      </c>
      <c r="D25" s="1" t="str">
        <f>IF(行动模拟!D28="","",行动模拟!D28)</f>
        <v>小瑞安侬｜悄冥冥术阵</v>
      </c>
      <c r="E25" s="1">
        <f>IF(后台计算!D22="","",后台计算!EY22)</f>
        <v>1</v>
      </c>
      <c r="F25" s="1">
        <f>IF(后台计算!D22="","",后台计算!AW22)</f>
        <v>2</v>
      </c>
      <c r="G25" s="1">
        <f>IF(后台计算!D22="","",后台计算!EZ22)</f>
        <v>3</v>
      </c>
      <c r="H25" s="1">
        <f>IF(D25="","",MAX(0,后台计算!EZ21-F25))</f>
        <v>0</v>
      </c>
    </row>
    <row r="26" spans="1:8" ht="38.1" customHeight="1">
      <c r="A26" s="1">
        <f t="shared" si="0"/>
        <v>21</v>
      </c>
      <c r="B26" s="1" t="str">
        <f>IF(后台计算!D23="","",后台计算!DH23)</f>
        <v>出牌</v>
      </c>
      <c r="C26" s="1">
        <f>IF(后台计算!D23="","",后台计算!EX23)</f>
        <v>3</v>
      </c>
      <c r="D26" s="1" t="str">
        <f>IF(行动模拟!D29="","",行动模拟!D29)</f>
        <v>37｜数与几何的王国</v>
      </c>
      <c r="E26" s="1">
        <f>IF(后台计算!D23="","",后台计算!EY23)</f>
        <v>0</v>
      </c>
      <c r="F26" s="1">
        <f>IF(后台计算!D23="","",后台计算!AW23)</f>
        <v>3</v>
      </c>
      <c r="G26" s="1">
        <f>IF(后台计算!D23="","",后台计算!EZ23)</f>
        <v>3</v>
      </c>
      <c r="H26" s="1">
        <f>IF(D26="","",MAX(0,后台计算!EZ22-F26))</f>
        <v>0</v>
      </c>
    </row>
    <row r="27" spans="1:8" ht="38.1" customHeight="1">
      <c r="A27" s="1">
        <f t="shared" si="0"/>
        <v>22</v>
      </c>
      <c r="B27" s="1" t="str">
        <f>IF(后台计算!D24="","",后台计算!DH24)</f>
        <v>出牌</v>
      </c>
      <c r="C27" s="1">
        <f>IF(后台计算!D24="","",后台计算!EX24)</f>
        <v>3</v>
      </c>
      <c r="D27" s="1" t="str">
        <f>IF(行动模拟!D30="","",行动模拟!D30)</f>
        <v>37｜补充算式</v>
      </c>
      <c r="E27" s="1">
        <f>IF(后台计算!D24="","",后台计算!EY24)</f>
        <v>0</v>
      </c>
      <c r="F27" s="1">
        <f>IF(后台计算!D24="","",后台计算!AW24)</f>
        <v>3</v>
      </c>
      <c r="G27" s="1">
        <f>IF(后台计算!D24="","",后台计算!EZ24)</f>
        <v>3</v>
      </c>
      <c r="H27" s="1">
        <f>IF(D27="","",MAX(0,后台计算!EZ23-F27))</f>
        <v>0</v>
      </c>
    </row>
    <row r="28" spans="1:8" ht="38.1" customHeight="1">
      <c r="A28" s="1">
        <f t="shared" si="0"/>
        <v>23</v>
      </c>
      <c r="B28" s="1" t="str">
        <f>IF(后台计算!D25="","",后台计算!DH25)</f>
        <v>出牌</v>
      </c>
      <c r="C28" s="1">
        <f>IF(后台计算!D25="","",后台计算!EX25)</f>
        <v>3</v>
      </c>
      <c r="D28" s="1" t="str">
        <f>IF(行动模拟!D31="","",行动模拟!D31)</f>
        <v>J｜飞跃海特街</v>
      </c>
      <c r="E28" s="1">
        <f>IF(后台计算!D25="","",后台计算!EY25)</f>
        <v>0</v>
      </c>
      <c r="F28" s="1">
        <f>IF(后台计算!D25="","",后台计算!AW25)</f>
        <v>3</v>
      </c>
      <c r="G28" s="1">
        <f>IF(后台计算!D25="","",后台计算!EZ25)</f>
        <v>3</v>
      </c>
      <c r="H28" s="1">
        <f>IF(D28="","",MAX(0,后台计算!EZ24-F28))</f>
        <v>0</v>
      </c>
    </row>
    <row r="29" spans="1:8" ht="38.1" customHeight="1">
      <c r="A29" s="1">
        <f t="shared" si="0"/>
        <v>24</v>
      </c>
      <c r="B29" s="1" t="str">
        <f>IF(后台计算!D26="","",后台计算!DH26)</f>
        <v>出牌</v>
      </c>
      <c r="C29" s="1">
        <f>IF(后台计算!D26="","",后台计算!EX26)</f>
        <v>3</v>
      </c>
      <c r="D29" s="1" t="str">
        <f>IF(行动模拟!D32="","",行动模拟!D32)</f>
        <v>小瑞安侬｜囫囵囵咒Ⅰ</v>
      </c>
      <c r="E29" s="1">
        <f>IF(后台计算!D26="","",后台计算!EY26)</f>
        <v>1</v>
      </c>
      <c r="F29" s="1">
        <f>IF(后台计算!D26="","",后台计算!AW26)</f>
        <v>3</v>
      </c>
      <c r="G29" s="1">
        <f>IF(后台计算!D26="","",后台计算!EZ26)</f>
        <v>4</v>
      </c>
      <c r="H29" s="1">
        <f>IF(D29="","",MAX(0,后台计算!EZ25-F29))</f>
        <v>0</v>
      </c>
    </row>
    <row r="30" spans="1:8" ht="38.1" customHeight="1">
      <c r="A30" s="1">
        <f t="shared" si="0"/>
        <v>25</v>
      </c>
      <c r="B30" s="1" t="str">
        <f>IF(后台计算!D27="","",后台计算!DH27)</f>
        <v>出牌</v>
      </c>
      <c r="C30" s="1">
        <f>IF(后台计算!D27="","",后台计算!EX27)</f>
        <v>3</v>
      </c>
      <c r="D30" s="1" t="str">
        <f>IF(行动模拟!D33="","",行动模拟!D33)</f>
        <v>小瑞安侬｜囫囵囵咒Ⅰ</v>
      </c>
      <c r="E30" s="1">
        <f>IF(后台计算!D27="","",后台计算!EY27)</f>
        <v>1</v>
      </c>
      <c r="F30" s="1">
        <f>IF(后台计算!D27="","",后台计算!AW27)</f>
        <v>4</v>
      </c>
      <c r="G30" s="1">
        <f>IF(后台计算!D27="","",后台计算!EZ27)</f>
        <v>5</v>
      </c>
      <c r="H30" s="1">
        <f>IF(D30="","",MAX(0,后台计算!EZ26-F30))</f>
        <v>0</v>
      </c>
    </row>
    <row r="31" spans="1:8" ht="38.1" customHeight="1">
      <c r="A31" s="1">
        <f t="shared" si="0"/>
        <v>26</v>
      </c>
      <c r="B31" s="1" t="str">
        <f>IF(后台计算!D28="","",后台计算!DH28)</f>
        <v>出牌</v>
      </c>
      <c r="C31" s="1">
        <f>IF(后台计算!D28="","",后台计算!EX28)</f>
        <v>3</v>
      </c>
      <c r="D31" s="1" t="str">
        <f>IF(行动模拟!D34="","",行动模拟!D34)</f>
        <v>红弩箭｜试试杀手锏</v>
      </c>
      <c r="E31" s="1">
        <f>IF(后台计算!D28="","",后台计算!EY28)</f>
        <v>0</v>
      </c>
      <c r="F31" s="1">
        <f>IF(后台计算!D28="","",后台计算!AW28)</f>
        <v>5</v>
      </c>
      <c r="G31" s="1">
        <f>IF(后台计算!D28="","",后台计算!EZ28)</f>
        <v>5</v>
      </c>
      <c r="H31" s="1">
        <f>IF(D31="","",MAX(0,后台计算!EZ27-F31))</f>
        <v>0</v>
      </c>
    </row>
    <row r="32" spans="1:8" ht="38.1" customHeight="1">
      <c r="A32" s="1">
        <f t="shared" si="0"/>
        <v>27</v>
      </c>
      <c r="B32" s="1" t="str">
        <f>IF(后台计算!D29="","",后台计算!DH29)</f>
        <v>出牌</v>
      </c>
      <c r="C32" s="1">
        <f>IF(后台计算!D29="","",后台计算!EX29)</f>
        <v>3</v>
      </c>
      <c r="D32" s="1" t="str">
        <f>IF(行动模拟!D35="","",行动模拟!D35)</f>
        <v>红弩箭｜极限俯冲Ⅲ</v>
      </c>
      <c r="E32" s="1">
        <f>IF(后台计算!D29="","",后台计算!EY29)</f>
        <v>0</v>
      </c>
      <c r="F32" s="1">
        <f>IF(后台计算!D29="","",后台计算!AW29)</f>
        <v>5</v>
      </c>
      <c r="G32" s="1">
        <f>IF(后台计算!D29="","",后台计算!EZ29)</f>
        <v>5</v>
      </c>
      <c r="H32" s="1">
        <f>IF(D32="","",MAX(0,后台计算!EZ28-F32))</f>
        <v>0</v>
      </c>
    </row>
    <row r="33" spans="1:8" ht="38.1" customHeight="1">
      <c r="A33" s="1">
        <f t="shared" si="0"/>
        <v>28</v>
      </c>
      <c r="B33" s="1" t="str">
        <f>IF(后台计算!D30="","",后台计算!DH30)</f>
        <v>出牌</v>
      </c>
      <c r="C33" s="1">
        <f>IF(后台计算!D30="","",后台计算!EX30)</f>
        <v>3</v>
      </c>
      <c r="D33" s="1" t="str">
        <f>IF(行动模拟!D36="","",行动模拟!D36)</f>
        <v>37｜补充算式</v>
      </c>
      <c r="E33" s="1">
        <f>IF(后台计算!D30="","",后台计算!EY30)</f>
        <v>0</v>
      </c>
      <c r="F33" s="1">
        <f>IF(后台计算!D30="","",后台计算!AW30)</f>
        <v>5</v>
      </c>
      <c r="G33" s="1">
        <f>IF(后台计算!D30="","",后台计算!EZ30)</f>
        <v>5</v>
      </c>
      <c r="H33" s="1">
        <f>IF(D33="","",MAX(0,后台计算!EZ29-F33))</f>
        <v>0</v>
      </c>
    </row>
    <row r="34" spans="1:8" ht="38.1" customHeight="1">
      <c r="A34" s="1">
        <f t="shared" si="0"/>
        <v>29</v>
      </c>
      <c r="B34" s="1" t="str">
        <f>IF(后台计算!D31="","",后台计算!DH31)</f>
        <v>敌方</v>
      </c>
      <c r="C34" s="1">
        <f>IF(后台计算!D31="","",后台计算!EX31)</f>
        <v>3</v>
      </c>
      <c r="D34" s="1" t="str">
        <f>IF(行动模拟!D37="","",行动模拟!D37)</f>
        <v>J｜高温回火</v>
      </c>
      <c r="E34" s="1">
        <f>IF(后台计算!D31="","",后台计算!EY31)</f>
        <v>0</v>
      </c>
      <c r="F34" s="1">
        <f>IF(后台计算!D31="","",后台计算!AW31)</f>
        <v>5</v>
      </c>
      <c r="G34" s="1">
        <f>IF(后台计算!D31="","",后台计算!EZ31)</f>
        <v>5</v>
      </c>
      <c r="H34" s="1">
        <f>IF(D34="","",MAX(0,后台计算!EZ30-F34))</f>
        <v>0</v>
      </c>
    </row>
    <row r="35" spans="1:8" ht="38.1" customHeight="1">
      <c r="A35" s="1">
        <f t="shared" si="0"/>
        <v>30</v>
      </c>
      <c r="B35" s="1" t="str">
        <f>IF(后台计算!D32="","",后台计算!DH32)</f>
        <v>敌方</v>
      </c>
      <c r="C35" s="1">
        <f>IF(后台计算!D32="","",后台计算!EX32)</f>
        <v>3</v>
      </c>
      <c r="D35" s="1" t="str">
        <f>IF(行动模拟!D38="","",行动模拟!D38)</f>
        <v>J｜高温回火</v>
      </c>
      <c r="E35" s="1">
        <f>IF(后台计算!D32="","",后台计算!EY32)</f>
        <v>0</v>
      </c>
      <c r="F35" s="1">
        <f>IF(后台计算!D32="","",后台计算!AW32)</f>
        <v>5</v>
      </c>
      <c r="G35" s="1">
        <f>IF(后台计算!D32="","",后台计算!EZ32)</f>
        <v>5</v>
      </c>
      <c r="H35" s="1">
        <f>IF(D35="","",MAX(0,后台计算!EZ31-F35))</f>
        <v>0</v>
      </c>
    </row>
    <row r="36" spans="1:8" ht="38.1" customHeight="1">
      <c r="A36" s="1">
        <f t="shared" si="0"/>
        <v>31</v>
      </c>
      <c r="B36" s="1" t="str">
        <f>IF(后台计算!D33="","",后台计算!DH33)</f>
        <v>敌方</v>
      </c>
      <c r="C36" s="1">
        <f>IF(后台计算!D33="","",后台计算!EX33)</f>
        <v>3</v>
      </c>
      <c r="D36" s="1" t="str">
        <f>IF(行动模拟!D39="","",行动模拟!D39)</f>
        <v>J｜高温回火</v>
      </c>
      <c r="E36" s="1">
        <f>IF(后台计算!D33="","",后台计算!EY33)</f>
        <v>0</v>
      </c>
      <c r="F36" s="1">
        <f>IF(后台计算!D33="","",后台计算!AW33)</f>
        <v>5</v>
      </c>
      <c r="G36" s="1">
        <f>IF(后台计算!D33="","",后台计算!EZ33)</f>
        <v>5</v>
      </c>
      <c r="H36" s="1">
        <f>IF(D36="","",MAX(0,后台计算!EZ32-F36))</f>
        <v>0</v>
      </c>
    </row>
    <row r="37" spans="1:8" ht="38.1" customHeight="1">
      <c r="A37" s="1">
        <f t="shared" si="0"/>
        <v>32</v>
      </c>
      <c r="B37" s="1" t="str">
        <f>IF(后台计算!D34="","",后台计算!DH34)</f>
        <v>敌方</v>
      </c>
      <c r="C37" s="1">
        <f>IF(后台计算!D34="","",后台计算!EX34)</f>
        <v>3</v>
      </c>
      <c r="D37" s="1" t="str">
        <f>IF(行动模拟!D40="","",行动模拟!D40)</f>
        <v>J｜高温回火</v>
      </c>
      <c r="E37" s="1">
        <f>IF(后台计算!D34="","",后台计算!EY34)</f>
        <v>0</v>
      </c>
      <c r="F37" s="1">
        <f>IF(后台计算!D34="","",后台计算!AW34)</f>
        <v>5</v>
      </c>
      <c r="G37" s="1">
        <f>IF(后台计算!D34="","",后台计算!EZ34)</f>
        <v>5</v>
      </c>
      <c r="H37" s="1">
        <f>IF(D37="","",MAX(0,后台计算!EZ33-F37))</f>
        <v>0</v>
      </c>
    </row>
    <row r="38" spans="1:8" ht="38.1" customHeight="1">
      <c r="A38" s="1">
        <f t="shared" si="0"/>
        <v>33</v>
      </c>
      <c r="B38" s="1" t="str">
        <f>IF(后台计算!D35="","",后台计算!DH35)</f>
        <v>洞穿</v>
      </c>
      <c r="C38" s="1">
        <f>IF(后台计算!D35="","",后台计算!EX35)</f>
        <v>4</v>
      </c>
      <c r="D38" s="1" t="str">
        <f>IF(行动模拟!D41="","",行动模拟!D41)</f>
        <v>系统｜进入弱点洞穿</v>
      </c>
      <c r="E38" s="1">
        <f>IF(后台计算!D35="","",后台计算!EY35)</f>
        <v>0</v>
      </c>
      <c r="F38" s="1">
        <f>IF(后台计算!D35="","",后台计算!AW35)</f>
        <v>4</v>
      </c>
      <c r="G38" s="1">
        <f>IF(后台计算!D35="","",后台计算!EZ35)</f>
        <v>4</v>
      </c>
      <c r="H38" s="1">
        <f>IF(D38="","",MAX(0,后台计算!EZ34-F38))</f>
        <v>1</v>
      </c>
    </row>
    <row r="39" spans="1:8" ht="38.1" customHeight="1">
      <c r="A39" s="1">
        <f t="shared" si="0"/>
        <v>34</v>
      </c>
      <c r="B39" s="1" t="str">
        <f>IF(后台计算!D36="","",后台计算!DH36)</f>
        <v>洞穿</v>
      </c>
      <c r="C39" s="1">
        <f>IF(后台计算!D36="","",后台计算!EX36)</f>
        <v>4</v>
      </c>
      <c r="D39" s="1" t="str">
        <f>IF(行动模拟!D42="","",行动模拟!D42)</f>
        <v>红弩箭｜洞知咒语</v>
      </c>
      <c r="E39" s="1">
        <f>IF(后台计算!D36="","",后台计算!EY36)</f>
        <v>0</v>
      </c>
      <c r="F39" s="1">
        <f>IF(后台计算!D36="","",后台计算!AW36)</f>
        <v>4</v>
      </c>
      <c r="G39" s="1">
        <f>IF(后台计算!D36="","",后台计算!EZ36)</f>
        <v>4</v>
      </c>
      <c r="H39" s="1">
        <f>IF(D39="","",MAX(0,后台计算!EZ35-F39))</f>
        <v>0</v>
      </c>
    </row>
    <row r="40" spans="1:8" ht="38.1" customHeight="1">
      <c r="A40" s="1">
        <f t="shared" si="0"/>
        <v>35</v>
      </c>
      <c r="B40" s="1" t="str">
        <f>IF(后台计算!D37="","",后台计算!DH37)</f>
        <v>洞穿</v>
      </c>
      <c r="C40" s="1">
        <f>IF(后台计算!D37="","",后台计算!EX37)</f>
        <v>4</v>
      </c>
      <c r="D40" s="1" t="str">
        <f>IF(行动模拟!D43="","",行动模拟!D43)</f>
        <v>红弩箭｜洞知咒语</v>
      </c>
      <c r="E40" s="1">
        <f>IF(后台计算!D37="","",后台计算!EY37)</f>
        <v>0</v>
      </c>
      <c r="F40" s="1">
        <f>IF(后台计算!D37="","",后台计算!AW37)</f>
        <v>4</v>
      </c>
      <c r="G40" s="1">
        <f>IF(后台计算!D37="","",后台计算!EZ37)</f>
        <v>4</v>
      </c>
      <c r="H40" s="1">
        <f>IF(D40="","",MAX(0,后台计算!EZ36-F40))</f>
        <v>0</v>
      </c>
    </row>
    <row r="41" spans="1:8" ht="38.1" customHeight="1">
      <c r="A41" s="1">
        <f t="shared" si="0"/>
        <v>36</v>
      </c>
      <c r="B41" s="1" t="str">
        <f>IF(后台计算!D38="","",后台计算!DH38)</f>
        <v>洞穿</v>
      </c>
      <c r="C41" s="1">
        <f>IF(后台计算!D38="","",后台计算!EX38)</f>
        <v>4</v>
      </c>
      <c r="D41" s="1" t="str">
        <f>IF(行动模拟!D44="","",行动模拟!D44)</f>
        <v>37｜洞知咒语</v>
      </c>
      <c r="E41" s="1">
        <f>IF(后台计算!D38="","",后台计算!EY38)</f>
        <v>0</v>
      </c>
      <c r="F41" s="1">
        <f>IF(后台计算!D38="","",后台计算!AW38)</f>
        <v>4</v>
      </c>
      <c r="G41" s="1">
        <f>IF(后台计算!D38="","",后台计算!EZ38)</f>
        <v>4</v>
      </c>
      <c r="H41" s="1">
        <f>IF(D41="","",MAX(0,后台计算!EZ37-F41))</f>
        <v>0</v>
      </c>
    </row>
    <row r="42" spans="1:8" ht="38.1" customHeight="1">
      <c r="A42" s="1">
        <f t="shared" si="0"/>
        <v>37</v>
      </c>
      <c r="B42" s="1" t="str">
        <f>IF(后台计算!D39="","",后台计算!DH39)</f>
        <v>洞穿</v>
      </c>
      <c r="C42" s="1">
        <f>IF(后台计算!D39="","",后台计算!EX39)</f>
        <v>4</v>
      </c>
      <c r="D42" s="1" t="str">
        <f>IF(行动模拟!D45="","",行动模拟!D45)</f>
        <v>红弩箭｜洞知咒语</v>
      </c>
      <c r="E42" s="1">
        <f>IF(后台计算!D39="","",后台计算!EY39)</f>
        <v>0</v>
      </c>
      <c r="F42" s="1">
        <f>IF(后台计算!D39="","",后台计算!AW39)</f>
        <v>4</v>
      </c>
      <c r="G42" s="1">
        <f>IF(后台计算!D39="","",后台计算!EZ39)</f>
        <v>4</v>
      </c>
      <c r="H42" s="1">
        <f>IF(D42="","",MAX(0,后台计算!EZ38-F42))</f>
        <v>0</v>
      </c>
    </row>
    <row r="43" spans="1:8" ht="38.1" customHeight="1">
      <c r="A43" s="1">
        <f t="shared" si="0"/>
        <v>38</v>
      </c>
      <c r="B43" s="1" t="str">
        <f>IF(后台计算!D40="","",后台计算!DH40)</f>
        <v>洞穿</v>
      </c>
      <c r="C43" s="1">
        <f>IF(后台计算!D40="","",后台计算!EX40)</f>
        <v>4</v>
      </c>
      <c r="D43" s="1" t="str">
        <f>IF(行动模拟!D46="","",行动模拟!D46)</f>
        <v>红弩箭｜洞知咒语</v>
      </c>
      <c r="E43" s="1">
        <f>IF(后台计算!D40="","",后台计算!EY40)</f>
        <v>0</v>
      </c>
      <c r="F43" s="1">
        <f>IF(后台计算!D40="","",后台计算!AW40)</f>
        <v>4</v>
      </c>
      <c r="G43" s="1">
        <f>IF(后台计算!D40="","",后台计算!EZ40)</f>
        <v>4</v>
      </c>
      <c r="H43" s="1">
        <f>IF(D43="","",MAX(0,后台计算!EZ39-F43))</f>
        <v>0</v>
      </c>
    </row>
    <row r="44" spans="1:8" ht="38.1" customHeight="1">
      <c r="A44" s="1">
        <f t="shared" si="0"/>
        <v>39</v>
      </c>
      <c r="B44" s="1" t="str">
        <f>IF(后台计算!D41="","",后台计算!DH41)</f>
        <v>洞穿</v>
      </c>
      <c r="C44" s="1">
        <f>IF(后台计算!D41="","",后台计算!EX41)</f>
        <v>4</v>
      </c>
      <c r="D44" s="1" t="str">
        <f>IF(行动模拟!D47="","",行动模拟!D47)</f>
        <v>红弩箭｜洞知咒语</v>
      </c>
      <c r="E44" s="1">
        <f>IF(后台计算!D41="","",后台计算!EY41)</f>
        <v>0</v>
      </c>
      <c r="F44" s="1">
        <f>IF(后台计算!D41="","",后台计算!AW41)</f>
        <v>4</v>
      </c>
      <c r="G44" s="1">
        <f>IF(后台计算!D41="","",后台计算!EZ41)</f>
        <v>4</v>
      </c>
      <c r="H44" s="1">
        <f>IF(D44="","",MAX(0,后台计算!EZ40-F44))</f>
        <v>0</v>
      </c>
    </row>
    <row r="45" spans="1:8" ht="38.1" customHeight="1">
      <c r="A45" s="1">
        <f t="shared" si="0"/>
        <v>40</v>
      </c>
      <c r="B45" s="1" t="str">
        <f>IF(后台计算!D42="","",后台计算!DH42)</f>
        <v>洞穿</v>
      </c>
      <c r="C45" s="1">
        <f>IF(后台计算!D42="","",后台计算!EX42)</f>
        <v>4</v>
      </c>
      <c r="D45" s="1" t="str">
        <f>IF(行动模拟!D48="","",行动模拟!D48)</f>
        <v>37｜洞知咒语</v>
      </c>
      <c r="E45" s="1">
        <f>IF(后台计算!D42="","",后台计算!EY42)</f>
        <v>0</v>
      </c>
      <c r="F45" s="1">
        <f>IF(后台计算!D42="","",后台计算!AW42)</f>
        <v>4</v>
      </c>
      <c r="G45" s="1">
        <f>IF(后台计算!D42="","",后台计算!EZ42)</f>
        <v>4</v>
      </c>
      <c r="H45" s="1">
        <f>IF(D45="","",MAX(0,后台计算!EZ41-F45))</f>
        <v>0</v>
      </c>
    </row>
    <row r="46" spans="1:8" ht="38.1" customHeight="1">
      <c r="A46" s="1">
        <f t="shared" si="0"/>
        <v>41</v>
      </c>
      <c r="B46" s="1" t="str">
        <f>IF(后台计算!D43="","",后台计算!DH43)</f>
        <v>洞穿</v>
      </c>
      <c r="C46" s="1">
        <f>IF(后台计算!D43="","",后台计算!EX43)</f>
        <v>4</v>
      </c>
      <c r="D46" s="1" t="str">
        <f>IF(行动模拟!D49="","",行动模拟!D49)</f>
        <v>红弩箭｜洞知咒语</v>
      </c>
      <c r="E46" s="1">
        <f>IF(后台计算!D43="","",后台计算!EY43)</f>
        <v>0</v>
      </c>
      <c r="F46" s="1">
        <f>IF(后台计算!D43="","",后台计算!AW43)</f>
        <v>4</v>
      </c>
      <c r="G46" s="1">
        <f>IF(后台计算!D43="","",后台计算!EZ43)</f>
        <v>4</v>
      </c>
      <c r="H46" s="1">
        <f>IF(D46="","",MAX(0,后台计算!EZ42-F46))</f>
        <v>0</v>
      </c>
    </row>
    <row r="47" spans="1:8" ht="38.1" customHeight="1">
      <c r="A47" s="1">
        <f t="shared" si="0"/>
        <v>42</v>
      </c>
      <c r="B47" s="1" t="str">
        <f>IF(后台计算!D44="","",后台计算!DH44)</f>
        <v>洞穿</v>
      </c>
      <c r="C47" s="1">
        <f>IF(后台计算!D44="","",后台计算!EX44)</f>
        <v>4</v>
      </c>
      <c r="D47" s="1" t="str">
        <f>IF(行动模拟!D50="","",行动模拟!D50)</f>
        <v>红弩箭｜洞知咒语</v>
      </c>
      <c r="E47" s="1">
        <f>IF(后台计算!D44="","",后台计算!EY44)</f>
        <v>0</v>
      </c>
      <c r="F47" s="1">
        <f>IF(后台计算!D44="","",后台计算!AW44)</f>
        <v>4</v>
      </c>
      <c r="G47" s="1">
        <f>IF(后台计算!D44="","",后台计算!EZ44)</f>
        <v>4</v>
      </c>
      <c r="H47" s="1">
        <f>IF(D47="","",MAX(0,后台计算!EZ43-F47))</f>
        <v>0</v>
      </c>
    </row>
    <row r="48" spans="1:8" ht="38.1" customHeight="1">
      <c r="A48" s="1">
        <f t="shared" si="0"/>
        <v>43</v>
      </c>
      <c r="B48" s="1" t="str">
        <f>IF(后台计算!D45="","",后台计算!DH45)</f>
        <v>洞穿</v>
      </c>
      <c r="C48" s="1">
        <f>IF(后台计算!D45="","",后台计算!EX45)</f>
        <v>4</v>
      </c>
      <c r="D48" s="1" t="str">
        <f>IF(行动模拟!D51="","",行动模拟!D51)</f>
        <v>红弩箭｜洞知咒语</v>
      </c>
      <c r="E48" s="1">
        <f>IF(后台计算!D45="","",后台计算!EY45)</f>
        <v>0</v>
      </c>
      <c r="F48" s="1">
        <f>IF(后台计算!D45="","",后台计算!AW45)</f>
        <v>4</v>
      </c>
      <c r="G48" s="1">
        <f>IF(后台计算!D45="","",后台计算!EZ45)</f>
        <v>4</v>
      </c>
      <c r="H48" s="1">
        <f>IF(D48="","",MAX(0,后台计算!EZ44-F48))</f>
        <v>0</v>
      </c>
    </row>
    <row r="49" spans="1:8" ht="38.1" customHeight="1">
      <c r="A49" s="1">
        <f t="shared" si="0"/>
        <v>44</v>
      </c>
      <c r="B49" s="1" t="str">
        <f>IF(后台计算!D46="","",后台计算!DH46)</f>
        <v>洞穿</v>
      </c>
      <c r="C49" s="1">
        <f>IF(后台计算!D46="","",后台计算!EX46)</f>
        <v>4</v>
      </c>
      <c r="D49" s="1" t="str">
        <f>IF(行动模拟!D52="","",行动模拟!D52)</f>
        <v>37｜洞知咒语</v>
      </c>
      <c r="E49" s="1">
        <f>IF(后台计算!D46="","",后台计算!EY46)</f>
        <v>0</v>
      </c>
      <c r="F49" s="1">
        <f>IF(后台计算!D46="","",后台计算!AW46)</f>
        <v>4</v>
      </c>
      <c r="G49" s="1">
        <f>IF(后台计算!D46="","",后台计算!EZ46)</f>
        <v>4</v>
      </c>
      <c r="H49" s="1">
        <f>IF(D49="","",MAX(0,后台计算!EZ45-F49))</f>
        <v>0</v>
      </c>
    </row>
    <row r="50" spans="1:8" ht="38.1" customHeight="1">
      <c r="A50" s="1">
        <f t="shared" si="0"/>
        <v>45</v>
      </c>
      <c r="B50" s="1" t="str">
        <f>IF(后台计算!D47="","",后台计算!DH47)</f>
        <v>洞穿</v>
      </c>
      <c r="C50" s="1">
        <f>IF(后台计算!D47="","",后台计算!EX47)</f>
        <v>4</v>
      </c>
      <c r="D50" s="1" t="str">
        <f>IF(行动模拟!D53="","",行动模拟!D53)</f>
        <v>红弩箭｜洞知咒语</v>
      </c>
      <c r="E50" s="1">
        <f>IF(后台计算!D47="","",后台计算!EY47)</f>
        <v>0</v>
      </c>
      <c r="F50" s="1">
        <f>IF(后台计算!D47="","",后台计算!AW47)</f>
        <v>4</v>
      </c>
      <c r="G50" s="1">
        <f>IF(后台计算!D47="","",后台计算!EZ47)</f>
        <v>4</v>
      </c>
      <c r="H50" s="1">
        <f>IF(D50="","",MAX(0,后台计算!EZ46-F50))</f>
        <v>0</v>
      </c>
    </row>
    <row r="51" spans="1:8" ht="38.1" customHeight="1">
      <c r="A51" s="1">
        <f t="shared" si="0"/>
        <v>46</v>
      </c>
      <c r="B51" s="1" t="str">
        <f>IF(后台计算!D48="","",后台计算!DH48)</f>
        <v>洞穿</v>
      </c>
      <c r="C51" s="1">
        <f>IF(后台计算!D48="","",后台计算!EX48)</f>
        <v>4</v>
      </c>
      <c r="D51" s="1" t="str">
        <f>IF(行动模拟!D54="","",行动模拟!D54)</f>
        <v>红弩箭｜洞知咒语</v>
      </c>
      <c r="E51" s="1">
        <f>IF(后台计算!D48="","",后台计算!EY48)</f>
        <v>0</v>
      </c>
      <c r="F51" s="1">
        <f>IF(后台计算!D48="","",后台计算!AW48)</f>
        <v>4</v>
      </c>
      <c r="G51" s="1">
        <f>IF(后台计算!D48="","",后台计算!EZ48)</f>
        <v>4</v>
      </c>
      <c r="H51" s="1">
        <f>IF(D51="","",MAX(0,后台计算!EZ47-F51))</f>
        <v>0</v>
      </c>
    </row>
    <row r="52" spans="1:8" ht="38.1" customHeight="1">
      <c r="A52" s="1">
        <f t="shared" si="0"/>
        <v>47</v>
      </c>
      <c r="B52" s="1" t="str">
        <f>IF(后台计算!D49="","",后台计算!DH49)</f>
        <v>洞穿</v>
      </c>
      <c r="C52" s="1">
        <f>IF(后台计算!D49="","",后台计算!EX49)</f>
        <v>4</v>
      </c>
      <c r="D52" s="1" t="str">
        <f>IF(行动模拟!D55="","",行动模拟!D55)</f>
        <v>37｜洞知咒语</v>
      </c>
      <c r="E52" s="1">
        <f>IF(后台计算!D49="","",后台计算!EY49)</f>
        <v>0</v>
      </c>
      <c r="F52" s="1">
        <f>IF(后台计算!D49="","",后台计算!AW49)</f>
        <v>4</v>
      </c>
      <c r="G52" s="1">
        <f>IF(后台计算!D49="","",后台计算!EZ49)</f>
        <v>4</v>
      </c>
      <c r="H52" s="1">
        <f>IF(D52="","",MAX(0,后台计算!EZ48-F52))</f>
        <v>0</v>
      </c>
    </row>
    <row r="53" spans="1:8" ht="38.1" customHeight="1">
      <c r="A53" s="1">
        <f t="shared" si="0"/>
        <v>48</v>
      </c>
      <c r="B53" s="1" t="str">
        <f>IF(后台计算!D50="","",后台计算!DH50)</f>
        <v>洞穿</v>
      </c>
      <c r="C53" s="1">
        <f>IF(后台计算!D50="","",后台计算!EX50)</f>
        <v>4</v>
      </c>
      <c r="D53" s="1" t="str">
        <f>IF(行动模拟!D56="","",行动模拟!D56)</f>
        <v>37｜洞知咒语</v>
      </c>
      <c r="E53" s="1">
        <f>IF(后台计算!D50="","",后台计算!EY50)</f>
        <v>0</v>
      </c>
      <c r="F53" s="1">
        <f>IF(后台计算!D50="","",后台计算!AW50)</f>
        <v>4</v>
      </c>
      <c r="G53" s="1">
        <f>IF(后台计算!D50="","",后台计算!EZ50)</f>
        <v>4</v>
      </c>
      <c r="H53" s="1">
        <f>IF(D53="","",MAX(0,后台计算!EZ49-F53))</f>
        <v>0</v>
      </c>
    </row>
    <row r="54" spans="1:8" ht="38.1" customHeight="1">
      <c r="A54" s="1">
        <f t="shared" si="0"/>
        <v>49</v>
      </c>
      <c r="B54" s="1" t="str">
        <f>IF(后台计算!D51="","",后台计算!DH51)</f>
        <v>洞穿</v>
      </c>
      <c r="C54" s="1">
        <f>IF(后台计算!D51="","",后台计算!EX51)</f>
        <v>4</v>
      </c>
      <c r="D54" s="1" t="str">
        <f>IF(行动模拟!D57="","",行动模拟!D57)</f>
        <v>红弩箭｜洞知终结</v>
      </c>
      <c r="E54" s="1">
        <f>IF(后台计算!D51="","",后台计算!EY51)</f>
        <v>0</v>
      </c>
      <c r="F54" s="1">
        <f>IF(后台计算!D51="","",后台计算!AW51)</f>
        <v>4</v>
      </c>
      <c r="G54" s="1">
        <f>IF(后台计算!D51="","",后台计算!EZ51)</f>
        <v>4</v>
      </c>
      <c r="H54" s="1">
        <f>IF(D54="","",MAX(0,后台计算!EZ50-F54))</f>
        <v>0</v>
      </c>
    </row>
    <row r="55" spans="1:8" ht="38.1" customHeight="1">
      <c r="A55" s="1">
        <f t="shared" si="0"/>
        <v>50</v>
      </c>
      <c r="B55" s="1" t="str">
        <f>IF(后台计算!D52="","",后台计算!DH52)</f>
        <v>额外</v>
      </c>
      <c r="C55" s="1">
        <f>IF(后台计算!D52="","",后台计算!EX52)</f>
        <v>4</v>
      </c>
      <c r="D55" s="1" t="str">
        <f>IF(行动模拟!D58="","",行动模拟!D58)</f>
        <v>小瑞安侬｜悄冥冥术阵</v>
      </c>
      <c r="E55" s="1">
        <f>IF(后台计算!D52="","",后台计算!EY52)</f>
        <v>1</v>
      </c>
      <c r="F55" s="1">
        <f>IF(后台计算!D52="","",后台计算!AW52)</f>
        <v>4</v>
      </c>
      <c r="G55" s="1">
        <f>IF(后台计算!D52="","",后台计算!EZ52)</f>
        <v>5</v>
      </c>
      <c r="H55" s="1">
        <f>IF(D55="","",MAX(0,后台计算!EZ51-F55))</f>
        <v>0</v>
      </c>
    </row>
    <row r="56" spans="1:8" ht="38.1" customHeight="1">
      <c r="A56" s="1">
        <f t="shared" si="0"/>
        <v>51</v>
      </c>
      <c r="B56" s="1" t="str">
        <f>IF(后台计算!D53="","",后台计算!DH53)</f>
        <v>额外</v>
      </c>
      <c r="C56" s="1">
        <f>IF(后台计算!D53="","",后台计算!EX53)</f>
        <v>4</v>
      </c>
      <c r="D56" s="1" t="str">
        <f>IF(行动模拟!D59="","",行动模拟!D59)</f>
        <v>37｜补充算式</v>
      </c>
      <c r="E56" s="1">
        <f>IF(后台计算!D53="","",后台计算!EY53)</f>
        <v>0</v>
      </c>
      <c r="F56" s="1">
        <f>IF(后台计算!D53="","",后台计算!AW53)</f>
        <v>5</v>
      </c>
      <c r="G56" s="1">
        <f>IF(后台计算!D53="","",后台计算!EZ53)</f>
        <v>5</v>
      </c>
      <c r="H56" s="1">
        <f>IF(D56="","",MAX(0,后台计算!EZ52-F56))</f>
        <v>0</v>
      </c>
    </row>
    <row r="57" spans="1:8" ht="38.1" customHeight="1">
      <c r="A57" s="1">
        <f t="shared" si="0"/>
        <v>52</v>
      </c>
      <c r="B57" s="1" t="str">
        <f>IF(后台计算!D54="","",后台计算!DH54)</f>
        <v>额外</v>
      </c>
      <c r="C57" s="1">
        <f>IF(后台计算!D54="","",后台计算!EX54)</f>
        <v>4</v>
      </c>
      <c r="D57" s="1" t="str">
        <f>IF(行动模拟!D60="","",行动模拟!D60)</f>
        <v>小瑞安侬｜囫囵囵咒Ⅰ</v>
      </c>
      <c r="E57" s="1">
        <f>IF(后台计算!D54="","",后台计算!EY54)</f>
        <v>1</v>
      </c>
      <c r="F57" s="1">
        <f>IF(后台计算!D54="","",后台计算!AW54)</f>
        <v>5</v>
      </c>
      <c r="G57" s="1">
        <f>IF(后台计算!D54="","",后台计算!EZ54)</f>
        <v>6</v>
      </c>
      <c r="H57" s="1">
        <f>IF(D57="","",MAX(0,后台计算!EZ53-F57))</f>
        <v>0</v>
      </c>
    </row>
    <row r="58" spans="1:8" ht="38.1" customHeight="1">
      <c r="A58" s="1">
        <f t="shared" si="0"/>
        <v>53</v>
      </c>
      <c r="B58" s="1" t="str">
        <f>IF(后台计算!D55="","",后台计算!DH55)</f>
        <v>额外</v>
      </c>
      <c r="C58" s="1">
        <f>IF(后台计算!D55="","",后台计算!EX55)</f>
        <v>4</v>
      </c>
      <c r="D58" s="1" t="str">
        <f>IF(行动模拟!D61="","",行动模拟!D61)</f>
        <v>37｜补充算式</v>
      </c>
      <c r="E58" s="1">
        <f>IF(后台计算!D55="","",后台计算!EY55)</f>
        <v>0</v>
      </c>
      <c r="F58" s="1">
        <f>IF(后台计算!D55="","",后台计算!AW55)</f>
        <v>6</v>
      </c>
      <c r="G58" s="1">
        <f>IF(后台计算!D55="","",后台计算!EZ55)</f>
        <v>6</v>
      </c>
      <c r="H58" s="1">
        <f>IF(D58="","",MAX(0,后台计算!EZ54-F58))</f>
        <v>0</v>
      </c>
    </row>
    <row r="59" spans="1:8" ht="38.1" customHeight="1">
      <c r="A59" s="1">
        <f t="shared" si="0"/>
        <v>54</v>
      </c>
      <c r="B59" s="1" t="str">
        <f>IF(后台计算!D56="","",后台计算!DH56)</f>
        <v>额外</v>
      </c>
      <c r="C59" s="1">
        <f>IF(后台计算!D56="","",后台计算!EX56)</f>
        <v>4</v>
      </c>
      <c r="D59" s="1" t="str">
        <f>IF(行动模拟!D62="","",行动模拟!D62)</f>
        <v>37｜曲线映射Ⅱ</v>
      </c>
      <c r="E59" s="1">
        <f>IF(后台计算!D56="","",后台计算!EY56)</f>
        <v>0</v>
      </c>
      <c r="F59" s="1">
        <f>IF(后台计算!D56="","",后台计算!AW56)</f>
        <v>6</v>
      </c>
      <c r="G59" s="1">
        <f>IF(后台计算!D56="","",后台计算!EZ56)</f>
        <v>6</v>
      </c>
      <c r="H59" s="1">
        <f>IF(D59="","",MAX(0,后台计算!EZ55-F59))</f>
        <v>0</v>
      </c>
    </row>
    <row r="60" spans="1:8" ht="38.1" customHeight="1">
      <c r="A60" s="1">
        <f t="shared" si="0"/>
        <v>55</v>
      </c>
      <c r="B60" s="1" t="str">
        <f>IF(后台计算!D57="","",后台计算!DH57)</f>
        <v>额外</v>
      </c>
      <c r="C60" s="1">
        <f>IF(后台计算!D57="","",后台计算!EX57)</f>
        <v>4</v>
      </c>
      <c r="D60" s="1" t="str">
        <f>IF(行动模拟!D63="","",行动模拟!D63)</f>
        <v>J｜硬度测试Ⅱ</v>
      </c>
      <c r="E60" s="1">
        <f>IF(后台计算!D57="","",后台计算!EY57)</f>
        <v>0</v>
      </c>
      <c r="F60" s="1">
        <f>IF(后台计算!D57="","",后台计算!AW57)</f>
        <v>6</v>
      </c>
      <c r="G60" s="1">
        <f>IF(后台计算!D57="","",后台计算!EZ57)</f>
        <v>6</v>
      </c>
      <c r="H60" s="1">
        <f>IF(D60="","",MAX(0,后台计算!EZ56-F60))</f>
        <v>0</v>
      </c>
    </row>
    <row r="61" spans="1:8" ht="38.1" customHeight="1">
      <c r="A61" s="1">
        <f t="shared" si="0"/>
        <v>56</v>
      </c>
      <c r="B61" s="1" t="str">
        <f>IF(后台计算!D58="","",后台计算!DH58)</f>
        <v>额外</v>
      </c>
      <c r="C61" s="1">
        <f>IF(后台计算!D58="","",后台计算!EX58)</f>
        <v>4</v>
      </c>
      <c r="D61" s="1" t="str">
        <f>IF(行动模拟!D64="","",行动模拟!D64)</f>
        <v>红弩箭｜眼镜蛇机动Ⅱ</v>
      </c>
      <c r="E61" s="1">
        <f>IF(后台计算!D58="","",后台计算!EY58)</f>
        <v>0</v>
      </c>
      <c r="F61" s="1">
        <f>IF(后台计算!D58="","",后台计算!AW58)</f>
        <v>6</v>
      </c>
      <c r="G61" s="1">
        <f>IF(后台计算!D58="","",后台计算!EZ58)</f>
        <v>6</v>
      </c>
      <c r="H61" s="1">
        <f>IF(D61="","",MAX(0,后台计算!EZ57-F61))</f>
        <v>0</v>
      </c>
    </row>
    <row r="62" spans="1:8" ht="38.1" customHeight="1">
      <c r="A62" s="1">
        <f t="shared" si="0"/>
        <v>57</v>
      </c>
      <c r="B62" s="1" t="str">
        <f>IF(后台计算!D59="","",后台计算!DH59)</f>
        <v>额外</v>
      </c>
      <c r="C62" s="1">
        <f>IF(后台计算!D59="","",后台计算!EX59)</f>
        <v>4</v>
      </c>
      <c r="D62" s="1" t="str">
        <f>IF(行动模拟!D65="","",行动模拟!D65)</f>
        <v>J｜硬度测试Ⅰ</v>
      </c>
      <c r="E62" s="1">
        <f>IF(后台计算!D59="","",后台计算!EY59)</f>
        <v>0</v>
      </c>
      <c r="F62" s="1">
        <f>IF(后台计算!D59="","",后台计算!AW59)</f>
        <v>6</v>
      </c>
      <c r="G62" s="1">
        <f>IF(后台计算!D59="","",后台计算!EZ59)</f>
        <v>6</v>
      </c>
      <c r="H62" s="1">
        <f>IF(D62="","",MAX(0,后台计算!EZ58-F62))</f>
        <v>0</v>
      </c>
    </row>
    <row r="63" spans="1:8" ht="38.1" customHeight="1">
      <c r="A63" s="1">
        <f t="shared" si="0"/>
        <v>58</v>
      </c>
      <c r="B63" s="1" t="str">
        <f>IF(后台计算!D60="","",后台计算!DH60)</f>
        <v>额外</v>
      </c>
      <c r="C63" s="1">
        <f>IF(后台计算!D60="","",后台计算!EX60)</f>
        <v>4</v>
      </c>
      <c r="D63" s="1" t="str">
        <f>IF(行动模拟!D66="","",行动模拟!D66)</f>
        <v>37｜补充算式</v>
      </c>
      <c r="E63" s="1">
        <f>IF(后台计算!D60="","",后台计算!EY60)</f>
        <v>0</v>
      </c>
      <c r="F63" s="1">
        <f>IF(后台计算!D60="","",后台计算!AW60)</f>
        <v>6</v>
      </c>
      <c r="G63" s="1">
        <f>IF(后台计算!D60="","",后台计算!EZ60)</f>
        <v>6</v>
      </c>
      <c r="H63" s="1">
        <f>IF(D63="","",MAX(0,后台计算!EZ59-F63))</f>
        <v>0</v>
      </c>
    </row>
    <row r="64" spans="1:8" ht="38.1" customHeight="1">
      <c r="A64" s="1">
        <f t="shared" si="0"/>
        <v>59</v>
      </c>
      <c r="B64" s="1" t="str">
        <f>IF(后台计算!D61="","",后台计算!DH61)</f>
        <v>额外</v>
      </c>
      <c r="C64" s="1">
        <f>IF(后台计算!D61="","",后台计算!EX61)</f>
        <v>4</v>
      </c>
      <c r="D64" s="1" t="str">
        <f>IF(行动模拟!D67="","",行动模拟!D67)</f>
        <v>小瑞安侬｜虫虫黑莓唤回术</v>
      </c>
      <c r="E64" s="1">
        <f>IF(后台计算!D61="","",后台计算!EY61)</f>
        <v>0</v>
      </c>
      <c r="F64" s="1">
        <f>IF(后台计算!D61="","",后台计算!AW61)</f>
        <v>6</v>
      </c>
      <c r="G64" s="1">
        <f>IF(后台计算!D61="","",后台计算!EZ61)</f>
        <v>6</v>
      </c>
      <c r="H64" s="1">
        <f>IF(D64="","",MAX(0,后台计算!EZ60-F64))</f>
        <v>0</v>
      </c>
    </row>
    <row r="65" spans="1:8" ht="38.1" customHeight="1">
      <c r="A65" s="1">
        <f t="shared" si="0"/>
        <v>60</v>
      </c>
      <c r="B65" s="1" t="str">
        <f>IF(后台计算!D62="","",后台计算!DH62)</f>
        <v>回合结束</v>
      </c>
      <c r="C65" s="1">
        <f>IF(后台计算!D62="","",后台计算!EX62)</f>
        <v>4</v>
      </c>
      <c r="D65" s="1" t="str">
        <f>IF(行动模拟!D68="","",行动模拟!D68)</f>
        <v>系统｜回合结束</v>
      </c>
      <c r="E65" s="1">
        <f>IF(后台计算!D62="","",后台计算!EY62)</f>
        <v>0</v>
      </c>
      <c r="F65" s="1">
        <f>IF(后台计算!D62="","",后台计算!AW62)</f>
        <v>6</v>
      </c>
      <c r="G65" s="1">
        <f>IF(后台计算!D62="","",后台计算!EZ62)</f>
        <v>6</v>
      </c>
      <c r="H65" s="1">
        <f>IF(D65="","",MAX(0,后台计算!EZ61-F65))</f>
        <v>0</v>
      </c>
    </row>
    <row r="66" spans="1:8" ht="38.1" customHeight="1">
      <c r="A66" s="1">
        <f t="shared" si="0"/>
        <v>61</v>
      </c>
      <c r="B66" s="1" t="str">
        <f>IF(后台计算!D63="","",后台计算!DH63)</f>
        <v>出牌</v>
      </c>
      <c r="C66" s="1">
        <f>IF(后台计算!D63="","",后台计算!EX63)</f>
        <v>4</v>
      </c>
      <c r="D66" s="1" t="str">
        <f>IF(行动模拟!D69="","",行动模拟!D69)</f>
        <v>小瑞安侬｜唱予无忧之诗</v>
      </c>
      <c r="E66" s="1">
        <f>IF(后台计算!D63="","",后台计算!EY63)</f>
        <v>1</v>
      </c>
      <c r="F66" s="1">
        <f>IF(后台计算!D63="","",后台计算!AW63)</f>
        <v>6</v>
      </c>
      <c r="G66" s="1">
        <f>IF(后台计算!D63="","",后台计算!EZ63)</f>
        <v>6</v>
      </c>
      <c r="H66" s="1">
        <f>IF(D66="","",MAX(0,后台计算!EZ62-F66))</f>
        <v>0</v>
      </c>
    </row>
    <row r="67" spans="1:8" ht="38.1" customHeight="1">
      <c r="A67" s="1">
        <f t="shared" si="0"/>
        <v>62</v>
      </c>
      <c r="B67" s="1" t="str">
        <f>IF(后台计算!D64="","",后台计算!DH64)</f>
        <v>出牌</v>
      </c>
      <c r="C67" s="1">
        <f>IF(后台计算!D64="","",后台计算!EX64)</f>
        <v>4</v>
      </c>
      <c r="D67" s="1" t="str">
        <f>IF(行动模拟!D70="","",行动模拟!D70)</f>
        <v>小瑞安侬｜悄冥冥术阵</v>
      </c>
      <c r="E67" s="1">
        <f>IF(后台计算!D64="","",后台计算!EY64)</f>
        <v>1</v>
      </c>
      <c r="F67" s="1">
        <f>IF(后台计算!D64="","",后台计算!AW64)</f>
        <v>6</v>
      </c>
      <c r="G67" s="1">
        <f>IF(后台计算!D64="","",后台计算!EZ64)</f>
        <v>6</v>
      </c>
      <c r="H67" s="1">
        <f>IF(D67="","",MAX(0,后台计算!EZ63-F67))</f>
        <v>0</v>
      </c>
    </row>
    <row r="68" spans="1:8" ht="38.1" customHeight="1">
      <c r="A68" s="1">
        <f t="shared" si="0"/>
        <v>63</v>
      </c>
      <c r="B68" s="1" t="str">
        <f>IF(后台计算!D65="","",后台计算!DH65)</f>
        <v>出牌</v>
      </c>
      <c r="C68" s="1">
        <f>IF(后台计算!D65="","",后台计算!EX65)</f>
        <v>4</v>
      </c>
      <c r="D68" s="1" t="str">
        <f>IF(行动模拟!D71="","",行动模拟!D71)</f>
        <v>小瑞安侬｜囫囵囵咒Ⅰ</v>
      </c>
      <c r="E68" s="1">
        <f>IF(后台计算!D65="","",后台计算!EY65)</f>
        <v>1</v>
      </c>
      <c r="F68" s="1">
        <f>IF(后台计算!D65="","",后台计算!AW65)</f>
        <v>6</v>
      </c>
      <c r="G68" s="1">
        <f>IF(后台计算!D65="","",后台计算!EZ65)</f>
        <v>6</v>
      </c>
      <c r="H68" s="1">
        <f>IF(D68="","",MAX(0,后台计算!EZ64-F68))</f>
        <v>0</v>
      </c>
    </row>
    <row r="69" spans="1:8" ht="38.1" customHeight="1">
      <c r="A69" s="1">
        <f t="shared" si="0"/>
        <v>64</v>
      </c>
      <c r="B69" s="1" t="str">
        <f>IF(后台计算!D66="","",后台计算!DH66)</f>
        <v>出牌</v>
      </c>
      <c r="C69" s="1">
        <f>IF(后台计算!D66="","",后台计算!EX66)</f>
        <v>4</v>
      </c>
      <c r="D69" s="1" t="str">
        <f>IF(行动模拟!D72="","",行动模拟!D72)</f>
        <v>小瑞安侬｜囫囵囵咒Ⅰ</v>
      </c>
      <c r="E69" s="1">
        <f>IF(后台计算!D66="","",后台计算!EY66)</f>
        <v>1</v>
      </c>
      <c r="F69" s="1">
        <f>IF(后台计算!D66="","",后台计算!AW66)</f>
        <v>6</v>
      </c>
      <c r="G69" s="1">
        <f>IF(后台计算!D66="","",后台计算!EZ66)</f>
        <v>6</v>
      </c>
      <c r="H69" s="1">
        <f>IF(D69="","",MAX(0,后台计算!EZ65-F69))</f>
        <v>0</v>
      </c>
    </row>
    <row r="70" spans="1:8" ht="38.1" customHeight="1">
      <c r="A70" s="1">
        <f t="shared" ref="A70:A133" si="1">IF(D70="","",ROW()-5)</f>
        <v>65</v>
      </c>
      <c r="B70" s="1" t="str">
        <f>IF(后台计算!D67="","",后台计算!DH67)</f>
        <v>出牌</v>
      </c>
      <c r="C70" s="1">
        <f>IF(后台计算!D67="","",后台计算!EX67)</f>
        <v>4</v>
      </c>
      <c r="D70" s="1" t="str">
        <f>IF(行动模拟!D73="","",行动模拟!D73)</f>
        <v>37｜补充算式</v>
      </c>
      <c r="E70" s="1">
        <f>IF(后台计算!D67="","",后台计算!EY67)</f>
        <v>0</v>
      </c>
      <c r="F70" s="1">
        <f>IF(后台计算!D67="","",后台计算!AW67)</f>
        <v>6</v>
      </c>
      <c r="G70" s="1">
        <f>IF(后台计算!D67="","",后台计算!EZ67)</f>
        <v>6</v>
      </c>
      <c r="H70" s="1">
        <f>IF(D70="","",MAX(0,后台计算!EZ66-F70))</f>
        <v>0</v>
      </c>
    </row>
    <row r="71" spans="1:8" ht="38.1" customHeight="1">
      <c r="A71" s="1">
        <f t="shared" si="1"/>
        <v>66</v>
      </c>
      <c r="B71" s="1" t="str">
        <f>IF(后台计算!D68="","",后台计算!DH68)</f>
        <v>出牌</v>
      </c>
      <c r="C71" s="1">
        <f>IF(后台计算!D68="","",后台计算!EX68)</f>
        <v>4</v>
      </c>
      <c r="D71" s="1" t="str">
        <f>IF(行动模拟!D74="","",行动模拟!D74)</f>
        <v>红弩箭｜眼镜蛇机动</v>
      </c>
      <c r="E71" s="1">
        <f>IF(后台计算!D68="","",后台计算!EY68)</f>
        <v>0</v>
      </c>
      <c r="F71" s="1">
        <f>IF(后台计算!D68="","",后台计算!AW68)</f>
        <v>6</v>
      </c>
      <c r="G71" s="1">
        <f>IF(后台计算!D68="","",后台计算!EZ68)</f>
        <v>6</v>
      </c>
      <c r="H71" s="1">
        <f>IF(D71="","",MAX(0,后台计算!EZ67-F71))</f>
        <v>0</v>
      </c>
    </row>
    <row r="72" spans="1:8" ht="38.1" customHeight="1">
      <c r="A72" s="1">
        <f t="shared" si="1"/>
        <v>67</v>
      </c>
      <c r="B72" s="1" t="str">
        <f>IF(后台计算!D69="","",后台计算!DH69)</f>
        <v>出牌</v>
      </c>
      <c r="C72" s="1">
        <f>IF(后台计算!D69="","",后台计算!EX69)</f>
        <v>4</v>
      </c>
      <c r="D72" s="1" t="str">
        <f>IF(行动模拟!D75="","",行动模拟!D75)</f>
        <v>J｜飞跃海特街</v>
      </c>
      <c r="E72" s="1">
        <f>IF(后台计算!D69="","",后台计算!EY69)</f>
        <v>0</v>
      </c>
      <c r="F72" s="1">
        <f>IF(后台计算!D69="","",后台计算!AW69)</f>
        <v>6</v>
      </c>
      <c r="G72" s="1">
        <f>IF(后台计算!D69="","",后台计算!EZ69)</f>
        <v>6</v>
      </c>
      <c r="H72" s="1">
        <f>IF(D72="","",MAX(0,后台计算!EZ68-F72))</f>
        <v>0</v>
      </c>
    </row>
    <row r="73" spans="1:8" ht="38.1" customHeight="1">
      <c r="A73" s="1">
        <f t="shared" si="1"/>
        <v>68</v>
      </c>
      <c r="B73" s="1" t="str">
        <f>IF(后台计算!D70="","",后台计算!DH70)</f>
        <v>出牌</v>
      </c>
      <c r="C73" s="1">
        <f>IF(后台计算!D70="","",后台计算!EX70)</f>
        <v>4</v>
      </c>
      <c r="D73" s="1" t="str">
        <f>IF(行动模拟!D76="","",行动模拟!D76)</f>
        <v>37｜数与几何的王国</v>
      </c>
      <c r="E73" s="1">
        <f>IF(后台计算!D70="","",后台计算!EY70)</f>
        <v>0</v>
      </c>
      <c r="F73" s="1">
        <f>IF(后台计算!D70="","",后台计算!AW70)</f>
        <v>6</v>
      </c>
      <c r="G73" s="1">
        <f>IF(后台计算!D70="","",后台计算!EZ70)</f>
        <v>6</v>
      </c>
      <c r="H73" s="1">
        <f>IF(D73="","",MAX(0,后台计算!EZ69-F73))</f>
        <v>0</v>
      </c>
    </row>
    <row r="74" spans="1:8" ht="38.1" customHeight="1">
      <c r="A74" s="1">
        <f t="shared" si="1"/>
        <v>69</v>
      </c>
      <c r="B74" s="1" t="str">
        <f>IF(后台计算!D71="","",后台计算!DH71)</f>
        <v>出牌</v>
      </c>
      <c r="C74" s="1">
        <f>IF(后台计算!D71="","",后台计算!EX71)</f>
        <v>4</v>
      </c>
      <c r="D74" s="1" t="str">
        <f>IF(行动模拟!D77="","",行动模拟!D77)</f>
        <v>37｜补充算式</v>
      </c>
      <c r="E74" s="1">
        <f>IF(后台计算!D71="","",后台计算!EY71)</f>
        <v>0</v>
      </c>
      <c r="F74" s="1">
        <f>IF(后台计算!D71="","",后台计算!AW71)</f>
        <v>6</v>
      </c>
      <c r="G74" s="1">
        <f>IF(后台计算!D71="","",后台计算!EZ71)</f>
        <v>6</v>
      </c>
      <c r="H74" s="1">
        <f>IF(D74="","",MAX(0,后台计算!EZ70-F74))</f>
        <v>0</v>
      </c>
    </row>
    <row r="75" spans="1:8" ht="38.1" customHeight="1">
      <c r="A75" s="1">
        <f t="shared" si="1"/>
        <v>70</v>
      </c>
      <c r="B75" s="1" t="str">
        <f>IF(后台计算!D72="","",后台计算!DH72)</f>
        <v>出牌</v>
      </c>
      <c r="C75" s="1">
        <f>IF(后台计算!D72="","",后台计算!EX72)</f>
        <v>4</v>
      </c>
      <c r="D75" s="1" t="str">
        <f>IF(行动模拟!D78="","",行动模拟!D78)</f>
        <v>红弩箭｜极限俯冲Ⅱ</v>
      </c>
      <c r="E75" s="1">
        <f>IF(后台计算!D72="","",后台计算!EY72)</f>
        <v>0</v>
      </c>
      <c r="F75" s="1">
        <f>IF(后台计算!D72="","",后台计算!AW72)</f>
        <v>6</v>
      </c>
      <c r="G75" s="1">
        <f>IF(后台计算!D72="","",后台计算!EZ72)</f>
        <v>6</v>
      </c>
      <c r="H75" s="1">
        <f>IF(D75="","",MAX(0,后台计算!EZ71-F75))</f>
        <v>0</v>
      </c>
    </row>
    <row r="76" spans="1:8" ht="38.1" customHeight="1">
      <c r="A76" s="1">
        <f t="shared" si="1"/>
        <v>71</v>
      </c>
      <c r="B76" s="1" t="str">
        <f>IF(后台计算!D73="","",后台计算!DH73)</f>
        <v>出牌</v>
      </c>
      <c r="C76" s="1">
        <f>IF(后台计算!D73="","",后台计算!EX73)</f>
        <v>4</v>
      </c>
      <c r="D76" s="1" t="str">
        <f>IF(行动模拟!D79="","",行动模拟!D79)</f>
        <v>37｜曲线映射Ⅰ</v>
      </c>
      <c r="E76" s="1">
        <f>IF(后台计算!D73="","",后台计算!EY73)</f>
        <v>0</v>
      </c>
      <c r="F76" s="1">
        <f>IF(后台计算!D73="","",后台计算!AW73)</f>
        <v>6</v>
      </c>
      <c r="G76" s="1">
        <f>IF(后台计算!D73="","",后台计算!EZ73)</f>
        <v>6</v>
      </c>
      <c r="H76" s="1">
        <f>IF(D76="","",MAX(0,后台计算!EZ72-F76))</f>
        <v>0</v>
      </c>
    </row>
    <row r="77" spans="1:8" ht="38.1" customHeight="1">
      <c r="A77" s="1">
        <f t="shared" si="1"/>
        <v>72</v>
      </c>
      <c r="B77" s="1" t="str">
        <f>IF(后台计算!D74="","",后台计算!DH74)</f>
        <v>敌方</v>
      </c>
      <c r="C77" s="1">
        <f>IF(后台计算!D74="","",后台计算!EX74)</f>
        <v>4</v>
      </c>
      <c r="D77" s="1" t="str">
        <f>IF(行动模拟!D80="","",行动模拟!D80)</f>
        <v>J｜高温回火</v>
      </c>
      <c r="E77" s="1">
        <f>IF(后台计算!D74="","",后台计算!EY74)</f>
        <v>0</v>
      </c>
      <c r="F77" s="1">
        <f>IF(后台计算!D74="","",后台计算!AW74)</f>
        <v>6</v>
      </c>
      <c r="G77" s="1">
        <f>IF(后台计算!D74="","",后台计算!EZ74)</f>
        <v>6</v>
      </c>
      <c r="H77" s="1">
        <f>IF(D77="","",MAX(0,后台计算!EZ73-F77))</f>
        <v>0</v>
      </c>
    </row>
    <row r="78" spans="1:8" ht="38.1" customHeight="1">
      <c r="A78" s="1">
        <f t="shared" si="1"/>
        <v>73</v>
      </c>
      <c r="B78" s="1" t="str">
        <f>IF(后台计算!D75="","",后台计算!DH75)</f>
        <v>敌方</v>
      </c>
      <c r="C78" s="1">
        <f>IF(后台计算!D75="","",后台计算!EX75)</f>
        <v>4</v>
      </c>
      <c r="D78" s="1" t="str">
        <f>IF(行动模拟!D81="","",行动模拟!D81)</f>
        <v>J｜高温回火</v>
      </c>
      <c r="E78" s="1">
        <f>IF(后台计算!D75="","",后台计算!EY75)</f>
        <v>0</v>
      </c>
      <c r="F78" s="1">
        <f>IF(后台计算!D75="","",后台计算!AW75)</f>
        <v>6</v>
      </c>
      <c r="G78" s="1">
        <f>IF(后台计算!D75="","",后台计算!EZ75)</f>
        <v>6</v>
      </c>
      <c r="H78" s="1">
        <f>IF(D78="","",MAX(0,后台计算!EZ74-F78))</f>
        <v>0</v>
      </c>
    </row>
    <row r="79" spans="1:8" ht="38.1" customHeight="1">
      <c r="A79" s="1">
        <f t="shared" si="1"/>
        <v>74</v>
      </c>
      <c r="B79" s="1" t="str">
        <f>IF(后台计算!D76="","",后台计算!DH76)</f>
        <v>敌方</v>
      </c>
      <c r="C79" s="1">
        <f>IF(后台计算!D76="","",后台计算!EX76)</f>
        <v>4</v>
      </c>
      <c r="D79" s="1" t="str">
        <f>IF(行动模拟!D82="","",行动模拟!D82)</f>
        <v>J｜高温回火</v>
      </c>
      <c r="E79" s="1">
        <f>IF(后台计算!D76="","",后台计算!EY76)</f>
        <v>0</v>
      </c>
      <c r="F79" s="1">
        <f>IF(后台计算!D76="","",后台计算!AW76)</f>
        <v>6</v>
      </c>
      <c r="G79" s="1">
        <f>IF(后台计算!D76="","",后台计算!EZ76)</f>
        <v>6</v>
      </c>
      <c r="H79" s="1">
        <f>IF(D79="","",MAX(0,后台计算!EZ75-F79))</f>
        <v>0</v>
      </c>
    </row>
    <row r="80" spans="1:8" ht="38.1" customHeight="1">
      <c r="A80" s="1">
        <f t="shared" si="1"/>
        <v>75</v>
      </c>
      <c r="B80" s="1" t="str">
        <f>IF(后台计算!D77="","",后台计算!DH77)</f>
        <v>敌方</v>
      </c>
      <c r="C80" s="1">
        <f>IF(后台计算!D77="","",后台计算!EX77)</f>
        <v>4</v>
      </c>
      <c r="D80" s="1" t="str">
        <f>IF(行动模拟!D83="","",行动模拟!D83)</f>
        <v>37｜补充算式</v>
      </c>
      <c r="E80" s="1">
        <f>IF(后台计算!D77="","",后台计算!EY77)</f>
        <v>0</v>
      </c>
      <c r="F80" s="1">
        <f>IF(后台计算!D77="","",后台计算!AW77)</f>
        <v>6</v>
      </c>
      <c r="G80" s="1">
        <f>IF(后台计算!D77="","",后台计算!EZ77)</f>
        <v>6</v>
      </c>
      <c r="H80" s="1">
        <f>IF(D80="","",MAX(0,后台计算!EZ76-F80))</f>
        <v>0</v>
      </c>
    </row>
    <row r="81" spans="1:8" ht="38.1" customHeight="1">
      <c r="A81" s="1">
        <f t="shared" si="1"/>
        <v>76</v>
      </c>
      <c r="B81" s="1" t="str">
        <f>IF(后台计算!D78="","",后台计算!DH78)</f>
        <v>敌方</v>
      </c>
      <c r="C81" s="1">
        <f>IF(后台计算!D78="","",后台计算!EX78)</f>
        <v>4</v>
      </c>
      <c r="D81" s="1" t="str">
        <f>IF(行动模拟!D84="","",行动模拟!D84)</f>
        <v>J｜高温回火</v>
      </c>
      <c r="E81" s="1">
        <f>IF(后台计算!D78="","",后台计算!EY78)</f>
        <v>0</v>
      </c>
      <c r="F81" s="1">
        <f>IF(后台计算!D78="","",后台计算!AW78)</f>
        <v>6</v>
      </c>
      <c r="G81" s="1">
        <f>IF(后台计算!D78="","",后台计算!EZ78)</f>
        <v>6</v>
      </c>
      <c r="H81" s="1">
        <f>IF(D81="","",MAX(0,后台计算!EZ77-F81))</f>
        <v>0</v>
      </c>
    </row>
    <row r="82" spans="1:8" ht="38.1" customHeight="1">
      <c r="A82" s="1">
        <f t="shared" si="1"/>
        <v>77</v>
      </c>
      <c r="B82" s="1" t="str">
        <f>IF(后台计算!D79="","",后台计算!DH79)</f>
        <v>出牌</v>
      </c>
      <c r="C82" s="1">
        <f>IF(后台计算!D79="","",后台计算!EX79)</f>
        <v>5</v>
      </c>
      <c r="D82" s="1" t="str">
        <f>IF(行动模拟!D85="","",行动模拟!D85)</f>
        <v>小瑞安侬｜悄冥冥术阵</v>
      </c>
      <c r="E82" s="1">
        <f>IF(后台计算!D79="","",后台计算!EY79)</f>
        <v>1</v>
      </c>
      <c r="F82" s="1">
        <f>IF(后台计算!D79="","",后台计算!AW79)</f>
        <v>6</v>
      </c>
      <c r="G82" s="1">
        <f>IF(后台计算!D79="","",后台计算!EZ79)</f>
        <v>6</v>
      </c>
      <c r="H82" s="1">
        <f>IF(D82="","",MAX(0,后台计算!EZ78-F82))</f>
        <v>0</v>
      </c>
    </row>
    <row r="83" spans="1:8" ht="38.1" customHeight="1">
      <c r="A83" s="1">
        <f t="shared" si="1"/>
        <v>78</v>
      </c>
      <c r="B83" s="1" t="str">
        <f>IF(后台计算!D80="","",后台计算!DH80)</f>
        <v>出牌</v>
      </c>
      <c r="C83" s="1">
        <f>IF(后台计算!D80="","",后台计算!EX80)</f>
        <v>5</v>
      </c>
      <c r="D83" s="1" t="str">
        <f>IF(行动模拟!D86="","",行动模拟!D86)</f>
        <v>红弩箭｜试试杀手锏</v>
      </c>
      <c r="E83" s="1">
        <f>IF(后台计算!D80="","",后台计算!EY80)</f>
        <v>0</v>
      </c>
      <c r="F83" s="1">
        <f>IF(后台计算!D80="","",后台计算!AW80)</f>
        <v>6</v>
      </c>
      <c r="G83" s="1">
        <f>IF(后台计算!D80="","",后台计算!EZ80)</f>
        <v>6</v>
      </c>
      <c r="H83" s="1">
        <f>IF(D83="","",MAX(0,后台计算!EZ79-F83))</f>
        <v>0</v>
      </c>
    </row>
    <row r="84" spans="1:8" ht="38.1" customHeight="1">
      <c r="A84" s="1">
        <f t="shared" si="1"/>
        <v>79</v>
      </c>
      <c r="B84" s="1" t="str">
        <f>IF(后台计算!D81="","",后台计算!DH81)</f>
        <v>出牌</v>
      </c>
      <c r="C84" s="1">
        <f>IF(后台计算!D81="","",后台计算!EX81)</f>
        <v>5</v>
      </c>
      <c r="D84" s="1" t="str">
        <f>IF(行动模拟!D87="","",行动模拟!D87)</f>
        <v>37｜曲线映射Ⅰ</v>
      </c>
      <c r="E84" s="1">
        <f>IF(后台计算!D81="","",后台计算!EY81)</f>
        <v>0</v>
      </c>
      <c r="F84" s="1">
        <f>IF(后台计算!D81="","",后台计算!AW81)</f>
        <v>6</v>
      </c>
      <c r="G84" s="1">
        <f>IF(后台计算!D81="","",后台计算!EZ81)</f>
        <v>6</v>
      </c>
      <c r="H84" s="1">
        <f>IF(D84="","",MAX(0,后台计算!EZ80-F84))</f>
        <v>0</v>
      </c>
    </row>
    <row r="85" spans="1:8" ht="38.1" customHeight="1">
      <c r="A85" s="1">
        <f t="shared" si="1"/>
        <v>80</v>
      </c>
      <c r="B85" s="1" t="str">
        <f>IF(后台计算!D82="","",后台计算!DH82)</f>
        <v>出牌</v>
      </c>
      <c r="C85" s="1">
        <f>IF(后台计算!D82="","",后台计算!EX82)</f>
        <v>5</v>
      </c>
      <c r="D85" s="1" t="str">
        <f>IF(行动模拟!D88="","",行动模拟!D88)</f>
        <v>37｜三角正论Ⅰ</v>
      </c>
      <c r="E85" s="1">
        <f>IF(后台计算!D82="","",后台计算!EY82)</f>
        <v>0</v>
      </c>
      <c r="F85" s="1">
        <f>IF(后台计算!D82="","",后台计算!AW82)</f>
        <v>6</v>
      </c>
      <c r="G85" s="1">
        <f>IF(后台计算!D82="","",后台计算!EZ82)</f>
        <v>6</v>
      </c>
      <c r="H85" s="1">
        <f>IF(D85="","",MAX(0,后台计算!EZ81-F85))</f>
        <v>0</v>
      </c>
    </row>
    <row r="86" spans="1:8" ht="38.1" customHeight="1">
      <c r="A86" s="1">
        <f t="shared" si="1"/>
        <v>81</v>
      </c>
      <c r="B86" s="1" t="str">
        <f>IF(后台计算!D83="","",后台计算!DH83)</f>
        <v>出牌</v>
      </c>
      <c r="C86" s="1">
        <f>IF(后台计算!D83="","",后台计算!EX83)</f>
        <v>5</v>
      </c>
      <c r="D86" s="1" t="str">
        <f>IF(行动模拟!D89="","",行动模拟!D89)</f>
        <v>37｜补充算式</v>
      </c>
      <c r="E86" s="1">
        <f>IF(后台计算!D83="","",后台计算!EY83)</f>
        <v>0</v>
      </c>
      <c r="F86" s="1">
        <f>IF(后台计算!D83="","",后台计算!AW83)</f>
        <v>6</v>
      </c>
      <c r="G86" s="1">
        <f>IF(后台计算!D83="","",后台计算!EZ83)</f>
        <v>6</v>
      </c>
      <c r="H86" s="1">
        <f>IF(D86="","",MAX(0,后台计算!EZ82-F86))</f>
        <v>0</v>
      </c>
    </row>
    <row r="87" spans="1:8" ht="38.1" customHeight="1">
      <c r="A87" s="1">
        <f t="shared" si="1"/>
        <v>82</v>
      </c>
      <c r="B87" s="1" t="str">
        <f>IF(后台计算!D84="","",后台计算!DH84)</f>
        <v>出牌</v>
      </c>
      <c r="C87" s="1">
        <f>IF(后台计算!D84="","",后台计算!EX84)</f>
        <v>5</v>
      </c>
      <c r="D87" s="1" t="str">
        <f>IF(行动模拟!D90="","",行动模拟!D90)</f>
        <v>红弩箭｜眼镜蛇机动Ⅱ</v>
      </c>
      <c r="E87" s="1">
        <f>IF(后台计算!D84="","",后台计算!EY84)</f>
        <v>0</v>
      </c>
      <c r="F87" s="1">
        <f>IF(后台计算!D84="","",后台计算!AW84)</f>
        <v>6</v>
      </c>
      <c r="G87" s="1">
        <f>IF(后台计算!D84="","",后台计算!EZ84)</f>
        <v>6</v>
      </c>
      <c r="H87" s="1">
        <f>IF(D87="","",MAX(0,后台计算!EZ83-F87))</f>
        <v>0</v>
      </c>
    </row>
    <row r="88" spans="1:8" ht="38.1" customHeight="1">
      <c r="A88" s="1">
        <f t="shared" si="1"/>
        <v>83</v>
      </c>
      <c r="B88" s="1" t="str">
        <f>IF(后台计算!D85="","",后台计算!DH85)</f>
        <v>出牌</v>
      </c>
      <c r="C88" s="1">
        <f>IF(后台计算!D85="","",后台计算!EX85)</f>
        <v>5</v>
      </c>
      <c r="D88" s="1" t="str">
        <f>IF(行动模拟!D91="","",行动模拟!D91)</f>
        <v>红弩箭｜极限俯冲Ⅰ</v>
      </c>
      <c r="E88" s="1">
        <f>IF(后台计算!D85="","",后台计算!EY85)</f>
        <v>0</v>
      </c>
      <c r="F88" s="1">
        <f>IF(后台计算!D85="","",后台计算!AW85)</f>
        <v>6</v>
      </c>
      <c r="G88" s="1">
        <f>IF(后台计算!D85="","",后台计算!EZ85)</f>
        <v>6</v>
      </c>
      <c r="H88" s="1">
        <f>IF(D88="","",MAX(0,后台计算!EZ84-F88))</f>
        <v>0</v>
      </c>
    </row>
    <row r="89" spans="1:8" ht="38.1" customHeight="1">
      <c r="A89" s="1">
        <f t="shared" si="1"/>
        <v>84</v>
      </c>
      <c r="B89" s="1" t="str">
        <f>IF(后台计算!D86="","",后台计算!DH86)</f>
        <v>敌方</v>
      </c>
      <c r="C89" s="1">
        <f>IF(后台计算!D86="","",后台计算!EX86)</f>
        <v>5</v>
      </c>
      <c r="D89" s="1" t="str">
        <f>IF(行动模拟!D92="","",行动模拟!D92)</f>
        <v>系统｜Boss仪式·保守主义</v>
      </c>
      <c r="E89" s="1">
        <f>IF(后台计算!D86="","",后台计算!EY86)</f>
        <v>0</v>
      </c>
      <c r="F89" s="1">
        <f>IF(后台计算!D86="","",后台计算!AW86)</f>
        <v>6</v>
      </c>
      <c r="G89" s="1">
        <f>IF(后台计算!D86="","",后台计算!EZ86)</f>
        <v>6</v>
      </c>
      <c r="H89" s="1">
        <f>IF(D89="","",MAX(0,后台计算!EZ85-F89))</f>
        <v>0</v>
      </c>
    </row>
    <row r="90" spans="1:8" ht="38.1" customHeight="1">
      <c r="A90" s="1">
        <f t="shared" si="1"/>
        <v>85</v>
      </c>
      <c r="B90" s="1" t="str">
        <f>IF(后台计算!D87="","",后台计算!DH87)</f>
        <v>敌方</v>
      </c>
      <c r="C90" s="1">
        <f>IF(后台计算!D87="","",后台计算!EX87)</f>
        <v>5</v>
      </c>
      <c r="D90" s="1" t="str">
        <f>IF(行动模拟!D93="","",行动模拟!D93)</f>
        <v>J｜高温回火</v>
      </c>
      <c r="E90" s="1">
        <f>IF(后台计算!D87="","",后台计算!EY87)</f>
        <v>0</v>
      </c>
      <c r="F90" s="1">
        <f>IF(后台计算!D87="","",后台计算!AW87)</f>
        <v>6</v>
      </c>
      <c r="G90" s="1">
        <f>IF(后台计算!D87="","",后台计算!EZ87)</f>
        <v>6</v>
      </c>
      <c r="H90" s="1">
        <f>IF(D90="","",MAX(0,后台计算!EZ86-F90))</f>
        <v>0</v>
      </c>
    </row>
    <row r="91" spans="1:8" ht="38.1" customHeight="1">
      <c r="A91" s="1">
        <f t="shared" si="1"/>
        <v>86</v>
      </c>
      <c r="B91" s="1" t="str">
        <f>IF(后台计算!D88="","",后台计算!DH88)</f>
        <v>敌方</v>
      </c>
      <c r="C91" s="1">
        <f>IF(后台计算!D88="","",后台计算!EX88)</f>
        <v>5</v>
      </c>
      <c r="D91" s="1" t="str">
        <f>IF(行动模拟!D94="","",行动模拟!D94)</f>
        <v>J｜高温回火</v>
      </c>
      <c r="E91" s="1">
        <f>IF(后台计算!D88="","",后台计算!EY88)</f>
        <v>0</v>
      </c>
      <c r="F91" s="1">
        <f>IF(后台计算!D88="","",后台计算!AW88)</f>
        <v>6</v>
      </c>
      <c r="G91" s="1">
        <f>IF(后台计算!D88="","",后台计算!EZ88)</f>
        <v>6</v>
      </c>
      <c r="H91" s="1">
        <f>IF(D91="","",MAX(0,后台计算!EZ87-F91))</f>
        <v>0</v>
      </c>
    </row>
    <row r="92" spans="1:8" ht="38.1" customHeight="1">
      <c r="A92" s="1">
        <f t="shared" si="1"/>
        <v>87</v>
      </c>
      <c r="B92" s="1" t="str">
        <f>IF(后台计算!D89="","",后台计算!DH89)</f>
        <v>敌方</v>
      </c>
      <c r="C92" s="1">
        <f>IF(后台计算!D89="","",后台计算!EX89)</f>
        <v>5</v>
      </c>
      <c r="D92" s="1" t="str">
        <f>IF(行动模拟!D95="","",行动模拟!D95)</f>
        <v>J｜高温回火</v>
      </c>
      <c r="E92" s="1">
        <f>IF(后台计算!D89="","",后台计算!EY89)</f>
        <v>0</v>
      </c>
      <c r="F92" s="1">
        <f>IF(后台计算!D89="","",后台计算!AW89)</f>
        <v>6</v>
      </c>
      <c r="G92" s="1">
        <f>IF(后台计算!D89="","",后台计算!EZ89)</f>
        <v>6</v>
      </c>
      <c r="H92" s="1">
        <f>IF(D92="","",MAX(0,后台计算!EZ88-F92))</f>
        <v>0</v>
      </c>
    </row>
    <row r="93" spans="1:8" ht="38.1" customHeight="1">
      <c r="A93" s="1">
        <f t="shared" si="1"/>
        <v>88</v>
      </c>
      <c r="B93" s="1" t="str">
        <f>IF(后台计算!D90="","",后台计算!DH90)</f>
        <v>敌方</v>
      </c>
      <c r="C93" s="1">
        <f>IF(后台计算!D90="","",后台计算!EX90)</f>
        <v>5</v>
      </c>
      <c r="D93" s="1" t="str">
        <f>IF(行动模拟!D96="","",行动模拟!D96)</f>
        <v>37｜补充算式</v>
      </c>
      <c r="E93" s="1">
        <f>IF(后台计算!D90="","",后台计算!EY90)</f>
        <v>0</v>
      </c>
      <c r="F93" s="1">
        <f>IF(后台计算!D90="","",后台计算!AW90)</f>
        <v>6</v>
      </c>
      <c r="G93" s="1">
        <f>IF(后台计算!D90="","",后台计算!EZ90)</f>
        <v>6</v>
      </c>
      <c r="H93" s="1">
        <f>IF(D93="","",MAX(0,后台计算!EZ89-F93))</f>
        <v>0</v>
      </c>
    </row>
    <row r="94" spans="1:8" ht="38.1" customHeight="1">
      <c r="A94" s="1">
        <f t="shared" si="1"/>
        <v>89</v>
      </c>
      <c r="B94" s="1" t="str">
        <f>IF(后台计算!D91="","",后台计算!DH91)</f>
        <v>敌方</v>
      </c>
      <c r="C94" s="1">
        <f>IF(后台计算!D91="","",后台计算!EX91)</f>
        <v>5</v>
      </c>
      <c r="D94" s="1" t="str">
        <f>IF(行动模拟!D97="","",行动模拟!D97)</f>
        <v>J｜高温回火</v>
      </c>
      <c r="E94" s="1">
        <f>IF(后台计算!D91="","",后台计算!EY91)</f>
        <v>0</v>
      </c>
      <c r="F94" s="1">
        <f>IF(后台计算!D91="","",后台计算!AW91)</f>
        <v>6</v>
      </c>
      <c r="G94" s="1">
        <f>IF(后台计算!D91="","",后台计算!EZ91)</f>
        <v>6</v>
      </c>
      <c r="H94" s="1">
        <f>IF(D94="","",MAX(0,后台计算!EZ90-F94))</f>
        <v>0</v>
      </c>
    </row>
    <row r="95" spans="1:8" ht="38.1" customHeight="1">
      <c r="A95" s="1">
        <f t="shared" si="1"/>
        <v>90</v>
      </c>
      <c r="B95" s="1" t="str">
        <f>IF(后台计算!D92="","",后台计算!DH92)</f>
        <v>出牌</v>
      </c>
      <c r="C95" s="1">
        <f>IF(后台计算!D92="","",后台计算!EX92)</f>
        <v>6</v>
      </c>
      <c r="D95" s="1" t="str">
        <f>IF(行动模拟!D98="","",行动模拟!D98)</f>
        <v>小瑞安侬｜唱予无忧之诗</v>
      </c>
      <c r="E95" s="1">
        <f>IF(后台计算!D92="","",后台计算!EY92)</f>
        <v>1</v>
      </c>
      <c r="F95" s="1">
        <f>IF(后台计算!D92="","",后台计算!AW92)</f>
        <v>6</v>
      </c>
      <c r="G95" s="1">
        <f>IF(后台计算!D92="","",后台计算!EZ92)</f>
        <v>6</v>
      </c>
      <c r="H95" s="1">
        <f>IF(D95="","",MAX(0,后台计算!EZ91-F95))</f>
        <v>0</v>
      </c>
    </row>
    <row r="96" spans="1:8" ht="38.1" customHeight="1">
      <c r="A96" s="1">
        <f t="shared" si="1"/>
        <v>91</v>
      </c>
      <c r="B96" s="1" t="str">
        <f>IF(后台计算!D93="","",后台计算!DH93)</f>
        <v>出牌</v>
      </c>
      <c r="C96" s="1">
        <f>IF(后台计算!D93="","",后台计算!EX93)</f>
        <v>6</v>
      </c>
      <c r="D96" s="1" t="str">
        <f>IF(行动模拟!D99="","",行动模拟!D99)</f>
        <v>小瑞安侬｜悄冥冥术阵</v>
      </c>
      <c r="E96" s="1">
        <f>IF(后台计算!D93="","",后台计算!EY93)</f>
        <v>1</v>
      </c>
      <c r="F96" s="1">
        <f>IF(后台计算!D93="","",后台计算!AW93)</f>
        <v>6</v>
      </c>
      <c r="G96" s="1">
        <f>IF(后台计算!D93="","",后台计算!EZ93)</f>
        <v>6</v>
      </c>
      <c r="H96" s="1">
        <f>IF(D96="","",MAX(0,后台计算!EZ92-F96))</f>
        <v>0</v>
      </c>
    </row>
    <row r="97" spans="1:8" ht="38.1" customHeight="1">
      <c r="A97" s="1">
        <f t="shared" si="1"/>
        <v>92</v>
      </c>
      <c r="B97" s="1" t="str">
        <f>IF(后台计算!D94="","",后台计算!DH94)</f>
        <v>出牌</v>
      </c>
      <c r="C97" s="1">
        <f>IF(后台计算!D94="","",后台计算!EX94)</f>
        <v>6</v>
      </c>
      <c r="D97" s="1" t="str">
        <f>IF(行动模拟!D100="","",行动模拟!D100)</f>
        <v>J｜飞跃海特街</v>
      </c>
      <c r="E97" s="1">
        <f>IF(后台计算!D94="","",后台计算!EY94)</f>
        <v>0</v>
      </c>
      <c r="F97" s="1">
        <f>IF(后台计算!D94="","",后台计算!AW94)</f>
        <v>6</v>
      </c>
      <c r="G97" s="1">
        <f>IF(后台计算!D94="","",后台计算!EZ94)</f>
        <v>6</v>
      </c>
      <c r="H97" s="1">
        <f>IF(D97="","",MAX(0,后台计算!EZ93-F97))</f>
        <v>0</v>
      </c>
    </row>
    <row r="98" spans="1:8" ht="38.1" customHeight="1">
      <c r="A98" s="1">
        <f t="shared" si="1"/>
        <v>93</v>
      </c>
      <c r="B98" s="1" t="str">
        <f>IF(后台计算!D95="","",后台计算!DH95)</f>
        <v>出牌</v>
      </c>
      <c r="C98" s="1">
        <f>IF(后台计算!D95="","",后台计算!EX95)</f>
        <v>6</v>
      </c>
      <c r="D98" s="1" t="str">
        <f>IF(行动模拟!D101="","",行动模拟!D101)</f>
        <v>J｜热处理</v>
      </c>
      <c r="E98" s="1">
        <f>IF(后台计算!D95="","",后台计算!EY95)</f>
        <v>0</v>
      </c>
      <c r="F98" s="1">
        <f>IF(后台计算!D95="","",后台计算!AW95)</f>
        <v>6</v>
      </c>
      <c r="G98" s="1">
        <f>IF(后台计算!D95="","",后台计算!EZ95)</f>
        <v>6</v>
      </c>
      <c r="H98" s="1">
        <f>IF(D98="","",MAX(0,后台计算!EZ94-F98))</f>
        <v>0</v>
      </c>
    </row>
    <row r="99" spans="1:8" ht="38.1" customHeight="1">
      <c r="A99" s="1">
        <f t="shared" si="1"/>
        <v>94</v>
      </c>
      <c r="B99" s="1" t="str">
        <f>IF(后台计算!D96="","",后台计算!DH96)</f>
        <v>出牌</v>
      </c>
      <c r="C99" s="1">
        <f>IF(后台计算!D96="","",后台计算!EX96)</f>
        <v>6</v>
      </c>
      <c r="D99" s="1" t="str">
        <f>IF(行动模拟!D102="","",行动模拟!D102)</f>
        <v>37｜补充算式</v>
      </c>
      <c r="E99" s="1">
        <f>IF(后台计算!D96="","",后台计算!EY96)</f>
        <v>0</v>
      </c>
      <c r="F99" s="1">
        <f>IF(后台计算!D96="","",后台计算!AW96)</f>
        <v>6</v>
      </c>
      <c r="G99" s="1">
        <f>IF(后台计算!D96="","",后台计算!EZ96)</f>
        <v>6</v>
      </c>
      <c r="H99" s="1">
        <f>IF(D99="","",MAX(0,后台计算!EZ95-F99))</f>
        <v>0</v>
      </c>
    </row>
    <row r="100" spans="1:8" ht="38.1" customHeight="1">
      <c r="A100" s="1">
        <f t="shared" si="1"/>
        <v>95</v>
      </c>
      <c r="B100" s="1" t="str">
        <f>IF(后台计算!D97="","",后台计算!DH97)</f>
        <v>出牌</v>
      </c>
      <c r="C100" s="1">
        <f>IF(后台计算!D97="","",后台计算!EX97)</f>
        <v>6</v>
      </c>
      <c r="D100" s="1" t="str">
        <f>IF(行动模拟!D103="","",行动模拟!D103)</f>
        <v>37｜三角正论Ⅱ</v>
      </c>
      <c r="E100" s="1">
        <f>IF(后台计算!D97="","",后台计算!EY97)</f>
        <v>0</v>
      </c>
      <c r="F100" s="1">
        <f>IF(后台计算!D97="","",后台计算!AW97)</f>
        <v>6</v>
      </c>
      <c r="G100" s="1">
        <f>IF(后台计算!D97="","",后台计算!EZ97)</f>
        <v>6</v>
      </c>
      <c r="H100" s="1">
        <f>IF(D100="","",MAX(0,后台计算!EZ96-F100))</f>
        <v>0</v>
      </c>
    </row>
    <row r="101" spans="1:8" ht="38.1" customHeight="1">
      <c r="A101" s="1">
        <f t="shared" si="1"/>
        <v>96</v>
      </c>
      <c r="B101" s="1" t="str">
        <f>IF(后台计算!D98="","",后台计算!DH98)</f>
        <v>出牌</v>
      </c>
      <c r="C101" s="1">
        <f>IF(后台计算!D98="","",后台计算!EX98)</f>
        <v>6</v>
      </c>
      <c r="D101" s="1" t="str">
        <f>IF(行动模拟!D104="","",行动模拟!D104)</f>
        <v>红弩箭｜极限俯冲Ⅲ</v>
      </c>
      <c r="E101" s="1">
        <f>IF(后台计算!D98="","",后台计算!EY98)</f>
        <v>0</v>
      </c>
      <c r="F101" s="1">
        <f>IF(后台计算!D98="","",后台计算!AW98)</f>
        <v>6</v>
      </c>
      <c r="G101" s="1">
        <f>IF(后台计算!D98="","",后台计算!EZ98)</f>
        <v>6</v>
      </c>
      <c r="H101" s="1">
        <f>IF(D101="","",MAX(0,后台计算!EZ97-F101))</f>
        <v>0</v>
      </c>
    </row>
    <row r="102" spans="1:8" ht="38.1" customHeight="1">
      <c r="A102" s="1">
        <f t="shared" si="1"/>
        <v>97</v>
      </c>
      <c r="B102" s="1" t="str">
        <f>IF(后台计算!D99="","",后台计算!DH99)</f>
        <v>出牌</v>
      </c>
      <c r="C102" s="1">
        <f>IF(后台计算!D99="","",后台计算!EX99)</f>
        <v>6</v>
      </c>
      <c r="D102" s="1" t="str">
        <f>IF(行动模拟!D105="","",行动模拟!D105)</f>
        <v>J｜硬度测试Ⅱ</v>
      </c>
      <c r="E102" s="1">
        <f>IF(后台计算!D99="","",后台计算!EY99)</f>
        <v>0</v>
      </c>
      <c r="F102" s="1">
        <f>IF(后台计算!D99="","",后台计算!AW99)</f>
        <v>6</v>
      </c>
      <c r="G102" s="1">
        <f>IF(后台计算!D99="","",后台计算!EZ99)</f>
        <v>6</v>
      </c>
      <c r="H102" s="1">
        <f>IF(D102="","",MAX(0,后台计算!EZ98-F102))</f>
        <v>0</v>
      </c>
    </row>
    <row r="103" spans="1:8" ht="38.1" customHeight="1">
      <c r="A103" s="1">
        <f t="shared" si="1"/>
        <v>98</v>
      </c>
      <c r="B103" s="1" t="str">
        <f>IF(后台计算!D100="","",后台计算!DH100)</f>
        <v>敌方</v>
      </c>
      <c r="C103" s="1">
        <f>IF(后台计算!D100="","",后台计算!EX100)</f>
        <v>6</v>
      </c>
      <c r="D103" s="1" t="str">
        <f>IF(行动模拟!D106="","",行动模拟!D106)</f>
        <v>J｜高温回火</v>
      </c>
      <c r="E103" s="1">
        <f>IF(后台计算!D100="","",后台计算!EY100)</f>
        <v>0</v>
      </c>
      <c r="F103" s="1">
        <f>IF(后台计算!D100="","",后台计算!AW100)</f>
        <v>6</v>
      </c>
      <c r="G103" s="1">
        <f>IF(后台计算!D100="","",后台计算!EZ100)</f>
        <v>6</v>
      </c>
      <c r="H103" s="1">
        <f>IF(D103="","",MAX(0,后台计算!EZ99-F103))</f>
        <v>0</v>
      </c>
    </row>
    <row r="104" spans="1:8" ht="38.1" customHeight="1">
      <c r="A104" s="1">
        <f t="shared" si="1"/>
        <v>99</v>
      </c>
      <c r="B104" s="1" t="str">
        <f>IF(后台计算!D101="","",后台计算!DH101)</f>
        <v>敌方</v>
      </c>
      <c r="C104" s="1">
        <f>IF(后台计算!D101="","",后台计算!EX101)</f>
        <v>6</v>
      </c>
      <c r="D104" s="1" t="str">
        <f>IF(行动模拟!D107="","",行动模拟!D107)</f>
        <v>J｜高温回火</v>
      </c>
      <c r="E104" s="1">
        <f>IF(后台计算!D101="","",后台计算!EY101)</f>
        <v>0</v>
      </c>
      <c r="F104" s="1">
        <f>IF(后台计算!D101="","",后台计算!AW101)</f>
        <v>6</v>
      </c>
      <c r="G104" s="1">
        <f>IF(后台计算!D101="","",后台计算!EZ101)</f>
        <v>6</v>
      </c>
      <c r="H104" s="1">
        <f>IF(D104="","",MAX(0,后台计算!EZ100-F104))</f>
        <v>0</v>
      </c>
    </row>
    <row r="105" spans="1:8" ht="38.1" customHeight="1">
      <c r="A105" s="1">
        <f t="shared" si="1"/>
        <v>100</v>
      </c>
      <c r="B105" s="1" t="str">
        <f>IF(后台计算!D102="","",后台计算!DH102)</f>
        <v>敌方</v>
      </c>
      <c r="C105" s="1">
        <f>IF(后台计算!D102="","",后台计算!EX102)</f>
        <v>6</v>
      </c>
      <c r="D105" s="1" t="str">
        <f>IF(行动模拟!D108="","",行动模拟!D108)</f>
        <v>37｜补充算式</v>
      </c>
      <c r="E105" s="1">
        <f>IF(后台计算!D102="","",后台计算!EY102)</f>
        <v>0</v>
      </c>
      <c r="F105" s="1">
        <f>IF(后台计算!D102="","",后台计算!AW102)</f>
        <v>6</v>
      </c>
      <c r="G105" s="1">
        <f>IF(后台计算!D102="","",后台计算!EZ102)</f>
        <v>6</v>
      </c>
      <c r="H105" s="1">
        <f>IF(D105="","",MAX(0,后台计算!EZ101-F105))</f>
        <v>0</v>
      </c>
    </row>
    <row r="106" spans="1:8" ht="38.1" customHeight="1">
      <c r="A106" s="1">
        <f t="shared" si="1"/>
        <v>101</v>
      </c>
      <c r="B106" s="1" t="str">
        <f>IF(后台计算!D103="","",后台计算!DH103)</f>
        <v>敌方</v>
      </c>
      <c r="C106" s="1">
        <f>IF(后台计算!D103="","",后台计算!EX103)</f>
        <v>6</v>
      </c>
      <c r="D106" s="1" t="str">
        <f>IF(行动模拟!D109="","",行动模拟!D109)</f>
        <v>J｜高温回火</v>
      </c>
      <c r="E106" s="1">
        <f>IF(后台计算!D103="","",后台计算!EY103)</f>
        <v>0</v>
      </c>
      <c r="F106" s="1">
        <f>IF(后台计算!D103="","",后台计算!AW103)</f>
        <v>6</v>
      </c>
      <c r="G106" s="1">
        <f>IF(后台计算!D103="","",后台计算!EZ103)</f>
        <v>6</v>
      </c>
      <c r="H106" s="1">
        <f>IF(D106="","",MAX(0,后台计算!EZ102-F106))</f>
        <v>0</v>
      </c>
    </row>
    <row r="107" spans="1:8" ht="38.1" customHeight="1">
      <c r="A107" s="1">
        <f t="shared" si="1"/>
        <v>102</v>
      </c>
      <c r="B107" s="1" t="str">
        <f>IF(后台计算!D104="","",后台计算!DH104)</f>
        <v>敌方</v>
      </c>
      <c r="C107" s="1">
        <f>IF(后台计算!D104="","",后台计算!EX104)</f>
        <v>6</v>
      </c>
      <c r="D107" s="1" t="str">
        <f>IF(行动模拟!D110="","",行动模拟!D110)</f>
        <v>J｜高温回火</v>
      </c>
      <c r="E107" s="1">
        <f>IF(后台计算!D104="","",后台计算!EY104)</f>
        <v>0</v>
      </c>
      <c r="F107" s="1">
        <f>IF(后台计算!D104="","",后台计算!AW104)</f>
        <v>6</v>
      </c>
      <c r="G107" s="1">
        <f>IF(后台计算!D104="","",后台计算!EZ104)</f>
        <v>6</v>
      </c>
      <c r="H107" s="1">
        <f>IF(D107="","",MAX(0,后台计算!EZ103-F107))</f>
        <v>0</v>
      </c>
    </row>
    <row r="108" spans="1:8" ht="38.1" customHeight="1">
      <c r="A108" s="1">
        <f t="shared" si="1"/>
        <v>103</v>
      </c>
      <c r="B108" s="1" t="str">
        <f>IF(后台计算!D105="","",后台计算!DH105)</f>
        <v>目击</v>
      </c>
      <c r="C108" s="1">
        <f>IF(后台计算!D105="","",后台计算!EX105)</f>
        <v>7</v>
      </c>
      <c r="D108" s="1" t="str">
        <f>IF(行动模拟!D111="","",行动模拟!D111)</f>
        <v>小瑞安侬｜悄冥冥术阵</v>
      </c>
      <c r="E108" s="1">
        <f>IF(后台计算!D105="","",后台计算!EY105)</f>
        <v>1</v>
      </c>
      <c r="F108" s="1">
        <f>IF(后台计算!D105="","",后台计算!AW105)</f>
        <v>3</v>
      </c>
      <c r="G108" s="1">
        <f>IF(后台计算!D105="","",后台计算!EZ105)</f>
        <v>4</v>
      </c>
      <c r="H108" s="1">
        <f>IF(D108="","",MAX(0,后台计算!EZ104-F108))</f>
        <v>3</v>
      </c>
    </row>
    <row r="109" spans="1:8" ht="38.1" customHeight="1">
      <c r="A109" s="1">
        <f t="shared" si="1"/>
        <v>104</v>
      </c>
      <c r="B109" s="1" t="str">
        <f>IF(后台计算!D106="","",后台计算!DH106)</f>
        <v>目击</v>
      </c>
      <c r="C109" s="1">
        <f>IF(后台计算!D106="","",后台计算!EX106)</f>
        <v>7</v>
      </c>
      <c r="D109" s="1" t="str">
        <f>IF(行动模拟!D112="","",行动模拟!D112)</f>
        <v>小瑞安侬｜囫囵囵咒Ⅰ</v>
      </c>
      <c r="E109" s="1">
        <f>IF(后台计算!D106="","",后台计算!EY106)</f>
        <v>1</v>
      </c>
      <c r="F109" s="1">
        <f>IF(后台计算!D106="","",后台计算!AW106)</f>
        <v>4</v>
      </c>
      <c r="G109" s="1">
        <f>IF(后台计算!D106="","",后台计算!EZ106)</f>
        <v>5</v>
      </c>
      <c r="H109" s="1">
        <f>IF(D109="","",MAX(0,后台计算!EZ105-F109))</f>
        <v>0</v>
      </c>
    </row>
    <row r="110" spans="1:8" ht="38.1" customHeight="1">
      <c r="A110" s="1">
        <f t="shared" si="1"/>
        <v>105</v>
      </c>
      <c r="B110" s="1" t="str">
        <f>IF(后台计算!D107="","",后台计算!DH107)</f>
        <v>目击</v>
      </c>
      <c r="C110" s="1">
        <f>IF(后台计算!D107="","",后台计算!EX107)</f>
        <v>7</v>
      </c>
      <c r="D110" s="1" t="str">
        <f>IF(行动模拟!D113="","",行动模拟!D113)</f>
        <v>J｜飞跃海特街</v>
      </c>
      <c r="E110" s="1">
        <f>IF(后台计算!D107="","",后台计算!EY107)</f>
        <v>0</v>
      </c>
      <c r="F110" s="1">
        <f>IF(后台计算!D107="","",后台计算!AW107)</f>
        <v>5</v>
      </c>
      <c r="G110" s="1">
        <f>IF(后台计算!D107="","",后台计算!EZ107)</f>
        <v>5</v>
      </c>
      <c r="H110" s="1">
        <f>IF(D110="","",MAX(0,后台计算!EZ106-F110))</f>
        <v>0</v>
      </c>
    </row>
    <row r="111" spans="1:8" ht="38.1" customHeight="1">
      <c r="A111" s="1">
        <f t="shared" si="1"/>
        <v>106</v>
      </c>
      <c r="B111" s="1" t="str">
        <f>IF(后台计算!D108="","",后台计算!DH108)</f>
        <v>目击</v>
      </c>
      <c r="C111" s="1">
        <f>IF(后台计算!D108="","",后台计算!EX108)</f>
        <v>7</v>
      </c>
      <c r="D111" s="1" t="str">
        <f>IF(行动模拟!D114="","",行动模拟!D114)</f>
        <v>37｜补充算式</v>
      </c>
      <c r="E111" s="1">
        <f>IF(后台计算!D108="","",后台计算!EY108)</f>
        <v>0</v>
      </c>
      <c r="F111" s="1">
        <f>IF(后台计算!D108="","",后台计算!AW108)</f>
        <v>5</v>
      </c>
      <c r="G111" s="1">
        <f>IF(后台计算!D108="","",后台计算!EZ108)</f>
        <v>5</v>
      </c>
      <c r="H111" s="1">
        <f>IF(D111="","",MAX(0,后台计算!EZ107-F111))</f>
        <v>0</v>
      </c>
    </row>
    <row r="112" spans="1:8" ht="38.1" customHeight="1">
      <c r="A112" s="1">
        <f t="shared" si="1"/>
        <v>107</v>
      </c>
      <c r="B112" s="1" t="str">
        <f>IF(后台计算!D109="","",后台计算!DH109)</f>
        <v>目击</v>
      </c>
      <c r="C112" s="1">
        <f>IF(后台计算!D109="","",后台计算!EX109)</f>
        <v>7</v>
      </c>
      <c r="D112" s="1" t="str">
        <f>IF(行动模拟!D115="","",行动模拟!D115)</f>
        <v>J｜硬度测试Ⅱ</v>
      </c>
      <c r="E112" s="1">
        <f>IF(后台计算!D109="","",后台计算!EY109)</f>
        <v>0</v>
      </c>
      <c r="F112" s="1">
        <f>IF(后台计算!D109="","",后台计算!AW109)</f>
        <v>5</v>
      </c>
      <c r="G112" s="1">
        <f>IF(后台计算!D109="","",后台计算!EZ109)</f>
        <v>5</v>
      </c>
      <c r="H112" s="1">
        <f>IF(D112="","",MAX(0,后台计算!EZ108-F112))</f>
        <v>0</v>
      </c>
    </row>
    <row r="113" spans="1:8" ht="38.1" customHeight="1">
      <c r="A113" s="1">
        <f t="shared" si="1"/>
        <v>108</v>
      </c>
      <c r="B113" s="1" t="str">
        <f>IF(后台计算!D110="","",后台计算!DH110)</f>
        <v>目击</v>
      </c>
      <c r="C113" s="1">
        <f>IF(后台计算!D110="","",后台计算!EX110)</f>
        <v>7</v>
      </c>
      <c r="D113" s="1" t="str">
        <f>IF(行动模拟!D116="","",行动模拟!D116)</f>
        <v>37｜数与几何的王国</v>
      </c>
      <c r="E113" s="1">
        <f>IF(后台计算!D110="","",后台计算!EY110)</f>
        <v>0</v>
      </c>
      <c r="F113" s="1">
        <f>IF(后台计算!D110="","",后台计算!AW110)</f>
        <v>5</v>
      </c>
      <c r="G113" s="1">
        <f>IF(后台计算!D110="","",后台计算!EZ110)</f>
        <v>5</v>
      </c>
      <c r="H113" s="1">
        <f>IF(D113="","",MAX(0,后台计算!EZ109-F113))</f>
        <v>0</v>
      </c>
    </row>
    <row r="114" spans="1:8" ht="38.1" customHeight="1">
      <c r="A114" s="1">
        <f t="shared" si="1"/>
        <v>109</v>
      </c>
      <c r="B114" s="1" t="str">
        <f>IF(后台计算!D111="","",后台计算!DH111)</f>
        <v>目击</v>
      </c>
      <c r="C114" s="1">
        <f>IF(后台计算!D111="","",后台计算!EX111)</f>
        <v>7</v>
      </c>
      <c r="D114" s="1" t="str">
        <f>IF(行动模拟!D117="","",行动模拟!D117)</f>
        <v>红弩箭｜试试杀手锏</v>
      </c>
      <c r="E114" s="1">
        <f>IF(后台计算!D111="","",后台计算!EY111)</f>
        <v>0</v>
      </c>
      <c r="F114" s="1">
        <f>IF(后台计算!D111="","",后台计算!AW111)</f>
        <v>5</v>
      </c>
      <c r="G114" s="1">
        <f>IF(后台计算!D111="","",后台计算!EZ111)</f>
        <v>5</v>
      </c>
      <c r="H114" s="1">
        <f>IF(D114="","",MAX(0,后台计算!EZ110-F114))</f>
        <v>0</v>
      </c>
    </row>
    <row r="115" spans="1:8" ht="38.1" customHeight="1">
      <c r="A115" s="1">
        <f t="shared" si="1"/>
        <v>110</v>
      </c>
      <c r="B115" s="1" t="str">
        <f>IF(后台计算!D112="","",后台计算!DH112)</f>
        <v>目击</v>
      </c>
      <c r="C115" s="1">
        <f>IF(后台计算!D112="","",后台计算!EX112)</f>
        <v>7</v>
      </c>
      <c r="D115" s="1" t="str">
        <f>IF(行动模拟!D118="","",行动模拟!D118)</f>
        <v>37｜补充算式</v>
      </c>
      <c r="E115" s="1">
        <f>IF(后台计算!D112="","",后台计算!EY112)</f>
        <v>0</v>
      </c>
      <c r="F115" s="1">
        <f>IF(后台计算!D112="","",后台计算!AW112)</f>
        <v>5</v>
      </c>
      <c r="G115" s="1">
        <f>IF(后台计算!D112="","",后台计算!EZ112)</f>
        <v>5</v>
      </c>
      <c r="H115" s="1">
        <f>IF(D115="","",MAX(0,后台计算!EZ111-F115))</f>
        <v>0</v>
      </c>
    </row>
    <row r="116" spans="1:8" ht="38.1" customHeight="1">
      <c r="A116" s="1">
        <f t="shared" si="1"/>
        <v>111</v>
      </c>
      <c r="B116" s="1" t="str">
        <f>IF(后台计算!D113="","",后台计算!DH113)</f>
        <v>洞穿</v>
      </c>
      <c r="C116" s="1">
        <f>IF(后台计算!D113="","",后台计算!EX113)</f>
        <v>8</v>
      </c>
      <c r="D116" s="1" t="str">
        <f>IF(行动模拟!D119="","",行动模拟!D119)</f>
        <v>红弩箭｜洞知咒语</v>
      </c>
      <c r="E116" s="1">
        <f>IF(后台计算!D113="","",后台计算!EY113)</f>
        <v>0</v>
      </c>
      <c r="F116" s="1">
        <f>IF(后台计算!D113="","",后台计算!AW113)</f>
        <v>4</v>
      </c>
      <c r="G116" s="1">
        <f>IF(后台计算!D113="","",后台计算!EZ113)</f>
        <v>4</v>
      </c>
      <c r="H116" s="1">
        <f>IF(D116="","",MAX(0,后台计算!EZ112-F116))</f>
        <v>1</v>
      </c>
    </row>
    <row r="117" spans="1:8" ht="38.1" customHeight="1">
      <c r="A117" s="1">
        <f t="shared" si="1"/>
        <v>112</v>
      </c>
      <c r="B117" s="1" t="str">
        <f>IF(后台计算!D114="","",后台计算!DH114)</f>
        <v>洞穿</v>
      </c>
      <c r="C117" s="1">
        <f>IF(后台计算!D114="","",后台计算!EX114)</f>
        <v>8</v>
      </c>
      <c r="D117" s="1" t="str">
        <f>IF(行动模拟!D120="","",行动模拟!D120)</f>
        <v>红弩箭｜洞知咒语</v>
      </c>
      <c r="E117" s="1">
        <f>IF(后台计算!D114="","",后台计算!EY114)</f>
        <v>0</v>
      </c>
      <c r="F117" s="1">
        <f>IF(后台计算!D114="","",后台计算!AW114)</f>
        <v>4</v>
      </c>
      <c r="G117" s="1">
        <f>IF(后台计算!D114="","",后台计算!EZ114)</f>
        <v>4</v>
      </c>
      <c r="H117" s="1">
        <f>IF(D117="","",MAX(0,后台计算!EZ113-F117))</f>
        <v>0</v>
      </c>
    </row>
    <row r="118" spans="1:8" ht="38.1" customHeight="1">
      <c r="A118" s="1">
        <f t="shared" si="1"/>
        <v>113</v>
      </c>
      <c r="B118" s="1" t="str">
        <f>IF(后台计算!D115="","",后台计算!DH115)</f>
        <v>洞穿</v>
      </c>
      <c r="C118" s="1">
        <f>IF(后台计算!D115="","",后台计算!EX115)</f>
        <v>8</v>
      </c>
      <c r="D118" s="1" t="str">
        <f>IF(行动模拟!D121="","",行动模拟!D121)</f>
        <v>37｜洞知咒语</v>
      </c>
      <c r="E118" s="1">
        <f>IF(后台计算!D115="","",后台计算!EY115)</f>
        <v>0</v>
      </c>
      <c r="F118" s="1">
        <f>IF(后台计算!D115="","",后台计算!AW115)</f>
        <v>4</v>
      </c>
      <c r="G118" s="1">
        <f>IF(后台计算!D115="","",后台计算!EZ115)</f>
        <v>4</v>
      </c>
      <c r="H118" s="1">
        <f>IF(D118="","",MAX(0,后台计算!EZ114-F118))</f>
        <v>0</v>
      </c>
    </row>
    <row r="119" spans="1:8" ht="38.1" customHeight="1">
      <c r="A119" s="1">
        <f t="shared" si="1"/>
        <v>114</v>
      </c>
      <c r="B119" s="1" t="str">
        <f>IF(后台计算!D116="","",后台计算!DH116)</f>
        <v>洞穿</v>
      </c>
      <c r="C119" s="1">
        <f>IF(后台计算!D116="","",后台计算!EX116)</f>
        <v>8</v>
      </c>
      <c r="D119" s="1" t="str">
        <f>IF(行动模拟!D122="","",行动模拟!D122)</f>
        <v>红弩箭｜洞知咒语</v>
      </c>
      <c r="E119" s="1">
        <f>IF(后台计算!D116="","",后台计算!EY116)</f>
        <v>0</v>
      </c>
      <c r="F119" s="1">
        <f>IF(后台计算!D116="","",后台计算!AW116)</f>
        <v>4</v>
      </c>
      <c r="G119" s="1">
        <f>IF(后台计算!D116="","",后台计算!EZ116)</f>
        <v>4</v>
      </c>
      <c r="H119" s="1">
        <f>IF(D119="","",MAX(0,后台计算!EZ115-F119))</f>
        <v>0</v>
      </c>
    </row>
    <row r="120" spans="1:8" ht="38.1" customHeight="1">
      <c r="A120" s="1">
        <f t="shared" si="1"/>
        <v>115</v>
      </c>
      <c r="B120" s="1" t="str">
        <f>IF(后台计算!D117="","",后台计算!DH117)</f>
        <v>洞穿</v>
      </c>
      <c r="C120" s="1">
        <f>IF(后台计算!D117="","",后台计算!EX117)</f>
        <v>8</v>
      </c>
      <c r="D120" s="1" t="str">
        <f>IF(行动模拟!D123="","",行动模拟!D123)</f>
        <v>红弩箭｜洞知咒语</v>
      </c>
      <c r="E120" s="1">
        <f>IF(后台计算!D117="","",后台计算!EY117)</f>
        <v>0</v>
      </c>
      <c r="F120" s="1">
        <f>IF(后台计算!D117="","",后台计算!AW117)</f>
        <v>4</v>
      </c>
      <c r="G120" s="1">
        <f>IF(后台计算!D117="","",后台计算!EZ117)</f>
        <v>4</v>
      </c>
      <c r="H120" s="1">
        <f>IF(D120="","",MAX(0,后台计算!EZ116-F120))</f>
        <v>0</v>
      </c>
    </row>
    <row r="121" spans="1:8" ht="38.1" customHeight="1">
      <c r="A121" s="1">
        <f t="shared" si="1"/>
        <v>116</v>
      </c>
      <c r="B121" s="1" t="str">
        <f>IF(后台计算!D118="","",后台计算!DH118)</f>
        <v>洞穿</v>
      </c>
      <c r="C121" s="1">
        <f>IF(后台计算!D118="","",后台计算!EX118)</f>
        <v>8</v>
      </c>
      <c r="D121" s="1" t="str">
        <f>IF(行动模拟!D124="","",行动模拟!D124)</f>
        <v>红弩箭｜洞知咒语</v>
      </c>
      <c r="E121" s="1">
        <f>IF(后台计算!D118="","",后台计算!EY118)</f>
        <v>0</v>
      </c>
      <c r="F121" s="1">
        <f>IF(后台计算!D118="","",后台计算!AW118)</f>
        <v>4</v>
      </c>
      <c r="G121" s="1">
        <f>IF(后台计算!D118="","",后台计算!EZ118)</f>
        <v>4</v>
      </c>
      <c r="H121" s="1">
        <f>IF(D121="","",MAX(0,后台计算!EZ117-F121))</f>
        <v>0</v>
      </c>
    </row>
    <row r="122" spans="1:8" ht="38.1" customHeight="1">
      <c r="A122" s="1">
        <f t="shared" si="1"/>
        <v>117</v>
      </c>
      <c r="B122" s="1" t="str">
        <f>IF(后台计算!D119="","",后台计算!DH119)</f>
        <v>洞穿</v>
      </c>
      <c r="C122" s="1">
        <f>IF(后台计算!D119="","",后台计算!EX119)</f>
        <v>8</v>
      </c>
      <c r="D122" s="1" t="str">
        <f>IF(行动模拟!D125="","",行动模拟!D125)</f>
        <v>37｜洞知咒语</v>
      </c>
      <c r="E122" s="1">
        <f>IF(后台计算!D119="","",后台计算!EY119)</f>
        <v>0</v>
      </c>
      <c r="F122" s="1">
        <f>IF(后台计算!D119="","",后台计算!AW119)</f>
        <v>4</v>
      </c>
      <c r="G122" s="1">
        <f>IF(后台计算!D119="","",后台计算!EZ119)</f>
        <v>4</v>
      </c>
      <c r="H122" s="1">
        <f>IF(D122="","",MAX(0,后台计算!EZ118-F122))</f>
        <v>0</v>
      </c>
    </row>
    <row r="123" spans="1:8" ht="38.1" customHeight="1">
      <c r="A123" s="1">
        <f t="shared" si="1"/>
        <v>118</v>
      </c>
      <c r="B123" s="1" t="str">
        <f>IF(后台计算!D120="","",后台计算!DH120)</f>
        <v>洞穿</v>
      </c>
      <c r="C123" s="1">
        <f>IF(后台计算!D120="","",后台计算!EX120)</f>
        <v>8</v>
      </c>
      <c r="D123" s="1" t="str">
        <f>IF(行动模拟!D126="","",行动模拟!D126)</f>
        <v>红弩箭｜洞知咒语</v>
      </c>
      <c r="E123" s="1">
        <f>IF(后台计算!D120="","",后台计算!EY120)</f>
        <v>0</v>
      </c>
      <c r="F123" s="1">
        <f>IF(后台计算!D120="","",后台计算!AW120)</f>
        <v>4</v>
      </c>
      <c r="G123" s="1">
        <f>IF(后台计算!D120="","",后台计算!EZ120)</f>
        <v>4</v>
      </c>
      <c r="H123" s="1">
        <f>IF(D123="","",MAX(0,后台计算!EZ119-F123))</f>
        <v>0</v>
      </c>
    </row>
    <row r="124" spans="1:8" ht="38.1" customHeight="1">
      <c r="A124" s="1">
        <f t="shared" si="1"/>
        <v>119</v>
      </c>
      <c r="B124" s="1" t="str">
        <f>IF(后台计算!D121="","",后台计算!DH121)</f>
        <v>洞穿</v>
      </c>
      <c r="C124" s="1">
        <f>IF(后台计算!D121="","",后台计算!EX121)</f>
        <v>8</v>
      </c>
      <c r="D124" s="1" t="str">
        <f>IF(行动模拟!D127="","",行动模拟!D127)</f>
        <v>红弩箭｜洞知咒语</v>
      </c>
      <c r="E124" s="1">
        <f>IF(后台计算!D121="","",后台计算!EY121)</f>
        <v>0</v>
      </c>
      <c r="F124" s="1">
        <f>IF(后台计算!D121="","",后台计算!AW121)</f>
        <v>4</v>
      </c>
      <c r="G124" s="1">
        <f>IF(后台计算!D121="","",后台计算!EZ121)</f>
        <v>4</v>
      </c>
      <c r="H124" s="1">
        <f>IF(D124="","",MAX(0,后台计算!EZ120-F124))</f>
        <v>0</v>
      </c>
    </row>
    <row r="125" spans="1:8" ht="38.1" customHeight="1">
      <c r="A125" s="1">
        <f t="shared" si="1"/>
        <v>120</v>
      </c>
      <c r="B125" s="1" t="str">
        <f>IF(后台计算!D122="","",后台计算!DH122)</f>
        <v>洞穿</v>
      </c>
      <c r="C125" s="1">
        <f>IF(后台计算!D122="","",后台计算!EX122)</f>
        <v>8</v>
      </c>
      <c r="D125" s="1" t="str">
        <f>IF(行动模拟!D128="","",行动模拟!D128)</f>
        <v>红弩箭｜洞知咒语</v>
      </c>
      <c r="E125" s="1">
        <f>IF(后台计算!D122="","",后台计算!EY122)</f>
        <v>0</v>
      </c>
      <c r="F125" s="1">
        <f>IF(后台计算!D122="","",后台计算!AW122)</f>
        <v>4</v>
      </c>
      <c r="G125" s="1">
        <f>IF(后台计算!D122="","",后台计算!EZ122)</f>
        <v>4</v>
      </c>
      <c r="H125" s="1">
        <f>IF(D125="","",MAX(0,后台计算!EZ121-F125))</f>
        <v>0</v>
      </c>
    </row>
    <row r="126" spans="1:8" ht="38.1" customHeight="1">
      <c r="A126" s="1">
        <f t="shared" si="1"/>
        <v>121</v>
      </c>
      <c r="B126" s="1" t="str">
        <f>IF(后台计算!D123="","",后台计算!DH123)</f>
        <v>洞穿</v>
      </c>
      <c r="C126" s="1">
        <f>IF(后台计算!D123="","",后台计算!EX123)</f>
        <v>8</v>
      </c>
      <c r="D126" s="1" t="str">
        <f>IF(行动模拟!D129="","",行动模拟!D129)</f>
        <v>37｜洞知咒语</v>
      </c>
      <c r="E126" s="1">
        <f>IF(后台计算!D123="","",后台计算!EY123)</f>
        <v>0</v>
      </c>
      <c r="F126" s="1">
        <f>IF(后台计算!D123="","",后台计算!AW123)</f>
        <v>4</v>
      </c>
      <c r="G126" s="1">
        <f>IF(后台计算!D123="","",后台计算!EZ123)</f>
        <v>4</v>
      </c>
      <c r="H126" s="1">
        <f>IF(D126="","",MAX(0,后台计算!EZ122-F126))</f>
        <v>0</v>
      </c>
    </row>
    <row r="127" spans="1:8" ht="38.1" customHeight="1">
      <c r="A127" s="1">
        <f t="shared" si="1"/>
        <v>122</v>
      </c>
      <c r="B127" s="1" t="str">
        <f>IF(后台计算!D124="","",后台计算!DH124)</f>
        <v>洞穿</v>
      </c>
      <c r="C127" s="1">
        <f>IF(后台计算!D124="","",后台计算!EX124)</f>
        <v>8</v>
      </c>
      <c r="D127" s="1" t="str">
        <f>IF(行动模拟!D130="","",行动模拟!D130)</f>
        <v>红弩箭｜洞知咒语</v>
      </c>
      <c r="E127" s="1">
        <f>IF(后台计算!D124="","",后台计算!EY124)</f>
        <v>0</v>
      </c>
      <c r="F127" s="1">
        <f>IF(后台计算!D124="","",后台计算!AW124)</f>
        <v>4</v>
      </c>
      <c r="G127" s="1">
        <f>IF(后台计算!D124="","",后台计算!EZ124)</f>
        <v>4</v>
      </c>
      <c r="H127" s="1">
        <f>IF(D127="","",MAX(0,后台计算!EZ123-F127))</f>
        <v>0</v>
      </c>
    </row>
    <row r="128" spans="1:8" ht="38.1" customHeight="1">
      <c r="A128" s="1">
        <f t="shared" si="1"/>
        <v>123</v>
      </c>
      <c r="B128" s="1" t="str">
        <f>IF(后台计算!D125="","",后台计算!DH125)</f>
        <v>洞穿</v>
      </c>
      <c r="C128" s="1">
        <f>IF(后台计算!D125="","",后台计算!EX125)</f>
        <v>8</v>
      </c>
      <c r="D128" s="1" t="str">
        <f>IF(行动模拟!D131="","",行动模拟!D131)</f>
        <v>37｜洞知咒语</v>
      </c>
      <c r="E128" s="1">
        <f>IF(后台计算!D125="","",后台计算!EY125)</f>
        <v>0</v>
      </c>
      <c r="F128" s="1">
        <f>IF(后台计算!D125="","",后台计算!AW125)</f>
        <v>4</v>
      </c>
      <c r="G128" s="1">
        <f>IF(后台计算!D125="","",后台计算!EZ125)</f>
        <v>4</v>
      </c>
      <c r="H128" s="1">
        <f>IF(D128="","",MAX(0,后台计算!EZ124-F128))</f>
        <v>0</v>
      </c>
    </row>
    <row r="129" spans="1:8" ht="38.1" customHeight="1">
      <c r="A129" s="1">
        <f t="shared" si="1"/>
        <v>124</v>
      </c>
      <c r="B129" s="1" t="str">
        <f>IF(后台计算!D126="","",后台计算!DH126)</f>
        <v>洞穿</v>
      </c>
      <c r="C129" s="1">
        <f>IF(后台计算!D126="","",后台计算!EX126)</f>
        <v>8</v>
      </c>
      <c r="D129" s="1" t="str">
        <f>IF(行动模拟!D132="","",行动模拟!D132)</f>
        <v>红弩箭｜洞知咒语</v>
      </c>
      <c r="E129" s="1">
        <f>IF(后台计算!D126="","",后台计算!EY126)</f>
        <v>0</v>
      </c>
      <c r="F129" s="1">
        <f>IF(后台计算!D126="","",后台计算!AW126)</f>
        <v>4</v>
      </c>
      <c r="G129" s="1">
        <f>IF(后台计算!D126="","",后台计算!EZ126)</f>
        <v>4</v>
      </c>
      <c r="H129" s="1">
        <f>IF(D129="","",MAX(0,后台计算!EZ125-F129))</f>
        <v>0</v>
      </c>
    </row>
    <row r="130" spans="1:8" ht="38.1" customHeight="1">
      <c r="A130" s="1">
        <f t="shared" si="1"/>
        <v>125</v>
      </c>
      <c r="B130" s="1" t="str">
        <f>IF(后台计算!D127="","",后台计算!DH127)</f>
        <v>洞穿</v>
      </c>
      <c r="C130" s="1">
        <f>IF(后台计算!D127="","",后台计算!EX127)</f>
        <v>8</v>
      </c>
      <c r="D130" s="1" t="str">
        <f>IF(行动模拟!D133="","",行动模拟!D133)</f>
        <v>37｜洞知咒语</v>
      </c>
      <c r="E130" s="1">
        <f>IF(后台计算!D127="","",后台计算!EY127)</f>
        <v>0</v>
      </c>
      <c r="F130" s="1">
        <f>IF(后台计算!D127="","",后台计算!AW127)</f>
        <v>4</v>
      </c>
      <c r="G130" s="1">
        <f>IF(后台计算!D127="","",后台计算!EZ127)</f>
        <v>4</v>
      </c>
      <c r="H130" s="1">
        <f>IF(D130="","",MAX(0,后台计算!EZ126-F130))</f>
        <v>0</v>
      </c>
    </row>
    <row r="131" spans="1:8" ht="38.1" customHeight="1">
      <c r="A131" s="1">
        <f t="shared" si="1"/>
        <v>126</v>
      </c>
      <c r="B131" s="1" t="str">
        <f>IF(后台计算!D128="","",后台计算!DH128)</f>
        <v>洞穿</v>
      </c>
      <c r="C131" s="1">
        <f>IF(后台计算!D128="","",后台计算!EX128)</f>
        <v>8</v>
      </c>
      <c r="D131" s="1" t="str">
        <f>IF(行动模拟!D134="","",行动模拟!D134)</f>
        <v>37｜洞知咒语</v>
      </c>
      <c r="E131" s="1">
        <f>IF(后台计算!D128="","",后台计算!EY128)</f>
        <v>0</v>
      </c>
      <c r="F131" s="1">
        <f>IF(后台计算!D128="","",后台计算!AW128)</f>
        <v>4</v>
      </c>
      <c r="G131" s="1">
        <f>IF(后台计算!D128="","",后台计算!EZ128)</f>
        <v>4</v>
      </c>
      <c r="H131" s="1">
        <f>IF(D131="","",MAX(0,后台计算!EZ127-F131))</f>
        <v>0</v>
      </c>
    </row>
    <row r="132" spans="1:8" ht="38.1" customHeight="1">
      <c r="A132" s="1">
        <f t="shared" si="1"/>
        <v>127</v>
      </c>
      <c r="B132" s="1" t="str">
        <f>IF(后台计算!D129="","",后台计算!DH129)</f>
        <v>洞穿</v>
      </c>
      <c r="C132" s="1">
        <f>IF(后台计算!D129="","",后台计算!EX129)</f>
        <v>8</v>
      </c>
      <c r="D132" s="1" t="str">
        <f>IF(行动模拟!D135="","",行动模拟!D135)</f>
        <v>红弩箭｜洞知终结</v>
      </c>
      <c r="E132" s="1">
        <f>IF(后台计算!D129="","",后台计算!EY129)</f>
        <v>0</v>
      </c>
      <c r="F132" s="1">
        <f>IF(后台计算!D129="","",后台计算!AW129)</f>
        <v>4</v>
      </c>
      <c r="G132" s="1">
        <f>IF(后台计算!D129="","",后台计算!EZ129)</f>
        <v>4</v>
      </c>
      <c r="H132" s="1">
        <f>IF(D132="","",MAX(0,后台计算!EZ128-F132))</f>
        <v>0</v>
      </c>
    </row>
    <row r="133" spans="1:8" ht="38.1" customHeight="1">
      <c r="A133" s="1" t="str">
        <f t="shared" si="1"/>
        <v/>
      </c>
      <c r="B133" s="1" t="str">
        <f>IF(后台计算!D130="","",后台计算!DH130)</f>
        <v/>
      </c>
      <c r="C133" s="1" t="str">
        <f>IF(后台计算!D130="","",后台计算!EX130)</f>
        <v/>
      </c>
      <c r="D133" s="1" t="str">
        <f>IF(行动模拟!D136="","",行动模拟!D136)</f>
        <v/>
      </c>
      <c r="E133" s="1" t="str">
        <f>IF(后台计算!D130="","",后台计算!EY130)</f>
        <v/>
      </c>
      <c r="F133" s="1" t="str">
        <f>IF(后台计算!D130="","",后台计算!AW130)</f>
        <v/>
      </c>
      <c r="G133" s="1" t="str">
        <f>IF(后台计算!D130="","",后台计算!EZ130)</f>
        <v/>
      </c>
      <c r="H133" s="1" t="str">
        <f>IF(D133="","",MAX(0,后台计算!EZ129-F133))</f>
        <v/>
      </c>
    </row>
    <row r="134" spans="1:8" ht="38.1" customHeight="1">
      <c r="A134" s="1" t="str">
        <f t="shared" ref="A134:A197" si="2">IF(D134="","",ROW()-5)</f>
        <v/>
      </c>
      <c r="B134" s="1" t="str">
        <f>IF(后台计算!D131="","",后台计算!DH131)</f>
        <v/>
      </c>
      <c r="C134" s="1" t="str">
        <f>IF(后台计算!D131="","",后台计算!EX131)</f>
        <v/>
      </c>
      <c r="D134" s="1" t="str">
        <f>IF(行动模拟!D137="","",行动模拟!D137)</f>
        <v/>
      </c>
      <c r="E134" s="1" t="str">
        <f>IF(后台计算!D131="","",后台计算!EY131)</f>
        <v/>
      </c>
      <c r="F134" s="1" t="str">
        <f>IF(后台计算!D131="","",后台计算!AW131)</f>
        <v/>
      </c>
      <c r="G134" s="1" t="str">
        <f>IF(后台计算!D131="","",后台计算!EZ131)</f>
        <v/>
      </c>
      <c r="H134" s="1" t="str">
        <f>IF(D134="","",MAX(0,后台计算!EZ130-F134))</f>
        <v/>
      </c>
    </row>
    <row r="135" spans="1:8" ht="38.1" customHeight="1">
      <c r="A135" s="1" t="str">
        <f t="shared" si="2"/>
        <v/>
      </c>
      <c r="B135" s="1" t="str">
        <f>IF(后台计算!D132="","",后台计算!DH132)</f>
        <v/>
      </c>
      <c r="C135" s="1" t="str">
        <f>IF(后台计算!D132="","",后台计算!EX132)</f>
        <v/>
      </c>
      <c r="D135" s="1" t="str">
        <f>IF(行动模拟!D138="","",行动模拟!D138)</f>
        <v/>
      </c>
      <c r="E135" s="1" t="str">
        <f>IF(后台计算!D132="","",后台计算!EY132)</f>
        <v/>
      </c>
      <c r="F135" s="1" t="str">
        <f>IF(后台计算!D132="","",后台计算!AW132)</f>
        <v/>
      </c>
      <c r="G135" s="1" t="str">
        <f>IF(后台计算!D132="","",后台计算!EZ132)</f>
        <v/>
      </c>
      <c r="H135" s="1" t="str">
        <f>IF(D135="","",MAX(0,后台计算!EZ131-F135))</f>
        <v/>
      </c>
    </row>
    <row r="136" spans="1:8" ht="38.1" customHeight="1">
      <c r="A136" s="1" t="str">
        <f t="shared" si="2"/>
        <v/>
      </c>
      <c r="B136" s="1" t="str">
        <f>IF(后台计算!D133="","",后台计算!DH133)</f>
        <v/>
      </c>
      <c r="C136" s="1" t="str">
        <f>IF(后台计算!D133="","",后台计算!EX133)</f>
        <v/>
      </c>
      <c r="D136" s="1" t="str">
        <f>IF(行动模拟!D139="","",行动模拟!D139)</f>
        <v/>
      </c>
      <c r="E136" s="1" t="str">
        <f>IF(后台计算!D133="","",后台计算!EY133)</f>
        <v/>
      </c>
      <c r="F136" s="1" t="str">
        <f>IF(后台计算!D133="","",后台计算!AW133)</f>
        <v/>
      </c>
      <c r="G136" s="1" t="str">
        <f>IF(后台计算!D133="","",后台计算!EZ133)</f>
        <v/>
      </c>
      <c r="H136" s="1" t="str">
        <f>IF(D136="","",MAX(0,后台计算!EZ132-F136))</f>
        <v/>
      </c>
    </row>
    <row r="137" spans="1:8" ht="38.1" customHeight="1">
      <c r="A137" s="1" t="str">
        <f t="shared" si="2"/>
        <v/>
      </c>
      <c r="B137" s="1" t="str">
        <f>IF(后台计算!D134="","",后台计算!DH134)</f>
        <v/>
      </c>
      <c r="C137" s="1" t="str">
        <f>IF(后台计算!D134="","",后台计算!EX134)</f>
        <v/>
      </c>
      <c r="D137" s="1" t="str">
        <f>IF(行动模拟!D140="","",行动模拟!D140)</f>
        <v/>
      </c>
      <c r="E137" s="1" t="str">
        <f>IF(后台计算!D134="","",后台计算!EY134)</f>
        <v/>
      </c>
      <c r="F137" s="1" t="str">
        <f>IF(后台计算!D134="","",后台计算!AW134)</f>
        <v/>
      </c>
      <c r="G137" s="1" t="str">
        <f>IF(后台计算!D134="","",后台计算!EZ134)</f>
        <v/>
      </c>
      <c r="H137" s="1" t="str">
        <f>IF(D137="","",MAX(0,后台计算!EZ133-F137))</f>
        <v/>
      </c>
    </row>
    <row r="138" spans="1:8" ht="38.1" customHeight="1">
      <c r="A138" s="1" t="str">
        <f t="shared" si="2"/>
        <v/>
      </c>
      <c r="B138" s="1" t="str">
        <f>IF(后台计算!D135="","",后台计算!DH135)</f>
        <v/>
      </c>
      <c r="C138" s="1" t="str">
        <f>IF(后台计算!D135="","",后台计算!EX135)</f>
        <v/>
      </c>
      <c r="D138" s="1" t="str">
        <f>IF(行动模拟!D141="","",行动模拟!D141)</f>
        <v/>
      </c>
      <c r="E138" s="1" t="str">
        <f>IF(后台计算!D135="","",后台计算!EY135)</f>
        <v/>
      </c>
      <c r="F138" s="1" t="str">
        <f>IF(后台计算!D135="","",后台计算!AW135)</f>
        <v/>
      </c>
      <c r="G138" s="1" t="str">
        <f>IF(后台计算!D135="","",后台计算!EZ135)</f>
        <v/>
      </c>
      <c r="H138" s="1" t="str">
        <f>IF(D138="","",MAX(0,后台计算!EZ134-F138))</f>
        <v/>
      </c>
    </row>
    <row r="139" spans="1:8" ht="38.1" customHeight="1">
      <c r="A139" s="1" t="str">
        <f t="shared" si="2"/>
        <v/>
      </c>
      <c r="B139" s="1" t="str">
        <f>IF(后台计算!D136="","",后台计算!DH136)</f>
        <v/>
      </c>
      <c r="C139" s="1" t="str">
        <f>IF(后台计算!D136="","",后台计算!EX136)</f>
        <v/>
      </c>
      <c r="D139" s="1" t="str">
        <f>IF(行动模拟!D142="","",行动模拟!D142)</f>
        <v/>
      </c>
      <c r="E139" s="1" t="str">
        <f>IF(后台计算!D136="","",后台计算!EY136)</f>
        <v/>
      </c>
      <c r="F139" s="1" t="str">
        <f>IF(后台计算!D136="","",后台计算!AW136)</f>
        <v/>
      </c>
      <c r="G139" s="1" t="str">
        <f>IF(后台计算!D136="","",后台计算!EZ136)</f>
        <v/>
      </c>
      <c r="H139" s="1" t="str">
        <f>IF(D139="","",MAX(0,后台计算!EZ135-F139))</f>
        <v/>
      </c>
    </row>
    <row r="140" spans="1:8" ht="38.1" customHeight="1">
      <c r="A140" s="1" t="str">
        <f t="shared" si="2"/>
        <v/>
      </c>
      <c r="B140" s="1" t="str">
        <f>IF(后台计算!D137="","",后台计算!DH137)</f>
        <v/>
      </c>
      <c r="C140" s="1" t="str">
        <f>IF(后台计算!D137="","",后台计算!EX137)</f>
        <v/>
      </c>
      <c r="D140" s="1" t="str">
        <f>IF(行动模拟!D143="","",行动模拟!D143)</f>
        <v/>
      </c>
      <c r="E140" s="1" t="str">
        <f>IF(后台计算!D137="","",后台计算!EY137)</f>
        <v/>
      </c>
      <c r="F140" s="1" t="str">
        <f>IF(后台计算!D137="","",后台计算!AW137)</f>
        <v/>
      </c>
      <c r="G140" s="1" t="str">
        <f>IF(后台计算!D137="","",后台计算!EZ137)</f>
        <v/>
      </c>
      <c r="H140" s="1" t="str">
        <f>IF(D140="","",MAX(0,后台计算!EZ136-F140))</f>
        <v/>
      </c>
    </row>
    <row r="141" spans="1:8" ht="38.1" customHeight="1">
      <c r="A141" s="1" t="str">
        <f t="shared" si="2"/>
        <v/>
      </c>
      <c r="B141" s="1" t="str">
        <f>IF(后台计算!D138="","",后台计算!DH138)</f>
        <v/>
      </c>
      <c r="C141" s="1" t="str">
        <f>IF(后台计算!D138="","",后台计算!EX138)</f>
        <v/>
      </c>
      <c r="D141" s="1" t="str">
        <f>IF(行动模拟!D144="","",行动模拟!D144)</f>
        <v/>
      </c>
      <c r="E141" s="1" t="str">
        <f>IF(后台计算!D138="","",后台计算!EY138)</f>
        <v/>
      </c>
      <c r="F141" s="1" t="str">
        <f>IF(后台计算!D138="","",后台计算!AW138)</f>
        <v/>
      </c>
      <c r="G141" s="1" t="str">
        <f>IF(后台计算!D138="","",后台计算!EZ138)</f>
        <v/>
      </c>
      <c r="H141" s="1" t="str">
        <f>IF(D141="","",MAX(0,后台计算!EZ137-F141))</f>
        <v/>
      </c>
    </row>
    <row r="142" spans="1:8" ht="38.1" customHeight="1">
      <c r="A142" s="1" t="str">
        <f t="shared" si="2"/>
        <v/>
      </c>
      <c r="B142" s="1" t="str">
        <f>IF(后台计算!D139="","",后台计算!DH139)</f>
        <v/>
      </c>
      <c r="C142" s="1" t="str">
        <f>IF(后台计算!D139="","",后台计算!EX139)</f>
        <v/>
      </c>
      <c r="D142" s="1" t="str">
        <f>IF(行动模拟!D145="","",行动模拟!D145)</f>
        <v/>
      </c>
      <c r="E142" s="1" t="str">
        <f>IF(后台计算!D139="","",后台计算!EY139)</f>
        <v/>
      </c>
      <c r="F142" s="1" t="str">
        <f>IF(后台计算!D139="","",后台计算!AW139)</f>
        <v/>
      </c>
      <c r="G142" s="1" t="str">
        <f>IF(后台计算!D139="","",后台计算!EZ139)</f>
        <v/>
      </c>
      <c r="H142" s="1" t="str">
        <f>IF(D142="","",MAX(0,后台计算!EZ138-F142))</f>
        <v/>
      </c>
    </row>
    <row r="143" spans="1:8" ht="38.1" customHeight="1">
      <c r="A143" s="1" t="str">
        <f t="shared" si="2"/>
        <v/>
      </c>
      <c r="B143" s="1" t="str">
        <f>IF(后台计算!D140="","",后台计算!DH140)</f>
        <v/>
      </c>
      <c r="C143" s="1" t="str">
        <f>IF(后台计算!D140="","",后台计算!EX140)</f>
        <v/>
      </c>
      <c r="D143" s="1" t="str">
        <f>IF(行动模拟!D146="","",行动模拟!D146)</f>
        <v/>
      </c>
      <c r="E143" s="1" t="str">
        <f>IF(后台计算!D140="","",后台计算!EY140)</f>
        <v/>
      </c>
      <c r="F143" s="1" t="str">
        <f>IF(后台计算!D140="","",后台计算!AW140)</f>
        <v/>
      </c>
      <c r="G143" s="1" t="str">
        <f>IF(后台计算!D140="","",后台计算!EZ140)</f>
        <v/>
      </c>
      <c r="H143" s="1" t="str">
        <f>IF(D143="","",MAX(0,后台计算!EZ139-F143))</f>
        <v/>
      </c>
    </row>
    <row r="144" spans="1:8" ht="38.1" customHeight="1">
      <c r="A144" s="1" t="str">
        <f t="shared" si="2"/>
        <v/>
      </c>
      <c r="B144" s="1" t="str">
        <f>IF(后台计算!D141="","",后台计算!DH141)</f>
        <v/>
      </c>
      <c r="C144" s="1" t="str">
        <f>IF(后台计算!D141="","",后台计算!EX141)</f>
        <v/>
      </c>
      <c r="D144" s="1" t="str">
        <f>IF(行动模拟!D147="","",行动模拟!D147)</f>
        <v/>
      </c>
      <c r="E144" s="1" t="str">
        <f>IF(后台计算!D141="","",后台计算!EY141)</f>
        <v/>
      </c>
      <c r="F144" s="1" t="str">
        <f>IF(后台计算!D141="","",后台计算!AW141)</f>
        <v/>
      </c>
      <c r="G144" s="1" t="str">
        <f>IF(后台计算!D141="","",后台计算!EZ141)</f>
        <v/>
      </c>
      <c r="H144" s="1" t="str">
        <f>IF(D144="","",MAX(0,后台计算!EZ140-F144))</f>
        <v/>
      </c>
    </row>
    <row r="145" spans="1:8" ht="38.1" customHeight="1">
      <c r="A145" s="1" t="str">
        <f t="shared" si="2"/>
        <v/>
      </c>
      <c r="B145" s="1" t="str">
        <f>IF(后台计算!D142="","",后台计算!DH142)</f>
        <v/>
      </c>
      <c r="C145" s="1" t="str">
        <f>IF(后台计算!D142="","",后台计算!EX142)</f>
        <v/>
      </c>
      <c r="D145" s="1" t="str">
        <f>IF(行动模拟!D148="","",行动模拟!D148)</f>
        <v/>
      </c>
      <c r="E145" s="1" t="str">
        <f>IF(后台计算!D142="","",后台计算!EY142)</f>
        <v/>
      </c>
      <c r="F145" s="1" t="str">
        <f>IF(后台计算!D142="","",后台计算!AW142)</f>
        <v/>
      </c>
      <c r="G145" s="1" t="str">
        <f>IF(后台计算!D142="","",后台计算!EZ142)</f>
        <v/>
      </c>
      <c r="H145" s="1" t="str">
        <f>IF(D145="","",MAX(0,后台计算!EZ141-F145))</f>
        <v/>
      </c>
    </row>
    <row r="146" spans="1:8" ht="38.1" customHeight="1">
      <c r="A146" s="1" t="str">
        <f t="shared" si="2"/>
        <v/>
      </c>
      <c r="B146" s="1" t="str">
        <f>IF(后台计算!D143="","",后台计算!DH143)</f>
        <v/>
      </c>
      <c r="C146" s="1" t="str">
        <f>IF(后台计算!D143="","",后台计算!EX143)</f>
        <v/>
      </c>
      <c r="D146" s="1" t="str">
        <f>IF(行动模拟!D149="","",行动模拟!D149)</f>
        <v/>
      </c>
      <c r="E146" s="1" t="str">
        <f>IF(后台计算!D143="","",后台计算!EY143)</f>
        <v/>
      </c>
      <c r="F146" s="1" t="str">
        <f>IF(后台计算!D143="","",后台计算!AW143)</f>
        <v/>
      </c>
      <c r="G146" s="1" t="str">
        <f>IF(后台计算!D143="","",后台计算!EZ143)</f>
        <v/>
      </c>
      <c r="H146" s="1" t="str">
        <f>IF(D146="","",MAX(0,后台计算!EZ142-F146))</f>
        <v/>
      </c>
    </row>
    <row r="147" spans="1:8" ht="38.1" customHeight="1">
      <c r="A147" s="1" t="str">
        <f t="shared" si="2"/>
        <v/>
      </c>
      <c r="B147" s="1" t="str">
        <f>IF(后台计算!D144="","",后台计算!DH144)</f>
        <v/>
      </c>
      <c r="C147" s="1" t="str">
        <f>IF(后台计算!D144="","",后台计算!EX144)</f>
        <v/>
      </c>
      <c r="D147" s="1" t="str">
        <f>IF(行动模拟!D150="","",行动模拟!D150)</f>
        <v/>
      </c>
      <c r="E147" s="1" t="str">
        <f>IF(后台计算!D144="","",后台计算!EY144)</f>
        <v/>
      </c>
      <c r="F147" s="1" t="str">
        <f>IF(后台计算!D144="","",后台计算!AW144)</f>
        <v/>
      </c>
      <c r="G147" s="1" t="str">
        <f>IF(后台计算!D144="","",后台计算!EZ144)</f>
        <v/>
      </c>
      <c r="H147" s="1" t="str">
        <f>IF(D147="","",MAX(0,后台计算!EZ143-F147))</f>
        <v/>
      </c>
    </row>
    <row r="148" spans="1:8" ht="38.1" customHeight="1">
      <c r="A148" s="1" t="str">
        <f t="shared" si="2"/>
        <v/>
      </c>
      <c r="B148" s="1" t="str">
        <f>IF(后台计算!D145="","",后台计算!DH145)</f>
        <v/>
      </c>
      <c r="C148" s="1" t="str">
        <f>IF(后台计算!D145="","",后台计算!EX145)</f>
        <v/>
      </c>
      <c r="D148" s="1" t="str">
        <f>IF(行动模拟!D151="","",行动模拟!D151)</f>
        <v/>
      </c>
      <c r="E148" s="1" t="str">
        <f>IF(后台计算!D145="","",后台计算!EY145)</f>
        <v/>
      </c>
      <c r="F148" s="1" t="str">
        <f>IF(后台计算!D145="","",后台计算!AW145)</f>
        <v/>
      </c>
      <c r="G148" s="1" t="str">
        <f>IF(后台计算!D145="","",后台计算!EZ145)</f>
        <v/>
      </c>
      <c r="H148" s="1" t="str">
        <f>IF(D148="","",MAX(0,后台计算!EZ144-F148))</f>
        <v/>
      </c>
    </row>
    <row r="149" spans="1:8" ht="38.1" customHeight="1">
      <c r="A149" s="1" t="str">
        <f t="shared" si="2"/>
        <v/>
      </c>
      <c r="B149" s="1" t="str">
        <f>IF(后台计算!D146="","",后台计算!DH146)</f>
        <v/>
      </c>
      <c r="C149" s="1" t="str">
        <f>IF(后台计算!D146="","",后台计算!EX146)</f>
        <v/>
      </c>
      <c r="D149" s="1" t="str">
        <f>IF(行动模拟!D152="","",行动模拟!D152)</f>
        <v/>
      </c>
      <c r="E149" s="1" t="str">
        <f>IF(后台计算!D146="","",后台计算!EY146)</f>
        <v/>
      </c>
      <c r="F149" s="1" t="str">
        <f>IF(后台计算!D146="","",后台计算!AW146)</f>
        <v/>
      </c>
      <c r="G149" s="1" t="str">
        <f>IF(后台计算!D146="","",后台计算!EZ146)</f>
        <v/>
      </c>
      <c r="H149" s="1" t="str">
        <f>IF(D149="","",MAX(0,后台计算!EZ145-F149))</f>
        <v/>
      </c>
    </row>
    <row r="150" spans="1:8" ht="38.1" customHeight="1">
      <c r="A150" s="1" t="str">
        <f t="shared" si="2"/>
        <v/>
      </c>
      <c r="B150" s="1" t="str">
        <f>IF(后台计算!D147="","",后台计算!DH147)</f>
        <v/>
      </c>
      <c r="C150" s="1" t="str">
        <f>IF(后台计算!D147="","",后台计算!EX147)</f>
        <v/>
      </c>
      <c r="D150" s="1" t="str">
        <f>IF(行动模拟!D153="","",行动模拟!D153)</f>
        <v/>
      </c>
      <c r="E150" s="1" t="str">
        <f>IF(后台计算!D147="","",后台计算!EY147)</f>
        <v/>
      </c>
      <c r="F150" s="1" t="str">
        <f>IF(后台计算!D147="","",后台计算!AW147)</f>
        <v/>
      </c>
      <c r="G150" s="1" t="str">
        <f>IF(后台计算!D147="","",后台计算!EZ147)</f>
        <v/>
      </c>
      <c r="H150" s="1" t="str">
        <f>IF(D150="","",MAX(0,后台计算!EZ146-F150))</f>
        <v/>
      </c>
    </row>
    <row r="151" spans="1:8" ht="38.1" customHeight="1">
      <c r="A151" s="1" t="str">
        <f t="shared" si="2"/>
        <v/>
      </c>
      <c r="B151" s="1" t="str">
        <f>IF(后台计算!D148="","",后台计算!DH148)</f>
        <v/>
      </c>
      <c r="C151" s="1" t="str">
        <f>IF(后台计算!D148="","",后台计算!EX148)</f>
        <v/>
      </c>
      <c r="D151" s="1" t="str">
        <f>IF(行动模拟!D154="","",行动模拟!D154)</f>
        <v/>
      </c>
      <c r="E151" s="1" t="str">
        <f>IF(后台计算!D148="","",后台计算!EY148)</f>
        <v/>
      </c>
      <c r="F151" s="1" t="str">
        <f>IF(后台计算!D148="","",后台计算!AW148)</f>
        <v/>
      </c>
      <c r="G151" s="1" t="str">
        <f>IF(后台计算!D148="","",后台计算!EZ148)</f>
        <v/>
      </c>
      <c r="H151" s="1" t="str">
        <f>IF(D151="","",MAX(0,后台计算!EZ147-F151))</f>
        <v/>
      </c>
    </row>
    <row r="152" spans="1:8" ht="38.1" customHeight="1">
      <c r="A152" s="1" t="str">
        <f t="shared" si="2"/>
        <v/>
      </c>
      <c r="B152" s="1" t="str">
        <f>IF(后台计算!D149="","",后台计算!DH149)</f>
        <v/>
      </c>
      <c r="C152" s="1" t="str">
        <f>IF(后台计算!D149="","",后台计算!EX149)</f>
        <v/>
      </c>
      <c r="D152" s="1" t="str">
        <f>IF(行动模拟!D155="","",行动模拟!D155)</f>
        <v/>
      </c>
      <c r="E152" s="1" t="str">
        <f>IF(后台计算!D149="","",后台计算!EY149)</f>
        <v/>
      </c>
      <c r="F152" s="1" t="str">
        <f>IF(后台计算!D149="","",后台计算!AW149)</f>
        <v/>
      </c>
      <c r="G152" s="1" t="str">
        <f>IF(后台计算!D149="","",后台计算!EZ149)</f>
        <v/>
      </c>
      <c r="H152" s="1" t="str">
        <f>IF(D152="","",MAX(0,后台计算!EZ148-F152))</f>
        <v/>
      </c>
    </row>
    <row r="153" spans="1:8" ht="38.1" customHeight="1">
      <c r="A153" s="1" t="str">
        <f t="shared" si="2"/>
        <v/>
      </c>
      <c r="B153" s="1" t="str">
        <f>IF(后台计算!D150="","",后台计算!DH150)</f>
        <v/>
      </c>
      <c r="C153" s="1" t="str">
        <f>IF(后台计算!D150="","",后台计算!EX150)</f>
        <v/>
      </c>
      <c r="D153" s="1" t="str">
        <f>IF(行动模拟!D156="","",行动模拟!D156)</f>
        <v/>
      </c>
      <c r="E153" s="1" t="str">
        <f>IF(后台计算!D150="","",后台计算!EY150)</f>
        <v/>
      </c>
      <c r="F153" s="1" t="str">
        <f>IF(后台计算!D150="","",后台计算!AW150)</f>
        <v/>
      </c>
      <c r="G153" s="1" t="str">
        <f>IF(后台计算!D150="","",后台计算!EZ150)</f>
        <v/>
      </c>
      <c r="H153" s="1" t="str">
        <f>IF(D153="","",MAX(0,后台计算!EZ149-F153))</f>
        <v/>
      </c>
    </row>
    <row r="154" spans="1:8" ht="38.1" customHeight="1">
      <c r="A154" s="1" t="str">
        <f t="shared" si="2"/>
        <v/>
      </c>
      <c r="B154" s="1" t="str">
        <f>IF(后台计算!D151="","",后台计算!DH151)</f>
        <v/>
      </c>
      <c r="C154" s="1" t="str">
        <f>IF(后台计算!D151="","",后台计算!EX151)</f>
        <v/>
      </c>
      <c r="D154" s="1" t="str">
        <f>IF(行动模拟!D157="","",行动模拟!D157)</f>
        <v/>
      </c>
      <c r="E154" s="1" t="str">
        <f>IF(后台计算!D151="","",后台计算!EY151)</f>
        <v/>
      </c>
      <c r="F154" s="1" t="str">
        <f>IF(后台计算!D151="","",后台计算!AW151)</f>
        <v/>
      </c>
      <c r="G154" s="1" t="str">
        <f>IF(后台计算!D151="","",后台计算!EZ151)</f>
        <v/>
      </c>
      <c r="H154" s="1" t="str">
        <f>IF(D154="","",MAX(0,后台计算!EZ150-F154))</f>
        <v/>
      </c>
    </row>
    <row r="155" spans="1:8" ht="38.1" customHeight="1">
      <c r="A155" s="1" t="str">
        <f t="shared" si="2"/>
        <v/>
      </c>
      <c r="B155" s="1" t="str">
        <f>IF(后台计算!D152="","",后台计算!DH152)</f>
        <v/>
      </c>
      <c r="C155" s="1" t="str">
        <f>IF(后台计算!D152="","",后台计算!EX152)</f>
        <v/>
      </c>
      <c r="D155" s="1" t="str">
        <f>IF(行动模拟!D158="","",行动模拟!D158)</f>
        <v/>
      </c>
      <c r="E155" s="1" t="str">
        <f>IF(后台计算!D152="","",后台计算!EY152)</f>
        <v/>
      </c>
      <c r="F155" s="1" t="str">
        <f>IF(后台计算!D152="","",后台计算!AW152)</f>
        <v/>
      </c>
      <c r="G155" s="1" t="str">
        <f>IF(后台计算!D152="","",后台计算!EZ152)</f>
        <v/>
      </c>
      <c r="H155" s="1" t="str">
        <f>IF(D155="","",MAX(0,后台计算!EZ151-F155))</f>
        <v/>
      </c>
    </row>
    <row r="156" spans="1:8" ht="38.1" customHeight="1">
      <c r="A156" s="1" t="str">
        <f t="shared" si="2"/>
        <v/>
      </c>
      <c r="B156" s="1" t="str">
        <f>IF(后台计算!D153="","",后台计算!DH153)</f>
        <v/>
      </c>
      <c r="C156" s="1" t="str">
        <f>IF(后台计算!D153="","",后台计算!EX153)</f>
        <v/>
      </c>
      <c r="D156" s="1" t="str">
        <f>IF(行动模拟!D159="","",行动模拟!D159)</f>
        <v/>
      </c>
      <c r="E156" s="1" t="str">
        <f>IF(后台计算!D153="","",后台计算!EY153)</f>
        <v/>
      </c>
      <c r="F156" s="1" t="str">
        <f>IF(后台计算!D153="","",后台计算!AW153)</f>
        <v/>
      </c>
      <c r="G156" s="1" t="str">
        <f>IF(后台计算!D153="","",后台计算!EZ153)</f>
        <v/>
      </c>
      <c r="H156" s="1" t="str">
        <f>IF(D156="","",MAX(0,后台计算!EZ152-F156))</f>
        <v/>
      </c>
    </row>
    <row r="157" spans="1:8" ht="38.1" customHeight="1">
      <c r="A157" s="1" t="str">
        <f t="shared" si="2"/>
        <v/>
      </c>
      <c r="B157" s="1" t="str">
        <f>IF(后台计算!D154="","",后台计算!DH154)</f>
        <v/>
      </c>
      <c r="C157" s="1" t="str">
        <f>IF(后台计算!D154="","",后台计算!EX154)</f>
        <v/>
      </c>
      <c r="D157" s="1" t="str">
        <f>IF(行动模拟!D160="","",行动模拟!D160)</f>
        <v/>
      </c>
      <c r="E157" s="1" t="str">
        <f>IF(后台计算!D154="","",后台计算!EY154)</f>
        <v/>
      </c>
      <c r="F157" s="1" t="str">
        <f>IF(后台计算!D154="","",后台计算!AW154)</f>
        <v/>
      </c>
      <c r="G157" s="1" t="str">
        <f>IF(后台计算!D154="","",后台计算!EZ154)</f>
        <v/>
      </c>
      <c r="H157" s="1" t="str">
        <f>IF(D157="","",MAX(0,后台计算!EZ153-F157))</f>
        <v/>
      </c>
    </row>
    <row r="158" spans="1:8" ht="38.1" customHeight="1">
      <c r="A158" s="1" t="str">
        <f t="shared" si="2"/>
        <v/>
      </c>
      <c r="B158" s="1" t="str">
        <f>IF(后台计算!D155="","",后台计算!DH155)</f>
        <v/>
      </c>
      <c r="C158" s="1" t="str">
        <f>IF(后台计算!D155="","",后台计算!EX155)</f>
        <v/>
      </c>
      <c r="D158" s="1" t="str">
        <f>IF(行动模拟!D161="","",行动模拟!D161)</f>
        <v/>
      </c>
      <c r="E158" s="1" t="str">
        <f>IF(后台计算!D155="","",后台计算!EY155)</f>
        <v/>
      </c>
      <c r="F158" s="1" t="str">
        <f>IF(后台计算!D155="","",后台计算!AW155)</f>
        <v/>
      </c>
      <c r="G158" s="1" t="str">
        <f>IF(后台计算!D155="","",后台计算!EZ155)</f>
        <v/>
      </c>
      <c r="H158" s="1" t="str">
        <f>IF(D158="","",MAX(0,后台计算!EZ154-F158))</f>
        <v/>
      </c>
    </row>
    <row r="159" spans="1:8" ht="38.1" customHeight="1">
      <c r="A159" s="1" t="str">
        <f t="shared" si="2"/>
        <v/>
      </c>
      <c r="B159" s="1" t="str">
        <f>IF(后台计算!D156="","",后台计算!DH156)</f>
        <v/>
      </c>
      <c r="C159" s="1" t="str">
        <f>IF(后台计算!D156="","",后台计算!EX156)</f>
        <v/>
      </c>
      <c r="D159" s="1" t="str">
        <f>IF(行动模拟!D162="","",行动模拟!D162)</f>
        <v/>
      </c>
      <c r="E159" s="1" t="str">
        <f>IF(后台计算!D156="","",后台计算!EY156)</f>
        <v/>
      </c>
      <c r="F159" s="1" t="str">
        <f>IF(后台计算!D156="","",后台计算!AW156)</f>
        <v/>
      </c>
      <c r="G159" s="1" t="str">
        <f>IF(后台计算!D156="","",后台计算!EZ156)</f>
        <v/>
      </c>
      <c r="H159" s="1" t="str">
        <f>IF(D159="","",MAX(0,后台计算!EZ155-F159))</f>
        <v/>
      </c>
    </row>
    <row r="160" spans="1:8" ht="38.1" customHeight="1">
      <c r="A160" s="1" t="str">
        <f t="shared" si="2"/>
        <v/>
      </c>
      <c r="B160" s="1" t="str">
        <f>IF(后台计算!D157="","",后台计算!DH157)</f>
        <v/>
      </c>
      <c r="C160" s="1" t="str">
        <f>IF(后台计算!D157="","",后台计算!EX157)</f>
        <v/>
      </c>
      <c r="D160" s="1" t="str">
        <f>IF(行动模拟!D163="","",行动模拟!D163)</f>
        <v/>
      </c>
      <c r="E160" s="1" t="str">
        <f>IF(后台计算!D157="","",后台计算!EY157)</f>
        <v/>
      </c>
      <c r="F160" s="1" t="str">
        <f>IF(后台计算!D157="","",后台计算!AW157)</f>
        <v/>
      </c>
      <c r="G160" s="1" t="str">
        <f>IF(后台计算!D157="","",后台计算!EZ157)</f>
        <v/>
      </c>
      <c r="H160" s="1" t="str">
        <f>IF(D160="","",MAX(0,后台计算!EZ156-F160))</f>
        <v/>
      </c>
    </row>
    <row r="161" spans="1:8" ht="38.1" customHeight="1">
      <c r="A161" s="1" t="str">
        <f t="shared" si="2"/>
        <v/>
      </c>
      <c r="B161" s="1" t="str">
        <f>IF(后台计算!D158="","",后台计算!DH158)</f>
        <v/>
      </c>
      <c r="C161" s="1" t="str">
        <f>IF(后台计算!D158="","",后台计算!EX158)</f>
        <v/>
      </c>
      <c r="D161" s="1" t="str">
        <f>IF(行动模拟!D164="","",行动模拟!D164)</f>
        <v/>
      </c>
      <c r="E161" s="1" t="str">
        <f>IF(后台计算!D158="","",后台计算!EY158)</f>
        <v/>
      </c>
      <c r="F161" s="1" t="str">
        <f>IF(后台计算!D158="","",后台计算!AW158)</f>
        <v/>
      </c>
      <c r="G161" s="1" t="str">
        <f>IF(后台计算!D158="","",后台计算!EZ158)</f>
        <v/>
      </c>
      <c r="H161" s="1" t="str">
        <f>IF(D161="","",MAX(0,后台计算!EZ157-F161))</f>
        <v/>
      </c>
    </row>
    <row r="162" spans="1:8" ht="38.1" customHeight="1">
      <c r="A162" s="1" t="str">
        <f t="shared" si="2"/>
        <v/>
      </c>
      <c r="B162" s="1" t="str">
        <f>IF(后台计算!D159="","",后台计算!DH159)</f>
        <v/>
      </c>
      <c r="C162" s="1" t="str">
        <f>IF(后台计算!D159="","",后台计算!EX159)</f>
        <v/>
      </c>
      <c r="D162" s="1" t="str">
        <f>IF(行动模拟!D165="","",行动模拟!D165)</f>
        <v/>
      </c>
      <c r="E162" s="1" t="str">
        <f>IF(后台计算!D159="","",后台计算!EY159)</f>
        <v/>
      </c>
      <c r="F162" s="1" t="str">
        <f>IF(后台计算!D159="","",后台计算!AW159)</f>
        <v/>
      </c>
      <c r="G162" s="1" t="str">
        <f>IF(后台计算!D159="","",后台计算!EZ159)</f>
        <v/>
      </c>
      <c r="H162" s="1" t="str">
        <f>IF(D162="","",MAX(0,后台计算!EZ158-F162))</f>
        <v/>
      </c>
    </row>
    <row r="163" spans="1:8" ht="38.1" customHeight="1">
      <c r="A163" s="1" t="str">
        <f t="shared" si="2"/>
        <v/>
      </c>
      <c r="B163" s="1" t="str">
        <f>IF(后台计算!D160="","",后台计算!DH160)</f>
        <v/>
      </c>
      <c r="C163" s="1" t="str">
        <f>IF(后台计算!D160="","",后台计算!EX160)</f>
        <v/>
      </c>
      <c r="D163" s="1" t="str">
        <f>IF(行动模拟!D166="","",行动模拟!D166)</f>
        <v/>
      </c>
      <c r="E163" s="1" t="str">
        <f>IF(后台计算!D160="","",后台计算!EY160)</f>
        <v/>
      </c>
      <c r="F163" s="1" t="str">
        <f>IF(后台计算!D160="","",后台计算!AW160)</f>
        <v/>
      </c>
      <c r="G163" s="1" t="str">
        <f>IF(后台计算!D160="","",后台计算!EZ160)</f>
        <v/>
      </c>
      <c r="H163" s="1" t="str">
        <f>IF(D163="","",MAX(0,后台计算!EZ159-F163))</f>
        <v/>
      </c>
    </row>
    <row r="164" spans="1:8" ht="38.1" customHeight="1">
      <c r="A164" s="1" t="str">
        <f t="shared" si="2"/>
        <v/>
      </c>
      <c r="B164" s="1" t="str">
        <f>IF(后台计算!D161="","",后台计算!DH161)</f>
        <v/>
      </c>
      <c r="C164" s="1" t="str">
        <f>IF(后台计算!D161="","",后台计算!EX161)</f>
        <v/>
      </c>
      <c r="D164" s="1" t="str">
        <f>IF(行动模拟!D167="","",行动模拟!D167)</f>
        <v/>
      </c>
      <c r="E164" s="1" t="str">
        <f>IF(后台计算!D161="","",后台计算!EY161)</f>
        <v/>
      </c>
      <c r="F164" s="1" t="str">
        <f>IF(后台计算!D161="","",后台计算!AW161)</f>
        <v/>
      </c>
      <c r="G164" s="1" t="str">
        <f>IF(后台计算!D161="","",后台计算!EZ161)</f>
        <v/>
      </c>
      <c r="H164" s="1" t="str">
        <f>IF(D164="","",MAX(0,后台计算!EZ160-F164))</f>
        <v/>
      </c>
    </row>
    <row r="165" spans="1:8" ht="38.1" customHeight="1">
      <c r="A165" s="1" t="str">
        <f t="shared" si="2"/>
        <v/>
      </c>
      <c r="B165" s="1" t="str">
        <f>IF(后台计算!D162="","",后台计算!DH162)</f>
        <v/>
      </c>
      <c r="C165" s="1" t="str">
        <f>IF(后台计算!D162="","",后台计算!EX162)</f>
        <v/>
      </c>
      <c r="D165" s="1" t="str">
        <f>IF(行动模拟!D168="","",行动模拟!D168)</f>
        <v/>
      </c>
      <c r="E165" s="1" t="str">
        <f>IF(后台计算!D162="","",后台计算!EY162)</f>
        <v/>
      </c>
      <c r="F165" s="1" t="str">
        <f>IF(后台计算!D162="","",后台计算!AW162)</f>
        <v/>
      </c>
      <c r="G165" s="1" t="str">
        <f>IF(后台计算!D162="","",后台计算!EZ162)</f>
        <v/>
      </c>
      <c r="H165" s="1" t="str">
        <f>IF(D165="","",MAX(0,后台计算!EZ161-F165))</f>
        <v/>
      </c>
    </row>
    <row r="166" spans="1:8" ht="38.1" customHeight="1">
      <c r="A166" s="1" t="str">
        <f t="shared" si="2"/>
        <v/>
      </c>
      <c r="B166" s="1" t="str">
        <f>IF(后台计算!D163="","",后台计算!DH163)</f>
        <v/>
      </c>
      <c r="C166" s="1" t="str">
        <f>IF(后台计算!D163="","",后台计算!EX163)</f>
        <v/>
      </c>
      <c r="D166" s="1" t="str">
        <f>IF(行动模拟!D169="","",行动模拟!D169)</f>
        <v/>
      </c>
      <c r="E166" s="1" t="str">
        <f>IF(后台计算!D163="","",后台计算!EY163)</f>
        <v/>
      </c>
      <c r="F166" s="1" t="str">
        <f>IF(后台计算!D163="","",后台计算!AW163)</f>
        <v/>
      </c>
      <c r="G166" s="1" t="str">
        <f>IF(后台计算!D163="","",后台计算!EZ163)</f>
        <v/>
      </c>
      <c r="H166" s="1" t="str">
        <f>IF(D166="","",MAX(0,后台计算!EZ162-F166))</f>
        <v/>
      </c>
    </row>
    <row r="167" spans="1:8" ht="38.1" customHeight="1">
      <c r="A167" s="1" t="str">
        <f t="shared" si="2"/>
        <v/>
      </c>
      <c r="B167" s="1" t="str">
        <f>IF(后台计算!D164="","",后台计算!DH164)</f>
        <v/>
      </c>
      <c r="C167" s="1" t="str">
        <f>IF(后台计算!D164="","",后台计算!EX164)</f>
        <v/>
      </c>
      <c r="D167" s="1" t="str">
        <f>IF(行动模拟!D170="","",行动模拟!D170)</f>
        <v/>
      </c>
      <c r="E167" s="1" t="str">
        <f>IF(后台计算!D164="","",后台计算!EY164)</f>
        <v/>
      </c>
      <c r="F167" s="1" t="str">
        <f>IF(后台计算!D164="","",后台计算!AW164)</f>
        <v/>
      </c>
      <c r="G167" s="1" t="str">
        <f>IF(后台计算!D164="","",后台计算!EZ164)</f>
        <v/>
      </c>
      <c r="H167" s="1" t="str">
        <f>IF(D167="","",MAX(0,后台计算!EZ163-F167))</f>
        <v/>
      </c>
    </row>
    <row r="168" spans="1:8" ht="38.1" customHeight="1">
      <c r="A168" s="1" t="str">
        <f t="shared" si="2"/>
        <v/>
      </c>
      <c r="B168" s="1" t="str">
        <f>IF(后台计算!D165="","",后台计算!DH165)</f>
        <v/>
      </c>
      <c r="C168" s="1" t="str">
        <f>IF(后台计算!D165="","",后台计算!EX165)</f>
        <v/>
      </c>
      <c r="D168" s="1" t="str">
        <f>IF(行动模拟!D171="","",行动模拟!D171)</f>
        <v/>
      </c>
      <c r="E168" s="1" t="str">
        <f>IF(后台计算!D165="","",后台计算!EY165)</f>
        <v/>
      </c>
      <c r="F168" s="1" t="str">
        <f>IF(后台计算!D165="","",后台计算!AW165)</f>
        <v/>
      </c>
      <c r="G168" s="1" t="str">
        <f>IF(后台计算!D165="","",后台计算!EZ165)</f>
        <v/>
      </c>
      <c r="H168" s="1" t="str">
        <f>IF(D168="","",MAX(0,后台计算!EZ164-F168))</f>
        <v/>
      </c>
    </row>
    <row r="169" spans="1:8" ht="38.1" customHeight="1">
      <c r="A169" s="1" t="str">
        <f t="shared" si="2"/>
        <v/>
      </c>
      <c r="B169" s="1" t="str">
        <f>IF(后台计算!D166="","",后台计算!DH166)</f>
        <v/>
      </c>
      <c r="C169" s="1" t="str">
        <f>IF(后台计算!D166="","",后台计算!EX166)</f>
        <v/>
      </c>
      <c r="D169" s="1" t="str">
        <f>IF(行动模拟!D172="","",行动模拟!D172)</f>
        <v/>
      </c>
      <c r="E169" s="1" t="str">
        <f>IF(后台计算!D166="","",后台计算!EY166)</f>
        <v/>
      </c>
      <c r="F169" s="1" t="str">
        <f>IF(后台计算!D166="","",后台计算!AW166)</f>
        <v/>
      </c>
      <c r="G169" s="1" t="str">
        <f>IF(后台计算!D166="","",后台计算!EZ166)</f>
        <v/>
      </c>
      <c r="H169" s="1" t="str">
        <f>IF(D169="","",MAX(0,后台计算!EZ165-F169))</f>
        <v/>
      </c>
    </row>
    <row r="170" spans="1:8" ht="38.1" customHeight="1">
      <c r="A170" s="1" t="str">
        <f t="shared" si="2"/>
        <v/>
      </c>
      <c r="B170" s="1" t="str">
        <f>IF(后台计算!D167="","",后台计算!DH167)</f>
        <v/>
      </c>
      <c r="C170" s="1" t="str">
        <f>IF(后台计算!D167="","",后台计算!EX167)</f>
        <v/>
      </c>
      <c r="D170" s="1" t="str">
        <f>IF(行动模拟!D173="","",行动模拟!D173)</f>
        <v/>
      </c>
      <c r="E170" s="1" t="str">
        <f>IF(后台计算!D167="","",后台计算!EY167)</f>
        <v/>
      </c>
      <c r="F170" s="1" t="str">
        <f>IF(后台计算!D167="","",后台计算!AW167)</f>
        <v/>
      </c>
      <c r="G170" s="1" t="str">
        <f>IF(后台计算!D167="","",后台计算!EZ167)</f>
        <v/>
      </c>
      <c r="H170" s="1" t="str">
        <f>IF(D170="","",MAX(0,后台计算!EZ166-F170))</f>
        <v/>
      </c>
    </row>
    <row r="171" spans="1:8" ht="38.1" customHeight="1">
      <c r="A171" s="1" t="str">
        <f t="shared" si="2"/>
        <v/>
      </c>
      <c r="B171" s="1" t="str">
        <f>IF(后台计算!D168="","",后台计算!DH168)</f>
        <v/>
      </c>
      <c r="C171" s="1" t="str">
        <f>IF(后台计算!D168="","",后台计算!EX168)</f>
        <v/>
      </c>
      <c r="D171" s="1" t="str">
        <f>IF(行动模拟!D174="","",行动模拟!D174)</f>
        <v/>
      </c>
      <c r="E171" s="1" t="str">
        <f>IF(后台计算!D168="","",后台计算!EY168)</f>
        <v/>
      </c>
      <c r="F171" s="1" t="str">
        <f>IF(后台计算!D168="","",后台计算!AW168)</f>
        <v/>
      </c>
      <c r="G171" s="1" t="str">
        <f>IF(后台计算!D168="","",后台计算!EZ168)</f>
        <v/>
      </c>
      <c r="H171" s="1" t="str">
        <f>IF(D171="","",MAX(0,后台计算!EZ167-F171))</f>
        <v/>
      </c>
    </row>
    <row r="172" spans="1:8" ht="38.1" customHeight="1">
      <c r="A172" s="1" t="str">
        <f t="shared" si="2"/>
        <v/>
      </c>
      <c r="B172" s="1" t="str">
        <f>IF(后台计算!D169="","",后台计算!DH169)</f>
        <v/>
      </c>
      <c r="C172" s="1" t="str">
        <f>IF(后台计算!D169="","",后台计算!EX169)</f>
        <v/>
      </c>
      <c r="D172" s="1" t="str">
        <f>IF(行动模拟!D175="","",行动模拟!D175)</f>
        <v/>
      </c>
      <c r="E172" s="1" t="str">
        <f>IF(后台计算!D169="","",后台计算!EY169)</f>
        <v/>
      </c>
      <c r="F172" s="1" t="str">
        <f>IF(后台计算!D169="","",后台计算!AW169)</f>
        <v/>
      </c>
      <c r="G172" s="1" t="str">
        <f>IF(后台计算!D169="","",后台计算!EZ169)</f>
        <v/>
      </c>
      <c r="H172" s="1" t="str">
        <f>IF(D172="","",MAX(0,后台计算!EZ168-F172))</f>
        <v/>
      </c>
    </row>
    <row r="173" spans="1:8" ht="38.1" customHeight="1">
      <c r="A173" s="1" t="str">
        <f t="shared" si="2"/>
        <v/>
      </c>
      <c r="B173" s="1" t="str">
        <f>IF(后台计算!D170="","",后台计算!DH170)</f>
        <v/>
      </c>
      <c r="C173" s="1" t="str">
        <f>IF(后台计算!D170="","",后台计算!EX170)</f>
        <v/>
      </c>
      <c r="D173" s="1" t="str">
        <f>IF(行动模拟!D176="","",行动模拟!D176)</f>
        <v/>
      </c>
      <c r="E173" s="1" t="str">
        <f>IF(后台计算!D170="","",后台计算!EY170)</f>
        <v/>
      </c>
      <c r="F173" s="1" t="str">
        <f>IF(后台计算!D170="","",后台计算!AW170)</f>
        <v/>
      </c>
      <c r="G173" s="1" t="str">
        <f>IF(后台计算!D170="","",后台计算!EZ170)</f>
        <v/>
      </c>
      <c r="H173" s="1" t="str">
        <f>IF(D173="","",MAX(0,后台计算!EZ169-F173))</f>
        <v/>
      </c>
    </row>
    <row r="174" spans="1:8" ht="38.1" customHeight="1">
      <c r="A174" s="1" t="str">
        <f t="shared" si="2"/>
        <v/>
      </c>
      <c r="B174" s="1" t="str">
        <f>IF(后台计算!D171="","",后台计算!DH171)</f>
        <v/>
      </c>
      <c r="C174" s="1" t="str">
        <f>IF(后台计算!D171="","",后台计算!EX171)</f>
        <v/>
      </c>
      <c r="D174" s="1" t="str">
        <f>IF(行动模拟!D177="","",行动模拟!D177)</f>
        <v/>
      </c>
      <c r="E174" s="1" t="str">
        <f>IF(后台计算!D171="","",后台计算!EY171)</f>
        <v/>
      </c>
      <c r="F174" s="1" t="str">
        <f>IF(后台计算!D171="","",后台计算!AW171)</f>
        <v/>
      </c>
      <c r="G174" s="1" t="str">
        <f>IF(后台计算!D171="","",后台计算!EZ171)</f>
        <v/>
      </c>
      <c r="H174" s="1" t="str">
        <f>IF(D174="","",MAX(0,后台计算!EZ170-F174))</f>
        <v/>
      </c>
    </row>
    <row r="175" spans="1:8" ht="38.1" customHeight="1">
      <c r="A175" s="1" t="str">
        <f t="shared" si="2"/>
        <v/>
      </c>
      <c r="B175" s="1" t="str">
        <f>IF(后台计算!D172="","",后台计算!DH172)</f>
        <v/>
      </c>
      <c r="C175" s="1" t="str">
        <f>IF(后台计算!D172="","",后台计算!EX172)</f>
        <v/>
      </c>
      <c r="D175" s="1" t="str">
        <f>IF(行动模拟!D178="","",行动模拟!D178)</f>
        <v/>
      </c>
      <c r="E175" s="1" t="str">
        <f>IF(后台计算!D172="","",后台计算!EY172)</f>
        <v/>
      </c>
      <c r="F175" s="1" t="str">
        <f>IF(后台计算!D172="","",后台计算!AW172)</f>
        <v/>
      </c>
      <c r="G175" s="1" t="str">
        <f>IF(后台计算!D172="","",后台计算!EZ172)</f>
        <v/>
      </c>
      <c r="H175" s="1" t="str">
        <f>IF(D175="","",MAX(0,后台计算!EZ171-F175))</f>
        <v/>
      </c>
    </row>
    <row r="176" spans="1:8" ht="38.1" customHeight="1">
      <c r="A176" s="1" t="str">
        <f t="shared" si="2"/>
        <v/>
      </c>
      <c r="B176" s="1" t="str">
        <f>IF(后台计算!D173="","",后台计算!DH173)</f>
        <v/>
      </c>
      <c r="C176" s="1" t="str">
        <f>IF(后台计算!D173="","",后台计算!EX173)</f>
        <v/>
      </c>
      <c r="D176" s="1" t="str">
        <f>IF(行动模拟!D179="","",行动模拟!D179)</f>
        <v/>
      </c>
      <c r="E176" s="1" t="str">
        <f>IF(后台计算!D173="","",后台计算!EY173)</f>
        <v/>
      </c>
      <c r="F176" s="1" t="str">
        <f>IF(后台计算!D173="","",后台计算!AW173)</f>
        <v/>
      </c>
      <c r="G176" s="1" t="str">
        <f>IF(后台计算!D173="","",后台计算!EZ173)</f>
        <v/>
      </c>
      <c r="H176" s="1" t="str">
        <f>IF(D176="","",MAX(0,后台计算!EZ172-F176))</f>
        <v/>
      </c>
    </row>
    <row r="177" spans="1:8" ht="38.1" customHeight="1">
      <c r="A177" s="1" t="str">
        <f t="shared" si="2"/>
        <v/>
      </c>
      <c r="B177" s="1" t="str">
        <f>IF(后台计算!D174="","",后台计算!DH174)</f>
        <v/>
      </c>
      <c r="C177" s="1" t="str">
        <f>IF(后台计算!D174="","",后台计算!EX174)</f>
        <v/>
      </c>
      <c r="D177" s="1" t="str">
        <f>IF(行动模拟!D180="","",行动模拟!D180)</f>
        <v/>
      </c>
      <c r="E177" s="1" t="str">
        <f>IF(后台计算!D174="","",后台计算!EY174)</f>
        <v/>
      </c>
      <c r="F177" s="1" t="str">
        <f>IF(后台计算!D174="","",后台计算!AW174)</f>
        <v/>
      </c>
      <c r="G177" s="1" t="str">
        <f>IF(后台计算!D174="","",后台计算!EZ174)</f>
        <v/>
      </c>
      <c r="H177" s="1" t="str">
        <f>IF(D177="","",MAX(0,后台计算!EZ173-F177))</f>
        <v/>
      </c>
    </row>
    <row r="178" spans="1:8" ht="38.1" customHeight="1">
      <c r="A178" s="1" t="str">
        <f t="shared" si="2"/>
        <v/>
      </c>
      <c r="B178" s="1" t="str">
        <f>IF(后台计算!D175="","",后台计算!DH175)</f>
        <v/>
      </c>
      <c r="C178" s="1" t="str">
        <f>IF(后台计算!D175="","",后台计算!EX175)</f>
        <v/>
      </c>
      <c r="D178" s="1" t="str">
        <f>IF(行动模拟!D181="","",行动模拟!D181)</f>
        <v/>
      </c>
      <c r="E178" s="1" t="str">
        <f>IF(后台计算!D175="","",后台计算!EY175)</f>
        <v/>
      </c>
      <c r="F178" s="1" t="str">
        <f>IF(后台计算!D175="","",后台计算!AW175)</f>
        <v/>
      </c>
      <c r="G178" s="1" t="str">
        <f>IF(后台计算!D175="","",后台计算!EZ175)</f>
        <v/>
      </c>
      <c r="H178" s="1" t="str">
        <f>IF(D178="","",MAX(0,后台计算!EZ174-F178))</f>
        <v/>
      </c>
    </row>
    <row r="179" spans="1:8" ht="38.1" customHeight="1">
      <c r="A179" s="1" t="str">
        <f t="shared" si="2"/>
        <v/>
      </c>
      <c r="B179" s="1" t="str">
        <f>IF(后台计算!D176="","",后台计算!DH176)</f>
        <v/>
      </c>
      <c r="C179" s="1" t="str">
        <f>IF(后台计算!D176="","",后台计算!EX176)</f>
        <v/>
      </c>
      <c r="D179" s="1" t="str">
        <f>IF(行动模拟!D182="","",行动模拟!D182)</f>
        <v/>
      </c>
      <c r="E179" s="1" t="str">
        <f>IF(后台计算!D176="","",后台计算!EY176)</f>
        <v/>
      </c>
      <c r="F179" s="1" t="str">
        <f>IF(后台计算!D176="","",后台计算!AW176)</f>
        <v/>
      </c>
      <c r="G179" s="1" t="str">
        <f>IF(后台计算!D176="","",后台计算!EZ176)</f>
        <v/>
      </c>
      <c r="H179" s="1" t="str">
        <f>IF(D179="","",MAX(0,后台计算!EZ175-F179))</f>
        <v/>
      </c>
    </row>
    <row r="180" spans="1:8" ht="38.1" customHeight="1">
      <c r="A180" s="1" t="str">
        <f t="shared" si="2"/>
        <v/>
      </c>
      <c r="B180" s="1" t="str">
        <f>IF(后台计算!D177="","",后台计算!DH177)</f>
        <v/>
      </c>
      <c r="C180" s="1" t="str">
        <f>IF(后台计算!D177="","",后台计算!EX177)</f>
        <v/>
      </c>
      <c r="D180" s="1" t="str">
        <f>IF(行动模拟!D183="","",行动模拟!D183)</f>
        <v/>
      </c>
      <c r="E180" s="1" t="str">
        <f>IF(后台计算!D177="","",后台计算!EY177)</f>
        <v/>
      </c>
      <c r="F180" s="1" t="str">
        <f>IF(后台计算!D177="","",后台计算!AW177)</f>
        <v/>
      </c>
      <c r="G180" s="1" t="str">
        <f>IF(后台计算!D177="","",后台计算!EZ177)</f>
        <v/>
      </c>
      <c r="H180" s="1" t="str">
        <f>IF(D180="","",MAX(0,后台计算!EZ176-F180))</f>
        <v/>
      </c>
    </row>
    <row r="181" spans="1:8" ht="38.1" customHeight="1">
      <c r="A181" s="1" t="str">
        <f t="shared" si="2"/>
        <v/>
      </c>
      <c r="B181" s="1" t="str">
        <f>IF(后台计算!D178="","",后台计算!DH178)</f>
        <v/>
      </c>
      <c r="C181" s="1" t="str">
        <f>IF(后台计算!D178="","",后台计算!EX178)</f>
        <v/>
      </c>
      <c r="D181" s="1" t="str">
        <f>IF(行动模拟!D184="","",行动模拟!D184)</f>
        <v/>
      </c>
      <c r="E181" s="1" t="str">
        <f>IF(后台计算!D178="","",后台计算!EY178)</f>
        <v/>
      </c>
      <c r="F181" s="1" t="str">
        <f>IF(后台计算!D178="","",后台计算!AW178)</f>
        <v/>
      </c>
      <c r="G181" s="1" t="str">
        <f>IF(后台计算!D178="","",后台计算!EZ178)</f>
        <v/>
      </c>
      <c r="H181" s="1" t="str">
        <f>IF(D181="","",MAX(0,后台计算!EZ177-F181))</f>
        <v/>
      </c>
    </row>
    <row r="182" spans="1:8" ht="38.1" customHeight="1">
      <c r="A182" s="1" t="str">
        <f t="shared" si="2"/>
        <v/>
      </c>
      <c r="B182" s="1" t="str">
        <f>IF(后台计算!D179="","",后台计算!DH179)</f>
        <v/>
      </c>
      <c r="C182" s="1" t="str">
        <f>IF(后台计算!D179="","",后台计算!EX179)</f>
        <v/>
      </c>
      <c r="D182" s="1" t="str">
        <f>IF(行动模拟!D185="","",行动模拟!D185)</f>
        <v/>
      </c>
      <c r="E182" s="1" t="str">
        <f>IF(后台计算!D179="","",后台计算!EY179)</f>
        <v/>
      </c>
      <c r="F182" s="1" t="str">
        <f>IF(后台计算!D179="","",后台计算!AW179)</f>
        <v/>
      </c>
      <c r="G182" s="1" t="str">
        <f>IF(后台计算!D179="","",后台计算!EZ179)</f>
        <v/>
      </c>
      <c r="H182" s="1" t="str">
        <f>IF(D182="","",MAX(0,后台计算!EZ178-F182))</f>
        <v/>
      </c>
    </row>
    <row r="183" spans="1:8" ht="38.1" customHeight="1">
      <c r="A183" s="1" t="str">
        <f t="shared" si="2"/>
        <v/>
      </c>
      <c r="B183" s="1" t="str">
        <f>IF(后台计算!D180="","",后台计算!DH180)</f>
        <v/>
      </c>
      <c r="C183" s="1" t="str">
        <f>IF(后台计算!D180="","",后台计算!EX180)</f>
        <v/>
      </c>
      <c r="D183" s="1" t="str">
        <f>IF(行动模拟!D186="","",行动模拟!D186)</f>
        <v/>
      </c>
      <c r="E183" s="1" t="str">
        <f>IF(后台计算!D180="","",后台计算!EY180)</f>
        <v/>
      </c>
      <c r="F183" s="1" t="str">
        <f>IF(后台计算!D180="","",后台计算!AW180)</f>
        <v/>
      </c>
      <c r="G183" s="1" t="str">
        <f>IF(后台计算!D180="","",后台计算!EZ180)</f>
        <v/>
      </c>
      <c r="H183" s="1" t="str">
        <f>IF(D183="","",MAX(0,后台计算!EZ179-F183))</f>
        <v/>
      </c>
    </row>
    <row r="184" spans="1:8" ht="38.1" customHeight="1">
      <c r="A184" s="1" t="str">
        <f t="shared" si="2"/>
        <v/>
      </c>
      <c r="B184" s="1" t="str">
        <f>IF(后台计算!D181="","",后台计算!DH181)</f>
        <v/>
      </c>
      <c r="C184" s="1" t="str">
        <f>IF(后台计算!D181="","",后台计算!EX181)</f>
        <v/>
      </c>
      <c r="D184" s="1" t="str">
        <f>IF(行动模拟!D187="","",行动模拟!D187)</f>
        <v/>
      </c>
      <c r="E184" s="1" t="str">
        <f>IF(后台计算!D181="","",后台计算!EY181)</f>
        <v/>
      </c>
      <c r="F184" s="1" t="str">
        <f>IF(后台计算!D181="","",后台计算!AW181)</f>
        <v/>
      </c>
      <c r="G184" s="1" t="str">
        <f>IF(后台计算!D181="","",后台计算!EZ181)</f>
        <v/>
      </c>
      <c r="H184" s="1" t="str">
        <f>IF(D184="","",MAX(0,后台计算!EZ180-F184))</f>
        <v/>
      </c>
    </row>
    <row r="185" spans="1:8" ht="38.1" customHeight="1">
      <c r="A185" s="1" t="str">
        <f t="shared" si="2"/>
        <v/>
      </c>
      <c r="B185" s="1" t="str">
        <f>IF(后台计算!D182="","",后台计算!DH182)</f>
        <v/>
      </c>
      <c r="C185" s="1" t="str">
        <f>IF(后台计算!D182="","",后台计算!EX182)</f>
        <v/>
      </c>
      <c r="D185" s="1" t="str">
        <f>IF(行动模拟!D188="","",行动模拟!D188)</f>
        <v/>
      </c>
      <c r="E185" s="1" t="str">
        <f>IF(后台计算!D182="","",后台计算!EY182)</f>
        <v/>
      </c>
      <c r="F185" s="1" t="str">
        <f>IF(后台计算!D182="","",后台计算!AW182)</f>
        <v/>
      </c>
      <c r="G185" s="1" t="str">
        <f>IF(后台计算!D182="","",后台计算!EZ182)</f>
        <v/>
      </c>
      <c r="H185" s="1" t="str">
        <f>IF(D185="","",MAX(0,后台计算!EZ181-F185))</f>
        <v/>
      </c>
    </row>
    <row r="186" spans="1:8" ht="38.1" customHeight="1">
      <c r="A186" s="1" t="str">
        <f t="shared" si="2"/>
        <v/>
      </c>
      <c r="B186" s="1" t="str">
        <f>IF(后台计算!D183="","",后台计算!DH183)</f>
        <v/>
      </c>
      <c r="C186" s="1" t="str">
        <f>IF(后台计算!D183="","",后台计算!EX183)</f>
        <v/>
      </c>
      <c r="D186" s="1" t="str">
        <f>IF(行动模拟!D189="","",行动模拟!D189)</f>
        <v/>
      </c>
      <c r="E186" s="1" t="str">
        <f>IF(后台计算!D183="","",后台计算!EY183)</f>
        <v/>
      </c>
      <c r="F186" s="1" t="str">
        <f>IF(后台计算!D183="","",后台计算!AW183)</f>
        <v/>
      </c>
      <c r="G186" s="1" t="str">
        <f>IF(后台计算!D183="","",后台计算!EZ183)</f>
        <v/>
      </c>
      <c r="H186" s="1" t="str">
        <f>IF(D186="","",MAX(0,后台计算!EZ182-F186))</f>
        <v/>
      </c>
    </row>
    <row r="187" spans="1:8" ht="38.1" customHeight="1">
      <c r="A187" s="1" t="str">
        <f t="shared" si="2"/>
        <v/>
      </c>
      <c r="B187" s="1" t="str">
        <f>IF(后台计算!D184="","",后台计算!DH184)</f>
        <v/>
      </c>
      <c r="C187" s="1" t="str">
        <f>IF(后台计算!D184="","",后台计算!EX184)</f>
        <v/>
      </c>
      <c r="D187" s="1" t="str">
        <f>IF(行动模拟!D190="","",行动模拟!D190)</f>
        <v/>
      </c>
      <c r="E187" s="1" t="str">
        <f>IF(后台计算!D184="","",后台计算!EY184)</f>
        <v/>
      </c>
      <c r="F187" s="1" t="str">
        <f>IF(后台计算!D184="","",后台计算!AW184)</f>
        <v/>
      </c>
      <c r="G187" s="1" t="str">
        <f>IF(后台计算!D184="","",后台计算!EZ184)</f>
        <v/>
      </c>
      <c r="H187" s="1" t="str">
        <f>IF(D187="","",MAX(0,后台计算!EZ183-F187))</f>
        <v/>
      </c>
    </row>
    <row r="188" spans="1:8" ht="38.1" customHeight="1">
      <c r="A188" s="1" t="str">
        <f t="shared" si="2"/>
        <v/>
      </c>
      <c r="B188" s="1" t="str">
        <f>IF(后台计算!D185="","",后台计算!DH185)</f>
        <v/>
      </c>
      <c r="C188" s="1" t="str">
        <f>IF(后台计算!D185="","",后台计算!EX185)</f>
        <v/>
      </c>
      <c r="D188" s="1" t="str">
        <f>IF(行动模拟!D191="","",行动模拟!D191)</f>
        <v/>
      </c>
      <c r="E188" s="1" t="str">
        <f>IF(后台计算!D185="","",后台计算!EY185)</f>
        <v/>
      </c>
      <c r="F188" s="1" t="str">
        <f>IF(后台计算!D185="","",后台计算!AW185)</f>
        <v/>
      </c>
      <c r="G188" s="1" t="str">
        <f>IF(后台计算!D185="","",后台计算!EZ185)</f>
        <v/>
      </c>
      <c r="H188" s="1" t="str">
        <f>IF(D188="","",MAX(0,后台计算!EZ184-F188))</f>
        <v/>
      </c>
    </row>
    <row r="189" spans="1:8" ht="38.1" customHeight="1">
      <c r="A189" s="1" t="str">
        <f t="shared" si="2"/>
        <v/>
      </c>
      <c r="B189" s="1" t="str">
        <f>IF(后台计算!D186="","",后台计算!DH186)</f>
        <v/>
      </c>
      <c r="C189" s="1" t="str">
        <f>IF(后台计算!D186="","",后台计算!EX186)</f>
        <v/>
      </c>
      <c r="D189" s="1" t="str">
        <f>IF(行动模拟!D192="","",行动模拟!D192)</f>
        <v/>
      </c>
      <c r="E189" s="1" t="str">
        <f>IF(后台计算!D186="","",后台计算!EY186)</f>
        <v/>
      </c>
      <c r="F189" s="1" t="str">
        <f>IF(后台计算!D186="","",后台计算!AW186)</f>
        <v/>
      </c>
      <c r="G189" s="1" t="str">
        <f>IF(后台计算!D186="","",后台计算!EZ186)</f>
        <v/>
      </c>
      <c r="H189" s="1" t="str">
        <f>IF(D189="","",MAX(0,后台计算!EZ185-F189))</f>
        <v/>
      </c>
    </row>
    <row r="190" spans="1:8" ht="38.1" customHeight="1">
      <c r="A190" s="1" t="str">
        <f t="shared" si="2"/>
        <v/>
      </c>
      <c r="B190" s="1" t="str">
        <f>IF(后台计算!D187="","",后台计算!DH187)</f>
        <v/>
      </c>
      <c r="C190" s="1" t="str">
        <f>IF(后台计算!D187="","",后台计算!EX187)</f>
        <v/>
      </c>
      <c r="D190" s="1" t="str">
        <f>IF(行动模拟!D193="","",行动模拟!D193)</f>
        <v/>
      </c>
      <c r="E190" s="1" t="str">
        <f>IF(后台计算!D187="","",后台计算!EY187)</f>
        <v/>
      </c>
      <c r="F190" s="1" t="str">
        <f>IF(后台计算!D187="","",后台计算!AW187)</f>
        <v/>
      </c>
      <c r="G190" s="1" t="str">
        <f>IF(后台计算!D187="","",后台计算!EZ187)</f>
        <v/>
      </c>
      <c r="H190" s="1" t="str">
        <f>IF(D190="","",MAX(0,后台计算!EZ186-F190))</f>
        <v/>
      </c>
    </row>
    <row r="191" spans="1:8" ht="38.1" customHeight="1">
      <c r="A191" s="1" t="str">
        <f t="shared" si="2"/>
        <v/>
      </c>
      <c r="B191" s="1" t="str">
        <f>IF(后台计算!D188="","",后台计算!DH188)</f>
        <v/>
      </c>
      <c r="C191" s="1" t="str">
        <f>IF(后台计算!D188="","",后台计算!EX188)</f>
        <v/>
      </c>
      <c r="D191" s="1" t="str">
        <f>IF(行动模拟!D194="","",行动模拟!D194)</f>
        <v/>
      </c>
      <c r="E191" s="1" t="str">
        <f>IF(后台计算!D188="","",后台计算!EY188)</f>
        <v/>
      </c>
      <c r="F191" s="1" t="str">
        <f>IF(后台计算!D188="","",后台计算!AW188)</f>
        <v/>
      </c>
      <c r="G191" s="1" t="str">
        <f>IF(后台计算!D188="","",后台计算!EZ188)</f>
        <v/>
      </c>
      <c r="H191" s="1" t="str">
        <f>IF(D191="","",MAX(0,后台计算!EZ187-F191))</f>
        <v/>
      </c>
    </row>
    <row r="192" spans="1:8" ht="38.1" customHeight="1">
      <c r="A192" s="1" t="str">
        <f t="shared" si="2"/>
        <v/>
      </c>
      <c r="B192" s="1" t="str">
        <f>IF(后台计算!D189="","",后台计算!DH189)</f>
        <v/>
      </c>
      <c r="C192" s="1" t="str">
        <f>IF(后台计算!D189="","",后台计算!EX189)</f>
        <v/>
      </c>
      <c r="D192" s="1" t="str">
        <f>IF(行动模拟!D195="","",行动模拟!D195)</f>
        <v/>
      </c>
      <c r="E192" s="1" t="str">
        <f>IF(后台计算!D189="","",后台计算!EY189)</f>
        <v/>
      </c>
      <c r="F192" s="1" t="str">
        <f>IF(后台计算!D189="","",后台计算!AW189)</f>
        <v/>
      </c>
      <c r="G192" s="1" t="str">
        <f>IF(后台计算!D189="","",后台计算!EZ189)</f>
        <v/>
      </c>
      <c r="H192" s="1" t="str">
        <f>IF(D192="","",MAX(0,后台计算!EZ188-F192))</f>
        <v/>
      </c>
    </row>
    <row r="193" spans="1:8" ht="38.1" customHeight="1">
      <c r="A193" s="1" t="str">
        <f t="shared" si="2"/>
        <v/>
      </c>
      <c r="B193" s="1" t="str">
        <f>IF(后台计算!D190="","",后台计算!DH190)</f>
        <v/>
      </c>
      <c r="C193" s="1" t="str">
        <f>IF(后台计算!D190="","",后台计算!EX190)</f>
        <v/>
      </c>
      <c r="D193" s="1" t="str">
        <f>IF(行动模拟!D196="","",行动模拟!D196)</f>
        <v/>
      </c>
      <c r="E193" s="1" t="str">
        <f>IF(后台计算!D190="","",后台计算!EY190)</f>
        <v/>
      </c>
      <c r="F193" s="1" t="str">
        <f>IF(后台计算!D190="","",后台计算!AW190)</f>
        <v/>
      </c>
      <c r="G193" s="1" t="str">
        <f>IF(后台计算!D190="","",后台计算!EZ190)</f>
        <v/>
      </c>
      <c r="H193" s="1" t="str">
        <f>IF(D193="","",MAX(0,后台计算!EZ189-F193))</f>
        <v/>
      </c>
    </row>
    <row r="194" spans="1:8" ht="38.1" customHeight="1">
      <c r="A194" s="1" t="str">
        <f t="shared" si="2"/>
        <v/>
      </c>
      <c r="B194" s="1" t="str">
        <f>IF(后台计算!D191="","",后台计算!DH191)</f>
        <v/>
      </c>
      <c r="C194" s="1" t="str">
        <f>IF(后台计算!D191="","",后台计算!EX191)</f>
        <v/>
      </c>
      <c r="D194" s="1" t="str">
        <f>IF(行动模拟!D197="","",行动模拟!D197)</f>
        <v/>
      </c>
      <c r="E194" s="1" t="str">
        <f>IF(后台计算!D191="","",后台计算!EY191)</f>
        <v/>
      </c>
      <c r="F194" s="1" t="str">
        <f>IF(后台计算!D191="","",后台计算!AW191)</f>
        <v/>
      </c>
      <c r="G194" s="1" t="str">
        <f>IF(后台计算!D191="","",后台计算!EZ191)</f>
        <v/>
      </c>
      <c r="H194" s="1" t="str">
        <f>IF(D194="","",MAX(0,后台计算!EZ190-F194))</f>
        <v/>
      </c>
    </row>
    <row r="195" spans="1:8" ht="38.1" customHeight="1">
      <c r="A195" s="1" t="str">
        <f t="shared" si="2"/>
        <v/>
      </c>
      <c r="B195" s="1" t="str">
        <f>IF(后台计算!D192="","",后台计算!DH192)</f>
        <v/>
      </c>
      <c r="C195" s="1" t="str">
        <f>IF(后台计算!D192="","",后台计算!EX192)</f>
        <v/>
      </c>
      <c r="D195" s="1" t="str">
        <f>IF(行动模拟!D198="","",行动模拟!D198)</f>
        <v/>
      </c>
      <c r="E195" s="1" t="str">
        <f>IF(后台计算!D192="","",后台计算!EY192)</f>
        <v/>
      </c>
      <c r="F195" s="1" t="str">
        <f>IF(后台计算!D192="","",后台计算!AW192)</f>
        <v/>
      </c>
      <c r="G195" s="1" t="str">
        <f>IF(后台计算!D192="","",后台计算!EZ192)</f>
        <v/>
      </c>
      <c r="H195" s="1" t="str">
        <f>IF(D195="","",MAX(0,后台计算!EZ191-F195))</f>
        <v/>
      </c>
    </row>
    <row r="196" spans="1:8" ht="38.1" customHeight="1">
      <c r="A196" s="1" t="str">
        <f t="shared" si="2"/>
        <v/>
      </c>
      <c r="B196" s="1" t="str">
        <f>IF(后台计算!D193="","",后台计算!DH193)</f>
        <v/>
      </c>
      <c r="C196" s="1" t="str">
        <f>IF(后台计算!D193="","",后台计算!EX193)</f>
        <v/>
      </c>
      <c r="D196" s="1" t="str">
        <f>IF(行动模拟!D199="","",行动模拟!D199)</f>
        <v/>
      </c>
      <c r="E196" s="1" t="str">
        <f>IF(后台计算!D193="","",后台计算!EY193)</f>
        <v/>
      </c>
      <c r="F196" s="1" t="str">
        <f>IF(后台计算!D193="","",后台计算!AW193)</f>
        <v/>
      </c>
      <c r="G196" s="1" t="str">
        <f>IF(后台计算!D193="","",后台计算!EZ193)</f>
        <v/>
      </c>
      <c r="H196" s="1" t="str">
        <f>IF(D196="","",MAX(0,后台计算!EZ192-F196))</f>
        <v/>
      </c>
    </row>
    <row r="197" spans="1:8" ht="38.1" customHeight="1">
      <c r="A197" s="1" t="str">
        <f t="shared" si="2"/>
        <v/>
      </c>
      <c r="B197" s="1" t="str">
        <f>IF(后台计算!D194="","",后台计算!DH194)</f>
        <v/>
      </c>
      <c r="C197" s="1" t="str">
        <f>IF(后台计算!D194="","",后台计算!EX194)</f>
        <v/>
      </c>
      <c r="D197" s="1" t="str">
        <f>IF(行动模拟!D200="","",行动模拟!D200)</f>
        <v/>
      </c>
      <c r="E197" s="1" t="str">
        <f>IF(后台计算!D194="","",后台计算!EY194)</f>
        <v/>
      </c>
      <c r="F197" s="1" t="str">
        <f>IF(后台计算!D194="","",后台计算!AW194)</f>
        <v/>
      </c>
      <c r="G197" s="1" t="str">
        <f>IF(后台计算!D194="","",后台计算!EZ194)</f>
        <v/>
      </c>
      <c r="H197" s="1" t="str">
        <f>IF(D197="","",MAX(0,后台计算!EZ193-F197))</f>
        <v/>
      </c>
    </row>
    <row r="198" spans="1:8" ht="38.1" customHeight="1">
      <c r="A198" s="1" t="str">
        <f t="shared" ref="A198:A245" si="3">IF(D198="","",ROW()-5)</f>
        <v/>
      </c>
      <c r="B198" s="1" t="str">
        <f>IF(后台计算!D195="","",后台计算!DH195)</f>
        <v/>
      </c>
      <c r="C198" s="1" t="str">
        <f>IF(后台计算!D195="","",后台计算!EX195)</f>
        <v/>
      </c>
      <c r="D198" s="1" t="str">
        <f>IF(行动模拟!D201="","",行动模拟!D201)</f>
        <v/>
      </c>
      <c r="E198" s="1" t="str">
        <f>IF(后台计算!D195="","",后台计算!EY195)</f>
        <v/>
      </c>
      <c r="F198" s="1" t="str">
        <f>IF(后台计算!D195="","",后台计算!AW195)</f>
        <v/>
      </c>
      <c r="G198" s="1" t="str">
        <f>IF(后台计算!D195="","",后台计算!EZ195)</f>
        <v/>
      </c>
      <c r="H198" s="1" t="str">
        <f>IF(D198="","",MAX(0,后台计算!EZ194-F198))</f>
        <v/>
      </c>
    </row>
    <row r="199" spans="1:8" ht="38.1" customHeight="1">
      <c r="A199" s="1" t="str">
        <f t="shared" si="3"/>
        <v/>
      </c>
      <c r="B199" s="1" t="str">
        <f>IF(后台计算!D196="","",后台计算!DH196)</f>
        <v/>
      </c>
      <c r="C199" s="1" t="str">
        <f>IF(后台计算!D196="","",后台计算!EX196)</f>
        <v/>
      </c>
      <c r="D199" s="1" t="str">
        <f>IF(行动模拟!D202="","",行动模拟!D202)</f>
        <v/>
      </c>
      <c r="E199" s="1" t="str">
        <f>IF(后台计算!D196="","",后台计算!EY196)</f>
        <v/>
      </c>
      <c r="F199" s="1" t="str">
        <f>IF(后台计算!D196="","",后台计算!AW196)</f>
        <v/>
      </c>
      <c r="G199" s="1" t="str">
        <f>IF(后台计算!D196="","",后台计算!EZ196)</f>
        <v/>
      </c>
      <c r="H199" s="1" t="str">
        <f>IF(D199="","",MAX(0,后台计算!EZ195-F199))</f>
        <v/>
      </c>
    </row>
    <row r="200" spans="1:8" ht="38.1" customHeight="1">
      <c r="A200" s="1" t="str">
        <f t="shared" si="3"/>
        <v/>
      </c>
      <c r="B200" s="1" t="str">
        <f>IF(后台计算!D197="","",后台计算!DH197)</f>
        <v/>
      </c>
      <c r="C200" s="1" t="str">
        <f>IF(后台计算!D197="","",后台计算!EX197)</f>
        <v/>
      </c>
      <c r="D200" s="1" t="str">
        <f>IF(行动模拟!D203="","",行动模拟!D203)</f>
        <v/>
      </c>
      <c r="E200" s="1" t="str">
        <f>IF(后台计算!D197="","",后台计算!EY197)</f>
        <v/>
      </c>
      <c r="F200" s="1" t="str">
        <f>IF(后台计算!D197="","",后台计算!AW197)</f>
        <v/>
      </c>
      <c r="G200" s="1" t="str">
        <f>IF(后台计算!D197="","",后台计算!EZ197)</f>
        <v/>
      </c>
      <c r="H200" s="1" t="str">
        <f>IF(D200="","",MAX(0,后台计算!EZ196-F200))</f>
        <v/>
      </c>
    </row>
    <row r="201" spans="1:8" ht="38.1" customHeight="1">
      <c r="A201" s="1" t="str">
        <f t="shared" si="3"/>
        <v/>
      </c>
      <c r="B201" s="1" t="str">
        <f>IF(后台计算!D198="","",后台计算!DH198)</f>
        <v/>
      </c>
      <c r="C201" s="1" t="str">
        <f>IF(后台计算!D198="","",后台计算!EX198)</f>
        <v/>
      </c>
      <c r="D201" s="1" t="str">
        <f>IF(行动模拟!D204="","",行动模拟!D204)</f>
        <v/>
      </c>
      <c r="E201" s="1" t="str">
        <f>IF(后台计算!D198="","",后台计算!EY198)</f>
        <v/>
      </c>
      <c r="F201" s="1" t="str">
        <f>IF(后台计算!D198="","",后台计算!AW198)</f>
        <v/>
      </c>
      <c r="G201" s="1" t="str">
        <f>IF(后台计算!D198="","",后台计算!EZ198)</f>
        <v/>
      </c>
      <c r="H201" s="1" t="str">
        <f>IF(D201="","",MAX(0,后台计算!EZ197-F201))</f>
        <v/>
      </c>
    </row>
    <row r="202" spans="1:8" ht="38.1" customHeight="1">
      <c r="A202" s="1" t="str">
        <f t="shared" si="3"/>
        <v/>
      </c>
      <c r="B202" s="1" t="str">
        <f>IF(后台计算!D199="","",后台计算!DH199)</f>
        <v/>
      </c>
      <c r="C202" s="1" t="str">
        <f>IF(后台计算!D199="","",后台计算!EX199)</f>
        <v/>
      </c>
      <c r="D202" s="1" t="str">
        <f>IF(行动模拟!D205="","",行动模拟!D205)</f>
        <v/>
      </c>
      <c r="E202" s="1" t="str">
        <f>IF(后台计算!D199="","",后台计算!EY199)</f>
        <v/>
      </c>
      <c r="F202" s="1" t="str">
        <f>IF(后台计算!D199="","",后台计算!AW199)</f>
        <v/>
      </c>
      <c r="G202" s="1" t="str">
        <f>IF(后台计算!D199="","",后台计算!EZ199)</f>
        <v/>
      </c>
      <c r="H202" s="1" t="str">
        <f>IF(D202="","",MAX(0,后台计算!EZ198-F202))</f>
        <v/>
      </c>
    </row>
    <row r="203" spans="1:8" ht="38.1" customHeight="1">
      <c r="A203" s="1" t="str">
        <f t="shared" si="3"/>
        <v/>
      </c>
      <c r="B203" s="1" t="str">
        <f>IF(后台计算!D200="","",后台计算!DH200)</f>
        <v/>
      </c>
      <c r="C203" s="1" t="str">
        <f>IF(后台计算!D200="","",后台计算!EX200)</f>
        <v/>
      </c>
      <c r="D203" s="1" t="str">
        <f>IF(行动模拟!D206="","",行动模拟!D206)</f>
        <v/>
      </c>
      <c r="E203" s="1" t="str">
        <f>IF(后台计算!D200="","",后台计算!EY200)</f>
        <v/>
      </c>
      <c r="F203" s="1" t="str">
        <f>IF(后台计算!D200="","",后台计算!AW200)</f>
        <v/>
      </c>
      <c r="G203" s="1" t="str">
        <f>IF(后台计算!D200="","",后台计算!EZ200)</f>
        <v/>
      </c>
      <c r="H203" s="1" t="str">
        <f>IF(D203="","",MAX(0,后台计算!EZ199-F203))</f>
        <v/>
      </c>
    </row>
    <row r="204" spans="1:8" ht="38.1" customHeight="1">
      <c r="A204" s="1" t="str">
        <f t="shared" si="3"/>
        <v/>
      </c>
      <c r="B204" s="1" t="str">
        <f>IF(后台计算!D201="","",后台计算!DH201)</f>
        <v/>
      </c>
      <c r="C204" s="1" t="str">
        <f>IF(后台计算!D201="","",后台计算!EX201)</f>
        <v/>
      </c>
      <c r="D204" s="1" t="str">
        <f>IF(行动模拟!D207="","",行动模拟!D207)</f>
        <v/>
      </c>
      <c r="E204" s="1" t="str">
        <f>IF(后台计算!D201="","",后台计算!EY201)</f>
        <v/>
      </c>
      <c r="F204" s="1" t="str">
        <f>IF(后台计算!D201="","",后台计算!AW201)</f>
        <v/>
      </c>
      <c r="G204" s="1" t="str">
        <f>IF(后台计算!D201="","",后台计算!EZ201)</f>
        <v/>
      </c>
      <c r="H204" s="1" t="str">
        <f>IF(D204="","",MAX(0,后台计算!EZ200-F204))</f>
        <v/>
      </c>
    </row>
    <row r="205" spans="1:8" ht="38.1" customHeight="1">
      <c r="A205" s="1" t="str">
        <f t="shared" si="3"/>
        <v/>
      </c>
      <c r="B205" s="1" t="str">
        <f>IF(后台计算!D202="","",后台计算!DH202)</f>
        <v/>
      </c>
      <c r="C205" s="1" t="str">
        <f>IF(后台计算!D202="","",后台计算!EX202)</f>
        <v/>
      </c>
      <c r="D205" s="1" t="str">
        <f>IF(行动模拟!D208="","",行动模拟!D208)</f>
        <v/>
      </c>
      <c r="E205" s="1" t="str">
        <f>IF(后台计算!D202="","",后台计算!EY202)</f>
        <v/>
      </c>
      <c r="F205" s="1" t="str">
        <f>IF(后台计算!D202="","",后台计算!AW202)</f>
        <v/>
      </c>
      <c r="G205" s="1" t="str">
        <f>IF(后台计算!D202="","",后台计算!EZ202)</f>
        <v/>
      </c>
      <c r="H205" s="1" t="str">
        <f>IF(D205="","",MAX(0,后台计算!EZ201-F205))</f>
        <v/>
      </c>
    </row>
    <row r="206" spans="1:8" ht="38.1" customHeight="1">
      <c r="A206" s="1" t="str">
        <f t="shared" si="3"/>
        <v/>
      </c>
      <c r="B206" s="1" t="str">
        <f>IF(后台计算!D203="","",后台计算!DH203)</f>
        <v/>
      </c>
      <c r="C206" s="1" t="str">
        <f>IF(后台计算!D203="","",后台计算!EX203)</f>
        <v/>
      </c>
      <c r="D206" s="1" t="str">
        <f>IF(行动模拟!D209="","",行动模拟!D209)</f>
        <v/>
      </c>
      <c r="E206" s="1" t="str">
        <f>IF(后台计算!D203="","",后台计算!EY203)</f>
        <v/>
      </c>
      <c r="F206" s="1" t="str">
        <f>IF(后台计算!D203="","",后台计算!AW203)</f>
        <v/>
      </c>
      <c r="G206" s="1" t="str">
        <f>IF(后台计算!D203="","",后台计算!EZ203)</f>
        <v/>
      </c>
      <c r="H206" s="1" t="str">
        <f>IF(D206="","",MAX(0,后台计算!EZ202-F206))</f>
        <v/>
      </c>
    </row>
    <row r="207" spans="1:8" ht="38.1" customHeight="1">
      <c r="A207" s="1" t="str">
        <f t="shared" si="3"/>
        <v/>
      </c>
      <c r="B207" s="1" t="str">
        <f>IF(后台计算!D204="","",后台计算!DH204)</f>
        <v/>
      </c>
      <c r="C207" s="1" t="str">
        <f>IF(后台计算!D204="","",后台计算!EX204)</f>
        <v/>
      </c>
      <c r="D207" s="1" t="str">
        <f>IF(行动模拟!D210="","",行动模拟!D210)</f>
        <v/>
      </c>
      <c r="E207" s="1" t="str">
        <f>IF(后台计算!D204="","",后台计算!EY204)</f>
        <v/>
      </c>
      <c r="F207" s="1" t="str">
        <f>IF(后台计算!D204="","",后台计算!AW204)</f>
        <v/>
      </c>
      <c r="G207" s="1" t="str">
        <f>IF(后台计算!D204="","",后台计算!EZ204)</f>
        <v/>
      </c>
      <c r="H207" s="1" t="str">
        <f>IF(D207="","",MAX(0,后台计算!EZ203-F207))</f>
        <v/>
      </c>
    </row>
    <row r="208" spans="1:8" ht="38.1" customHeight="1">
      <c r="A208" s="1" t="str">
        <f t="shared" si="3"/>
        <v/>
      </c>
      <c r="B208" s="1" t="str">
        <f>IF(后台计算!D205="","",后台计算!DH205)</f>
        <v/>
      </c>
      <c r="C208" s="1" t="str">
        <f>IF(后台计算!D205="","",后台计算!EX205)</f>
        <v/>
      </c>
      <c r="D208" s="1" t="str">
        <f>IF(行动模拟!D211="","",行动模拟!D211)</f>
        <v/>
      </c>
      <c r="E208" s="1" t="str">
        <f>IF(后台计算!D205="","",后台计算!EY205)</f>
        <v/>
      </c>
      <c r="F208" s="1" t="str">
        <f>IF(后台计算!D205="","",后台计算!AW205)</f>
        <v/>
      </c>
      <c r="G208" s="1" t="str">
        <f>IF(后台计算!D205="","",后台计算!EZ205)</f>
        <v/>
      </c>
      <c r="H208" s="1" t="str">
        <f>IF(D208="","",MAX(0,后台计算!EZ204-F208))</f>
        <v/>
      </c>
    </row>
    <row r="209" spans="1:8" ht="38.1" customHeight="1">
      <c r="A209" s="1" t="str">
        <f t="shared" si="3"/>
        <v/>
      </c>
      <c r="B209" s="1" t="str">
        <f>IF(后台计算!D206="","",后台计算!DH206)</f>
        <v/>
      </c>
      <c r="C209" s="1" t="str">
        <f>IF(后台计算!D206="","",后台计算!EX206)</f>
        <v/>
      </c>
      <c r="D209" s="1" t="str">
        <f>IF(行动模拟!D212="","",行动模拟!D212)</f>
        <v/>
      </c>
      <c r="E209" s="1" t="str">
        <f>IF(后台计算!D206="","",后台计算!EY206)</f>
        <v/>
      </c>
      <c r="F209" s="1" t="str">
        <f>IF(后台计算!D206="","",后台计算!AW206)</f>
        <v/>
      </c>
      <c r="G209" s="1" t="str">
        <f>IF(后台计算!D206="","",后台计算!EZ206)</f>
        <v/>
      </c>
      <c r="H209" s="1" t="str">
        <f>IF(D209="","",MAX(0,后台计算!EZ205-F209))</f>
        <v/>
      </c>
    </row>
    <row r="210" spans="1:8" ht="38.1" customHeight="1">
      <c r="A210" s="1" t="str">
        <f t="shared" si="3"/>
        <v/>
      </c>
      <c r="B210" s="1" t="str">
        <f>IF(后台计算!D207="","",后台计算!DH207)</f>
        <v/>
      </c>
      <c r="C210" s="1" t="str">
        <f>IF(后台计算!D207="","",后台计算!EX207)</f>
        <v/>
      </c>
      <c r="D210" s="1" t="str">
        <f>IF(行动模拟!D213="","",行动模拟!D213)</f>
        <v/>
      </c>
      <c r="E210" s="1" t="str">
        <f>IF(后台计算!D207="","",后台计算!EY207)</f>
        <v/>
      </c>
      <c r="F210" s="1" t="str">
        <f>IF(后台计算!D207="","",后台计算!AW207)</f>
        <v/>
      </c>
      <c r="G210" s="1" t="str">
        <f>IF(后台计算!D207="","",后台计算!EZ207)</f>
        <v/>
      </c>
      <c r="H210" s="1" t="str">
        <f>IF(D210="","",MAX(0,后台计算!EZ206-F210))</f>
        <v/>
      </c>
    </row>
    <row r="211" spans="1:8" ht="38.1" customHeight="1">
      <c r="A211" s="1" t="str">
        <f t="shared" si="3"/>
        <v/>
      </c>
      <c r="B211" s="1" t="str">
        <f>IF(后台计算!D208="","",后台计算!DH208)</f>
        <v/>
      </c>
      <c r="C211" s="1" t="str">
        <f>IF(后台计算!D208="","",后台计算!EX208)</f>
        <v/>
      </c>
      <c r="D211" s="1" t="str">
        <f>IF(行动模拟!D214="","",行动模拟!D214)</f>
        <v/>
      </c>
      <c r="E211" s="1" t="str">
        <f>IF(后台计算!D208="","",后台计算!EY208)</f>
        <v/>
      </c>
      <c r="F211" s="1" t="str">
        <f>IF(后台计算!D208="","",后台计算!AW208)</f>
        <v/>
      </c>
      <c r="G211" s="1" t="str">
        <f>IF(后台计算!D208="","",后台计算!EZ208)</f>
        <v/>
      </c>
      <c r="H211" s="1" t="str">
        <f>IF(D211="","",MAX(0,后台计算!EZ207-F211))</f>
        <v/>
      </c>
    </row>
    <row r="212" spans="1:8" ht="38.1" customHeight="1">
      <c r="A212" s="1" t="str">
        <f t="shared" si="3"/>
        <v/>
      </c>
      <c r="B212" s="1" t="str">
        <f>IF(后台计算!D209="","",后台计算!DH209)</f>
        <v/>
      </c>
      <c r="C212" s="1" t="str">
        <f>IF(后台计算!D209="","",后台计算!EX209)</f>
        <v/>
      </c>
      <c r="D212" s="1" t="str">
        <f>IF(行动模拟!D215="","",行动模拟!D215)</f>
        <v/>
      </c>
      <c r="E212" s="1" t="str">
        <f>IF(后台计算!D209="","",后台计算!EY209)</f>
        <v/>
      </c>
      <c r="F212" s="1" t="str">
        <f>IF(后台计算!D209="","",后台计算!AW209)</f>
        <v/>
      </c>
      <c r="G212" s="1" t="str">
        <f>IF(后台计算!D209="","",后台计算!EZ209)</f>
        <v/>
      </c>
      <c r="H212" s="1" t="str">
        <f>IF(D212="","",MAX(0,后台计算!EZ208-F212))</f>
        <v/>
      </c>
    </row>
    <row r="213" spans="1:8" ht="38.1" customHeight="1">
      <c r="A213" s="1" t="str">
        <f t="shared" si="3"/>
        <v/>
      </c>
      <c r="B213" s="1" t="str">
        <f>IF(后台计算!D210="","",后台计算!DH210)</f>
        <v/>
      </c>
      <c r="C213" s="1" t="str">
        <f>IF(后台计算!D210="","",后台计算!EX210)</f>
        <v/>
      </c>
      <c r="D213" s="1" t="str">
        <f>IF(行动模拟!D216="","",行动模拟!D216)</f>
        <v/>
      </c>
      <c r="E213" s="1" t="str">
        <f>IF(后台计算!D210="","",后台计算!EY210)</f>
        <v/>
      </c>
      <c r="F213" s="1" t="str">
        <f>IF(后台计算!D210="","",后台计算!AW210)</f>
        <v/>
      </c>
      <c r="G213" s="1" t="str">
        <f>IF(后台计算!D210="","",后台计算!EZ210)</f>
        <v/>
      </c>
      <c r="H213" s="1" t="str">
        <f>IF(D213="","",MAX(0,后台计算!EZ209-F213))</f>
        <v/>
      </c>
    </row>
    <row r="214" spans="1:8" ht="38.1" customHeight="1">
      <c r="A214" s="1" t="str">
        <f t="shared" si="3"/>
        <v/>
      </c>
      <c r="B214" s="1" t="str">
        <f>IF(后台计算!D211="","",后台计算!DH211)</f>
        <v/>
      </c>
      <c r="C214" s="1" t="str">
        <f>IF(后台计算!D211="","",后台计算!EX211)</f>
        <v/>
      </c>
      <c r="D214" s="1" t="str">
        <f>IF(行动模拟!D217="","",行动模拟!D217)</f>
        <v/>
      </c>
      <c r="E214" s="1" t="str">
        <f>IF(后台计算!D211="","",后台计算!EY211)</f>
        <v/>
      </c>
      <c r="F214" s="1" t="str">
        <f>IF(后台计算!D211="","",后台计算!AW211)</f>
        <v/>
      </c>
      <c r="G214" s="1" t="str">
        <f>IF(后台计算!D211="","",后台计算!EZ211)</f>
        <v/>
      </c>
      <c r="H214" s="1" t="str">
        <f>IF(D214="","",MAX(0,后台计算!EZ210-F214))</f>
        <v/>
      </c>
    </row>
    <row r="215" spans="1:8" ht="38.1" customHeight="1">
      <c r="A215" s="1" t="str">
        <f t="shared" si="3"/>
        <v/>
      </c>
      <c r="B215" s="1" t="str">
        <f>IF(后台计算!D212="","",后台计算!DH212)</f>
        <v/>
      </c>
      <c r="C215" s="1" t="str">
        <f>IF(后台计算!D212="","",后台计算!EX212)</f>
        <v/>
      </c>
      <c r="D215" s="1" t="str">
        <f>IF(行动模拟!D218="","",行动模拟!D218)</f>
        <v/>
      </c>
      <c r="E215" s="1" t="str">
        <f>IF(后台计算!D212="","",后台计算!EY212)</f>
        <v/>
      </c>
      <c r="F215" s="1" t="str">
        <f>IF(后台计算!D212="","",后台计算!AW212)</f>
        <v/>
      </c>
      <c r="G215" s="1" t="str">
        <f>IF(后台计算!D212="","",后台计算!EZ212)</f>
        <v/>
      </c>
      <c r="H215" s="1" t="str">
        <f>IF(D215="","",MAX(0,后台计算!EZ211-F215))</f>
        <v/>
      </c>
    </row>
    <row r="216" spans="1:8" ht="38.1" customHeight="1">
      <c r="A216" s="1" t="str">
        <f t="shared" si="3"/>
        <v/>
      </c>
      <c r="B216" s="1" t="str">
        <f>IF(后台计算!D213="","",后台计算!DH213)</f>
        <v/>
      </c>
      <c r="C216" s="1" t="str">
        <f>IF(后台计算!D213="","",后台计算!EX213)</f>
        <v/>
      </c>
      <c r="D216" s="1" t="str">
        <f>IF(行动模拟!D219="","",行动模拟!D219)</f>
        <v/>
      </c>
      <c r="E216" s="1" t="str">
        <f>IF(后台计算!D213="","",后台计算!EY213)</f>
        <v/>
      </c>
      <c r="F216" s="1" t="str">
        <f>IF(后台计算!D213="","",后台计算!AW213)</f>
        <v/>
      </c>
      <c r="G216" s="1" t="str">
        <f>IF(后台计算!D213="","",后台计算!EZ213)</f>
        <v/>
      </c>
      <c r="H216" s="1" t="str">
        <f>IF(D216="","",MAX(0,后台计算!EZ212-F216))</f>
        <v/>
      </c>
    </row>
    <row r="217" spans="1:8" ht="38.1" customHeight="1">
      <c r="A217" s="1" t="str">
        <f t="shared" si="3"/>
        <v/>
      </c>
      <c r="B217" s="1" t="str">
        <f>IF(后台计算!D214="","",后台计算!DH214)</f>
        <v/>
      </c>
      <c r="C217" s="1" t="str">
        <f>IF(后台计算!D214="","",后台计算!EX214)</f>
        <v/>
      </c>
      <c r="D217" s="1" t="str">
        <f>IF(行动模拟!D220="","",行动模拟!D220)</f>
        <v/>
      </c>
      <c r="E217" s="1" t="str">
        <f>IF(后台计算!D214="","",后台计算!EY214)</f>
        <v/>
      </c>
      <c r="F217" s="1" t="str">
        <f>IF(后台计算!D214="","",后台计算!AW214)</f>
        <v/>
      </c>
      <c r="G217" s="1" t="str">
        <f>IF(后台计算!D214="","",后台计算!EZ214)</f>
        <v/>
      </c>
      <c r="H217" s="1" t="str">
        <f>IF(D217="","",MAX(0,后台计算!EZ213-F217))</f>
        <v/>
      </c>
    </row>
    <row r="218" spans="1:8" ht="38.1" customHeight="1">
      <c r="A218" s="1" t="str">
        <f t="shared" si="3"/>
        <v/>
      </c>
      <c r="B218" s="1" t="str">
        <f>IF(后台计算!D215="","",后台计算!DH215)</f>
        <v/>
      </c>
      <c r="C218" s="1" t="str">
        <f>IF(后台计算!D215="","",后台计算!EX215)</f>
        <v/>
      </c>
      <c r="D218" s="1" t="str">
        <f>IF(行动模拟!D221="","",行动模拟!D221)</f>
        <v/>
      </c>
      <c r="E218" s="1" t="str">
        <f>IF(后台计算!D215="","",后台计算!EY215)</f>
        <v/>
      </c>
      <c r="F218" s="1" t="str">
        <f>IF(后台计算!D215="","",后台计算!AW215)</f>
        <v/>
      </c>
      <c r="G218" s="1" t="str">
        <f>IF(后台计算!D215="","",后台计算!EZ215)</f>
        <v/>
      </c>
      <c r="H218" s="1" t="str">
        <f>IF(D218="","",MAX(0,后台计算!EZ214-F218))</f>
        <v/>
      </c>
    </row>
    <row r="219" spans="1:8" ht="38.1" customHeight="1">
      <c r="A219" s="1" t="str">
        <f t="shared" si="3"/>
        <v/>
      </c>
      <c r="B219" s="1" t="str">
        <f>IF(后台计算!D216="","",后台计算!DH216)</f>
        <v/>
      </c>
      <c r="C219" s="1" t="str">
        <f>IF(后台计算!D216="","",后台计算!EX216)</f>
        <v/>
      </c>
      <c r="D219" s="1" t="str">
        <f>IF(行动模拟!D222="","",行动模拟!D222)</f>
        <v/>
      </c>
      <c r="E219" s="1" t="str">
        <f>IF(后台计算!D216="","",后台计算!EY216)</f>
        <v/>
      </c>
      <c r="F219" s="1" t="str">
        <f>IF(后台计算!D216="","",后台计算!AW216)</f>
        <v/>
      </c>
      <c r="G219" s="1" t="str">
        <f>IF(后台计算!D216="","",后台计算!EZ216)</f>
        <v/>
      </c>
      <c r="H219" s="1" t="str">
        <f>IF(D219="","",MAX(0,后台计算!EZ215-F219))</f>
        <v/>
      </c>
    </row>
    <row r="220" spans="1:8" ht="38.1" customHeight="1">
      <c r="A220" s="1" t="str">
        <f t="shared" si="3"/>
        <v/>
      </c>
      <c r="B220" s="1" t="str">
        <f>IF(后台计算!D217="","",后台计算!DH217)</f>
        <v/>
      </c>
      <c r="C220" s="1" t="str">
        <f>IF(后台计算!D217="","",后台计算!EX217)</f>
        <v/>
      </c>
      <c r="D220" s="1" t="str">
        <f>IF(行动模拟!D223="","",行动模拟!D223)</f>
        <v/>
      </c>
      <c r="E220" s="1" t="str">
        <f>IF(后台计算!D217="","",后台计算!EY217)</f>
        <v/>
      </c>
      <c r="F220" s="1" t="str">
        <f>IF(后台计算!D217="","",后台计算!AW217)</f>
        <v/>
      </c>
      <c r="G220" s="1" t="str">
        <f>IF(后台计算!D217="","",后台计算!EZ217)</f>
        <v/>
      </c>
      <c r="H220" s="1" t="str">
        <f>IF(D220="","",MAX(0,后台计算!EZ216-F220))</f>
        <v/>
      </c>
    </row>
    <row r="221" spans="1:8" ht="38.1" customHeight="1">
      <c r="A221" s="1" t="str">
        <f t="shared" si="3"/>
        <v/>
      </c>
      <c r="B221" s="1" t="str">
        <f>IF(后台计算!D218="","",后台计算!DH218)</f>
        <v/>
      </c>
      <c r="C221" s="1" t="str">
        <f>IF(后台计算!D218="","",后台计算!EX218)</f>
        <v/>
      </c>
      <c r="D221" s="1" t="str">
        <f>IF(行动模拟!D224="","",行动模拟!D224)</f>
        <v/>
      </c>
      <c r="E221" s="1" t="str">
        <f>IF(后台计算!D218="","",后台计算!EY218)</f>
        <v/>
      </c>
      <c r="F221" s="1" t="str">
        <f>IF(后台计算!D218="","",后台计算!AW218)</f>
        <v/>
      </c>
      <c r="G221" s="1" t="str">
        <f>IF(后台计算!D218="","",后台计算!EZ218)</f>
        <v/>
      </c>
      <c r="H221" s="1" t="str">
        <f>IF(D221="","",MAX(0,后台计算!EZ217-F221))</f>
        <v/>
      </c>
    </row>
    <row r="222" spans="1:8" ht="38.1" customHeight="1">
      <c r="A222" s="1" t="str">
        <f t="shared" si="3"/>
        <v/>
      </c>
      <c r="B222" s="1" t="str">
        <f>IF(后台计算!D219="","",后台计算!DH219)</f>
        <v/>
      </c>
      <c r="C222" s="1" t="str">
        <f>IF(后台计算!D219="","",后台计算!EX219)</f>
        <v/>
      </c>
      <c r="D222" s="1" t="str">
        <f>IF(行动模拟!D225="","",行动模拟!D225)</f>
        <v/>
      </c>
      <c r="E222" s="1" t="str">
        <f>IF(后台计算!D219="","",后台计算!EY219)</f>
        <v/>
      </c>
      <c r="F222" s="1" t="str">
        <f>IF(后台计算!D219="","",后台计算!AW219)</f>
        <v/>
      </c>
      <c r="G222" s="1" t="str">
        <f>IF(后台计算!D219="","",后台计算!EZ219)</f>
        <v/>
      </c>
      <c r="H222" s="1" t="str">
        <f>IF(D222="","",MAX(0,后台计算!EZ218-F222))</f>
        <v/>
      </c>
    </row>
    <row r="223" spans="1:8" ht="38.1" customHeight="1">
      <c r="A223" s="1" t="str">
        <f t="shared" si="3"/>
        <v/>
      </c>
      <c r="B223" s="1" t="str">
        <f>IF(后台计算!D220="","",后台计算!DH220)</f>
        <v/>
      </c>
      <c r="C223" s="1" t="str">
        <f>IF(后台计算!D220="","",后台计算!EX220)</f>
        <v/>
      </c>
      <c r="D223" s="1" t="str">
        <f>IF(行动模拟!D226="","",行动模拟!D226)</f>
        <v/>
      </c>
      <c r="E223" s="1" t="str">
        <f>IF(后台计算!D220="","",后台计算!EY220)</f>
        <v/>
      </c>
      <c r="F223" s="1" t="str">
        <f>IF(后台计算!D220="","",后台计算!AW220)</f>
        <v/>
      </c>
      <c r="G223" s="1" t="str">
        <f>IF(后台计算!D220="","",后台计算!EZ220)</f>
        <v/>
      </c>
      <c r="H223" s="1" t="str">
        <f>IF(D223="","",MAX(0,后台计算!EZ219-F223))</f>
        <v/>
      </c>
    </row>
    <row r="224" spans="1:8" ht="38.1" customHeight="1">
      <c r="A224" s="1" t="str">
        <f t="shared" si="3"/>
        <v/>
      </c>
      <c r="B224" s="1" t="str">
        <f>IF(后台计算!D221="","",后台计算!DH221)</f>
        <v/>
      </c>
      <c r="C224" s="1" t="str">
        <f>IF(后台计算!D221="","",后台计算!EX221)</f>
        <v/>
      </c>
      <c r="D224" s="1" t="str">
        <f>IF(行动模拟!D227="","",行动模拟!D227)</f>
        <v/>
      </c>
      <c r="E224" s="1" t="str">
        <f>IF(后台计算!D221="","",后台计算!EY221)</f>
        <v/>
      </c>
      <c r="F224" s="1" t="str">
        <f>IF(后台计算!D221="","",后台计算!AW221)</f>
        <v/>
      </c>
      <c r="G224" s="1" t="str">
        <f>IF(后台计算!D221="","",后台计算!EZ221)</f>
        <v/>
      </c>
      <c r="H224" s="1" t="str">
        <f>IF(D224="","",MAX(0,后台计算!EZ220-F224))</f>
        <v/>
      </c>
    </row>
    <row r="225" spans="1:8" ht="38.1" customHeight="1">
      <c r="A225" s="1" t="str">
        <f t="shared" si="3"/>
        <v/>
      </c>
      <c r="B225" s="1" t="str">
        <f>IF(后台计算!D222="","",后台计算!DH222)</f>
        <v/>
      </c>
      <c r="C225" s="1" t="str">
        <f>IF(后台计算!D222="","",后台计算!EX222)</f>
        <v/>
      </c>
      <c r="D225" s="1" t="str">
        <f>IF(行动模拟!D228="","",行动模拟!D228)</f>
        <v/>
      </c>
      <c r="E225" s="1" t="str">
        <f>IF(后台计算!D222="","",后台计算!EY222)</f>
        <v/>
      </c>
      <c r="F225" s="1" t="str">
        <f>IF(后台计算!D222="","",后台计算!AW222)</f>
        <v/>
      </c>
      <c r="G225" s="1" t="str">
        <f>IF(后台计算!D222="","",后台计算!EZ222)</f>
        <v/>
      </c>
      <c r="H225" s="1" t="str">
        <f>IF(D225="","",MAX(0,后台计算!EZ221-F225))</f>
        <v/>
      </c>
    </row>
    <row r="226" spans="1:8" ht="38.1" customHeight="1">
      <c r="A226" s="1" t="str">
        <f t="shared" si="3"/>
        <v/>
      </c>
      <c r="B226" s="1" t="str">
        <f>IF(后台计算!D223="","",后台计算!DH223)</f>
        <v/>
      </c>
      <c r="C226" s="1" t="str">
        <f>IF(后台计算!D223="","",后台计算!EX223)</f>
        <v/>
      </c>
      <c r="D226" s="1" t="str">
        <f>IF(行动模拟!D229="","",行动模拟!D229)</f>
        <v/>
      </c>
      <c r="E226" s="1" t="str">
        <f>IF(后台计算!D223="","",后台计算!EY223)</f>
        <v/>
      </c>
      <c r="F226" s="1" t="str">
        <f>IF(后台计算!D223="","",后台计算!AW223)</f>
        <v/>
      </c>
      <c r="G226" s="1" t="str">
        <f>IF(后台计算!D223="","",后台计算!EZ223)</f>
        <v/>
      </c>
      <c r="H226" s="1" t="str">
        <f>IF(D226="","",MAX(0,后台计算!EZ222-F226))</f>
        <v/>
      </c>
    </row>
    <row r="227" spans="1:8" ht="38.1" customHeight="1">
      <c r="A227" s="1" t="str">
        <f t="shared" si="3"/>
        <v/>
      </c>
      <c r="B227" s="1" t="str">
        <f>IF(后台计算!D224="","",后台计算!DH224)</f>
        <v/>
      </c>
      <c r="C227" s="1" t="str">
        <f>IF(后台计算!D224="","",后台计算!EX224)</f>
        <v/>
      </c>
      <c r="D227" s="1" t="str">
        <f>IF(行动模拟!D230="","",行动模拟!D230)</f>
        <v/>
      </c>
      <c r="E227" s="1" t="str">
        <f>IF(后台计算!D224="","",后台计算!EY224)</f>
        <v/>
      </c>
      <c r="F227" s="1" t="str">
        <f>IF(后台计算!D224="","",后台计算!AW224)</f>
        <v/>
      </c>
      <c r="G227" s="1" t="str">
        <f>IF(后台计算!D224="","",后台计算!EZ224)</f>
        <v/>
      </c>
      <c r="H227" s="1" t="str">
        <f>IF(D227="","",MAX(0,后台计算!EZ223-F227))</f>
        <v/>
      </c>
    </row>
    <row r="228" spans="1:8" ht="38.1" customHeight="1">
      <c r="A228" s="1" t="str">
        <f t="shared" si="3"/>
        <v/>
      </c>
      <c r="B228" s="1" t="str">
        <f>IF(后台计算!D225="","",后台计算!DH225)</f>
        <v/>
      </c>
      <c r="C228" s="1" t="str">
        <f>IF(后台计算!D225="","",后台计算!EX225)</f>
        <v/>
      </c>
      <c r="D228" s="1" t="str">
        <f>IF(行动模拟!D231="","",行动模拟!D231)</f>
        <v/>
      </c>
      <c r="E228" s="1" t="str">
        <f>IF(后台计算!D225="","",后台计算!EY225)</f>
        <v/>
      </c>
      <c r="F228" s="1" t="str">
        <f>IF(后台计算!D225="","",后台计算!AW225)</f>
        <v/>
      </c>
      <c r="G228" s="1" t="str">
        <f>IF(后台计算!D225="","",后台计算!EZ225)</f>
        <v/>
      </c>
      <c r="H228" s="1" t="str">
        <f>IF(D228="","",MAX(0,后台计算!EZ224-F228))</f>
        <v/>
      </c>
    </row>
    <row r="229" spans="1:8" ht="38.1" customHeight="1">
      <c r="A229" s="1" t="str">
        <f t="shared" si="3"/>
        <v/>
      </c>
      <c r="B229" s="1" t="str">
        <f>IF(后台计算!D226="","",后台计算!DH226)</f>
        <v/>
      </c>
      <c r="C229" s="1" t="str">
        <f>IF(后台计算!D226="","",后台计算!EX226)</f>
        <v/>
      </c>
      <c r="D229" s="1" t="str">
        <f>IF(行动模拟!D232="","",行动模拟!D232)</f>
        <v/>
      </c>
      <c r="E229" s="1" t="str">
        <f>IF(后台计算!D226="","",后台计算!EY226)</f>
        <v/>
      </c>
      <c r="F229" s="1" t="str">
        <f>IF(后台计算!D226="","",后台计算!AW226)</f>
        <v/>
      </c>
      <c r="G229" s="1" t="str">
        <f>IF(后台计算!D226="","",后台计算!EZ226)</f>
        <v/>
      </c>
      <c r="H229" s="1" t="str">
        <f>IF(D229="","",MAX(0,后台计算!EZ225-F229))</f>
        <v/>
      </c>
    </row>
    <row r="230" spans="1:8" ht="38.1" customHeight="1">
      <c r="A230" s="1" t="str">
        <f t="shared" si="3"/>
        <v/>
      </c>
      <c r="B230" s="1" t="str">
        <f>IF(后台计算!D227="","",后台计算!DH227)</f>
        <v/>
      </c>
      <c r="C230" s="1" t="str">
        <f>IF(后台计算!D227="","",后台计算!EX227)</f>
        <v/>
      </c>
      <c r="D230" s="1" t="str">
        <f>IF(行动模拟!D233="","",行动模拟!D233)</f>
        <v/>
      </c>
      <c r="E230" s="1" t="str">
        <f>IF(后台计算!D227="","",后台计算!EY227)</f>
        <v/>
      </c>
      <c r="F230" s="1" t="str">
        <f>IF(后台计算!D227="","",后台计算!AW227)</f>
        <v/>
      </c>
      <c r="G230" s="1" t="str">
        <f>IF(后台计算!D227="","",后台计算!EZ227)</f>
        <v/>
      </c>
      <c r="H230" s="1" t="str">
        <f>IF(D230="","",MAX(0,后台计算!EZ226-F230))</f>
        <v/>
      </c>
    </row>
    <row r="231" spans="1:8" ht="38.1" customHeight="1">
      <c r="A231" s="1" t="str">
        <f t="shared" si="3"/>
        <v/>
      </c>
      <c r="B231" s="1" t="str">
        <f>IF(后台计算!D228="","",后台计算!DH228)</f>
        <v/>
      </c>
      <c r="C231" s="1" t="str">
        <f>IF(后台计算!D228="","",后台计算!EX228)</f>
        <v/>
      </c>
      <c r="D231" s="1" t="str">
        <f>IF(行动模拟!D234="","",行动模拟!D234)</f>
        <v/>
      </c>
      <c r="E231" s="1" t="str">
        <f>IF(后台计算!D228="","",后台计算!EY228)</f>
        <v/>
      </c>
      <c r="F231" s="1" t="str">
        <f>IF(后台计算!D228="","",后台计算!AW228)</f>
        <v/>
      </c>
      <c r="G231" s="1" t="str">
        <f>IF(后台计算!D228="","",后台计算!EZ228)</f>
        <v/>
      </c>
      <c r="H231" s="1" t="str">
        <f>IF(D231="","",MAX(0,后台计算!EZ227-F231))</f>
        <v/>
      </c>
    </row>
    <row r="232" spans="1:8" ht="38.1" customHeight="1">
      <c r="A232" s="1" t="str">
        <f t="shared" si="3"/>
        <v/>
      </c>
      <c r="B232" s="1" t="str">
        <f>IF(后台计算!D229="","",后台计算!DH229)</f>
        <v/>
      </c>
      <c r="C232" s="1" t="str">
        <f>IF(后台计算!D229="","",后台计算!EX229)</f>
        <v/>
      </c>
      <c r="D232" s="1" t="str">
        <f>IF(行动模拟!D235="","",行动模拟!D235)</f>
        <v/>
      </c>
      <c r="E232" s="1" t="str">
        <f>IF(后台计算!D229="","",后台计算!EY229)</f>
        <v/>
      </c>
      <c r="F232" s="1" t="str">
        <f>IF(后台计算!D229="","",后台计算!AW229)</f>
        <v/>
      </c>
      <c r="G232" s="1" t="str">
        <f>IF(后台计算!D229="","",后台计算!EZ229)</f>
        <v/>
      </c>
      <c r="H232" s="1" t="str">
        <f>IF(D232="","",MAX(0,后台计算!EZ228-F232))</f>
        <v/>
      </c>
    </row>
    <row r="233" spans="1:8" ht="38.1" customHeight="1">
      <c r="A233" s="1" t="str">
        <f t="shared" si="3"/>
        <v/>
      </c>
      <c r="B233" s="1" t="str">
        <f>IF(后台计算!D230="","",后台计算!DH230)</f>
        <v/>
      </c>
      <c r="C233" s="1" t="str">
        <f>IF(后台计算!D230="","",后台计算!EX230)</f>
        <v/>
      </c>
      <c r="D233" s="1" t="str">
        <f>IF(行动模拟!D236="","",行动模拟!D236)</f>
        <v/>
      </c>
      <c r="E233" s="1" t="str">
        <f>IF(后台计算!D230="","",后台计算!EY230)</f>
        <v/>
      </c>
      <c r="F233" s="1" t="str">
        <f>IF(后台计算!D230="","",后台计算!AW230)</f>
        <v/>
      </c>
      <c r="G233" s="1" t="str">
        <f>IF(后台计算!D230="","",后台计算!EZ230)</f>
        <v/>
      </c>
      <c r="H233" s="1" t="str">
        <f>IF(D233="","",MAX(0,后台计算!EZ229-F233))</f>
        <v/>
      </c>
    </row>
    <row r="234" spans="1:8" ht="38.1" customHeight="1">
      <c r="A234" s="1" t="str">
        <f t="shared" si="3"/>
        <v/>
      </c>
      <c r="B234" s="1" t="str">
        <f>IF(后台计算!D231="","",后台计算!DH231)</f>
        <v/>
      </c>
      <c r="C234" s="1" t="str">
        <f>IF(后台计算!D231="","",后台计算!EX231)</f>
        <v/>
      </c>
      <c r="D234" s="1" t="str">
        <f>IF(行动模拟!D237="","",行动模拟!D237)</f>
        <v/>
      </c>
      <c r="E234" s="1" t="str">
        <f>IF(后台计算!D231="","",后台计算!EY231)</f>
        <v/>
      </c>
      <c r="F234" s="1" t="str">
        <f>IF(后台计算!D231="","",后台计算!AW231)</f>
        <v/>
      </c>
      <c r="G234" s="1" t="str">
        <f>IF(后台计算!D231="","",后台计算!EZ231)</f>
        <v/>
      </c>
      <c r="H234" s="1" t="str">
        <f>IF(D234="","",MAX(0,后台计算!EZ230-F234))</f>
        <v/>
      </c>
    </row>
    <row r="235" spans="1:8" ht="38.1" customHeight="1">
      <c r="A235" s="1" t="str">
        <f t="shared" si="3"/>
        <v/>
      </c>
      <c r="B235" s="1" t="str">
        <f>IF(后台计算!D232="","",后台计算!DH232)</f>
        <v/>
      </c>
      <c r="C235" s="1" t="str">
        <f>IF(后台计算!D232="","",后台计算!EX232)</f>
        <v/>
      </c>
      <c r="D235" s="1" t="str">
        <f>IF(行动模拟!D238="","",行动模拟!D238)</f>
        <v/>
      </c>
      <c r="E235" s="1" t="str">
        <f>IF(后台计算!D232="","",后台计算!EY232)</f>
        <v/>
      </c>
      <c r="F235" s="1" t="str">
        <f>IF(后台计算!D232="","",后台计算!AW232)</f>
        <v/>
      </c>
      <c r="G235" s="1" t="str">
        <f>IF(后台计算!D232="","",后台计算!EZ232)</f>
        <v/>
      </c>
      <c r="H235" s="1" t="str">
        <f>IF(D235="","",MAX(0,后台计算!EZ231-F235))</f>
        <v/>
      </c>
    </row>
    <row r="236" spans="1:8" ht="38.1" customHeight="1">
      <c r="A236" s="1" t="str">
        <f t="shared" si="3"/>
        <v/>
      </c>
      <c r="B236" s="1" t="str">
        <f>IF(后台计算!D233="","",后台计算!DH233)</f>
        <v/>
      </c>
      <c r="C236" s="1" t="str">
        <f>IF(后台计算!D233="","",后台计算!EX233)</f>
        <v/>
      </c>
      <c r="D236" s="1" t="str">
        <f>IF(行动模拟!D239="","",行动模拟!D239)</f>
        <v/>
      </c>
      <c r="E236" s="1" t="str">
        <f>IF(后台计算!D233="","",后台计算!EY233)</f>
        <v/>
      </c>
      <c r="F236" s="1" t="str">
        <f>IF(后台计算!D233="","",后台计算!AW233)</f>
        <v/>
      </c>
      <c r="G236" s="1" t="str">
        <f>IF(后台计算!D233="","",后台计算!EZ233)</f>
        <v/>
      </c>
      <c r="H236" s="1" t="str">
        <f>IF(D236="","",MAX(0,后台计算!EZ232-F236))</f>
        <v/>
      </c>
    </row>
    <row r="237" spans="1:8" ht="38.1" customHeight="1">
      <c r="A237" s="1" t="str">
        <f t="shared" si="3"/>
        <v/>
      </c>
      <c r="B237" s="1" t="str">
        <f>IF(后台计算!D234="","",后台计算!DH234)</f>
        <v/>
      </c>
      <c r="C237" s="1" t="str">
        <f>IF(后台计算!D234="","",后台计算!EX234)</f>
        <v/>
      </c>
      <c r="D237" s="1" t="str">
        <f>IF(行动模拟!D240="","",行动模拟!D240)</f>
        <v/>
      </c>
      <c r="E237" s="1" t="str">
        <f>IF(后台计算!D234="","",后台计算!EY234)</f>
        <v/>
      </c>
      <c r="F237" s="1" t="str">
        <f>IF(后台计算!D234="","",后台计算!AW234)</f>
        <v/>
      </c>
      <c r="G237" s="1" t="str">
        <f>IF(后台计算!D234="","",后台计算!EZ234)</f>
        <v/>
      </c>
      <c r="H237" s="1" t="str">
        <f>IF(D237="","",MAX(0,后台计算!EZ233-F237))</f>
        <v/>
      </c>
    </row>
    <row r="238" spans="1:8" ht="38.1" customHeight="1">
      <c r="A238" s="1" t="str">
        <f t="shared" si="3"/>
        <v/>
      </c>
      <c r="B238" s="1" t="str">
        <f>IF(后台计算!D235="","",后台计算!DH235)</f>
        <v/>
      </c>
      <c r="C238" s="1" t="str">
        <f>IF(后台计算!D235="","",后台计算!EX235)</f>
        <v/>
      </c>
      <c r="D238" s="1" t="str">
        <f>IF(行动模拟!D241="","",行动模拟!D241)</f>
        <v/>
      </c>
      <c r="E238" s="1" t="str">
        <f>IF(后台计算!D235="","",后台计算!EY235)</f>
        <v/>
      </c>
      <c r="F238" s="1" t="str">
        <f>IF(后台计算!D235="","",后台计算!AW235)</f>
        <v/>
      </c>
      <c r="G238" s="1" t="str">
        <f>IF(后台计算!D235="","",后台计算!EZ235)</f>
        <v/>
      </c>
      <c r="H238" s="1" t="str">
        <f>IF(D238="","",MAX(0,后台计算!EZ234-F238))</f>
        <v/>
      </c>
    </row>
    <row r="239" spans="1:8" ht="38.1" customHeight="1">
      <c r="A239" s="1" t="str">
        <f t="shared" si="3"/>
        <v/>
      </c>
      <c r="B239" s="1" t="str">
        <f>IF(后台计算!D236="","",后台计算!DH236)</f>
        <v/>
      </c>
      <c r="C239" s="1" t="str">
        <f>IF(后台计算!D236="","",后台计算!EX236)</f>
        <v/>
      </c>
      <c r="D239" s="1" t="str">
        <f>IF(行动模拟!D242="","",行动模拟!D242)</f>
        <v/>
      </c>
      <c r="E239" s="1" t="str">
        <f>IF(后台计算!D236="","",后台计算!EY236)</f>
        <v/>
      </c>
      <c r="F239" s="1" t="str">
        <f>IF(后台计算!D236="","",后台计算!AW236)</f>
        <v/>
      </c>
      <c r="G239" s="1" t="str">
        <f>IF(后台计算!D236="","",后台计算!EZ236)</f>
        <v/>
      </c>
      <c r="H239" s="1" t="str">
        <f>IF(D239="","",MAX(0,后台计算!EZ235-F239))</f>
        <v/>
      </c>
    </row>
    <row r="240" spans="1:8" ht="38.1" customHeight="1">
      <c r="A240" s="1" t="str">
        <f t="shared" si="3"/>
        <v/>
      </c>
      <c r="B240" s="1" t="str">
        <f>IF(后台计算!D237="","",后台计算!DH237)</f>
        <v/>
      </c>
      <c r="C240" s="1" t="str">
        <f>IF(后台计算!D237="","",后台计算!EX237)</f>
        <v/>
      </c>
      <c r="D240" s="1" t="str">
        <f>IF(行动模拟!D243="","",行动模拟!D243)</f>
        <v/>
      </c>
      <c r="E240" s="1" t="str">
        <f>IF(后台计算!D237="","",后台计算!EY237)</f>
        <v/>
      </c>
      <c r="F240" s="1" t="str">
        <f>IF(后台计算!D237="","",后台计算!AW237)</f>
        <v/>
      </c>
      <c r="G240" s="1" t="str">
        <f>IF(后台计算!D237="","",后台计算!EZ237)</f>
        <v/>
      </c>
      <c r="H240" s="1" t="str">
        <f>IF(D240="","",MAX(0,后台计算!EZ236-F240))</f>
        <v/>
      </c>
    </row>
    <row r="241" spans="1:8" ht="38.1" customHeight="1">
      <c r="A241" s="1" t="str">
        <f t="shared" si="3"/>
        <v/>
      </c>
      <c r="B241" s="1" t="str">
        <f>IF(后台计算!D238="","",后台计算!DH238)</f>
        <v/>
      </c>
      <c r="C241" s="1" t="str">
        <f>IF(后台计算!D238="","",后台计算!EX238)</f>
        <v/>
      </c>
      <c r="D241" s="1" t="str">
        <f>IF(行动模拟!D244="","",行动模拟!D244)</f>
        <v/>
      </c>
      <c r="E241" s="1" t="str">
        <f>IF(后台计算!D238="","",后台计算!EY238)</f>
        <v/>
      </c>
      <c r="F241" s="1" t="str">
        <f>IF(后台计算!D238="","",后台计算!AW238)</f>
        <v/>
      </c>
      <c r="G241" s="1" t="str">
        <f>IF(后台计算!D238="","",后台计算!EZ238)</f>
        <v/>
      </c>
      <c r="H241" s="1" t="str">
        <f>IF(D241="","",MAX(0,后台计算!EZ237-F241))</f>
        <v/>
      </c>
    </row>
    <row r="242" spans="1:8" ht="38.1" customHeight="1">
      <c r="A242" s="1" t="str">
        <f t="shared" si="3"/>
        <v/>
      </c>
      <c r="B242" s="1" t="str">
        <f>IF(后台计算!D239="","",后台计算!DH239)</f>
        <v/>
      </c>
      <c r="C242" s="1" t="str">
        <f>IF(后台计算!D239="","",后台计算!EX239)</f>
        <v/>
      </c>
      <c r="D242" s="1" t="str">
        <f>IF(行动模拟!D245="","",行动模拟!D245)</f>
        <v/>
      </c>
      <c r="E242" s="1" t="str">
        <f>IF(后台计算!D239="","",后台计算!EY239)</f>
        <v/>
      </c>
      <c r="F242" s="1" t="str">
        <f>IF(后台计算!D239="","",后台计算!AW239)</f>
        <v/>
      </c>
      <c r="G242" s="1" t="str">
        <f>IF(后台计算!D239="","",后台计算!EZ239)</f>
        <v/>
      </c>
      <c r="H242" s="1" t="str">
        <f>IF(D242="","",MAX(0,后台计算!EZ238-F242))</f>
        <v/>
      </c>
    </row>
    <row r="243" spans="1:8" ht="38.1" customHeight="1">
      <c r="A243" s="1" t="str">
        <f t="shared" si="3"/>
        <v/>
      </c>
      <c r="B243" s="1" t="str">
        <f>IF(后台计算!D240="","",后台计算!DH240)</f>
        <v/>
      </c>
      <c r="C243" s="1" t="str">
        <f>IF(后台计算!D240="","",后台计算!EX240)</f>
        <v/>
      </c>
      <c r="D243" s="1" t="str">
        <f>IF(行动模拟!D246="","",行动模拟!D246)</f>
        <v/>
      </c>
      <c r="E243" s="1" t="str">
        <f>IF(后台计算!D240="","",后台计算!EY240)</f>
        <v/>
      </c>
      <c r="F243" s="1" t="str">
        <f>IF(后台计算!D240="","",后台计算!AW240)</f>
        <v/>
      </c>
      <c r="G243" s="1" t="str">
        <f>IF(后台计算!D240="","",后台计算!EZ240)</f>
        <v/>
      </c>
      <c r="H243" s="1" t="str">
        <f>IF(D243="","",MAX(0,后台计算!EZ239-F243))</f>
        <v/>
      </c>
    </row>
    <row r="244" spans="1:8" ht="38.1" customHeight="1">
      <c r="A244" s="1" t="str">
        <f t="shared" si="3"/>
        <v/>
      </c>
      <c r="B244" s="1" t="str">
        <f>IF(后台计算!D241="","",后台计算!DH241)</f>
        <v/>
      </c>
      <c r="C244" s="1" t="str">
        <f>IF(后台计算!D241="","",后台计算!EX241)</f>
        <v/>
      </c>
      <c r="D244" s="1" t="str">
        <f>IF(行动模拟!D247="","",行动模拟!D247)</f>
        <v/>
      </c>
      <c r="E244" s="1" t="str">
        <f>IF(后台计算!D241="","",后台计算!EY241)</f>
        <v/>
      </c>
      <c r="F244" s="1" t="str">
        <f>IF(后台计算!D241="","",后台计算!AW241)</f>
        <v/>
      </c>
      <c r="G244" s="1" t="str">
        <f>IF(后台计算!D241="","",后台计算!EZ241)</f>
        <v/>
      </c>
      <c r="H244" s="1" t="str">
        <f>IF(D244="","",MAX(0,后台计算!EZ240-F244))</f>
        <v/>
      </c>
    </row>
    <row r="245" spans="1:8" ht="38.1" customHeight="1">
      <c r="A245" s="1" t="str">
        <f t="shared" si="3"/>
        <v/>
      </c>
      <c r="B245" s="1" t="str">
        <f>IF(后台计算!D242="","",后台计算!DH242)</f>
        <v/>
      </c>
      <c r="C245" s="1" t="str">
        <f>IF(后台计算!D242="","",后台计算!EX242)</f>
        <v/>
      </c>
      <c r="D245" s="1" t="str">
        <f>IF(行动模拟!D248="","",行动模拟!D248)</f>
        <v/>
      </c>
      <c r="E245" s="1" t="str">
        <f>IF(后台计算!D242="","",后台计算!EY242)</f>
        <v/>
      </c>
      <c r="F245" s="1" t="str">
        <f>IF(后台计算!D242="","",后台计算!AW242)</f>
        <v/>
      </c>
      <c r="G245" s="1" t="str">
        <f>IF(后台计算!D242="","",后台计算!EZ242)</f>
        <v/>
      </c>
      <c r="H245" s="1" t="str">
        <f>IF(D245="","",MAX(0,后台计算!EZ241-F245))</f>
        <v/>
      </c>
    </row>
  </sheetData>
  <sheetProtection algorithmName="SHA-512" hashValue="i1J6Yfms1RndVNf+Y7+0bs7jI6yyq3Z/QWGD12iKIjuiafvC84YTQFp9Tw0QW97n5MDkZE7mCRzvSBXB9rOoZA==" saltValue="a/2276y35V0/VgTjJClgmw==" spinCount="100000" sheet="1" objects="1" scenarios="1"/>
  <mergeCells count="2">
    <mergeCell ref="A1:H1"/>
    <mergeCell ref="A2:H2"/>
  </mergeCells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AA245"/>
  <sheetViews>
    <sheetView showGridLines="0" tabSelected="1" workbookViewId="0">
      <pane ySplit="3" topLeftCell="A4" activePane="bottomLeft" state="frozen"/>
      <selection activeCell="B11" sqref="B11"/>
      <selection pane="bottomLeft" activeCell="E7" sqref="E7"/>
    </sheetView>
  </sheetViews>
  <sheetFormatPr defaultRowHeight="14.25"/>
  <cols>
    <col min="1" max="18" width="11" customWidth="1"/>
    <col min="21" max="21" width="12" customWidth="1"/>
    <col min="22" max="23" width="23" customWidth="1"/>
    <col min="24" max="24" width="24" customWidth="1"/>
    <col min="25" max="27" width="18" customWidth="1"/>
  </cols>
  <sheetData>
    <row r="1" spans="1:27" ht="35.1" customHeight="1">
      <c r="A1" s="36" t="s">
        <v>794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spans="1:27" ht="24" customHeight="1">
      <c r="A2" s="37" t="s">
        <v>795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27" ht="24" customHeight="1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27" ht="24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</row>
    <row r="5" spans="1:27" ht="35.1" customHeight="1">
      <c r="A5" s="38" t="s">
        <v>796</v>
      </c>
      <c r="B5" s="38"/>
      <c r="C5" s="38"/>
      <c r="D5" s="38"/>
      <c r="E5" s="16"/>
      <c r="F5" s="38" t="s">
        <v>797</v>
      </c>
      <c r="G5" s="38"/>
      <c r="H5" s="38"/>
      <c r="I5" s="38"/>
      <c r="J5" s="16"/>
      <c r="K5" s="38" t="s">
        <v>798</v>
      </c>
      <c r="L5" s="38"/>
      <c r="M5" s="38"/>
      <c r="N5" s="38"/>
      <c r="O5" s="16"/>
      <c r="P5" s="38" t="s">
        <v>799</v>
      </c>
      <c r="Q5" s="38"/>
      <c r="R5" s="38"/>
      <c r="U5" s="23" t="s">
        <v>800</v>
      </c>
      <c r="V5" s="23" t="s">
        <v>1</v>
      </c>
      <c r="W5" s="23" t="s">
        <v>801</v>
      </c>
      <c r="X5" s="23" t="s">
        <v>802</v>
      </c>
      <c r="Y5" s="23" t="s">
        <v>803</v>
      </c>
      <c r="Z5" s="23" t="s">
        <v>381</v>
      </c>
      <c r="AA5" s="23" t="s">
        <v>804</v>
      </c>
    </row>
    <row r="6" spans="1:27" ht="27" customHeight="1">
      <c r="A6" s="39">
        <f>SUM($Z$6:$Z$245)</f>
        <v>23210479</v>
      </c>
      <c r="B6" s="39"/>
      <c r="C6" s="39"/>
      <c r="D6" s="39"/>
      <c r="E6" s="16"/>
      <c r="F6" s="39">
        <f>A6/$N$119</f>
        <v>3315782.7142857141</v>
      </c>
      <c r="G6" s="39"/>
      <c r="H6" s="39"/>
      <c r="I6" s="39"/>
      <c r="J6" s="16"/>
      <c r="K6" s="39">
        <f>A6/$N$121</f>
        <v>2901309.875</v>
      </c>
      <c r="L6" s="39"/>
      <c r="M6" s="39"/>
      <c r="N6" s="39"/>
      <c r="O6" s="16"/>
      <c r="P6" s="40">
        <f>SUM($AA$6:$AA$245)</f>
        <v>104</v>
      </c>
      <c r="Q6" s="40"/>
      <c r="R6" s="40"/>
      <c r="U6" s="17">
        <f>IF(行动模拟!D9="","",ROW(行动模拟!D9))</f>
        <v>9</v>
      </c>
      <c r="V6" s="17" t="str">
        <f>IF(行动模拟!D9="","",后台计算!E3)</f>
        <v>小瑞安侬</v>
      </c>
      <c r="W6" s="17" t="str">
        <f>IF(行动模拟!D9="","",后台计算!F3)</f>
        <v>悄冥冥术阵</v>
      </c>
      <c r="X6" s="17">
        <f>IF(行动模拟!D9="","",行动模拟!B9)</f>
        <v>1</v>
      </c>
      <c r="Y6" s="17">
        <f>IF(行动模拟!D9="","",INDEX(回合状态!$B$7:$B$17,MATCH(行动模拟!B9,回合状态!$A$7:$A$17,0)))</f>
        <v>1</v>
      </c>
      <c r="Z6" s="24" t="str">
        <f>IF(ISNUMBER(行动模拟!R9),行动模拟!R9,"")</f>
        <v/>
      </c>
      <c r="AA6" s="17">
        <f>IF(ISNUMBER(行动模拟!R9),1,0)</f>
        <v>0</v>
      </c>
    </row>
    <row r="7" spans="1:27" ht="27" customHeight="1">
      <c r="A7" s="39"/>
      <c r="B7" s="39"/>
      <c r="C7" s="39"/>
      <c r="D7" s="39"/>
      <c r="E7" s="16"/>
      <c r="F7" s="39"/>
      <c r="G7" s="39"/>
      <c r="H7" s="39"/>
      <c r="I7" s="39"/>
      <c r="J7" s="16"/>
      <c r="K7" s="39"/>
      <c r="L7" s="39"/>
      <c r="M7" s="39"/>
      <c r="N7" s="39"/>
      <c r="O7" s="16"/>
      <c r="P7" s="40"/>
      <c r="Q7" s="40"/>
      <c r="R7" s="40"/>
      <c r="U7" s="17">
        <f>IF(行动模拟!D10="","",ROW(行动模拟!D10))</f>
        <v>10</v>
      </c>
      <c r="V7" s="17" t="str">
        <f>IF(行动模拟!D10="","",后台计算!E4)</f>
        <v>J</v>
      </c>
      <c r="W7" s="17" t="str">
        <f>IF(行动模拟!D10="","",后台计算!F4)</f>
        <v>热处理</v>
      </c>
      <c r="X7" s="17">
        <f>IF(行动模拟!D10="","",行动模拟!B10)</f>
        <v>1</v>
      </c>
      <c r="Y7" s="17">
        <f>IF(行动模拟!D10="","",INDEX(回合状态!$B$7:$B$17,MATCH(行动模拟!B10,回合状态!$A$7:$A$17,0)))</f>
        <v>1</v>
      </c>
      <c r="Z7" s="24" t="str">
        <f>IF(ISNUMBER(行动模拟!R10),行动模拟!R10,"")</f>
        <v/>
      </c>
      <c r="AA7" s="17">
        <f>IF(ISNUMBER(行动模拟!R10),1,0)</f>
        <v>0</v>
      </c>
    </row>
    <row r="8" spans="1:27" ht="27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U8" s="17">
        <f>IF(行动模拟!D11="","",ROW(行动模拟!D11))</f>
        <v>11</v>
      </c>
      <c r="V8" s="17" t="str">
        <f>IF(行动模拟!D11="","",后台计算!E5)</f>
        <v>红弩箭</v>
      </c>
      <c r="W8" s="17" t="str">
        <f>IF(行动模拟!D11="","",后台计算!F5)</f>
        <v>眼镜蛇机动</v>
      </c>
      <c r="X8" s="17">
        <f>IF(行动模拟!D11="","",行动模拟!B11)</f>
        <v>1</v>
      </c>
      <c r="Y8" s="17">
        <f>IF(行动模拟!D11="","",INDEX(回合状态!$B$7:$B$17,MATCH(行动模拟!B11,回合状态!$A$7:$A$17,0)))</f>
        <v>1</v>
      </c>
      <c r="Z8" s="24" t="str">
        <f>IF(ISNUMBER(行动模拟!R11),行动模拟!R11,"")</f>
        <v/>
      </c>
      <c r="AA8" s="17">
        <f>IF(ISNUMBER(行动模拟!R11),1,0)</f>
        <v>0</v>
      </c>
    </row>
    <row r="9" spans="1:27" ht="27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U9" s="17">
        <f>IF(行动模拟!D12="","",ROW(行动模拟!D12))</f>
        <v>12</v>
      </c>
      <c r="V9" s="17" t="str">
        <f>IF(行动模拟!D12="","",后台计算!E6)</f>
        <v>红弩箭</v>
      </c>
      <c r="W9" s="17" t="str">
        <f>IF(行动模拟!D12="","",后台计算!F6)</f>
        <v>极限俯冲</v>
      </c>
      <c r="X9" s="17">
        <f>IF(行动模拟!D12="","",行动模拟!B12)</f>
        <v>1</v>
      </c>
      <c r="Y9" s="17">
        <f>IF(行动模拟!D12="","",INDEX(回合状态!$B$7:$B$17,MATCH(行动模拟!B12,回合状态!$A$7:$A$17,0)))</f>
        <v>1</v>
      </c>
      <c r="Z9" s="24">
        <f>IF(ISNUMBER(行动模拟!R12),行动模拟!R12,"")</f>
        <v>73241</v>
      </c>
      <c r="AA9" s="17">
        <f>IF(ISNUMBER(行动模拟!R12),1,0)</f>
        <v>1</v>
      </c>
    </row>
    <row r="10" spans="1:27" ht="35.1" customHeight="1">
      <c r="A10" s="23" t="s">
        <v>1</v>
      </c>
      <c r="B10" s="23" t="s">
        <v>396</v>
      </c>
      <c r="C10" s="23" t="s">
        <v>805</v>
      </c>
      <c r="D10" s="23" t="s">
        <v>806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U10" s="17">
        <f>IF(行动模拟!D13="","",ROW(行动模拟!D13))</f>
        <v>13</v>
      </c>
      <c r="V10" s="17" t="str">
        <f>IF(行动模拟!D13="","",后台计算!E7)</f>
        <v>J</v>
      </c>
      <c r="W10" s="17" t="str">
        <f>IF(行动模拟!D13="","",后台计算!F7)</f>
        <v>高温回火</v>
      </c>
      <c r="X10" s="17">
        <f>IF(行动模拟!D13="","",行动模拟!B13)</f>
        <v>1</v>
      </c>
      <c r="Y10" s="17">
        <f>IF(行动模拟!D13="","",INDEX(回合状态!$B$7:$B$17,MATCH(行动模拟!B13,回合状态!$A$7:$A$17,0)))</f>
        <v>1</v>
      </c>
      <c r="Z10" s="24">
        <f>IF(ISNUMBER(行动模拟!R13),行动模拟!R13,"")</f>
        <v>1231</v>
      </c>
      <c r="AA10" s="17">
        <f>IF(ISNUMBER(行动模拟!R13),1,0)</f>
        <v>1</v>
      </c>
    </row>
    <row r="11" spans="1:27" ht="32.1" customHeight="1">
      <c r="A11" s="25" t="s">
        <v>14</v>
      </c>
      <c r="B11" s="24">
        <f>SUMIFS($Z$6:$Z$245,$V$6:$V$245,A11)</f>
        <v>21911267</v>
      </c>
      <c r="C11" s="29">
        <f>B11/$A$6</f>
        <v>0.9440247657103501</v>
      </c>
      <c r="D11" s="17">
        <f>SUMIFS($AA$6:$AA$245,$V$6:$V$245,A11)</f>
        <v>30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U11" s="17">
        <f>IF(行动模拟!D14="","",ROW(行动模拟!D14))</f>
        <v>14</v>
      </c>
      <c r="V11" s="17" t="str">
        <f>IF(行动模拟!D14="","",后台计算!E8)</f>
        <v>37</v>
      </c>
      <c r="W11" s="17" t="str">
        <f>IF(行动模拟!D14="","",后台计算!F8)</f>
        <v>补充算式</v>
      </c>
      <c r="X11" s="17">
        <f>IF(行动模拟!D14="","",行动模拟!B14)</f>
        <v>1</v>
      </c>
      <c r="Y11" s="17">
        <f>IF(行动模拟!D14="","",INDEX(回合状态!$B$7:$B$17,MATCH(行动模拟!B14,回合状态!$A$7:$A$17,0)))</f>
        <v>1</v>
      </c>
      <c r="Z11" s="24">
        <f>IF(ISNUMBER(行动模拟!R14),行动模拟!R14,"")</f>
        <v>8414</v>
      </c>
      <c r="AA11" s="17">
        <f>IF(ISNUMBER(行动模拟!R14),1,0)</f>
        <v>1</v>
      </c>
    </row>
    <row r="12" spans="1:27" ht="32.1" customHeight="1">
      <c r="A12" s="26" t="s">
        <v>16</v>
      </c>
      <c r="B12" s="24">
        <f>SUMIFS($Z$6:$Z$245,$V$6:$V$245,A12)</f>
        <v>917506</v>
      </c>
      <c r="C12" s="29">
        <f>B12/$A$6</f>
        <v>3.95298175449115E-2</v>
      </c>
      <c r="D12" s="17">
        <f>SUMIFS($AA$6:$AA$245,$V$6:$V$245,A12)</f>
        <v>35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U12" s="17">
        <f>IF(行动模拟!D15="","",ROW(行动模拟!D15))</f>
        <v>15</v>
      </c>
      <c r="V12" s="17" t="str">
        <f>IF(行动模拟!D15="","",后台计算!E9)</f>
        <v>J</v>
      </c>
      <c r="W12" s="17" t="str">
        <f>IF(行动模拟!D15="","",后台计算!F9)</f>
        <v>高温回火</v>
      </c>
      <c r="X12" s="17">
        <f>IF(行动模拟!D15="","",行动模拟!B15)</f>
        <v>1</v>
      </c>
      <c r="Y12" s="17">
        <f>IF(行动模拟!D15="","",INDEX(回合状态!$B$7:$B$17,MATCH(行动模拟!B15,回合状态!$A$7:$A$17,0)))</f>
        <v>1</v>
      </c>
      <c r="Z12" s="24">
        <f>IF(ISNUMBER(行动模拟!R15),行动模拟!R15,"")</f>
        <v>1474</v>
      </c>
      <c r="AA12" s="17">
        <f>IF(ISNUMBER(行动模拟!R15),1,0)</f>
        <v>1</v>
      </c>
    </row>
    <row r="13" spans="1:27" ht="32.1" customHeight="1">
      <c r="A13" s="27" t="s">
        <v>19</v>
      </c>
      <c r="B13" s="24">
        <f>SUMIFS($Z$6:$Z$245,$V$6:$V$245,A13)</f>
        <v>339268</v>
      </c>
      <c r="C13" s="29">
        <f>B13/$A$6</f>
        <v>1.4617018459636271E-2</v>
      </c>
      <c r="D13" s="17">
        <f>SUMIFS($AA$6:$AA$245,$V$6:$V$245,A13)</f>
        <v>32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U13" s="17">
        <f>IF(行动模拟!D16="","",ROW(行动模拟!D16))</f>
        <v>16</v>
      </c>
      <c r="V13" s="17" t="str">
        <f>IF(行动模拟!D16="","",后台计算!E10)</f>
        <v>J</v>
      </c>
      <c r="W13" s="17" t="str">
        <f>IF(行动模拟!D16="","",后台计算!F10)</f>
        <v>高温回火</v>
      </c>
      <c r="X13" s="17">
        <f>IF(行动模拟!D16="","",行动模拟!B16)</f>
        <v>1</v>
      </c>
      <c r="Y13" s="17">
        <f>IF(行动模拟!D16="","",INDEX(回合状态!$B$7:$B$17,MATCH(行动模拟!B16,回合状态!$A$7:$A$17,0)))</f>
        <v>1</v>
      </c>
      <c r="Z13" s="24">
        <f>IF(ISNUMBER(行动模拟!R16),行动模拟!R16,"")</f>
        <v>1745</v>
      </c>
      <c r="AA13" s="17">
        <f>IF(ISNUMBER(行动模拟!R16),1,0)</f>
        <v>1</v>
      </c>
    </row>
    <row r="14" spans="1:27" ht="32.1" customHeight="1">
      <c r="A14" s="28" t="s">
        <v>17</v>
      </c>
      <c r="B14" s="24">
        <f>SUMIFS($Z$6:$Z$245,$V$6:$V$245,A14)</f>
        <v>42438</v>
      </c>
      <c r="C14" s="29">
        <f>B14/$A$6</f>
        <v>1.8283982851021729E-3</v>
      </c>
      <c r="D14" s="17">
        <f>SUMIFS($AA$6:$AA$245,$V$6:$V$245,A14)</f>
        <v>7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U14" s="17">
        <f>IF(行动模拟!D17="","",ROW(行动模拟!D17))</f>
        <v>17</v>
      </c>
      <c r="V14" s="17" t="str">
        <f>IF(行动模拟!D17="","",后台计算!E11)</f>
        <v>J</v>
      </c>
      <c r="W14" s="17" t="str">
        <f>IF(行动模拟!D17="","",后台计算!F11)</f>
        <v>高温回火</v>
      </c>
      <c r="X14" s="17">
        <f>IF(行动模拟!D17="","",行动模拟!B17)</f>
        <v>1</v>
      </c>
      <c r="Y14" s="17">
        <f>IF(行动模拟!D17="","",INDEX(回合状态!$B$7:$B$17,MATCH(行动模拟!B17,回合状态!$A$7:$A$17,0)))</f>
        <v>1</v>
      </c>
      <c r="Z14" s="24">
        <f>IF(ISNUMBER(行动模拟!R17),行动模拟!R17,"")</f>
        <v>2076</v>
      </c>
      <c r="AA14" s="17">
        <f>IF(ISNUMBER(行动模拟!R17),1,0)</f>
        <v>1</v>
      </c>
    </row>
    <row r="15" spans="1:27" ht="32.1" customHeight="1">
      <c r="A15" s="30" t="s">
        <v>807</v>
      </c>
      <c r="B15" s="31">
        <f>SUM(B11:B14)</f>
        <v>23210479</v>
      </c>
      <c r="C15" s="32">
        <f>SUM(C11:C14)</f>
        <v>1</v>
      </c>
      <c r="D15" s="30">
        <f>SUM(D11:D14)</f>
        <v>104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U15" s="17">
        <f>IF(行动模拟!D18="","",ROW(行动模拟!D18))</f>
        <v>18</v>
      </c>
      <c r="V15" s="17" t="str">
        <f>IF(行动模拟!D18="","",后台计算!E12)</f>
        <v>小瑞安侬</v>
      </c>
      <c r="W15" s="17" t="str">
        <f>IF(行动模拟!D18="","",后台计算!F12)</f>
        <v>唱予无忧之诗</v>
      </c>
      <c r="X15" s="17">
        <f>IF(行动模拟!D18="","",行动模拟!B18)</f>
        <v>2</v>
      </c>
      <c r="Y15" s="17">
        <f>IF(行动模拟!D18="","",INDEX(回合状态!$B$7:$B$17,MATCH(行动模拟!B18,回合状态!$A$7:$A$17,0)))</f>
        <v>2</v>
      </c>
      <c r="Z15" s="24" t="str">
        <f>IF(ISNUMBER(行动模拟!R18),行动模拟!R18,"")</f>
        <v/>
      </c>
      <c r="AA15" s="17">
        <f>IF(ISNUMBER(行动模拟!R18),1,0)</f>
        <v>0</v>
      </c>
    </row>
    <row r="16" spans="1:27" ht="27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U16" s="17">
        <f>IF(行动模拟!D19="","",ROW(行动模拟!D19))</f>
        <v>19</v>
      </c>
      <c r="V16" s="17" t="str">
        <f>IF(行动模拟!D19="","",后台计算!E13)</f>
        <v>J</v>
      </c>
      <c r="W16" s="17" t="str">
        <f>IF(行动模拟!D19="","",后台计算!F13)</f>
        <v>热处理</v>
      </c>
      <c r="X16" s="17">
        <f>IF(行动模拟!D19="","",行动模拟!B19)</f>
        <v>2</v>
      </c>
      <c r="Y16" s="17">
        <f>IF(行动模拟!D19="","",INDEX(回合状态!$B$7:$B$17,MATCH(行动模拟!B19,回合状态!$A$7:$A$17,0)))</f>
        <v>2</v>
      </c>
      <c r="Z16" s="24" t="str">
        <f>IF(ISNUMBER(行动模拟!R19),行动模拟!R19,"")</f>
        <v/>
      </c>
      <c r="AA16" s="17">
        <f>IF(ISNUMBER(行动模拟!R19),1,0)</f>
        <v>0</v>
      </c>
    </row>
    <row r="17" spans="1:27" ht="27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U17" s="17">
        <f>IF(行动模拟!D20="","",ROW(行动模拟!D20))</f>
        <v>20</v>
      </c>
      <c r="V17" s="17" t="str">
        <f>IF(行动模拟!D20="","",后台计算!E14)</f>
        <v>37</v>
      </c>
      <c r="W17" s="17" t="str">
        <f>IF(行动模拟!D20="","",后台计算!F14)</f>
        <v>补充算式</v>
      </c>
      <c r="X17" s="17">
        <f>IF(行动模拟!D20="","",行动模拟!B20)</f>
        <v>2</v>
      </c>
      <c r="Y17" s="17">
        <f>IF(行动模拟!D20="","",INDEX(回合状态!$B$7:$B$17,MATCH(行动模拟!B20,回合状态!$A$7:$A$17,0)))</f>
        <v>2</v>
      </c>
      <c r="Z17" s="24">
        <f>IF(ISNUMBER(行动模拟!R20),行动模拟!R20,"")</f>
        <v>10531</v>
      </c>
      <c r="AA17" s="17">
        <f>IF(ISNUMBER(行动模拟!R20),1,0)</f>
        <v>1</v>
      </c>
    </row>
    <row r="18" spans="1:27" ht="27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U18" s="17">
        <f>IF(行动模拟!D21="","",ROW(行动模拟!D21))</f>
        <v>21</v>
      </c>
      <c r="V18" s="17" t="str">
        <f>IF(行动模拟!D21="","",后台计算!E15)</f>
        <v>37</v>
      </c>
      <c r="W18" s="17" t="str">
        <f>IF(行动模拟!D21="","",后台计算!F15)</f>
        <v>曲线映射</v>
      </c>
      <c r="X18" s="17">
        <f>IF(行动模拟!D21="","",行动模拟!B21)</f>
        <v>2</v>
      </c>
      <c r="Y18" s="17">
        <f>IF(行动模拟!D21="","",INDEX(回合状态!$B$7:$B$17,MATCH(行动模拟!B21,回合状态!$A$7:$A$17,0)))</f>
        <v>2</v>
      </c>
      <c r="Z18" s="24">
        <f>IF(ISNUMBER(行动模拟!R21),行动模拟!R21,"")</f>
        <v>3921</v>
      </c>
      <c r="AA18" s="17">
        <f>IF(ISNUMBER(行动模拟!R21),1,0)</f>
        <v>1</v>
      </c>
    </row>
    <row r="19" spans="1:27" ht="27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U19" s="17">
        <f>IF(行动模拟!D22="","",ROW(行动模拟!D22))</f>
        <v>22</v>
      </c>
      <c r="V19" s="17" t="str">
        <f>IF(行动模拟!D22="","",后台计算!E16)</f>
        <v>37</v>
      </c>
      <c r="W19" s="17" t="str">
        <f>IF(行动模拟!D22="","",后台计算!F16)</f>
        <v>三角正论</v>
      </c>
      <c r="X19" s="17">
        <f>IF(行动模拟!D22="","",行动模拟!B22)</f>
        <v>2</v>
      </c>
      <c r="Y19" s="17">
        <f>IF(行动模拟!D22="","",INDEX(回合状态!$B$7:$B$17,MATCH(行动模拟!B22,回合状态!$A$7:$A$17,0)))</f>
        <v>2</v>
      </c>
      <c r="Z19" s="24">
        <f>IF(ISNUMBER(行动模拟!R22),行动模拟!R22,"")</f>
        <v>13674</v>
      </c>
      <c r="AA19" s="17">
        <f>IF(ISNUMBER(行动模拟!R22),1,0)</f>
        <v>1</v>
      </c>
    </row>
    <row r="20" spans="1:27" ht="27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U20" s="17">
        <f>IF(行动模拟!D23="","",ROW(行动模拟!D23))</f>
        <v>23</v>
      </c>
      <c r="V20" s="17" t="str">
        <f>IF(行动模拟!D23="","",后台计算!E17)</f>
        <v>J</v>
      </c>
      <c r="W20" s="17" t="str">
        <f>IF(行动模拟!D23="","",后台计算!F17)</f>
        <v>高温回火</v>
      </c>
      <c r="X20" s="17">
        <f>IF(行动模拟!D23="","",行动模拟!B23)</f>
        <v>2</v>
      </c>
      <c r="Y20" s="17">
        <f>IF(行动模拟!D23="","",INDEX(回合状态!$B$7:$B$17,MATCH(行动模拟!B23,回合状态!$A$7:$A$17,0)))</f>
        <v>2</v>
      </c>
      <c r="Z20" s="24">
        <f>IF(ISNUMBER(行动模拟!R23),行动模拟!R23,"")</f>
        <v>2290</v>
      </c>
      <c r="AA20" s="17">
        <f>IF(ISNUMBER(行动模拟!R23),1,0)</f>
        <v>1</v>
      </c>
    </row>
    <row r="21" spans="1:27" ht="27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U21" s="17">
        <f>IF(行动模拟!D24="","",ROW(行动模拟!D24))</f>
        <v>24</v>
      </c>
      <c r="V21" s="17" t="str">
        <f>IF(行动模拟!D24="","",后台计算!E18)</f>
        <v>J</v>
      </c>
      <c r="W21" s="17" t="str">
        <f>IF(行动模拟!D24="","",后台计算!F18)</f>
        <v>高温回火</v>
      </c>
      <c r="X21" s="17">
        <f>IF(行动模拟!D24="","",行动模拟!B24)</f>
        <v>2</v>
      </c>
      <c r="Y21" s="17">
        <f>IF(行动模拟!D24="","",INDEX(回合状态!$B$7:$B$17,MATCH(行动模拟!B24,回合状态!$A$7:$A$17,0)))</f>
        <v>2</v>
      </c>
      <c r="Z21" s="24">
        <f>IF(ISNUMBER(行动模拟!R24),行动模拟!R24,"")</f>
        <v>2661</v>
      </c>
      <c r="AA21" s="17">
        <f>IF(ISNUMBER(行动模拟!R24),1,0)</f>
        <v>1</v>
      </c>
    </row>
    <row r="22" spans="1:27" ht="27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U22" s="17">
        <f>IF(行动模拟!D25="","",ROW(行动模拟!D25))</f>
        <v>25</v>
      </c>
      <c r="V22" s="17" t="str">
        <f>IF(行动模拟!D25="","",后台计算!E19)</f>
        <v>J</v>
      </c>
      <c r="W22" s="17" t="str">
        <f>IF(行动模拟!D25="","",后台计算!F19)</f>
        <v>高温回火</v>
      </c>
      <c r="X22" s="17">
        <f>IF(行动模拟!D25="","",行动模拟!B25)</f>
        <v>2</v>
      </c>
      <c r="Y22" s="17">
        <f>IF(行动模拟!D25="","",INDEX(回合状态!$B$7:$B$17,MATCH(行动模拟!B25,回合状态!$A$7:$A$17,0)))</f>
        <v>2</v>
      </c>
      <c r="Z22" s="24">
        <f>IF(ISNUMBER(行动模拟!R25),行动模拟!R25,"")</f>
        <v>3111</v>
      </c>
      <c r="AA22" s="17">
        <f>IF(ISNUMBER(行动模拟!R25),1,0)</f>
        <v>1</v>
      </c>
    </row>
    <row r="23" spans="1:27" ht="27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U23" s="17">
        <f>IF(行动模拟!D26="","",ROW(行动模拟!D26))</f>
        <v>26</v>
      </c>
      <c r="V23" s="17" t="str">
        <f>IF(行动模拟!D26="","",后台计算!E20)</f>
        <v>37</v>
      </c>
      <c r="W23" s="17" t="str">
        <f>IF(行动模拟!D26="","",后台计算!F20)</f>
        <v>补充算式</v>
      </c>
      <c r="X23" s="17">
        <f>IF(行动模拟!D26="","",行动模拟!B26)</f>
        <v>2</v>
      </c>
      <c r="Y23" s="17">
        <f>IF(行动模拟!D26="","",INDEX(回合状态!$B$7:$B$17,MATCH(行动模拟!B26,回合状态!$A$7:$A$17,0)))</f>
        <v>2</v>
      </c>
      <c r="Z23" s="24">
        <f>IF(ISNUMBER(行动模拟!R26),行动模拟!R26,"")</f>
        <v>15939</v>
      </c>
      <c r="AA23" s="17">
        <f>IF(ISNUMBER(行动模拟!R26),1,0)</f>
        <v>1</v>
      </c>
    </row>
    <row r="24" spans="1:27" ht="27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U24" s="17">
        <f>IF(行动模拟!D27="","",ROW(行动模拟!D27))</f>
        <v>27</v>
      </c>
      <c r="V24" s="17" t="str">
        <f>IF(行动模拟!D27="","",后台计算!E21)</f>
        <v>J</v>
      </c>
      <c r="W24" s="17" t="str">
        <f>IF(行动模拟!D27="","",后台计算!F21)</f>
        <v>高温回火</v>
      </c>
      <c r="X24" s="17">
        <f>IF(行动模拟!D27="","",行动模拟!B27)</f>
        <v>2</v>
      </c>
      <c r="Y24" s="17">
        <f>IF(行动模拟!D27="","",INDEX(回合状态!$B$7:$B$17,MATCH(行动模拟!B27,回合状态!$A$7:$A$17,0)))</f>
        <v>2</v>
      </c>
      <c r="Z24" s="24">
        <f>IF(ISNUMBER(行动模拟!R27),行动模拟!R27,"")</f>
        <v>2501</v>
      </c>
      <c r="AA24" s="17">
        <f>IF(ISNUMBER(行动模拟!R27),1,0)</f>
        <v>1</v>
      </c>
    </row>
    <row r="25" spans="1:27" ht="27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U25" s="17">
        <f>IF(行动模拟!D28="","",ROW(行动模拟!D28))</f>
        <v>28</v>
      </c>
      <c r="V25" s="17" t="str">
        <f>IF(行动模拟!D28="","",后台计算!E22)</f>
        <v>小瑞安侬</v>
      </c>
      <c r="W25" s="17" t="str">
        <f>IF(行动模拟!D28="","",后台计算!F22)</f>
        <v>悄冥冥术阵</v>
      </c>
      <c r="X25" s="17">
        <f>IF(行动模拟!D28="","",行动模拟!B28)</f>
        <v>3</v>
      </c>
      <c r="Y25" s="17">
        <f>IF(行动模拟!D28="","",INDEX(回合状态!$B$7:$B$17,MATCH(行动模拟!B28,回合状态!$A$7:$A$17,0)))</f>
        <v>3</v>
      </c>
      <c r="Z25" s="24" t="str">
        <f>IF(ISNUMBER(行动模拟!R28),行动模拟!R28,"")</f>
        <v/>
      </c>
      <c r="AA25" s="17">
        <f>IF(ISNUMBER(行动模拟!R28),1,0)</f>
        <v>0</v>
      </c>
    </row>
    <row r="26" spans="1:27" ht="27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U26" s="17">
        <f>IF(行动模拟!D29="","",ROW(行动模拟!D29))</f>
        <v>29</v>
      </c>
      <c r="V26" s="17" t="str">
        <f>IF(行动模拟!D29="","",后台计算!E23)</f>
        <v>37</v>
      </c>
      <c r="W26" s="17" t="str">
        <f>IF(行动模拟!D29="","",后台计算!F23)</f>
        <v>数与几何的王国</v>
      </c>
      <c r="X26" s="17">
        <f>IF(行动模拟!D29="","",行动模拟!B29)</f>
        <v>3</v>
      </c>
      <c r="Y26" s="17">
        <f>IF(行动模拟!D29="","",INDEX(回合状态!$B$7:$B$17,MATCH(行动模拟!B29,回合状态!$A$7:$A$17,0)))</f>
        <v>3</v>
      </c>
      <c r="Z26" s="24" t="str">
        <f>IF(ISNUMBER(行动模拟!R29),行动模拟!R29,"")</f>
        <v/>
      </c>
      <c r="AA26" s="17">
        <f>IF(ISNUMBER(行动模拟!R29),1,0)</f>
        <v>0</v>
      </c>
    </row>
    <row r="27" spans="1:27" ht="35.1" customHeight="1">
      <c r="A27" s="38" t="s">
        <v>808</v>
      </c>
      <c r="B27" s="38"/>
      <c r="C27" s="38"/>
      <c r="D27" s="38"/>
      <c r="E27" s="38"/>
      <c r="F27" s="38"/>
      <c r="G27" s="38"/>
      <c r="H27" s="38"/>
      <c r="I27" s="38"/>
      <c r="J27" s="16"/>
      <c r="K27" s="38" t="s">
        <v>809</v>
      </c>
      <c r="L27" s="38"/>
      <c r="M27" s="38"/>
      <c r="N27" s="38"/>
      <c r="O27" s="38"/>
      <c r="P27" s="38"/>
      <c r="Q27" s="38"/>
      <c r="R27" s="38"/>
      <c r="U27" s="17">
        <f>IF(行动模拟!D30="","",ROW(行动模拟!D30))</f>
        <v>30</v>
      </c>
      <c r="V27" s="17" t="str">
        <f>IF(行动模拟!D30="","",后台计算!E24)</f>
        <v>37</v>
      </c>
      <c r="W27" s="17" t="str">
        <f>IF(行动模拟!D30="","",后台计算!F24)</f>
        <v>补充算式</v>
      </c>
      <c r="X27" s="17">
        <f>IF(行动模拟!D30="","",行动模拟!B30)</f>
        <v>3</v>
      </c>
      <c r="Y27" s="17">
        <f>IF(行动模拟!D30="","",INDEX(回合状态!$B$7:$B$17,MATCH(行动模拟!B30,回合状态!$A$7:$A$17,0)))</f>
        <v>3</v>
      </c>
      <c r="Z27" s="24">
        <f>IF(ISNUMBER(行动模拟!R30),行动模拟!R30,"")</f>
        <v>23594</v>
      </c>
      <c r="AA27" s="17">
        <f>IF(ISNUMBER(行动模拟!R30),1,0)</f>
        <v>1</v>
      </c>
    </row>
    <row r="28" spans="1:27" ht="27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U28" s="17">
        <f>IF(行动模拟!D31="","",ROW(行动模拟!D31))</f>
        <v>31</v>
      </c>
      <c r="V28" s="17" t="str">
        <f>IF(行动模拟!D31="","",后台计算!E25)</f>
        <v>J</v>
      </c>
      <c r="W28" s="17" t="str">
        <f>IF(行动模拟!D31="","",后台计算!F25)</f>
        <v>飞跃海特街</v>
      </c>
      <c r="X28" s="17">
        <f>IF(行动模拟!D31="","",行动模拟!B31)</f>
        <v>3</v>
      </c>
      <c r="Y28" s="17">
        <f>IF(行动模拟!D31="","",INDEX(回合状态!$B$7:$B$17,MATCH(行动模拟!B31,回合状态!$A$7:$A$17,0)))</f>
        <v>3</v>
      </c>
      <c r="Z28" s="24">
        <f>IF(ISNUMBER(行动模拟!R31),行动模拟!R31,"")</f>
        <v>34123</v>
      </c>
      <c r="AA28" s="17">
        <f>IF(ISNUMBER(行动模拟!R31),1,0)</f>
        <v>1</v>
      </c>
    </row>
    <row r="29" spans="1:27" ht="27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U29" s="17">
        <f>IF(行动模拟!D32="","",ROW(行动模拟!D32))</f>
        <v>32</v>
      </c>
      <c r="V29" s="17" t="str">
        <f>IF(行动模拟!D32="","",后台计算!E26)</f>
        <v>小瑞安侬</v>
      </c>
      <c r="W29" s="17" t="str">
        <f>IF(行动模拟!D32="","",后台计算!F26)</f>
        <v>囫囵囵咒</v>
      </c>
      <c r="X29" s="17">
        <f>IF(行动模拟!D32="","",行动模拟!B32)</f>
        <v>3</v>
      </c>
      <c r="Y29" s="17">
        <f>IF(行动模拟!D32="","",INDEX(回合状态!$B$7:$B$17,MATCH(行动模拟!B32,回合状态!$A$7:$A$17,0)))</f>
        <v>3</v>
      </c>
      <c r="Z29" s="24">
        <f>IF(ISNUMBER(行动模拟!R32),行动模拟!R32,"")</f>
        <v>4467</v>
      </c>
      <c r="AA29" s="17">
        <f>IF(ISNUMBER(行动模拟!R32),1,0)</f>
        <v>1</v>
      </c>
    </row>
    <row r="30" spans="1:27" ht="27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U30" s="17">
        <f>IF(行动模拟!D33="","",ROW(行动模拟!D33))</f>
        <v>33</v>
      </c>
      <c r="V30" s="17" t="str">
        <f>IF(行动模拟!D33="","",后台计算!E27)</f>
        <v>小瑞安侬</v>
      </c>
      <c r="W30" s="17" t="str">
        <f>IF(行动模拟!D33="","",后台计算!F27)</f>
        <v>囫囵囵咒</v>
      </c>
      <c r="X30" s="17">
        <f>IF(行动模拟!D33="","",行动模拟!B33)</f>
        <v>3</v>
      </c>
      <c r="Y30" s="17">
        <f>IF(行动模拟!D33="","",INDEX(回合状态!$B$7:$B$17,MATCH(行动模拟!B33,回合状态!$A$7:$A$17,0)))</f>
        <v>3</v>
      </c>
      <c r="Z30" s="24">
        <f>IF(ISNUMBER(行动模拟!R33),行动模拟!R33,"")</f>
        <v>9934</v>
      </c>
      <c r="AA30" s="17">
        <f>IF(ISNUMBER(行动模拟!R33),1,0)</f>
        <v>1</v>
      </c>
    </row>
    <row r="31" spans="1:27" ht="27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U31" s="17">
        <f>IF(行动模拟!D34="","",ROW(行动模拟!D34))</f>
        <v>34</v>
      </c>
      <c r="V31" s="17" t="str">
        <f>IF(行动模拟!D34="","",后台计算!E28)</f>
        <v>红弩箭</v>
      </c>
      <c r="W31" s="17" t="str">
        <f>IF(行动模拟!D34="","",后台计算!F28)</f>
        <v>试试杀手锏</v>
      </c>
      <c r="X31" s="17">
        <f>IF(行动模拟!D34="","",行动模拟!B34)</f>
        <v>3</v>
      </c>
      <c r="Y31" s="17">
        <f>IF(行动模拟!D34="","",INDEX(回合状态!$B$7:$B$17,MATCH(行动模拟!B34,回合状态!$A$7:$A$17,0)))</f>
        <v>3</v>
      </c>
      <c r="Z31" s="24">
        <f>IF(ISNUMBER(行动模拟!R34),行动模拟!R34,"")</f>
        <v>1199340</v>
      </c>
      <c r="AA31" s="17">
        <f>IF(ISNUMBER(行动模拟!R34),1,0)</f>
        <v>1</v>
      </c>
    </row>
    <row r="32" spans="1:27" ht="27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U32" s="17">
        <f>IF(行动模拟!D35="","",ROW(行动模拟!D35))</f>
        <v>35</v>
      </c>
      <c r="V32" s="17" t="str">
        <f>IF(行动模拟!D35="","",后台计算!E29)</f>
        <v>红弩箭</v>
      </c>
      <c r="W32" s="17" t="str">
        <f>IF(行动模拟!D35="","",后台计算!F29)</f>
        <v>极限俯冲</v>
      </c>
      <c r="X32" s="17">
        <f>IF(行动模拟!D35="","",行动模拟!B35)</f>
        <v>3</v>
      </c>
      <c r="Y32" s="17">
        <f>IF(行动模拟!D35="","",INDEX(回合状态!$B$7:$B$17,MATCH(行动模拟!B35,回合状态!$A$7:$A$17,0)))</f>
        <v>3</v>
      </c>
      <c r="Z32" s="24">
        <f>IF(ISNUMBER(行动模拟!R35),行动模拟!R35,"")</f>
        <v>1990454</v>
      </c>
      <c r="AA32" s="17">
        <f>IF(ISNUMBER(行动模拟!R35),1,0)</f>
        <v>1</v>
      </c>
    </row>
    <row r="33" spans="1:27" ht="27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U33" s="17">
        <f>IF(行动模拟!D36="","",ROW(行动模拟!D36))</f>
        <v>36</v>
      </c>
      <c r="V33" s="17" t="str">
        <f>IF(行动模拟!D36="","",后台计算!E30)</f>
        <v>37</v>
      </c>
      <c r="W33" s="17" t="str">
        <f>IF(行动模拟!D36="","",后台计算!F30)</f>
        <v>补充算式</v>
      </c>
      <c r="X33" s="17">
        <f>IF(行动模拟!D36="","",行动模拟!B36)</f>
        <v>3</v>
      </c>
      <c r="Y33" s="17">
        <f>IF(行动模拟!D36="","",INDEX(回合状态!$B$7:$B$17,MATCH(行动模拟!B36,回合状态!$A$7:$A$17,0)))</f>
        <v>3</v>
      </c>
      <c r="Z33" s="24">
        <f>IF(ISNUMBER(行动模拟!R36),行动模拟!R36,"")</f>
        <v>11911</v>
      </c>
      <c r="AA33" s="17">
        <f>IF(ISNUMBER(行动模拟!R36),1,0)</f>
        <v>1</v>
      </c>
    </row>
    <row r="34" spans="1:27" ht="27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U34" s="17">
        <f>IF(行动模拟!D37="","",ROW(行动模拟!D37))</f>
        <v>37</v>
      </c>
      <c r="V34" s="17" t="str">
        <f>IF(行动模拟!D37="","",后台计算!E31)</f>
        <v>J</v>
      </c>
      <c r="W34" s="17" t="str">
        <f>IF(行动模拟!D37="","",后台计算!F31)</f>
        <v>高温回火</v>
      </c>
      <c r="X34" s="17">
        <f>IF(行动模拟!D37="","",行动模拟!B37)</f>
        <v>3</v>
      </c>
      <c r="Y34" s="17">
        <f>IF(行动模拟!D37="","",INDEX(回合状态!$B$7:$B$17,MATCH(行动模拟!B37,回合状态!$A$7:$A$17,0)))</f>
        <v>3</v>
      </c>
      <c r="Z34" s="24">
        <f>IF(ISNUMBER(行动模拟!R37),行动模拟!R37,"")</f>
        <v>5798</v>
      </c>
      <c r="AA34" s="17">
        <f>IF(ISNUMBER(行动模拟!R37),1,0)</f>
        <v>1</v>
      </c>
    </row>
    <row r="35" spans="1:27" ht="27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U35" s="17">
        <f>IF(行动模拟!D38="","",ROW(行动模拟!D38))</f>
        <v>38</v>
      </c>
      <c r="V35" s="17" t="str">
        <f>IF(行动模拟!D38="","",后台计算!E32)</f>
        <v>J</v>
      </c>
      <c r="W35" s="17" t="str">
        <f>IF(行动模拟!D38="","",后台计算!F32)</f>
        <v>高温回火</v>
      </c>
      <c r="X35" s="17">
        <f>IF(行动模拟!D38="","",行动模拟!B38)</f>
        <v>3</v>
      </c>
      <c r="Y35" s="17">
        <f>IF(行动模拟!D38="","",INDEX(回合状态!$B$7:$B$17,MATCH(行动模拟!B38,回合状态!$A$7:$A$17,0)))</f>
        <v>3</v>
      </c>
      <c r="Z35" s="24">
        <f>IF(ISNUMBER(行动模拟!R38),行动模拟!R38,"")</f>
        <v>8031</v>
      </c>
      <c r="AA35" s="17">
        <f>IF(ISNUMBER(行动模拟!R38),1,0)</f>
        <v>1</v>
      </c>
    </row>
    <row r="36" spans="1:27" ht="27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U36" s="17">
        <f>IF(行动模拟!D39="","",ROW(行动模拟!D39))</f>
        <v>39</v>
      </c>
      <c r="V36" s="17" t="str">
        <f>IF(行动模拟!D39="","",后台计算!E33)</f>
        <v>J</v>
      </c>
      <c r="W36" s="17" t="str">
        <f>IF(行动模拟!D39="","",后台计算!F33)</f>
        <v>高温回火</v>
      </c>
      <c r="X36" s="17">
        <f>IF(行动模拟!D39="","",行动模拟!B39)</f>
        <v>3</v>
      </c>
      <c r="Y36" s="17">
        <f>IF(行动模拟!D39="","",INDEX(回合状态!$B$7:$B$17,MATCH(行动模拟!B39,回合状态!$A$7:$A$17,0)))</f>
        <v>3</v>
      </c>
      <c r="Z36" s="24">
        <f>IF(ISNUMBER(行动模拟!R39),行动模拟!R39,"")</f>
        <v>8412</v>
      </c>
      <c r="AA36" s="17">
        <f>IF(ISNUMBER(行动模拟!R39),1,0)</f>
        <v>1</v>
      </c>
    </row>
    <row r="37" spans="1:27" ht="27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U37" s="17">
        <f>IF(行动模拟!D40="","",ROW(行动模拟!D40))</f>
        <v>40</v>
      </c>
      <c r="V37" s="17" t="str">
        <f>IF(行动模拟!D40="","",后台计算!E34)</f>
        <v>J</v>
      </c>
      <c r="W37" s="17" t="str">
        <f>IF(行动模拟!D40="","",后台计算!F34)</f>
        <v>高温回火</v>
      </c>
      <c r="X37" s="17">
        <f>IF(行动模拟!D40="","",行动模拟!B40)</f>
        <v>3</v>
      </c>
      <c r="Y37" s="17">
        <f>IF(行动模拟!D40="","",INDEX(回合状态!$B$7:$B$17,MATCH(行动模拟!B40,回合状态!$A$7:$A$17,0)))</f>
        <v>3</v>
      </c>
      <c r="Z37" s="24">
        <f>IF(ISNUMBER(行动模拟!R40),行动模拟!R40,"")</f>
        <v>8001</v>
      </c>
      <c r="AA37" s="17">
        <f>IF(ISNUMBER(行动模拟!R40),1,0)</f>
        <v>1</v>
      </c>
    </row>
    <row r="38" spans="1:27" ht="27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U38" s="17">
        <f>IF(行动模拟!D41="","",ROW(行动模拟!D41))</f>
        <v>41</v>
      </c>
      <c r="V38" s="17" t="str">
        <f>IF(行动模拟!D41="","",后台计算!E35)</f>
        <v>系统</v>
      </c>
      <c r="W38" s="17" t="str">
        <f>IF(行动模拟!D41="","",后台计算!F35)</f>
        <v>进入弱点洞穿</v>
      </c>
      <c r="X38" s="17" t="str">
        <f>IF(行动模拟!D41="","",行动模拟!B41)</f>
        <v>洞知</v>
      </c>
      <c r="Y38" s="17">
        <f>IF(行动模拟!D41="","",INDEX(回合状态!$B$7:$B$17,MATCH(行动模拟!B41,回合状态!$A$7:$A$17,0)))</f>
        <v>3</v>
      </c>
      <c r="Z38" s="24" t="str">
        <f>IF(ISNUMBER(行动模拟!R41),行动模拟!R41,"")</f>
        <v/>
      </c>
      <c r="AA38" s="17">
        <f>IF(ISNUMBER(行动模拟!R41),1,0)</f>
        <v>0</v>
      </c>
    </row>
    <row r="39" spans="1:27" ht="27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U39" s="17">
        <f>IF(行动模拟!D42="","",ROW(行动模拟!D42))</f>
        <v>42</v>
      </c>
      <c r="V39" s="17" t="str">
        <f>IF(行动模拟!D42="","",后台计算!E36)</f>
        <v>红弩箭</v>
      </c>
      <c r="W39" s="17" t="str">
        <f>IF(行动模拟!D42="","",后台计算!F36)</f>
        <v>洞知咒语</v>
      </c>
      <c r="X39" s="17" t="str">
        <f>IF(行动模拟!D42="","",行动模拟!B42)</f>
        <v>洞知</v>
      </c>
      <c r="Y39" s="17">
        <f>IF(行动模拟!D42="","",INDEX(回合状态!$B$7:$B$17,MATCH(行动模拟!B42,回合状态!$A$7:$A$17,0)))</f>
        <v>3</v>
      </c>
      <c r="Z39" s="24">
        <f>IF(ISNUMBER(行动模拟!R42),行动模拟!R42,"")</f>
        <v>350721</v>
      </c>
      <c r="AA39" s="17">
        <f>IF(ISNUMBER(行动模拟!R42),1,0)</f>
        <v>1</v>
      </c>
    </row>
    <row r="40" spans="1:27" ht="27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U40" s="17">
        <f>IF(行动模拟!D43="","",ROW(行动模拟!D43))</f>
        <v>43</v>
      </c>
      <c r="V40" s="17" t="str">
        <f>IF(行动模拟!D43="","",后台计算!E37)</f>
        <v>红弩箭</v>
      </c>
      <c r="W40" s="17" t="str">
        <f>IF(行动模拟!D43="","",后台计算!F37)</f>
        <v>洞知咒语</v>
      </c>
      <c r="X40" s="17" t="str">
        <f>IF(行动模拟!D43="","",行动模拟!B43)</f>
        <v>洞知</v>
      </c>
      <c r="Y40" s="17">
        <f>IF(行动模拟!D43="","",INDEX(回合状态!$B$7:$B$17,MATCH(行动模拟!B43,回合状态!$A$7:$A$17,0)))</f>
        <v>3</v>
      </c>
      <c r="Z40" s="24">
        <f>IF(ISNUMBER(行动模拟!R43),行动模拟!R43,"")</f>
        <v>364210</v>
      </c>
      <c r="AA40" s="17">
        <f>IF(ISNUMBER(行动模拟!R43),1,0)</f>
        <v>1</v>
      </c>
    </row>
    <row r="41" spans="1:27" ht="27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U41" s="17">
        <f>IF(行动模拟!D44="","",ROW(行动模拟!D44))</f>
        <v>44</v>
      </c>
      <c r="V41" s="17" t="str">
        <f>IF(行动模拟!D44="","",后台计算!E38)</f>
        <v>37</v>
      </c>
      <c r="W41" s="17" t="str">
        <f>IF(行动模拟!D44="","",后台计算!F38)</f>
        <v>洞知咒语</v>
      </c>
      <c r="X41" s="17" t="str">
        <f>IF(行动模拟!D44="","",行动模拟!B44)</f>
        <v>洞知</v>
      </c>
      <c r="Y41" s="17">
        <f>IF(行动模拟!D44="","",INDEX(回合状态!$B$7:$B$17,MATCH(行动模拟!B44,回合状态!$A$7:$A$17,0)))</f>
        <v>3</v>
      </c>
      <c r="Z41" s="24">
        <f>IF(ISNUMBER(行动模拟!R44),行动模拟!R44,"")</f>
        <v>46002</v>
      </c>
      <c r="AA41" s="17">
        <f>IF(ISNUMBER(行动模拟!R44),1,0)</f>
        <v>1</v>
      </c>
    </row>
    <row r="42" spans="1:27" ht="27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U42" s="17">
        <f>IF(行动模拟!D45="","",ROW(行动模拟!D45))</f>
        <v>45</v>
      </c>
      <c r="V42" s="17" t="str">
        <f>IF(行动模拟!D45="","",后台计算!E39)</f>
        <v>红弩箭</v>
      </c>
      <c r="W42" s="17" t="str">
        <f>IF(行动模拟!D45="","",后台计算!F39)</f>
        <v>洞知咒语</v>
      </c>
      <c r="X42" s="17" t="str">
        <f>IF(行动模拟!D45="","",行动模拟!B45)</f>
        <v>洞知</v>
      </c>
      <c r="Y42" s="17">
        <f>IF(行动模拟!D45="","",INDEX(回合状态!$B$7:$B$17,MATCH(行动模拟!B45,回合状态!$A$7:$A$17,0)))</f>
        <v>3</v>
      </c>
      <c r="Z42" s="24">
        <f>IF(ISNUMBER(行动模拟!R45),行动模拟!R45,"")</f>
        <v>939646</v>
      </c>
      <c r="AA42" s="17">
        <f>IF(ISNUMBER(行动模拟!R45),1,0)</f>
        <v>1</v>
      </c>
    </row>
    <row r="43" spans="1:27" ht="27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U43" s="17">
        <f>IF(行动模拟!D46="","",ROW(行动模拟!D46))</f>
        <v>46</v>
      </c>
      <c r="V43" s="17" t="str">
        <f>IF(行动模拟!D46="","",后台计算!E40)</f>
        <v>红弩箭</v>
      </c>
      <c r="W43" s="17" t="str">
        <f>IF(行动模拟!D46="","",后台计算!F40)</f>
        <v>洞知咒语</v>
      </c>
      <c r="X43" s="17" t="str">
        <f>IF(行动模拟!D46="","",行动模拟!B46)</f>
        <v>洞知</v>
      </c>
      <c r="Y43" s="17">
        <f>IF(行动模拟!D46="","",INDEX(回合状态!$B$7:$B$17,MATCH(行动模拟!B46,回合状态!$A$7:$A$17,0)))</f>
        <v>3</v>
      </c>
      <c r="Z43" s="24">
        <f>IF(ISNUMBER(行动模拟!R46),行动模拟!R46,"")</f>
        <v>303509</v>
      </c>
      <c r="AA43" s="17">
        <f>IF(ISNUMBER(行动模拟!R46),1,0)</f>
        <v>1</v>
      </c>
    </row>
    <row r="44" spans="1:27" ht="27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U44" s="17">
        <f>IF(行动模拟!D47="","",ROW(行动模拟!D47))</f>
        <v>47</v>
      </c>
      <c r="V44" s="17" t="str">
        <f>IF(行动模拟!D47="","",后台计算!E41)</f>
        <v>红弩箭</v>
      </c>
      <c r="W44" s="17" t="str">
        <f>IF(行动模拟!D47="","",后台计算!F41)</f>
        <v>洞知咒语</v>
      </c>
      <c r="X44" s="17" t="str">
        <f>IF(行动模拟!D47="","",行动模拟!B47)</f>
        <v>洞知</v>
      </c>
      <c r="Y44" s="17">
        <f>IF(行动模拟!D47="","",INDEX(回合状态!$B$7:$B$17,MATCH(行动模拟!B47,回合状态!$A$7:$A$17,0)))</f>
        <v>3</v>
      </c>
      <c r="Z44" s="24">
        <f>IF(ISNUMBER(行动模拟!R47),行动模拟!R47,"")</f>
        <v>313626</v>
      </c>
      <c r="AA44" s="17">
        <f>IF(ISNUMBER(行动模拟!R47),1,0)</f>
        <v>1</v>
      </c>
    </row>
    <row r="45" spans="1:27" ht="27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U45" s="17">
        <f>IF(行动模拟!D48="","",ROW(行动模拟!D48))</f>
        <v>48</v>
      </c>
      <c r="V45" s="17" t="str">
        <f>IF(行动模拟!D48="","",后台计算!E42)</f>
        <v>37</v>
      </c>
      <c r="W45" s="17" t="str">
        <f>IF(行动模拟!D48="","",后台计算!F42)</f>
        <v>洞知咒语</v>
      </c>
      <c r="X45" s="17" t="str">
        <f>IF(行动模拟!D48="","",行动模拟!B48)</f>
        <v>洞知</v>
      </c>
      <c r="Y45" s="17">
        <f>IF(行动模拟!D48="","",INDEX(回合状态!$B$7:$B$17,MATCH(行动模拟!B48,回合状态!$A$7:$A$17,0)))</f>
        <v>3</v>
      </c>
      <c r="Z45" s="24">
        <f>IF(ISNUMBER(行动模拟!R48),行动模拟!R48,"")</f>
        <v>107554</v>
      </c>
      <c r="AA45" s="17">
        <f>IF(ISNUMBER(行动模拟!R48),1,0)</f>
        <v>1</v>
      </c>
    </row>
    <row r="46" spans="1:27" ht="27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U46" s="17">
        <f>IF(行动模拟!D49="","",ROW(行动模拟!D49))</f>
        <v>49</v>
      </c>
      <c r="V46" s="17" t="str">
        <f>IF(行动模拟!D49="","",后台计算!E43)</f>
        <v>红弩箭</v>
      </c>
      <c r="W46" s="17" t="str">
        <f>IF(行动模拟!D49="","",后台计算!F43)</f>
        <v>洞知咒语</v>
      </c>
      <c r="X46" s="17" t="str">
        <f>IF(行动模拟!D49="","",行动模拟!B49)</f>
        <v>洞知</v>
      </c>
      <c r="Y46" s="17">
        <f>IF(行动模拟!D49="","",INDEX(回合状态!$B$7:$B$17,MATCH(行动模拟!B49,回合状态!$A$7:$A$17,0)))</f>
        <v>3</v>
      </c>
      <c r="Z46" s="24">
        <f>IF(ISNUMBER(行动模拟!R49),行动模拟!R49,"")</f>
        <v>1069252</v>
      </c>
      <c r="AA46" s="17">
        <f>IF(ISNUMBER(行动模拟!R49),1,0)</f>
        <v>1</v>
      </c>
    </row>
    <row r="47" spans="1:27" ht="35.1" customHeight="1">
      <c r="A47" s="23" t="s">
        <v>810</v>
      </c>
      <c r="B47" s="23" t="s">
        <v>396</v>
      </c>
      <c r="C47" s="23" t="s">
        <v>811</v>
      </c>
      <c r="D47" s="23" t="s">
        <v>806</v>
      </c>
      <c r="E47" s="16"/>
      <c r="F47" s="16"/>
      <c r="G47" s="16"/>
      <c r="H47" s="16"/>
      <c r="I47" s="16"/>
      <c r="J47" s="16"/>
      <c r="K47" s="23" t="s">
        <v>810</v>
      </c>
      <c r="L47" s="23" t="s">
        <v>396</v>
      </c>
      <c r="M47" s="23" t="s">
        <v>811</v>
      </c>
      <c r="N47" s="23" t="s">
        <v>806</v>
      </c>
      <c r="O47" s="16"/>
      <c r="P47" s="16"/>
      <c r="Q47" s="16"/>
      <c r="R47" s="16"/>
      <c r="U47" s="17">
        <f>IF(行动模拟!D50="","",ROW(行动模拟!D50))</f>
        <v>50</v>
      </c>
      <c r="V47" s="17" t="str">
        <f>IF(行动模拟!D50="","",后台计算!E44)</f>
        <v>红弩箭</v>
      </c>
      <c r="W47" s="17" t="str">
        <f>IF(行动模拟!D50="","",后台计算!F44)</f>
        <v>洞知咒语</v>
      </c>
      <c r="X47" s="17" t="str">
        <f>IF(行动模拟!D50="","",行动模拟!B50)</f>
        <v>洞知</v>
      </c>
      <c r="Y47" s="17">
        <f>IF(行动模拟!D50="","",INDEX(回合状态!$B$7:$B$17,MATCH(行动模拟!B50,回合状态!$A$7:$A$17,0)))</f>
        <v>3</v>
      </c>
      <c r="Z47" s="24">
        <f>IF(ISNUMBER(行动模拟!R50),行动模拟!R50,"")</f>
        <v>343976</v>
      </c>
      <c r="AA47" s="17">
        <f>IF(ISNUMBER(行动模拟!R50),1,0)</f>
        <v>1</v>
      </c>
    </row>
    <row r="48" spans="1:27" ht="30.95" customHeight="1">
      <c r="A48" s="17" t="s">
        <v>79</v>
      </c>
      <c r="B48" s="24">
        <f>SUMIFS($Z$6:$Z$245,$V$6:$V$245,"红弩箭",$W$6:$W$245,A48)</f>
        <v>9967510</v>
      </c>
      <c r="C48" s="29">
        <f>B48/SUMIFS($Z$6:$Z$245,$V$6:$V$245,"红弩箭")</f>
        <v>0.45490340654422218</v>
      </c>
      <c r="D48" s="17">
        <f>SUMIFS($AA$6:$AA$245,$V$6:$V$245,"红弩箭",$W$6:$W$245,A48)</f>
        <v>20</v>
      </c>
      <c r="E48" s="16"/>
      <c r="F48" s="16"/>
      <c r="G48" s="16"/>
      <c r="H48" s="16"/>
      <c r="I48" s="16"/>
      <c r="J48" s="16"/>
      <c r="K48" s="17" t="s">
        <v>79</v>
      </c>
      <c r="L48" s="24">
        <f>SUMIFS($Z$6:$Z$245,$V$6:$V$245,"37",$W$6:$W$245,K48)</f>
        <v>751080</v>
      </c>
      <c r="M48" s="29">
        <f>L48/SUMIFS($Z$6:$Z$245,$V$6:$V$245,"37")</f>
        <v>0.81861045050386594</v>
      </c>
      <c r="N48" s="17">
        <f>SUMIFS($AA$6:$AA$245,$V$6:$V$245,"37",$W$6:$W$245,K48)</f>
        <v>11</v>
      </c>
      <c r="O48" s="16"/>
      <c r="P48" s="16"/>
      <c r="Q48" s="16"/>
      <c r="R48" s="16"/>
      <c r="U48" s="17">
        <f>IF(行动模拟!D51="","",ROW(行动模拟!D51))</f>
        <v>51</v>
      </c>
      <c r="V48" s="17" t="str">
        <f>IF(行动模拟!D51="","",后台计算!E45)</f>
        <v>红弩箭</v>
      </c>
      <c r="W48" s="17" t="str">
        <f>IF(行动模拟!D51="","",后台计算!F45)</f>
        <v>洞知咒语</v>
      </c>
      <c r="X48" s="17" t="str">
        <f>IF(行动模拟!D51="","",行动模拟!B51)</f>
        <v>洞知</v>
      </c>
      <c r="Y48" s="17">
        <f>IF(行动模拟!D51="","",INDEX(回合状态!$B$7:$B$17,MATCH(行动模拟!B51,回合状态!$A$7:$A$17,0)))</f>
        <v>3</v>
      </c>
      <c r="Z48" s="24">
        <f>IF(ISNUMBER(行动模拟!R51),行动模拟!R51,"")</f>
        <v>354093</v>
      </c>
      <c r="AA48" s="17">
        <f>IF(ISNUMBER(行动模拟!R51),1,0)</f>
        <v>1</v>
      </c>
    </row>
    <row r="49" spans="1:27" ht="30.95" customHeight="1">
      <c r="A49" s="17" t="s">
        <v>86</v>
      </c>
      <c r="B49" s="24">
        <f>SUMIFS($Z$6:$Z$245,$V$6:$V$245,"红弩箭",$W$6:$W$245,A49)</f>
        <v>6642237</v>
      </c>
      <c r="C49" s="29">
        <f>B49/SUMIFS($Z$6:$Z$245,$V$6:$V$245,"红弩箭")</f>
        <v>0.30314253393014651</v>
      </c>
      <c r="D49" s="17">
        <f>SUMIFS($AA$6:$AA$245,$V$6:$V$245,"红弩箭",$W$6:$W$245,A49)</f>
        <v>2</v>
      </c>
      <c r="E49" s="16"/>
      <c r="F49" s="16"/>
      <c r="G49" s="16"/>
      <c r="H49" s="16"/>
      <c r="I49" s="16"/>
      <c r="J49" s="16"/>
      <c r="K49" s="17" t="s">
        <v>111</v>
      </c>
      <c r="L49" s="24">
        <f>SUMIFS($Z$6:$Z$245,$V$6:$V$245,"37",$W$6:$W$245,K49)</f>
        <v>123097</v>
      </c>
      <c r="M49" s="29">
        <f>L49/SUMIFS($Z$6:$Z$245,$V$6:$V$245,"37")</f>
        <v>0.13416479020300684</v>
      </c>
      <c r="N49" s="17">
        <f>SUMIFS($AA$6:$AA$245,$V$6:$V$245,"37",$W$6:$W$245,K49)</f>
        <v>17</v>
      </c>
      <c r="O49" s="16"/>
      <c r="P49" s="16"/>
      <c r="Q49" s="16"/>
      <c r="R49" s="16"/>
      <c r="U49" s="17">
        <f>IF(行动模拟!D52="","",ROW(行动模拟!D52))</f>
        <v>52</v>
      </c>
      <c r="V49" s="17" t="str">
        <f>IF(行动模拟!D52="","",后台计算!E46)</f>
        <v>37</v>
      </c>
      <c r="W49" s="17" t="str">
        <f>IF(行动模拟!D52="","",后台计算!F46)</f>
        <v>洞知咒语</v>
      </c>
      <c r="X49" s="17" t="str">
        <f>IF(行动模拟!D52="","",行动模拟!B52)</f>
        <v>洞知</v>
      </c>
      <c r="Y49" s="17">
        <f>IF(行动模拟!D52="","",INDEX(回合状态!$B$7:$B$17,MATCH(行动模拟!B52,回合状态!$A$7:$A$17,0)))</f>
        <v>3</v>
      </c>
      <c r="Z49" s="24">
        <f>IF(ISNUMBER(行动模拟!R52),行动模拟!R52,"")</f>
        <v>46002</v>
      </c>
      <c r="AA49" s="17">
        <f>IF(ISNUMBER(行动模拟!R52),1,0)</f>
        <v>1</v>
      </c>
    </row>
    <row r="50" spans="1:27" ht="30.95" customHeight="1">
      <c r="A50" s="17" t="s">
        <v>56</v>
      </c>
      <c r="B50" s="24">
        <f>SUMIFS($Z$6:$Z$245,$V$6:$V$245,"红弩箭",$W$6:$W$245,A50)</f>
        <v>2880160</v>
      </c>
      <c r="C50" s="29">
        <f>B50/SUMIFS($Z$6:$Z$245,$V$6:$V$245,"红弩箭")</f>
        <v>0.13144652931297857</v>
      </c>
      <c r="D50" s="17">
        <f>SUMIFS($AA$6:$AA$245,$V$6:$V$245,"红弩箭",$W$6:$W$245,A50)</f>
        <v>5</v>
      </c>
      <c r="E50" s="16"/>
      <c r="F50" s="16"/>
      <c r="G50" s="16"/>
      <c r="H50" s="16"/>
      <c r="I50" s="16"/>
      <c r="J50" s="16"/>
      <c r="K50" s="17" t="s">
        <v>92</v>
      </c>
      <c r="L50" s="24">
        <f>SUMIFS($Z$6:$Z$245,$V$6:$V$245,"37",$W$6:$W$245,K50)</f>
        <v>29842</v>
      </c>
      <c r="M50" s="29">
        <f>L50/SUMIFS($Z$6:$Z$245,$V$6:$V$245,"37")</f>
        <v>3.2525127901070948E-2</v>
      </c>
      <c r="N50" s="17">
        <f>SUMIFS($AA$6:$AA$245,$V$6:$V$245,"37",$W$6:$W$245,K50)</f>
        <v>3</v>
      </c>
      <c r="O50" s="16"/>
      <c r="P50" s="16"/>
      <c r="Q50" s="16"/>
      <c r="R50" s="16"/>
      <c r="U50" s="17">
        <f>IF(行动模拟!D53="","",ROW(行动模拟!D53))</f>
        <v>53</v>
      </c>
      <c r="V50" s="17" t="str">
        <f>IF(行动模拟!D53="","",后台计算!E47)</f>
        <v>红弩箭</v>
      </c>
      <c r="W50" s="17" t="str">
        <f>IF(行动模拟!D53="","",后台计算!F47)</f>
        <v>洞知咒语</v>
      </c>
      <c r="X50" s="17" t="str">
        <f>IF(行动模拟!D53="","",行动模拟!B53)</f>
        <v>洞知</v>
      </c>
      <c r="Y50" s="17">
        <f>IF(行动模拟!D53="","",INDEX(回合状态!$B$7:$B$17,MATCH(行动模拟!B53,回合状态!$A$7:$A$17,0)))</f>
        <v>3</v>
      </c>
      <c r="Z50" s="24">
        <f>IF(ISNUMBER(行动模拟!R53),行动模拟!R53,"")</f>
        <v>1198859</v>
      </c>
      <c r="AA50" s="17">
        <f>IF(ISNUMBER(行动模拟!R53),1,0)</f>
        <v>1</v>
      </c>
    </row>
    <row r="51" spans="1:27" ht="30.95" customHeight="1">
      <c r="A51" s="17" t="s">
        <v>73</v>
      </c>
      <c r="B51" s="24">
        <f>SUMIFS($Z$6:$Z$245,$V$6:$V$245,"红弩箭",$W$6:$W$245,A51)</f>
        <v>2421360</v>
      </c>
      <c r="C51" s="29">
        <f>B51/SUMIFS($Z$6:$Z$245,$V$6:$V$245,"红弩箭")</f>
        <v>0.11050753021265269</v>
      </c>
      <c r="D51" s="17">
        <f>SUMIFS($AA$6:$AA$245,$V$6:$V$245,"红弩箭",$W$6:$W$245,A51)</f>
        <v>3</v>
      </c>
      <c r="E51" s="16"/>
      <c r="F51" s="16"/>
      <c r="G51" s="16"/>
      <c r="H51" s="16"/>
      <c r="I51" s="16"/>
      <c r="J51" s="16"/>
      <c r="K51" s="17" t="s">
        <v>102</v>
      </c>
      <c r="L51" s="24">
        <f>SUMIFS($Z$6:$Z$245,$V$6:$V$245,"37",$W$6:$W$245,K51)</f>
        <v>13487</v>
      </c>
      <c r="M51" s="29">
        <f>L51/SUMIFS($Z$6:$Z$245,$V$6:$V$245,"37")</f>
        <v>1.4699631392056291E-2</v>
      </c>
      <c r="N51" s="17">
        <f>SUMIFS($AA$6:$AA$245,$V$6:$V$245,"37",$W$6:$W$245,K51)</f>
        <v>4</v>
      </c>
      <c r="O51" s="16"/>
      <c r="P51" s="16"/>
      <c r="Q51" s="16"/>
      <c r="R51" s="16"/>
      <c r="U51" s="17">
        <f>IF(行动模拟!D54="","",ROW(行动模拟!D54))</f>
        <v>54</v>
      </c>
      <c r="V51" s="17" t="str">
        <f>IF(行动模拟!D54="","",后台计算!E48)</f>
        <v>红弩箭</v>
      </c>
      <c r="W51" s="17" t="str">
        <f>IF(行动模拟!D54="","",后台计算!F48)</f>
        <v>洞知咒语</v>
      </c>
      <c r="X51" s="17" t="str">
        <f>IF(行动模拟!D54="","",行动模拟!B54)</f>
        <v>洞知</v>
      </c>
      <c r="Y51" s="17">
        <f>IF(行动模拟!D54="","",INDEX(回合状态!$B$7:$B$17,MATCH(行动模拟!B54,回合状态!$A$7:$A$17,0)))</f>
        <v>3</v>
      </c>
      <c r="Z51" s="24">
        <f>IF(ISNUMBER(行动模拟!R54),行动模拟!R54,"")</f>
        <v>384444</v>
      </c>
      <c r="AA51" s="17">
        <f>IF(ISNUMBER(行动模拟!R54),1,0)</f>
        <v>1</v>
      </c>
    </row>
    <row r="52" spans="1:27" ht="30.95" customHeight="1">
      <c r="A52" s="30" t="s">
        <v>807</v>
      </c>
      <c r="B52" s="31">
        <f>SUM(B48:B51)</f>
        <v>21911267</v>
      </c>
      <c r="C52" s="32">
        <f>SUM(C48:C51)</f>
        <v>0.99999999999999989</v>
      </c>
      <c r="D52" s="30">
        <f>SUM(D48:D51)</f>
        <v>30</v>
      </c>
      <c r="E52" s="16"/>
      <c r="F52" s="16"/>
      <c r="G52" s="16"/>
      <c r="H52" s="16"/>
      <c r="I52" s="16"/>
      <c r="J52" s="16"/>
      <c r="K52" s="30" t="s">
        <v>807</v>
      </c>
      <c r="L52" s="31">
        <f>SUM(L48:L51)</f>
        <v>917506</v>
      </c>
      <c r="M52" s="32">
        <f>SUM(M48:M51)</f>
        <v>1</v>
      </c>
      <c r="N52" s="30">
        <f>SUM(N48:N51)</f>
        <v>35</v>
      </c>
      <c r="O52" s="16"/>
      <c r="P52" s="16"/>
      <c r="Q52" s="16"/>
      <c r="R52" s="16"/>
      <c r="U52" s="17">
        <f>IF(行动模拟!D55="","",ROW(行动模拟!D55))</f>
        <v>55</v>
      </c>
      <c r="V52" s="17" t="str">
        <f>IF(行动模拟!D55="","",后台计算!E49)</f>
        <v>37</v>
      </c>
      <c r="W52" s="17" t="str">
        <f>IF(行动模拟!D55="","",后台计算!F49)</f>
        <v>洞知咒语</v>
      </c>
      <c r="X52" s="17" t="str">
        <f>IF(行动模拟!D55="","",行动模拟!B55)</f>
        <v>洞知</v>
      </c>
      <c r="Y52" s="17">
        <f>IF(行动模拟!D55="","",INDEX(回合状态!$B$7:$B$17,MATCH(行动模拟!B55,回合状态!$A$7:$A$17,0)))</f>
        <v>3</v>
      </c>
      <c r="Z52" s="24">
        <f>IF(ISNUMBER(行动模拟!R55),行动模拟!R55,"")</f>
        <v>107554</v>
      </c>
      <c r="AA52" s="17">
        <f>IF(ISNUMBER(行动模拟!R55),1,0)</f>
        <v>1</v>
      </c>
    </row>
    <row r="53" spans="1:27" ht="27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U53" s="17">
        <f>IF(行动模拟!D56="","",ROW(行动模拟!D56))</f>
        <v>56</v>
      </c>
      <c r="V53" s="17" t="str">
        <f>IF(行动模拟!D56="","",后台计算!E50)</f>
        <v>37</v>
      </c>
      <c r="W53" s="17" t="str">
        <f>IF(行动模拟!D56="","",后台计算!F50)</f>
        <v>洞知咒语</v>
      </c>
      <c r="X53" s="17" t="str">
        <f>IF(行动模拟!D56="","",行动模拟!B56)</f>
        <v>洞知</v>
      </c>
      <c r="Y53" s="17">
        <f>IF(行动模拟!D56="","",INDEX(回合状态!$B$7:$B$17,MATCH(行动模拟!B56,回合状态!$A$7:$A$17,0)))</f>
        <v>3</v>
      </c>
      <c r="Z53" s="24">
        <f>IF(ISNUMBER(行动模拟!R56),行动模拟!R56,"")</f>
        <v>64402</v>
      </c>
      <c r="AA53" s="17">
        <f>IF(ISNUMBER(行动模拟!R56),1,0)</f>
        <v>1</v>
      </c>
    </row>
    <row r="54" spans="1:27" ht="27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U54" s="17">
        <f>IF(行动模拟!D57="","",ROW(行动模拟!D57))</f>
        <v>57</v>
      </c>
      <c r="V54" s="17" t="str">
        <f>IF(行动模拟!D57="","",后台计算!E51)</f>
        <v>红弩箭</v>
      </c>
      <c r="W54" s="17" t="str">
        <f>IF(行动模拟!D57="","",后台计算!F51)</f>
        <v>洞知终结</v>
      </c>
      <c r="X54" s="17" t="str">
        <f>IF(行动模拟!D57="","",行动模拟!B57)</f>
        <v>洞知</v>
      </c>
      <c r="Y54" s="17">
        <f>IF(行动模拟!D57="","",INDEX(回合状态!$B$7:$B$17,MATCH(行动模拟!B57,回合状态!$A$7:$A$17,0)))</f>
        <v>3</v>
      </c>
      <c r="Z54" s="24">
        <f>IF(ISNUMBER(行动模拟!R57),行动模拟!R57,"")</f>
        <v>3877552</v>
      </c>
      <c r="AA54" s="17">
        <f>IF(ISNUMBER(行动模拟!R57),1,0)</f>
        <v>1</v>
      </c>
    </row>
    <row r="55" spans="1:27" ht="35.1" customHeight="1">
      <c r="A55" s="38" t="s">
        <v>812</v>
      </c>
      <c r="B55" s="38"/>
      <c r="C55" s="38"/>
      <c r="D55" s="38"/>
      <c r="E55" s="38"/>
      <c r="F55" s="38"/>
      <c r="G55" s="38"/>
      <c r="H55" s="38"/>
      <c r="I55" s="38"/>
      <c r="J55" s="16"/>
      <c r="K55" s="38" t="s">
        <v>813</v>
      </c>
      <c r="L55" s="38"/>
      <c r="M55" s="38"/>
      <c r="N55" s="38"/>
      <c r="O55" s="38"/>
      <c r="P55" s="38"/>
      <c r="Q55" s="38"/>
      <c r="R55" s="38"/>
      <c r="U55" s="17">
        <f>IF(行动模拟!D58="","",ROW(行动模拟!D58))</f>
        <v>58</v>
      </c>
      <c r="V55" s="17" t="str">
        <f>IF(行动模拟!D58="","",后台计算!E52)</f>
        <v>小瑞安侬</v>
      </c>
      <c r="W55" s="17" t="str">
        <f>IF(行动模拟!D58="","",后台计算!F52)</f>
        <v>悄冥冥术阵</v>
      </c>
      <c r="X55" s="17" t="str">
        <f>IF(行动模拟!D58="","",行动模拟!B58)</f>
        <v>小瑞安侬额外回合</v>
      </c>
      <c r="Y55" s="17">
        <f>IF(行动模拟!D58="","",INDEX(回合状态!$B$7:$B$17,MATCH(行动模拟!B58,回合状态!$A$7:$A$17,0)))</f>
        <v>3</v>
      </c>
      <c r="Z55" s="24" t="str">
        <f>IF(ISNUMBER(行动模拟!R58),行动模拟!R58,"")</f>
        <v/>
      </c>
      <c r="AA55" s="17">
        <f>IF(ISNUMBER(行动模拟!R58),1,0)</f>
        <v>0</v>
      </c>
    </row>
    <row r="56" spans="1:27" ht="27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U56" s="17">
        <f>IF(行动模拟!D59="","",ROW(行动模拟!D59))</f>
        <v>59</v>
      </c>
      <c r="V56" s="17" t="str">
        <f>IF(行动模拟!D59="","",后台计算!E53)</f>
        <v>37</v>
      </c>
      <c r="W56" s="17" t="str">
        <f>IF(行动模拟!D59="","",后台计算!F53)</f>
        <v>补充算式</v>
      </c>
      <c r="X56" s="17" t="str">
        <f>IF(行动模拟!D59="","",行动模拟!B59)</f>
        <v>小瑞安侬额外回合</v>
      </c>
      <c r="Y56" s="17">
        <f>IF(行动模拟!D59="","",INDEX(回合状态!$B$7:$B$17,MATCH(行动模拟!B59,回合状态!$A$7:$A$17,0)))</f>
        <v>3</v>
      </c>
      <c r="Z56" s="24">
        <f>IF(ISNUMBER(行动模拟!R59),行动模拟!R59,"")</f>
        <v>5953</v>
      </c>
      <c r="AA56" s="17">
        <f>IF(ISNUMBER(行动模拟!R59),1,0)</f>
        <v>1</v>
      </c>
    </row>
    <row r="57" spans="1:27" ht="27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U57" s="17">
        <f>IF(行动模拟!D60="","",ROW(行动模拟!D60))</f>
        <v>60</v>
      </c>
      <c r="V57" s="17" t="str">
        <f>IF(行动模拟!D60="","",后台计算!E54)</f>
        <v>小瑞安侬</v>
      </c>
      <c r="W57" s="17" t="str">
        <f>IF(行动模拟!D60="","",后台计算!F54)</f>
        <v>囫囵囵咒</v>
      </c>
      <c r="X57" s="17" t="str">
        <f>IF(行动模拟!D60="","",行动模拟!B60)</f>
        <v>小瑞安侬额外回合</v>
      </c>
      <c r="Y57" s="17">
        <f>IF(行动模拟!D60="","",INDEX(回合状态!$B$7:$B$17,MATCH(行动模拟!B60,回合状态!$A$7:$A$17,0)))</f>
        <v>3</v>
      </c>
      <c r="Z57" s="24">
        <f>IF(ISNUMBER(行动模拟!R60),行动模拟!R60,"")</f>
        <v>1294</v>
      </c>
      <c r="AA57" s="17">
        <f>IF(ISNUMBER(行动模拟!R60),1,0)</f>
        <v>1</v>
      </c>
    </row>
    <row r="58" spans="1:27" ht="27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U58" s="17">
        <f>IF(行动模拟!D61="","",ROW(行动模拟!D61))</f>
        <v>61</v>
      </c>
      <c r="V58" s="17" t="str">
        <f>IF(行动模拟!D61="","",后台计算!E55)</f>
        <v>37</v>
      </c>
      <c r="W58" s="17" t="str">
        <f>IF(行动模拟!D61="","",后台计算!F55)</f>
        <v>补充算式</v>
      </c>
      <c r="X58" s="17" t="str">
        <f>IF(行动模拟!D61="","",行动模拟!B61)</f>
        <v>小瑞安侬额外回合</v>
      </c>
      <c r="Y58" s="17">
        <f>IF(行动模拟!D61="","",INDEX(回合状态!$B$7:$B$17,MATCH(行动模拟!B61,回合状态!$A$7:$A$17,0)))</f>
        <v>3</v>
      </c>
      <c r="Z58" s="24">
        <f>IF(ISNUMBER(行动模拟!R61),行动模拟!R61,"")</f>
        <v>2587</v>
      </c>
      <c r="AA58" s="17">
        <f>IF(ISNUMBER(行动模拟!R61),1,0)</f>
        <v>1</v>
      </c>
    </row>
    <row r="59" spans="1:27" ht="27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U59" s="17">
        <f>IF(行动模拟!D62="","",ROW(行动模拟!D62))</f>
        <v>62</v>
      </c>
      <c r="V59" s="17" t="str">
        <f>IF(行动模拟!D62="","",后台计算!E56)</f>
        <v>37</v>
      </c>
      <c r="W59" s="17" t="str">
        <f>IF(行动模拟!D62="","",后台计算!F56)</f>
        <v>曲线映射</v>
      </c>
      <c r="X59" s="17" t="str">
        <f>IF(行动模拟!D62="","",行动模拟!B62)</f>
        <v>小瑞安侬额外回合</v>
      </c>
      <c r="Y59" s="17">
        <f>IF(行动模拟!D62="","",INDEX(回合状态!$B$7:$B$17,MATCH(行动模拟!B62,回合状态!$A$7:$A$17,0)))</f>
        <v>3</v>
      </c>
      <c r="Z59" s="24">
        <f>IF(ISNUMBER(行动模拟!R62),行动模拟!R62,"")</f>
        <v>2414</v>
      </c>
      <c r="AA59" s="17">
        <f>IF(ISNUMBER(行动模拟!R62),1,0)</f>
        <v>1</v>
      </c>
    </row>
    <row r="60" spans="1:27" ht="27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U60" s="17">
        <f>IF(行动模拟!D63="","",ROW(行动模拟!D63))</f>
        <v>63</v>
      </c>
      <c r="V60" s="17" t="str">
        <f>IF(行动模拟!D63="","",后台计算!E57)</f>
        <v>J</v>
      </c>
      <c r="W60" s="17" t="str">
        <f>IF(行动模拟!D63="","",后台计算!F57)</f>
        <v>硬度测试</v>
      </c>
      <c r="X60" s="17" t="str">
        <f>IF(行动模拟!D63="","",行动模拟!B63)</f>
        <v>小瑞安侬额外回合</v>
      </c>
      <c r="Y60" s="17">
        <f>IF(行动模拟!D63="","",INDEX(回合状态!$B$7:$B$17,MATCH(行动模拟!B63,回合状态!$A$7:$A$17,0)))</f>
        <v>3</v>
      </c>
      <c r="Z60" s="24">
        <f>IF(ISNUMBER(行动模拟!R63),行动模拟!R63,"")</f>
        <v>1362</v>
      </c>
      <c r="AA60" s="17">
        <f>IF(ISNUMBER(行动模拟!R63),1,0)</f>
        <v>1</v>
      </c>
    </row>
    <row r="61" spans="1:27" ht="27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U61" s="17">
        <f>IF(行动模拟!D64="","",ROW(行动模拟!D64))</f>
        <v>64</v>
      </c>
      <c r="V61" s="17" t="str">
        <f>IF(行动模拟!D64="","",后台计算!E58)</f>
        <v>红弩箭</v>
      </c>
      <c r="W61" s="17" t="str">
        <f>IF(行动模拟!D64="","",后台计算!F58)</f>
        <v>眼镜蛇机动</v>
      </c>
      <c r="X61" s="17" t="str">
        <f>IF(行动模拟!D64="","",行动模拟!B64)</f>
        <v>小瑞安侬额外回合</v>
      </c>
      <c r="Y61" s="17">
        <f>IF(行动模拟!D64="","",INDEX(回合状态!$B$7:$B$17,MATCH(行动模拟!B64,回合状态!$A$7:$A$17,0)))</f>
        <v>3</v>
      </c>
      <c r="Z61" s="24" t="str">
        <f>IF(ISNUMBER(行动模拟!R64),行动模拟!R64,"")</f>
        <v/>
      </c>
      <c r="AA61" s="17">
        <f>IF(ISNUMBER(行动模拟!R64),1,0)</f>
        <v>0</v>
      </c>
    </row>
    <row r="62" spans="1:27" ht="27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U62" s="17">
        <f>IF(行动模拟!D65="","",ROW(行动模拟!D65))</f>
        <v>65</v>
      </c>
      <c r="V62" s="17" t="str">
        <f>IF(行动模拟!D65="","",后台计算!E59)</f>
        <v>J</v>
      </c>
      <c r="W62" s="17" t="str">
        <f>IF(行动模拟!D65="","",后台计算!F59)</f>
        <v>硬度测试</v>
      </c>
      <c r="X62" s="17" t="str">
        <f>IF(行动模拟!D65="","",行动模拟!B65)</f>
        <v>小瑞安侬额外回合</v>
      </c>
      <c r="Y62" s="17">
        <f>IF(行动模拟!D65="","",INDEX(回合状态!$B$7:$B$17,MATCH(行动模拟!B65,回合状态!$A$7:$A$17,0)))</f>
        <v>3</v>
      </c>
      <c r="Z62" s="24">
        <f>IF(ISNUMBER(行动模拟!R65),行动模拟!R65,"")</f>
        <v>2888</v>
      </c>
      <c r="AA62" s="17">
        <f>IF(ISNUMBER(行动模拟!R65),1,0)</f>
        <v>1</v>
      </c>
    </row>
    <row r="63" spans="1:27" ht="27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U63" s="17">
        <f>IF(行动模拟!D66="","",ROW(行动模拟!D66))</f>
        <v>66</v>
      </c>
      <c r="V63" s="17" t="str">
        <f>IF(行动模拟!D66="","",后台计算!E60)</f>
        <v>37</v>
      </c>
      <c r="W63" s="17" t="str">
        <f>IF(行动模拟!D66="","",后台计算!F60)</f>
        <v>补充算式</v>
      </c>
      <c r="X63" s="17" t="str">
        <f>IF(行动模拟!D66="","",行动模拟!B66)</f>
        <v>小瑞安侬额外回合</v>
      </c>
      <c r="Y63" s="17">
        <f>IF(行动模拟!D66="","",INDEX(回合状态!$B$7:$B$17,MATCH(行动模拟!B66,回合状态!$A$7:$A$17,0)))</f>
        <v>3</v>
      </c>
      <c r="Z63" s="24">
        <f>IF(ISNUMBER(行动模拟!R66),行动模拟!R66,"")</f>
        <v>6048</v>
      </c>
      <c r="AA63" s="17">
        <f>IF(ISNUMBER(行动模拟!R66),1,0)</f>
        <v>1</v>
      </c>
    </row>
    <row r="64" spans="1:27" ht="27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U64" s="17">
        <f>IF(行动模拟!D67="","",ROW(行动模拟!D67))</f>
        <v>67</v>
      </c>
      <c r="V64" s="17" t="str">
        <f>IF(行动模拟!D67="","",后台计算!E61)</f>
        <v>小瑞安侬</v>
      </c>
      <c r="W64" s="17" t="str">
        <f>IF(行动模拟!D67="","",后台计算!F61)</f>
        <v>虫虫黑莓唤回术</v>
      </c>
      <c r="X64" s="17" t="str">
        <f>IF(行动模拟!D67="","",行动模拟!B67)</f>
        <v>小瑞安侬额外回合</v>
      </c>
      <c r="Y64" s="17">
        <f>IF(行动模拟!D67="","",INDEX(回合状态!$B$7:$B$17,MATCH(行动模拟!B67,回合状态!$A$7:$A$17,0)))</f>
        <v>3</v>
      </c>
      <c r="Z64" s="24">
        <f>IF(ISNUMBER(行动模拟!R67),行动模拟!R67,"")</f>
        <v>12495</v>
      </c>
      <c r="AA64" s="17">
        <f>IF(ISNUMBER(行动模拟!R67),1,0)</f>
        <v>1</v>
      </c>
    </row>
    <row r="65" spans="1:27" ht="27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U65" s="17">
        <f>IF(行动模拟!D68="","",ROW(行动模拟!D68))</f>
        <v>68</v>
      </c>
      <c r="V65" s="17" t="str">
        <f>IF(行动模拟!D68="","",后台计算!E62)</f>
        <v>系统</v>
      </c>
      <c r="W65" s="17" t="str">
        <f>IF(行动模拟!D68="","",后台计算!F62)</f>
        <v>回合结束</v>
      </c>
      <c r="X65" s="17" t="str">
        <f>IF(行动模拟!D68="","",行动模拟!B68)</f>
        <v>小瑞安侬额外回合</v>
      </c>
      <c r="Y65" s="17">
        <f>IF(行动模拟!D68="","",INDEX(回合状态!$B$7:$B$17,MATCH(行动模拟!B68,回合状态!$A$7:$A$17,0)))</f>
        <v>3</v>
      </c>
      <c r="Z65" s="24" t="str">
        <f>IF(ISNUMBER(行动模拟!R68),行动模拟!R68,"")</f>
        <v/>
      </c>
      <c r="AA65" s="17">
        <f>IF(ISNUMBER(行动模拟!R68),1,0)</f>
        <v>0</v>
      </c>
    </row>
    <row r="66" spans="1:27" ht="27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U66" s="17">
        <f>IF(行动模拟!D69="","",ROW(行动模拟!D69))</f>
        <v>69</v>
      </c>
      <c r="V66" s="17" t="str">
        <f>IF(行动模拟!D69="","",后台计算!E63)</f>
        <v>小瑞安侬</v>
      </c>
      <c r="W66" s="17" t="str">
        <f>IF(行动模拟!D69="","",后台计算!F63)</f>
        <v>唱予无忧之诗</v>
      </c>
      <c r="X66" s="17">
        <f>IF(行动模拟!D69="","",行动模拟!B69)</f>
        <v>4</v>
      </c>
      <c r="Y66" s="17">
        <f>IF(行动模拟!D69="","",INDEX(回合状态!$B$7:$B$17,MATCH(行动模拟!B69,回合状态!$A$7:$A$17,0)))</f>
        <v>4</v>
      </c>
      <c r="Z66" s="24" t="str">
        <f>IF(ISNUMBER(行动模拟!R69),行动模拟!R69,"")</f>
        <v/>
      </c>
      <c r="AA66" s="17">
        <f>IF(ISNUMBER(行动模拟!R69),1,0)</f>
        <v>0</v>
      </c>
    </row>
    <row r="67" spans="1:27" ht="27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U67" s="17">
        <f>IF(行动模拟!D70="","",ROW(行动模拟!D70))</f>
        <v>70</v>
      </c>
      <c r="V67" s="17" t="str">
        <f>IF(行动模拟!D70="","",后台计算!E64)</f>
        <v>小瑞安侬</v>
      </c>
      <c r="W67" s="17" t="str">
        <f>IF(行动模拟!D70="","",后台计算!F64)</f>
        <v>悄冥冥术阵</v>
      </c>
      <c r="X67" s="17">
        <f>IF(行动模拟!D70="","",行动模拟!B70)</f>
        <v>4</v>
      </c>
      <c r="Y67" s="17">
        <f>IF(行动模拟!D70="","",INDEX(回合状态!$B$7:$B$17,MATCH(行动模拟!B70,回合状态!$A$7:$A$17,0)))</f>
        <v>4</v>
      </c>
      <c r="Z67" s="24" t="str">
        <f>IF(ISNUMBER(行动模拟!R70),行动模拟!R70,"")</f>
        <v/>
      </c>
      <c r="AA67" s="17">
        <f>IF(ISNUMBER(行动模拟!R70),1,0)</f>
        <v>0</v>
      </c>
    </row>
    <row r="68" spans="1:27" ht="27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U68" s="17">
        <f>IF(行动模拟!D71="","",ROW(行动模拟!D71))</f>
        <v>71</v>
      </c>
      <c r="V68" s="17" t="str">
        <f>IF(行动模拟!D71="","",后台计算!E65)</f>
        <v>小瑞安侬</v>
      </c>
      <c r="W68" s="17" t="str">
        <f>IF(行动模拟!D71="","",后台计算!F65)</f>
        <v>囫囵囵咒</v>
      </c>
      <c r="X68" s="17">
        <f>IF(行动模拟!D71="","",行动模拟!B71)</f>
        <v>4</v>
      </c>
      <c r="Y68" s="17">
        <f>IF(行动模拟!D71="","",INDEX(回合状态!$B$7:$B$17,MATCH(行动模拟!B71,回合状态!$A$7:$A$17,0)))</f>
        <v>4</v>
      </c>
      <c r="Z68" s="24">
        <f>IF(ISNUMBER(行动模拟!R71),行动模拟!R71,"")</f>
        <v>5326</v>
      </c>
      <c r="AA68" s="17">
        <f>IF(ISNUMBER(行动模拟!R71),1,0)</f>
        <v>1</v>
      </c>
    </row>
    <row r="69" spans="1:27" ht="27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U69" s="17">
        <f>IF(行动模拟!D72="","",ROW(行动模拟!D72))</f>
        <v>72</v>
      </c>
      <c r="V69" s="17" t="str">
        <f>IF(行动模拟!D72="","",后台计算!E66)</f>
        <v>小瑞安侬</v>
      </c>
      <c r="W69" s="17" t="str">
        <f>IF(行动模拟!D72="","",后台计算!F66)</f>
        <v>囫囵囵咒</v>
      </c>
      <c r="X69" s="17">
        <f>IF(行动模拟!D72="","",行动模拟!B72)</f>
        <v>4</v>
      </c>
      <c r="Y69" s="17">
        <f>IF(行动模拟!D72="","",INDEX(回合状态!$B$7:$B$17,MATCH(行动模拟!B72,回合状态!$A$7:$A$17,0)))</f>
        <v>4</v>
      </c>
      <c r="Z69" s="24">
        <f>IF(ISNUMBER(行动模拟!R72),行动模拟!R72,"")</f>
        <v>7101</v>
      </c>
      <c r="AA69" s="17">
        <f>IF(ISNUMBER(行动模拟!R72),1,0)</f>
        <v>1</v>
      </c>
    </row>
    <row r="70" spans="1:27" ht="27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U70" s="17">
        <f>IF(行动模拟!D73="","",ROW(行动模拟!D73))</f>
        <v>73</v>
      </c>
      <c r="V70" s="17" t="str">
        <f>IF(行动模拟!D73="","",后台计算!E67)</f>
        <v>37</v>
      </c>
      <c r="W70" s="17" t="str">
        <f>IF(行动模拟!D73="","",后台计算!F67)</f>
        <v>补充算式</v>
      </c>
      <c r="X70" s="17">
        <f>IF(行动模拟!D73="","",行动模拟!B73)</f>
        <v>4</v>
      </c>
      <c r="Y70" s="17">
        <f>IF(行动模拟!D73="","",INDEX(回合状态!$B$7:$B$17,MATCH(行动模拟!B73,回合状态!$A$7:$A$17,0)))</f>
        <v>4</v>
      </c>
      <c r="Z70" s="24">
        <f>IF(ISNUMBER(行动模拟!R73),行动模拟!R73,"")</f>
        <v>1573</v>
      </c>
      <c r="AA70" s="17">
        <f>IF(ISNUMBER(行动模拟!R73),1,0)</f>
        <v>1</v>
      </c>
    </row>
    <row r="71" spans="1:27" ht="27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U71" s="17">
        <f>IF(行动模拟!D74="","",ROW(行动模拟!D74))</f>
        <v>74</v>
      </c>
      <c r="V71" s="17" t="str">
        <f>IF(行动模拟!D74="","",后台计算!E68)</f>
        <v>红弩箭</v>
      </c>
      <c r="W71" s="17" t="str">
        <f>IF(行动模拟!D74="","",后台计算!F68)</f>
        <v>眼镜蛇机动</v>
      </c>
      <c r="X71" s="17">
        <f>IF(行动模拟!D74="","",行动模拟!B74)</f>
        <v>4</v>
      </c>
      <c r="Y71" s="17">
        <f>IF(行动模拟!D74="","",INDEX(回合状态!$B$7:$B$17,MATCH(行动模拟!B74,回合状态!$A$7:$A$17,0)))</f>
        <v>4</v>
      </c>
      <c r="Z71" s="24" t="str">
        <f>IF(ISNUMBER(行动模拟!R74),行动模拟!R74,"")</f>
        <v/>
      </c>
      <c r="AA71" s="17">
        <f>IF(ISNUMBER(行动模拟!R74),1,0)</f>
        <v>0</v>
      </c>
    </row>
    <row r="72" spans="1:27" ht="27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U72" s="17">
        <f>IF(行动模拟!D75="","",ROW(行动模拟!D75))</f>
        <v>75</v>
      </c>
      <c r="V72" s="17" t="str">
        <f>IF(行动模拟!D75="","",后台计算!E69)</f>
        <v>J</v>
      </c>
      <c r="W72" s="17" t="str">
        <f>IF(行动模拟!D75="","",后台计算!F69)</f>
        <v>飞跃海特街</v>
      </c>
      <c r="X72" s="17">
        <f>IF(行动模拟!D75="","",行动模拟!B75)</f>
        <v>4</v>
      </c>
      <c r="Y72" s="17">
        <f>IF(行动模拟!D75="","",INDEX(回合状态!$B$7:$B$17,MATCH(行动模拟!B75,回合状态!$A$7:$A$17,0)))</f>
        <v>4</v>
      </c>
      <c r="Z72" s="24">
        <f>IF(ISNUMBER(行动模拟!R75),行动模拟!R75,"")</f>
        <v>21612</v>
      </c>
      <c r="AA72" s="17">
        <f>IF(ISNUMBER(行动模拟!R75),1,0)</f>
        <v>1</v>
      </c>
    </row>
    <row r="73" spans="1:27" ht="27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U73" s="17">
        <f>IF(行动模拟!D76="","",ROW(行动模拟!D76))</f>
        <v>76</v>
      </c>
      <c r="V73" s="17" t="str">
        <f>IF(行动模拟!D76="","",后台计算!E70)</f>
        <v>37</v>
      </c>
      <c r="W73" s="17" t="str">
        <f>IF(行动模拟!D76="","",后台计算!F70)</f>
        <v>数与几何的王国</v>
      </c>
      <c r="X73" s="17">
        <f>IF(行动模拟!D76="","",行动模拟!B76)</f>
        <v>4</v>
      </c>
      <c r="Y73" s="17">
        <f>IF(行动模拟!D76="","",INDEX(回合状态!$B$7:$B$17,MATCH(行动模拟!B76,回合状态!$A$7:$A$17,0)))</f>
        <v>4</v>
      </c>
      <c r="Z73" s="24" t="str">
        <f>IF(ISNUMBER(行动模拟!R76),行动模拟!R76,"")</f>
        <v/>
      </c>
      <c r="AA73" s="17">
        <f>IF(ISNUMBER(行动模拟!R76),1,0)</f>
        <v>0</v>
      </c>
    </row>
    <row r="74" spans="1:27" ht="27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U74" s="17">
        <f>IF(行动模拟!D77="","",ROW(行动模拟!D77))</f>
        <v>77</v>
      </c>
      <c r="V74" s="17" t="str">
        <f>IF(行动模拟!D77="","",后台计算!E71)</f>
        <v>37</v>
      </c>
      <c r="W74" s="17" t="str">
        <f>IF(行动模拟!D77="","",后台计算!F71)</f>
        <v>补充算式</v>
      </c>
      <c r="X74" s="17">
        <f>IF(行动模拟!D77="","",行动模拟!B77)</f>
        <v>4</v>
      </c>
      <c r="Y74" s="17">
        <f>IF(行动模拟!D77="","",INDEX(回合状态!$B$7:$B$17,MATCH(行动模拟!B77,回合状态!$A$7:$A$17,0)))</f>
        <v>4</v>
      </c>
      <c r="Z74" s="24">
        <f>IF(ISNUMBER(行动模拟!R77),行动模拟!R77,"")</f>
        <v>9675</v>
      </c>
      <c r="AA74" s="17">
        <f>IF(ISNUMBER(行动模拟!R77),1,0)</f>
        <v>1</v>
      </c>
    </row>
    <row r="75" spans="1:27" ht="35.1" customHeight="1">
      <c r="A75" s="23" t="s">
        <v>810</v>
      </c>
      <c r="B75" s="23" t="s">
        <v>396</v>
      </c>
      <c r="C75" s="23" t="s">
        <v>811</v>
      </c>
      <c r="D75" s="23" t="s">
        <v>806</v>
      </c>
      <c r="E75" s="16"/>
      <c r="F75" s="16"/>
      <c r="G75" s="16"/>
      <c r="H75" s="16"/>
      <c r="I75" s="16"/>
      <c r="J75" s="16"/>
      <c r="K75" s="23" t="s">
        <v>810</v>
      </c>
      <c r="L75" s="23" t="s">
        <v>396</v>
      </c>
      <c r="M75" s="23" t="s">
        <v>811</v>
      </c>
      <c r="N75" s="23" t="s">
        <v>806</v>
      </c>
      <c r="O75" s="16"/>
      <c r="P75" s="16"/>
      <c r="Q75" s="16"/>
      <c r="R75" s="16"/>
      <c r="U75" s="17">
        <f>IF(行动模拟!D78="","",ROW(行动模拟!D78))</f>
        <v>78</v>
      </c>
      <c r="V75" s="17" t="str">
        <f>IF(行动模拟!D78="","",后台计算!E72)</f>
        <v>红弩箭</v>
      </c>
      <c r="W75" s="17" t="str">
        <f>IF(行动模拟!D78="","",后台计算!F72)</f>
        <v>极限俯冲</v>
      </c>
      <c r="X75" s="17">
        <f>IF(行动模拟!D78="","",行动模拟!B78)</f>
        <v>4</v>
      </c>
      <c r="Y75" s="17">
        <f>IF(行动模拟!D78="","",INDEX(回合状态!$B$7:$B$17,MATCH(行动模拟!B78,回合状态!$A$7:$A$17,0)))</f>
        <v>4</v>
      </c>
      <c r="Z75" s="24">
        <f>IF(ISNUMBER(行动模拟!R78),行动模拟!R78,"")</f>
        <v>124304</v>
      </c>
      <c r="AA75" s="17">
        <f>IF(ISNUMBER(行动模拟!R78),1,0)</f>
        <v>1</v>
      </c>
    </row>
    <row r="76" spans="1:27" ht="30.95" customHeight="1">
      <c r="A76" s="17" t="s">
        <v>125</v>
      </c>
      <c r="B76" s="24">
        <f>SUMIFS($Z$6:$Z$245,$V$6:$V$245,"小瑞安侬",$W$6:$W$245,A76)</f>
        <v>29943</v>
      </c>
      <c r="C76" s="29">
        <f>B76/SUMIFS($Z$6:$Z$245,$V$6:$V$245,"小瑞安侬")</f>
        <v>0.70557047928743111</v>
      </c>
      <c r="D76" s="17">
        <f>SUMIFS($AA$6:$AA$245,$V$6:$V$245,"小瑞安侬",$W$6:$W$245,A76)</f>
        <v>6</v>
      </c>
      <c r="E76" s="16"/>
      <c r="F76" s="16"/>
      <c r="G76" s="16"/>
      <c r="H76" s="16"/>
      <c r="I76" s="16"/>
      <c r="J76" s="16"/>
      <c r="K76" s="17" t="s">
        <v>165</v>
      </c>
      <c r="L76" s="24">
        <f>SUMIFS($Z$6:$Z$245,$V$6:$V$245,"J",$W$6:$W$245,K76)</f>
        <v>213052</v>
      </c>
      <c r="M76" s="29">
        <f>L76/SUMIFS($Z$6:$Z$245,$V$6:$V$245,"J")</f>
        <v>0.62797552377471499</v>
      </c>
      <c r="N76" s="17">
        <f>SUMIFS($AA$6:$AA$245,$V$6:$V$245,"J",$W$6:$W$245,K76)</f>
        <v>4</v>
      </c>
      <c r="O76" s="16"/>
      <c r="P76" s="16"/>
      <c r="Q76" s="16"/>
      <c r="R76" s="16"/>
      <c r="U76" s="17">
        <f>IF(行动模拟!D79="","",ROW(行动模拟!D79))</f>
        <v>79</v>
      </c>
      <c r="V76" s="17" t="str">
        <f>IF(行动模拟!D79="","",后台计算!E73)</f>
        <v>37</v>
      </c>
      <c r="W76" s="17" t="str">
        <f>IF(行动模拟!D79="","",后台计算!F73)</f>
        <v>曲线映射</v>
      </c>
      <c r="X76" s="17">
        <f>IF(行动模拟!D79="","",行动模拟!B79)</f>
        <v>4</v>
      </c>
      <c r="Y76" s="17">
        <f>IF(行动模拟!D79="","",INDEX(回合状态!$B$7:$B$17,MATCH(行动模拟!B79,回合状态!$A$7:$A$17,0)))</f>
        <v>4</v>
      </c>
      <c r="Z76" s="24">
        <f>IF(ISNUMBER(行动模拟!R79),行动模拟!R79,"")</f>
        <v>5908</v>
      </c>
      <c r="AA76" s="17">
        <f>IF(ISNUMBER(行动模拟!R79),1,0)</f>
        <v>1</v>
      </c>
    </row>
    <row r="77" spans="1:27" ht="30.95" customHeight="1">
      <c r="A77" s="17" t="s">
        <v>142</v>
      </c>
      <c r="B77" s="24">
        <f>SUMIFS($Z$6:$Z$245,$V$6:$V$245,"小瑞安侬",$W$6:$W$245,A77)</f>
        <v>12495</v>
      </c>
      <c r="C77" s="29">
        <f>B77/SUMIFS($Z$6:$Z$245,$V$6:$V$245,"小瑞安侬")</f>
        <v>0.29442952071256895</v>
      </c>
      <c r="D77" s="17">
        <f>SUMIFS($AA$6:$AA$245,$V$6:$V$245,"小瑞安侬",$W$6:$W$245,A77)</f>
        <v>1</v>
      </c>
      <c r="E77" s="16"/>
      <c r="F77" s="16"/>
      <c r="G77" s="16"/>
      <c r="H77" s="16"/>
      <c r="I77" s="16"/>
      <c r="J77" s="16"/>
      <c r="K77" s="17" t="s">
        <v>160</v>
      </c>
      <c r="L77" s="24">
        <f>SUMIFS($Z$6:$Z$245,$V$6:$V$245,"J",$W$6:$W$245,K77)</f>
        <v>108676</v>
      </c>
      <c r="M77" s="29">
        <f>L77/SUMIFS($Z$6:$Z$245,$V$6:$V$245,"J")</f>
        <v>0.32032493485975688</v>
      </c>
      <c r="N77" s="17">
        <f>SUMIFS($AA$6:$AA$245,$V$6:$V$245,"J",$W$6:$W$245,K77)</f>
        <v>24</v>
      </c>
      <c r="O77" s="16"/>
      <c r="P77" s="16"/>
      <c r="Q77" s="16"/>
      <c r="R77" s="16"/>
      <c r="U77" s="17">
        <f>IF(行动模拟!D80="","",ROW(行动模拟!D80))</f>
        <v>80</v>
      </c>
      <c r="V77" s="17" t="str">
        <f>IF(行动模拟!D80="","",后台计算!E74)</f>
        <v>J</v>
      </c>
      <c r="W77" s="17" t="str">
        <f>IF(行动模拟!D80="","",后台计算!F74)</f>
        <v>高温回火</v>
      </c>
      <c r="X77" s="17">
        <f>IF(行动模拟!D80="","",行动模拟!B80)</f>
        <v>4</v>
      </c>
      <c r="Y77" s="17">
        <f>IF(行动模拟!D80="","",INDEX(回合状态!$B$7:$B$17,MATCH(行动模拟!B80,回合状态!$A$7:$A$17,0)))</f>
        <v>4</v>
      </c>
      <c r="Z77" s="24">
        <f>IF(ISNUMBER(行动模拟!R80),行动模拟!R80,"")</f>
        <v>4392</v>
      </c>
      <c r="AA77" s="17">
        <f>IF(ISNUMBER(行动模拟!R80),1,0)</f>
        <v>1</v>
      </c>
    </row>
    <row r="78" spans="1:27" ht="30.95" customHeight="1">
      <c r="A78" s="30" t="s">
        <v>807</v>
      </c>
      <c r="B78" s="31">
        <f>SUM(B76:B77)</f>
        <v>42438</v>
      </c>
      <c r="C78" s="32">
        <f>SUM(C76:C77)</f>
        <v>1</v>
      </c>
      <c r="D78" s="30">
        <f>SUM(D76:D77)</f>
        <v>7</v>
      </c>
      <c r="E78" s="16"/>
      <c r="F78" s="16"/>
      <c r="G78" s="16"/>
      <c r="H78" s="16"/>
      <c r="I78" s="16"/>
      <c r="J78" s="16"/>
      <c r="K78" s="17" t="s">
        <v>146</v>
      </c>
      <c r="L78" s="24">
        <f>SUMIFS($Z$6:$Z$245,$V$6:$V$245,"J",$W$6:$W$245,K78)</f>
        <v>17540</v>
      </c>
      <c r="M78" s="29">
        <f>L78/SUMIFS($Z$6:$Z$245,$V$6:$V$245,"J")</f>
        <v>5.1699541365528137E-2</v>
      </c>
      <c r="N78" s="17">
        <f>SUMIFS($AA$6:$AA$245,$V$6:$V$245,"J",$W$6:$W$245,K78)</f>
        <v>4</v>
      </c>
      <c r="O78" s="16"/>
      <c r="P78" s="16"/>
      <c r="Q78" s="16"/>
      <c r="R78" s="16"/>
      <c r="U78" s="17">
        <f>IF(行动模拟!D81="","",ROW(行动模拟!D81))</f>
        <v>81</v>
      </c>
      <c r="V78" s="17" t="str">
        <f>IF(行动模拟!D81="","",后台计算!E75)</f>
        <v>J</v>
      </c>
      <c r="W78" s="17" t="str">
        <f>IF(行动模拟!D81="","",后台计算!F75)</f>
        <v>高温回火</v>
      </c>
      <c r="X78" s="17">
        <f>IF(行动模拟!D81="","",行动模拟!B81)</f>
        <v>4</v>
      </c>
      <c r="Y78" s="17">
        <f>IF(行动模拟!D81="","",INDEX(回合状态!$B$7:$B$17,MATCH(行动模拟!B81,回合状态!$A$7:$A$17,0)))</f>
        <v>4</v>
      </c>
      <c r="Z78" s="24">
        <f>IF(ISNUMBER(行动模拟!R81),行动模拟!R81,"")</f>
        <v>5324</v>
      </c>
      <c r="AA78" s="17">
        <f>IF(ISNUMBER(行动模拟!R81),1,0)</f>
        <v>1</v>
      </c>
    </row>
    <row r="79" spans="1:27" ht="30.9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30" t="s">
        <v>807</v>
      </c>
      <c r="L79" s="31">
        <f>SUM(L76:L78)</f>
        <v>339268</v>
      </c>
      <c r="M79" s="32">
        <f>SUM(M76:M78)</f>
        <v>1</v>
      </c>
      <c r="N79" s="30">
        <f>SUM(N76:N78)</f>
        <v>32</v>
      </c>
      <c r="O79" s="16"/>
      <c r="P79" s="16"/>
      <c r="Q79" s="16"/>
      <c r="R79" s="16"/>
      <c r="U79" s="17">
        <f>IF(行动模拟!D82="","",ROW(行动模拟!D82))</f>
        <v>82</v>
      </c>
      <c r="V79" s="17" t="str">
        <f>IF(行动模拟!D82="","",后台计算!E76)</f>
        <v>J</v>
      </c>
      <c r="W79" s="17" t="str">
        <f>IF(行动模拟!D82="","",后台计算!F76)</f>
        <v>高温回火</v>
      </c>
      <c r="X79" s="17">
        <f>IF(行动模拟!D82="","",行动模拟!B82)</f>
        <v>4</v>
      </c>
      <c r="Y79" s="17">
        <f>IF(行动模拟!D82="","",INDEX(回合状态!$B$7:$B$17,MATCH(行动模拟!B82,回合状态!$A$7:$A$17,0)))</f>
        <v>4</v>
      </c>
      <c r="Z79" s="24">
        <f>IF(ISNUMBER(行动模拟!R82),行动模拟!R82,"")</f>
        <v>6655</v>
      </c>
      <c r="AA79" s="17">
        <f>IF(ISNUMBER(行动模拟!R82),1,0)</f>
        <v>1</v>
      </c>
    </row>
    <row r="80" spans="1:27" ht="27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U80" s="17">
        <f>IF(行动模拟!D83="","",ROW(行动模拟!D83))</f>
        <v>83</v>
      </c>
      <c r="V80" s="17" t="str">
        <f>IF(行动模拟!D83="","",后台计算!E77)</f>
        <v>37</v>
      </c>
      <c r="W80" s="17" t="str">
        <f>IF(行动模拟!D83="","",后台计算!F77)</f>
        <v>补充算式</v>
      </c>
      <c r="X80" s="17">
        <f>IF(行动模拟!D83="","",行动模拟!B83)</f>
        <v>4</v>
      </c>
      <c r="Y80" s="17">
        <f>IF(行动模拟!D83="","",INDEX(回合状态!$B$7:$B$17,MATCH(行动模拟!B83,回合状态!$A$7:$A$17,0)))</f>
        <v>4</v>
      </c>
      <c r="Z80" s="24">
        <f>IF(ISNUMBER(行动模拟!R83),行动模拟!R83,"")</f>
        <v>1121</v>
      </c>
      <c r="AA80" s="17">
        <f>IF(ISNUMBER(行动模拟!R83),1,0)</f>
        <v>1</v>
      </c>
    </row>
    <row r="81" spans="1:27" ht="35.1" customHeight="1">
      <c r="A81" s="38" t="s">
        <v>814</v>
      </c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U81" s="17">
        <f>IF(行动模拟!D84="","",ROW(行动模拟!D84))</f>
        <v>84</v>
      </c>
      <c r="V81" s="17" t="str">
        <f>IF(行动模拟!D84="","",后台计算!E78)</f>
        <v>J</v>
      </c>
      <c r="W81" s="17" t="str">
        <f>IF(行动模拟!D84="","",后台计算!F78)</f>
        <v>高温回火</v>
      </c>
      <c r="X81" s="17">
        <f>IF(行动模拟!D84="","",行动模拟!B84)</f>
        <v>4</v>
      </c>
      <c r="Y81" s="17">
        <f>IF(行动模拟!D84="","",INDEX(回合状态!$B$7:$B$17,MATCH(行动模拟!B84,回合状态!$A$7:$A$17,0)))</f>
        <v>4</v>
      </c>
      <c r="Z81" s="24">
        <f>IF(ISNUMBER(行动模拟!R84),行动模拟!R84,"")</f>
        <v>7321</v>
      </c>
      <c r="AA81" s="17">
        <f>IF(ISNUMBER(行动模拟!R84),1,0)</f>
        <v>1</v>
      </c>
    </row>
    <row r="82" spans="1:27" ht="27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U82" s="17">
        <f>IF(行动模拟!D85="","",ROW(行动模拟!D85))</f>
        <v>85</v>
      </c>
      <c r="V82" s="17" t="str">
        <f>IF(行动模拟!D85="","",后台计算!E79)</f>
        <v>小瑞安侬</v>
      </c>
      <c r="W82" s="17" t="str">
        <f>IF(行动模拟!D85="","",后台计算!F79)</f>
        <v>悄冥冥术阵</v>
      </c>
      <c r="X82" s="17">
        <f>IF(行动模拟!D85="","",行动模拟!B85)</f>
        <v>5</v>
      </c>
      <c r="Y82" s="17">
        <f>IF(行动模拟!D85="","",INDEX(回合状态!$B$7:$B$17,MATCH(行动模拟!B85,回合状态!$A$7:$A$17,0)))</f>
        <v>5</v>
      </c>
      <c r="Z82" s="24" t="str">
        <f>IF(ISNUMBER(行动模拟!R85),行动模拟!R85,"")</f>
        <v/>
      </c>
      <c r="AA82" s="17">
        <f>IF(ISNUMBER(行动模拟!R85),1,0)</f>
        <v>0</v>
      </c>
    </row>
    <row r="83" spans="1:27" ht="27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U83" s="17">
        <f>IF(行动模拟!D86="","",ROW(行动模拟!D86))</f>
        <v>86</v>
      </c>
      <c r="V83" s="17" t="str">
        <f>IF(行动模拟!D86="","",后台计算!E80)</f>
        <v>红弩箭</v>
      </c>
      <c r="W83" s="17" t="str">
        <f>IF(行动模拟!D86="","",后台计算!F80)</f>
        <v>试试杀手锏</v>
      </c>
      <c r="X83" s="17">
        <f>IF(行动模拟!D86="","",行动模拟!B86)</f>
        <v>5</v>
      </c>
      <c r="Y83" s="17">
        <f>IF(行动模拟!D86="","",INDEX(回合状态!$B$7:$B$17,MATCH(行动模拟!B86,回合状态!$A$7:$A$17,0)))</f>
        <v>5</v>
      </c>
      <c r="Z83" s="24">
        <f>IF(ISNUMBER(行动模拟!R86),行动模拟!R86,"")</f>
        <v>646996</v>
      </c>
      <c r="AA83" s="17">
        <f>IF(ISNUMBER(行动模拟!R86),1,0)</f>
        <v>1</v>
      </c>
    </row>
    <row r="84" spans="1:27" ht="27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U84" s="17">
        <f>IF(行动模拟!D87="","",ROW(行动模拟!D87))</f>
        <v>87</v>
      </c>
      <c r="V84" s="17" t="str">
        <f>IF(行动模拟!D87="","",后台计算!E81)</f>
        <v>37</v>
      </c>
      <c r="W84" s="17" t="str">
        <f>IF(行动模拟!D87="","",后台计算!F81)</f>
        <v>曲线映射</v>
      </c>
      <c r="X84" s="17">
        <f>IF(行动模拟!D87="","",行动模拟!B87)</f>
        <v>5</v>
      </c>
      <c r="Y84" s="17">
        <f>IF(行动模拟!D87="","",INDEX(回合状态!$B$7:$B$17,MATCH(行动模拟!B87,回合状态!$A$7:$A$17,0)))</f>
        <v>5</v>
      </c>
      <c r="Z84" s="24">
        <f>IF(ISNUMBER(行动模拟!R87),行动模拟!R87,"")</f>
        <v>1244</v>
      </c>
      <c r="AA84" s="17">
        <f>IF(ISNUMBER(行动模拟!R87),1,0)</f>
        <v>1</v>
      </c>
    </row>
    <row r="85" spans="1:27" ht="27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U85" s="17">
        <f>IF(行动模拟!D88="","",ROW(行动模拟!D88))</f>
        <v>88</v>
      </c>
      <c r="V85" s="17" t="str">
        <f>IF(行动模拟!D88="","",后台计算!E82)</f>
        <v>37</v>
      </c>
      <c r="W85" s="17" t="str">
        <f>IF(行动模拟!D88="","",后台计算!F82)</f>
        <v>三角正论</v>
      </c>
      <c r="X85" s="17">
        <f>IF(行动模拟!D88="","",行动模拟!B88)</f>
        <v>5</v>
      </c>
      <c r="Y85" s="17">
        <f>IF(行动模拟!D88="","",INDEX(回合状态!$B$7:$B$17,MATCH(行动模拟!B88,回合状态!$A$7:$A$17,0)))</f>
        <v>5</v>
      </c>
      <c r="Z85" s="24">
        <f>IF(ISNUMBER(行动模拟!R88),行动模拟!R88,"")</f>
        <v>7466</v>
      </c>
      <c r="AA85" s="17">
        <f>IF(ISNUMBER(行动模拟!R88),1,0)</f>
        <v>1</v>
      </c>
    </row>
    <row r="86" spans="1:27" ht="27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U86" s="17">
        <f>IF(行动模拟!D89="","",ROW(行动模拟!D89))</f>
        <v>89</v>
      </c>
      <c r="V86" s="17" t="str">
        <f>IF(行动模拟!D89="","",后台计算!E83)</f>
        <v>37</v>
      </c>
      <c r="W86" s="17" t="str">
        <f>IF(行动模拟!D89="","",后台计算!F83)</f>
        <v>补充算式</v>
      </c>
      <c r="X86" s="17">
        <f>IF(行动模拟!D89="","",行动模拟!B89)</f>
        <v>5</v>
      </c>
      <c r="Y86" s="17">
        <f>IF(行动模拟!D89="","",INDEX(回合状态!$B$7:$B$17,MATCH(行动模拟!B89,回合状态!$A$7:$A$17,0)))</f>
        <v>5</v>
      </c>
      <c r="Z86" s="24">
        <f>IF(ISNUMBER(行动模拟!R89),行动模拟!R89,"")</f>
        <v>17356</v>
      </c>
      <c r="AA86" s="17">
        <f>IF(ISNUMBER(行动模拟!R89),1,0)</f>
        <v>1</v>
      </c>
    </row>
    <row r="87" spans="1:27" ht="27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U87" s="17">
        <f>IF(行动模拟!D90="","",ROW(行动模拟!D90))</f>
        <v>90</v>
      </c>
      <c r="V87" s="17" t="str">
        <f>IF(行动模拟!D90="","",后台计算!E84)</f>
        <v>红弩箭</v>
      </c>
      <c r="W87" s="17" t="str">
        <f>IF(行动模拟!D90="","",后台计算!F84)</f>
        <v>眼镜蛇机动</v>
      </c>
      <c r="X87" s="17">
        <f>IF(行动模拟!D90="","",行动模拟!B90)</f>
        <v>5</v>
      </c>
      <c r="Y87" s="17">
        <f>IF(行动模拟!D90="","",INDEX(回合状态!$B$7:$B$17,MATCH(行动模拟!B90,回合状态!$A$7:$A$17,0)))</f>
        <v>5</v>
      </c>
      <c r="Z87" s="24" t="str">
        <f>IF(ISNUMBER(行动模拟!R90),行动模拟!R90,"")</f>
        <v/>
      </c>
      <c r="AA87" s="17">
        <f>IF(ISNUMBER(行动模拟!R90),1,0)</f>
        <v>0</v>
      </c>
    </row>
    <row r="88" spans="1:27" ht="27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U88" s="17">
        <f>IF(行动模拟!D91="","",ROW(行动模拟!D91))</f>
        <v>91</v>
      </c>
      <c r="V88" s="17" t="str">
        <f>IF(行动模拟!D91="","",后台计算!E85)</f>
        <v>红弩箭</v>
      </c>
      <c r="W88" s="17" t="str">
        <f>IF(行动模拟!D91="","",后台计算!F85)</f>
        <v>极限俯冲</v>
      </c>
      <c r="X88" s="17">
        <f>IF(行动模拟!D91="","",行动模拟!B91)</f>
        <v>5</v>
      </c>
      <c r="Y88" s="17">
        <f>IF(行动模拟!D91="","",INDEX(回合状态!$B$7:$B$17,MATCH(行动模拟!B91,回合状态!$A$7:$A$17,0)))</f>
        <v>5</v>
      </c>
      <c r="Z88" s="24">
        <f>IF(ISNUMBER(行动模拟!R91),行动模拟!R91,"")</f>
        <v>77137</v>
      </c>
      <c r="AA88" s="17">
        <f>IF(ISNUMBER(行动模拟!R91),1,0)</f>
        <v>1</v>
      </c>
    </row>
    <row r="89" spans="1:27" ht="27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U89" s="17">
        <f>IF(行动模拟!D92="","",ROW(行动模拟!D92))</f>
        <v>92</v>
      </c>
      <c r="V89" s="17" t="str">
        <f>IF(行动模拟!D92="","",后台计算!E86)</f>
        <v>系统</v>
      </c>
      <c r="W89" s="17" t="str">
        <f>IF(行动模拟!D92="","",后台计算!F86)</f>
        <v>Boss仪式·保守主义</v>
      </c>
      <c r="X89" s="17">
        <f>IF(行动模拟!D92="","",行动模拟!B92)</f>
        <v>5</v>
      </c>
      <c r="Y89" s="17">
        <f>IF(行动模拟!D92="","",INDEX(回合状态!$B$7:$B$17,MATCH(行动模拟!B92,回合状态!$A$7:$A$17,0)))</f>
        <v>5</v>
      </c>
      <c r="Z89" s="24" t="str">
        <f>IF(ISNUMBER(行动模拟!R92),行动模拟!R92,"")</f>
        <v/>
      </c>
      <c r="AA89" s="17">
        <f>IF(ISNUMBER(行动模拟!R92),1,0)</f>
        <v>0</v>
      </c>
    </row>
    <row r="90" spans="1:27" ht="27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U90" s="17">
        <f>IF(行动模拟!D93="","",ROW(行动模拟!D93))</f>
        <v>93</v>
      </c>
      <c r="V90" s="17" t="str">
        <f>IF(行动模拟!D93="","",后台计算!E87)</f>
        <v>J</v>
      </c>
      <c r="W90" s="17" t="str">
        <f>IF(行动模拟!D93="","",后台计算!F87)</f>
        <v>高温回火</v>
      </c>
      <c r="X90" s="17">
        <f>IF(行动模拟!D93="","",行动模拟!B93)</f>
        <v>5</v>
      </c>
      <c r="Y90" s="17">
        <f>IF(行动模拟!D93="","",INDEX(回合状态!$B$7:$B$17,MATCH(行动模拟!B93,回合状态!$A$7:$A$17,0)))</f>
        <v>5</v>
      </c>
      <c r="Z90" s="24">
        <f>IF(ISNUMBER(行动模拟!R93),行动模拟!R93,"")</f>
        <v>3902</v>
      </c>
      <c r="AA90" s="17">
        <f>IF(ISNUMBER(行动模拟!R93),1,0)</f>
        <v>1</v>
      </c>
    </row>
    <row r="91" spans="1:27" ht="27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U91" s="17">
        <f>IF(行动模拟!D94="","",ROW(行动模拟!D94))</f>
        <v>94</v>
      </c>
      <c r="V91" s="17" t="str">
        <f>IF(行动模拟!D94="","",后台计算!E88)</f>
        <v>J</v>
      </c>
      <c r="W91" s="17" t="str">
        <f>IF(行动模拟!D94="","",后台计算!F88)</f>
        <v>高温回火</v>
      </c>
      <c r="X91" s="17">
        <f>IF(行动模拟!D94="","",行动模拟!B94)</f>
        <v>5</v>
      </c>
      <c r="Y91" s="17">
        <f>IF(行动模拟!D94="","",INDEX(回合状态!$B$7:$B$17,MATCH(行动模拟!B94,回合状态!$A$7:$A$17,0)))</f>
        <v>5</v>
      </c>
      <c r="Z91" s="24">
        <f>IF(ISNUMBER(行动模拟!R94),行动模拟!R94,"")</f>
        <v>5203</v>
      </c>
      <c r="AA91" s="17">
        <f>IF(ISNUMBER(行动模拟!R94),1,0)</f>
        <v>1</v>
      </c>
    </row>
    <row r="92" spans="1:27" ht="27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U92" s="17">
        <f>IF(行动模拟!D95="","",ROW(行动模拟!D95))</f>
        <v>95</v>
      </c>
      <c r="V92" s="17" t="str">
        <f>IF(行动模拟!D95="","",后台计算!E89)</f>
        <v>J</v>
      </c>
      <c r="W92" s="17" t="str">
        <f>IF(行动模拟!D95="","",后台计算!F89)</f>
        <v>高温回火</v>
      </c>
      <c r="X92" s="17">
        <f>IF(行动模拟!D95="","",行动模拟!B95)</f>
        <v>5</v>
      </c>
      <c r="Y92" s="17">
        <f>IF(行动模拟!D95="","",INDEX(回合状态!$B$7:$B$17,MATCH(行动模拟!B95,回合状态!$A$7:$A$17,0)))</f>
        <v>5</v>
      </c>
      <c r="Z92" s="24">
        <f>IF(ISNUMBER(行动模拟!R95),行动模拟!R95,"")</f>
        <v>6504</v>
      </c>
      <c r="AA92" s="17">
        <f>IF(ISNUMBER(行动模拟!R95),1,0)</f>
        <v>1</v>
      </c>
    </row>
    <row r="93" spans="1:27" ht="27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U93" s="17">
        <f>IF(行动模拟!D96="","",ROW(行动模拟!D96))</f>
        <v>96</v>
      </c>
      <c r="V93" s="17" t="str">
        <f>IF(行动模拟!D96="","",后台计算!E90)</f>
        <v>37</v>
      </c>
      <c r="W93" s="17" t="str">
        <f>IF(行动模拟!D96="","",后台计算!F90)</f>
        <v>补充算式</v>
      </c>
      <c r="X93" s="17">
        <f>IF(行动模拟!D96="","",行动模拟!B96)</f>
        <v>5</v>
      </c>
      <c r="Y93" s="17">
        <f>IF(行动模拟!D96="","",INDEX(回合状态!$B$7:$B$17,MATCH(行动模拟!B96,回合状态!$A$7:$A$17,0)))</f>
        <v>5</v>
      </c>
      <c r="Z93" s="24">
        <f>IF(ISNUMBER(行动模拟!R96),行动模拟!R96,"")</f>
        <v>1087</v>
      </c>
      <c r="AA93" s="17">
        <f>IF(ISNUMBER(行动模拟!R96),1,0)</f>
        <v>1</v>
      </c>
    </row>
    <row r="94" spans="1:27" ht="27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U94" s="17">
        <f>IF(行动模拟!D97="","",ROW(行动模拟!D97))</f>
        <v>97</v>
      </c>
      <c r="V94" s="17" t="str">
        <f>IF(行动模拟!D97="","",后台计算!E91)</f>
        <v>J</v>
      </c>
      <c r="W94" s="17" t="str">
        <f>IF(行动模拟!D97="","",后台计算!F91)</f>
        <v>高温回火</v>
      </c>
      <c r="X94" s="17">
        <f>IF(行动模拟!D97="","",行动模拟!B97)</f>
        <v>5</v>
      </c>
      <c r="Y94" s="17">
        <f>IF(行动模拟!D97="","",INDEX(回合状态!$B$7:$B$17,MATCH(行动模拟!B97,回合状态!$A$7:$A$17,0)))</f>
        <v>5</v>
      </c>
      <c r="Z94" s="24">
        <f>IF(ISNUMBER(行动模拟!R97),行动模拟!R97,"")</f>
        <v>6504</v>
      </c>
      <c r="AA94" s="17">
        <f>IF(ISNUMBER(行动模拟!R97),1,0)</f>
        <v>1</v>
      </c>
    </row>
    <row r="95" spans="1:27" ht="27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U95" s="17">
        <f>IF(行动模拟!D98="","",ROW(行动模拟!D98))</f>
        <v>98</v>
      </c>
      <c r="V95" s="17" t="str">
        <f>IF(行动模拟!D98="","",后台计算!E92)</f>
        <v>小瑞安侬</v>
      </c>
      <c r="W95" s="17" t="str">
        <f>IF(行动模拟!D98="","",后台计算!F92)</f>
        <v>唱予无忧之诗</v>
      </c>
      <c r="X95" s="17">
        <f>IF(行动模拟!D98="","",行动模拟!B98)</f>
        <v>6</v>
      </c>
      <c r="Y95" s="17">
        <f>IF(行动模拟!D98="","",INDEX(回合状态!$B$7:$B$17,MATCH(行动模拟!B98,回合状态!$A$7:$A$17,0)))</f>
        <v>6</v>
      </c>
      <c r="Z95" s="24" t="str">
        <f>IF(ISNUMBER(行动模拟!R98),行动模拟!R98,"")</f>
        <v/>
      </c>
      <c r="AA95" s="17">
        <f>IF(ISNUMBER(行动模拟!R98),1,0)</f>
        <v>0</v>
      </c>
    </row>
    <row r="96" spans="1:27" ht="27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U96" s="17">
        <f>IF(行动模拟!D99="","",ROW(行动模拟!D99))</f>
        <v>99</v>
      </c>
      <c r="V96" s="17" t="str">
        <f>IF(行动模拟!D99="","",后台计算!E93)</f>
        <v>小瑞安侬</v>
      </c>
      <c r="W96" s="17" t="str">
        <f>IF(行动模拟!D99="","",后台计算!F93)</f>
        <v>悄冥冥术阵</v>
      </c>
      <c r="X96" s="17">
        <f>IF(行动模拟!D99="","",行动模拟!B99)</f>
        <v>6</v>
      </c>
      <c r="Y96" s="17">
        <f>IF(行动模拟!D99="","",INDEX(回合状态!$B$7:$B$17,MATCH(行动模拟!B99,回合状态!$A$7:$A$17,0)))</f>
        <v>6</v>
      </c>
      <c r="Z96" s="24" t="str">
        <f>IF(ISNUMBER(行动模拟!R99),行动模拟!R99,"")</f>
        <v/>
      </c>
      <c r="AA96" s="17">
        <f>IF(ISNUMBER(行动模拟!R99),1,0)</f>
        <v>0</v>
      </c>
    </row>
    <row r="97" spans="1:27" ht="27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U97" s="17">
        <f>IF(行动模拟!D100="","",ROW(行动模拟!D100))</f>
        <v>100</v>
      </c>
      <c r="V97" s="17" t="str">
        <f>IF(行动模拟!D100="","",后台计算!E94)</f>
        <v>J</v>
      </c>
      <c r="W97" s="17" t="str">
        <f>IF(行动模拟!D100="","",后台计算!F94)</f>
        <v>飞跃海特街</v>
      </c>
      <c r="X97" s="17">
        <f>IF(行动模拟!D100="","",行动模拟!B100)</f>
        <v>6</v>
      </c>
      <c r="Y97" s="17">
        <f>IF(行动模拟!D100="","",INDEX(回合状态!$B$7:$B$17,MATCH(行动模拟!B100,回合状态!$A$7:$A$17,0)))</f>
        <v>6</v>
      </c>
      <c r="Z97" s="24">
        <f>IF(ISNUMBER(行动模拟!R100),行动模拟!R100,"")</f>
        <v>54067</v>
      </c>
      <c r="AA97" s="17">
        <f>IF(ISNUMBER(行动模拟!R100),1,0)</f>
        <v>1</v>
      </c>
    </row>
    <row r="98" spans="1:27" ht="27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U98" s="17">
        <f>IF(行动模拟!D101="","",ROW(行动模拟!D101))</f>
        <v>101</v>
      </c>
      <c r="V98" s="17" t="str">
        <f>IF(行动模拟!D101="","",后台计算!E95)</f>
        <v>J</v>
      </c>
      <c r="W98" s="17" t="str">
        <f>IF(行动模拟!D101="","",后台计算!F95)</f>
        <v>热处理</v>
      </c>
      <c r="X98" s="17">
        <f>IF(行动模拟!D101="","",行动模拟!B101)</f>
        <v>6</v>
      </c>
      <c r="Y98" s="17">
        <f>IF(行动模拟!D101="","",INDEX(回合状态!$B$7:$B$17,MATCH(行动模拟!B101,回合状态!$A$7:$A$17,0)))</f>
        <v>6</v>
      </c>
      <c r="Z98" s="24" t="str">
        <f>IF(ISNUMBER(行动模拟!R101),行动模拟!R101,"")</f>
        <v/>
      </c>
      <c r="AA98" s="17">
        <f>IF(ISNUMBER(行动模拟!R101),1,0)</f>
        <v>0</v>
      </c>
    </row>
    <row r="99" spans="1:27" ht="27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U99" s="17">
        <f>IF(行动模拟!D102="","",ROW(行动模拟!D102))</f>
        <v>102</v>
      </c>
      <c r="V99" s="17" t="str">
        <f>IF(行动模拟!D102="","",后台计算!E96)</f>
        <v>37</v>
      </c>
      <c r="W99" s="17" t="str">
        <f>IF(行动模拟!D102="","",后台计算!F96)</f>
        <v>补充算式</v>
      </c>
      <c r="X99" s="17">
        <f>IF(行动模拟!D102="","",行动模拟!B102)</f>
        <v>6</v>
      </c>
      <c r="Y99" s="17">
        <f>IF(行动模拟!D102="","",INDEX(回合状态!$B$7:$B$17,MATCH(行动模拟!B102,回合状态!$A$7:$A$17,0)))</f>
        <v>6</v>
      </c>
      <c r="Z99" s="24">
        <f>IF(ISNUMBER(行动模拟!R102),行动模拟!R102,"")</f>
        <v>1742</v>
      </c>
      <c r="AA99" s="17">
        <f>IF(ISNUMBER(行动模拟!R102),1,0)</f>
        <v>1</v>
      </c>
    </row>
    <row r="100" spans="1:27" ht="27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U100" s="17">
        <f>IF(行动模拟!D103="","",ROW(行动模拟!D103))</f>
        <v>103</v>
      </c>
      <c r="V100" s="17" t="str">
        <f>IF(行动模拟!D103="","",后台计算!E97)</f>
        <v>37</v>
      </c>
      <c r="W100" s="17" t="str">
        <f>IF(行动模拟!D103="","",后台计算!F97)</f>
        <v>三角正论</v>
      </c>
      <c r="X100" s="17">
        <f>IF(行动模拟!D103="","",行动模拟!B103)</f>
        <v>6</v>
      </c>
      <c r="Y100" s="17">
        <f>IF(行动模拟!D103="","",INDEX(回合状态!$B$7:$B$17,MATCH(行动模拟!B103,回合状态!$A$7:$A$17,0)))</f>
        <v>6</v>
      </c>
      <c r="Z100" s="24">
        <f>IF(ISNUMBER(行动模拟!R103),行动模拟!R103,"")</f>
        <v>8702</v>
      </c>
      <c r="AA100" s="17">
        <f>IF(ISNUMBER(行动模拟!R103),1,0)</f>
        <v>1</v>
      </c>
    </row>
    <row r="101" spans="1:27" ht="27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U101" s="17">
        <f>IF(行动模拟!D104="","",ROW(行动模拟!D104))</f>
        <v>104</v>
      </c>
      <c r="V101" s="17" t="str">
        <f>IF(行动模拟!D104="","",后台计算!E98)</f>
        <v>红弩箭</v>
      </c>
      <c r="W101" s="17" t="str">
        <f>IF(行动模拟!D104="","",后台计算!F98)</f>
        <v>极限俯冲</v>
      </c>
      <c r="X101" s="17">
        <f>IF(行动模拟!D104="","",行动模拟!B104)</f>
        <v>6</v>
      </c>
      <c r="Y101" s="17">
        <f>IF(行动模拟!D104="","",INDEX(回合状态!$B$7:$B$17,MATCH(行动模拟!B104,回合状态!$A$7:$A$17,0)))</f>
        <v>6</v>
      </c>
      <c r="Z101" s="24">
        <f>IF(ISNUMBER(行动模拟!R104),行动模拟!R104,"")</f>
        <v>615024</v>
      </c>
      <c r="AA101" s="17">
        <f>IF(ISNUMBER(行动模拟!R104),1,0)</f>
        <v>1</v>
      </c>
    </row>
    <row r="102" spans="1:27" ht="27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U102" s="17">
        <f>IF(行动模拟!D105="","",ROW(行动模拟!D105))</f>
        <v>105</v>
      </c>
      <c r="V102" s="17" t="str">
        <f>IF(行动模拟!D105="","",后台计算!E99)</f>
        <v>J</v>
      </c>
      <c r="W102" s="17" t="str">
        <f>IF(行动模拟!D105="","",后台计算!F99)</f>
        <v>硬度测试</v>
      </c>
      <c r="X102" s="17">
        <f>IF(行动模拟!D105="","",行动模拟!B105)</f>
        <v>6</v>
      </c>
      <c r="Y102" s="17">
        <f>IF(行动模拟!D105="","",INDEX(回合状态!$B$7:$B$17,MATCH(行动模拟!B105,回合状态!$A$7:$A$17,0)))</f>
        <v>6</v>
      </c>
      <c r="Z102" s="24">
        <f>IF(ISNUMBER(行动模拟!R105),行动模拟!R105,"")</f>
        <v>5087</v>
      </c>
      <c r="AA102" s="17">
        <f>IF(ISNUMBER(行动模拟!R105),1,0)</f>
        <v>1</v>
      </c>
    </row>
    <row r="103" spans="1:27" ht="27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U103" s="17">
        <f>IF(行动模拟!D106="","",ROW(行动模拟!D106))</f>
        <v>106</v>
      </c>
      <c r="V103" s="17" t="str">
        <f>IF(行动模拟!D106="","",后台计算!E100)</f>
        <v>J</v>
      </c>
      <c r="W103" s="17" t="str">
        <f>IF(行动模拟!D106="","",后台计算!F100)</f>
        <v>高温回火</v>
      </c>
      <c r="X103" s="17">
        <f>IF(行动模拟!D106="","",行动模拟!B106)</f>
        <v>6</v>
      </c>
      <c r="Y103" s="17">
        <f>IF(行动模拟!D106="","",INDEX(回合状态!$B$7:$B$17,MATCH(行动模拟!B106,回合状态!$A$7:$A$17,0)))</f>
        <v>6</v>
      </c>
      <c r="Z103" s="24">
        <f>IF(ISNUMBER(行动模拟!R106),行动模拟!R106,"")</f>
        <v>2914</v>
      </c>
      <c r="AA103" s="17">
        <f>IF(ISNUMBER(行动模拟!R106),1,0)</f>
        <v>1</v>
      </c>
    </row>
    <row r="104" spans="1:27" ht="27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U104" s="17">
        <f>IF(行动模拟!D107="","",ROW(行动模拟!D107))</f>
        <v>107</v>
      </c>
      <c r="V104" s="17" t="str">
        <f>IF(行动模拟!D107="","",后台计算!E101)</f>
        <v>J</v>
      </c>
      <c r="W104" s="17" t="str">
        <f>IF(行动模拟!D107="","",后台计算!F101)</f>
        <v>高温回火</v>
      </c>
      <c r="X104" s="17">
        <f>IF(行动模拟!D107="","",行动模拟!B107)</f>
        <v>6</v>
      </c>
      <c r="Y104" s="17">
        <f>IF(行动模拟!D107="","",INDEX(回合状态!$B$7:$B$17,MATCH(行动模拟!B107,回合状态!$A$7:$A$17,0)))</f>
        <v>6</v>
      </c>
      <c r="Z104" s="24">
        <f>IF(ISNUMBER(行动模拟!R107),行动模拟!R107,"")</f>
        <v>3885</v>
      </c>
      <c r="AA104" s="17">
        <f>IF(ISNUMBER(行动模拟!R107),1,0)</f>
        <v>1</v>
      </c>
    </row>
    <row r="105" spans="1:27" ht="27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U105" s="17">
        <f>IF(行动模拟!D108="","",ROW(行动模拟!D108))</f>
        <v>108</v>
      </c>
      <c r="V105" s="17" t="str">
        <f>IF(行动模拟!D108="","",后台计算!E102)</f>
        <v>37</v>
      </c>
      <c r="W105" s="17" t="str">
        <f>IF(行动模拟!D108="","",后台计算!F102)</f>
        <v>补充算式</v>
      </c>
      <c r="X105" s="17">
        <f>IF(行动模拟!D108="","",行动模拟!B108)</f>
        <v>6</v>
      </c>
      <c r="Y105" s="17">
        <f>IF(行动模拟!D108="","",INDEX(回合状态!$B$7:$B$17,MATCH(行动模拟!B108,回合状态!$A$7:$A$17,0)))</f>
        <v>6</v>
      </c>
      <c r="Z105" s="24">
        <f>IF(ISNUMBER(行动模拟!R108),行动模拟!R108,"")</f>
        <v>1899</v>
      </c>
      <c r="AA105" s="17">
        <f>IF(ISNUMBER(行动模拟!R108),1,0)</f>
        <v>1</v>
      </c>
    </row>
    <row r="106" spans="1:27" ht="27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U106" s="17">
        <f>IF(行动模拟!D109="","",ROW(行动模拟!D109))</f>
        <v>109</v>
      </c>
      <c r="V106" s="17" t="str">
        <f>IF(行动模拟!D109="","",后台计算!E103)</f>
        <v>J</v>
      </c>
      <c r="W106" s="17" t="str">
        <f>IF(行动模拟!D109="","",后台计算!F103)</f>
        <v>高温回火</v>
      </c>
      <c r="X106" s="17">
        <f>IF(行动模拟!D109="","",行动模拟!B109)</f>
        <v>6</v>
      </c>
      <c r="Y106" s="17">
        <f>IF(行动模拟!D109="","",INDEX(回合状态!$B$7:$B$17,MATCH(行动模拟!B109,回合状态!$A$7:$A$17,0)))</f>
        <v>6</v>
      </c>
      <c r="Z106" s="24">
        <f>IF(ISNUMBER(行动模拟!R109),行动模拟!R109,"")</f>
        <v>3885</v>
      </c>
      <c r="AA106" s="17">
        <f>IF(ISNUMBER(行动模拟!R109),1,0)</f>
        <v>1</v>
      </c>
    </row>
    <row r="107" spans="1:27" ht="35.1" customHeight="1">
      <c r="A107" s="23" t="s">
        <v>803</v>
      </c>
      <c r="B107" s="23" t="s">
        <v>815</v>
      </c>
      <c r="C107" s="23" t="s">
        <v>14</v>
      </c>
      <c r="D107" s="23" t="s">
        <v>816</v>
      </c>
      <c r="E107" s="23" t="s">
        <v>17</v>
      </c>
      <c r="F107" s="23" t="s">
        <v>19</v>
      </c>
      <c r="G107" s="23" t="s">
        <v>851</v>
      </c>
      <c r="H107" s="38" t="s">
        <v>850</v>
      </c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U107" s="17">
        <f>IF(行动模拟!D110="","",ROW(行动模拟!D110))</f>
        <v>110</v>
      </c>
      <c r="V107" s="17" t="str">
        <f>IF(行动模拟!D110="","",后台计算!E104)</f>
        <v>J</v>
      </c>
      <c r="W107" s="17" t="str">
        <f>IF(行动模拟!D110="","",后台计算!F104)</f>
        <v>高温回火</v>
      </c>
      <c r="X107" s="17">
        <f>IF(行动模拟!D110="","",行动模拟!B110)</f>
        <v>6</v>
      </c>
      <c r="Y107" s="17">
        <f>IF(行动模拟!D110="","",INDEX(回合状态!$B$7:$B$17,MATCH(行动模拟!B110,回合状态!$A$7:$A$17,0)))</f>
        <v>6</v>
      </c>
      <c r="Z107" s="24">
        <f>IF(ISNUMBER(行动模拟!R110),行动模拟!R110,"")</f>
        <v>4856</v>
      </c>
      <c r="AA107" s="17">
        <f>IF(ISNUMBER(行动模拟!R110),1,0)</f>
        <v>1</v>
      </c>
    </row>
    <row r="108" spans="1:27" ht="32.1" customHeight="1">
      <c r="A108" s="17" t="s">
        <v>817</v>
      </c>
      <c r="B108" s="24">
        <f>SUMIFS($Z$6:$Z$245,$Y$6:$Y$245,1)</f>
        <v>88181</v>
      </c>
      <c r="C108" s="24">
        <f>SUMIFS($Z$6:$Z$245,$Y$6:$Y$245,1,$V$6:$V$245,"红弩箭")</f>
        <v>73241</v>
      </c>
      <c r="D108" s="24">
        <f>SUMIFS($Z$6:$Z$245,$Y$6:$Y$245,1,$V$6:$V$245,"37")</f>
        <v>8414</v>
      </c>
      <c r="E108" s="24">
        <f>SUMIFS($Z$6:$Z$245,$Y$6:$Y$245,1,$V$6:$V$245,"小瑞安侬")</f>
        <v>0</v>
      </c>
      <c r="F108" s="24">
        <f>SUMIFS($Z$6:$Z$245,$Y$6:$Y$245,1,$V$6:$V$245,"J")</f>
        <v>6526</v>
      </c>
      <c r="G108" s="35">
        <f>B108/$B$115</f>
        <v>3.7991891507279966E-3</v>
      </c>
      <c r="H108" s="37" t="s">
        <v>847</v>
      </c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U108" s="17">
        <f>IF(行动模拟!D111="","",ROW(行动模拟!D111))</f>
        <v>111</v>
      </c>
      <c r="V108" s="17" t="str">
        <f>IF(行动模拟!D111="","",后台计算!E105)</f>
        <v>小瑞安侬</v>
      </c>
      <c r="W108" s="17" t="str">
        <f>IF(行动模拟!D111="","",后台计算!F105)</f>
        <v>悄冥冥术阵</v>
      </c>
      <c r="X108" s="17" t="str">
        <f>IF(行动模拟!D111="","",行动模拟!B111)</f>
        <v>7（目击）</v>
      </c>
      <c r="Y108" s="17">
        <f>IF(行动模拟!D111="","",INDEX(回合状态!$B$7:$B$17,MATCH(行动模拟!B111,回合状态!$A$7:$A$17,0)))</f>
        <v>7</v>
      </c>
      <c r="Z108" s="24" t="str">
        <f>IF(ISNUMBER(行动模拟!R111),行动模拟!R111,"")</f>
        <v/>
      </c>
      <c r="AA108" s="17">
        <f>IF(ISNUMBER(行动模拟!R111),1,0)</f>
        <v>0</v>
      </c>
    </row>
    <row r="109" spans="1:27" ht="32.1" customHeight="1">
      <c r="A109" s="17" t="s">
        <v>818</v>
      </c>
      <c r="B109" s="24">
        <f>SUMIFS($Z$6:$Z$245,$Y$6:$Y$245,2)</f>
        <v>54628</v>
      </c>
      <c r="C109" s="24">
        <f>SUMIFS($Z$6:$Z$245,$Y$6:$Y$245,2,$V$6:$V$245,"红弩箭")</f>
        <v>0</v>
      </c>
      <c r="D109" s="24">
        <f>SUMIFS($Z$6:$Z$245,$Y$6:$Y$245,2,$V$6:$V$245,"37")</f>
        <v>44065</v>
      </c>
      <c r="E109" s="24">
        <f>SUMIFS($Z$6:$Z$245,$Y$6:$Y$245,2,$V$6:$V$245,"小瑞安侬")</f>
        <v>0</v>
      </c>
      <c r="F109" s="24">
        <f>SUMIFS($Z$6:$Z$245,$Y$6:$Y$245,2,$V$6:$V$245,"J")</f>
        <v>10563</v>
      </c>
      <c r="G109" s="35">
        <f t="shared" ref="G109:G115" si="0">B109/$B$115</f>
        <v>2.3535920994995408E-3</v>
      </c>
      <c r="H109" s="37" t="s">
        <v>847</v>
      </c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U109" s="17">
        <f>IF(行动模拟!D112="","",ROW(行动模拟!D112))</f>
        <v>112</v>
      </c>
      <c r="V109" s="17" t="str">
        <f>IF(行动模拟!D112="","",后台计算!E106)</f>
        <v>小瑞安侬</v>
      </c>
      <c r="W109" s="17" t="str">
        <f>IF(行动模拟!D112="","",后台计算!F106)</f>
        <v>囫囵囵咒</v>
      </c>
      <c r="X109" s="17" t="str">
        <f>IF(行动模拟!D112="","",行动模拟!B112)</f>
        <v>7（目击）</v>
      </c>
      <c r="Y109" s="17">
        <f>IF(行动模拟!D112="","",INDEX(回合状态!$B$7:$B$17,MATCH(行动模拟!B112,回合状态!$A$7:$A$17,0)))</f>
        <v>7</v>
      </c>
      <c r="Z109" s="24">
        <f>IF(ISNUMBER(行动模拟!R112),行动模拟!R112,"")</f>
        <v>1821</v>
      </c>
      <c r="AA109" s="17">
        <f>IF(ISNUMBER(行动模拟!R112),1,0)</f>
        <v>1</v>
      </c>
    </row>
    <row r="110" spans="1:27" ht="32.1" customHeight="1">
      <c r="A110" s="17" t="s">
        <v>819</v>
      </c>
      <c r="B110" s="24">
        <f>SUMIFS($Z$6:$Z$245,$Y$6:$Y$245,3)</f>
        <v>13210508</v>
      </c>
      <c r="C110" s="24">
        <f>SUMIFS($Z$6:$Z$245,$Y$6:$Y$245,3,$V$6:$V$245,"红弩箭")</f>
        <v>12689682</v>
      </c>
      <c r="D110" s="24">
        <f>SUMIFS($Z$6:$Z$245,$Y$6:$Y$245,3,$V$6:$V$245,"37")</f>
        <v>424021</v>
      </c>
      <c r="E110" s="24">
        <f>SUMIFS($Z$6:$Z$245,$Y$6:$Y$245,3,$V$6:$V$245,"小瑞安侬")</f>
        <v>28190</v>
      </c>
      <c r="F110" s="24">
        <f>SUMIFS($Z$6:$Z$245,$Y$6:$Y$245,3,$V$6:$V$245,"J")</f>
        <v>68615</v>
      </c>
      <c r="G110" s="35">
        <f t="shared" si="0"/>
        <v>0.5691613688799787</v>
      </c>
      <c r="H110" s="37" t="s">
        <v>848</v>
      </c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U110" s="17">
        <f>IF(行动模拟!D113="","",ROW(行动模拟!D113))</f>
        <v>113</v>
      </c>
      <c r="V110" s="17" t="str">
        <f>IF(行动模拟!D113="","",后台计算!E107)</f>
        <v>J</v>
      </c>
      <c r="W110" s="17" t="str">
        <f>IF(行动模拟!D113="","",后台计算!F107)</f>
        <v>飞跃海特街</v>
      </c>
      <c r="X110" s="17" t="str">
        <f>IF(行动模拟!D113="","",行动模拟!B113)</f>
        <v>7（目击）</v>
      </c>
      <c r="Y110" s="17">
        <f>IF(行动模拟!D113="","",INDEX(回合状态!$B$7:$B$17,MATCH(行动模拟!B113,回合状态!$A$7:$A$17,0)))</f>
        <v>7</v>
      </c>
      <c r="Z110" s="24">
        <f>IF(ISNUMBER(行动模拟!R113),行动模拟!R113,"")</f>
        <v>103250</v>
      </c>
      <c r="AA110" s="17">
        <f>IF(ISNUMBER(行动模拟!R113),1,0)</f>
        <v>1</v>
      </c>
    </row>
    <row r="111" spans="1:27" ht="32.1" customHeight="1">
      <c r="A111" s="17" t="s">
        <v>820</v>
      </c>
      <c r="B111" s="24">
        <f>SUMIFS($Z$6:$Z$245,$Y$6:$Y$245,4)</f>
        <v>200312</v>
      </c>
      <c r="C111" s="24">
        <f>SUMIFS($Z$6:$Z$245,$Y$6:$Y$245,4,$V$6:$V$245,"红弩箭")</f>
        <v>124304</v>
      </c>
      <c r="D111" s="24">
        <f>SUMIFS($Z$6:$Z$245,$Y$6:$Y$245,4,$V$6:$V$245,"37")</f>
        <v>18277</v>
      </c>
      <c r="E111" s="24">
        <f>SUMIFS($Z$6:$Z$245,$Y$6:$Y$245,4,$V$6:$V$245,"小瑞安侬")</f>
        <v>12427</v>
      </c>
      <c r="F111" s="24">
        <f>SUMIFS($Z$6:$Z$245,$Y$6:$Y$245,4,$V$6:$V$245,"J")</f>
        <v>45304</v>
      </c>
      <c r="G111" s="35">
        <f t="shared" si="0"/>
        <v>8.6302398153868341E-3</v>
      </c>
      <c r="H111" s="37" t="s">
        <v>847</v>
      </c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U111" s="17">
        <f>IF(行动模拟!D114="","",ROW(行动模拟!D114))</f>
        <v>114</v>
      </c>
      <c r="V111" s="17" t="str">
        <f>IF(行动模拟!D114="","",后台计算!E108)</f>
        <v>37</v>
      </c>
      <c r="W111" s="17" t="str">
        <f>IF(行动模拟!D114="","",后台计算!F108)</f>
        <v>补充算式</v>
      </c>
      <c r="X111" s="17" t="str">
        <f>IF(行动模拟!D114="","",行动模拟!B114)</f>
        <v>7（目击）</v>
      </c>
      <c r="Y111" s="17">
        <f>IF(行动模拟!D114="","",INDEX(回合状态!$B$7:$B$17,MATCH(行动模拟!B114,回合状态!$A$7:$A$17,0)))</f>
        <v>7</v>
      </c>
      <c r="Z111" s="24">
        <f>IF(ISNUMBER(行动模拟!R114),行动模拟!R114,"")</f>
        <v>1398</v>
      </c>
      <c r="AA111" s="17">
        <f>IF(ISNUMBER(行动模拟!R114),1,0)</f>
        <v>1</v>
      </c>
    </row>
    <row r="112" spans="1:27" ht="32.1" customHeight="1">
      <c r="A112" s="17" t="s">
        <v>821</v>
      </c>
      <c r="B112" s="24">
        <f>SUMIFS($Z$6:$Z$245,$Y$6:$Y$245,5)</f>
        <v>773399</v>
      </c>
      <c r="C112" s="24">
        <f>SUMIFS($Z$6:$Z$245,$Y$6:$Y$245,5,$V$6:$V$245,"红弩箭")</f>
        <v>724133</v>
      </c>
      <c r="D112" s="24">
        <f>SUMIFS($Z$6:$Z$245,$Y$6:$Y$245,5,$V$6:$V$245,"37")</f>
        <v>27153</v>
      </c>
      <c r="E112" s="24">
        <f>SUMIFS($Z$6:$Z$245,$Y$6:$Y$245,5,$V$6:$V$245,"小瑞安侬")</f>
        <v>0</v>
      </c>
      <c r="F112" s="24">
        <f>SUMIFS($Z$6:$Z$245,$Y$6:$Y$245,5,$V$6:$V$245,"J")</f>
        <v>22113</v>
      </c>
      <c r="G112" s="35">
        <f t="shared" si="0"/>
        <v>3.332111327818784E-2</v>
      </c>
      <c r="H112" s="37" t="s">
        <v>847</v>
      </c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U112" s="17">
        <f>IF(行动模拟!D115="","",ROW(行动模拟!D115))</f>
        <v>115</v>
      </c>
      <c r="V112" s="17" t="str">
        <f>IF(行动模拟!D115="","",后台计算!E109)</f>
        <v>J</v>
      </c>
      <c r="W112" s="17" t="str">
        <f>IF(行动模拟!D115="","",后台计算!F109)</f>
        <v>硬度测试</v>
      </c>
      <c r="X112" s="17" t="str">
        <f>IF(行动模拟!D115="","",行动模拟!B115)</f>
        <v>7（目击）</v>
      </c>
      <c r="Y112" s="17">
        <f>IF(行动模拟!D115="","",INDEX(回合状态!$B$7:$B$17,MATCH(行动模拟!B115,回合状态!$A$7:$A$17,0)))</f>
        <v>7</v>
      </c>
      <c r="Z112" s="24">
        <f>IF(ISNUMBER(行动模拟!R115),行动模拟!R115,"")</f>
        <v>8203</v>
      </c>
      <c r="AA112" s="17">
        <f>IF(ISNUMBER(行动模拟!R115),1,0)</f>
        <v>1</v>
      </c>
    </row>
    <row r="113" spans="1:27" ht="32.1" customHeight="1">
      <c r="A113" s="17" t="s">
        <v>822</v>
      </c>
      <c r="B113" s="24">
        <f>SUMIFS($Z$6:$Z$245,$Y$6:$Y$245,6)</f>
        <v>702061</v>
      </c>
      <c r="C113" s="24">
        <f>SUMIFS($Z$6:$Z$245,$Y$6:$Y$245,6,$V$6:$V$245,"红弩箭")</f>
        <v>615024</v>
      </c>
      <c r="D113" s="24">
        <f>SUMIFS($Z$6:$Z$245,$Y$6:$Y$245,6,$V$6:$V$245,"37")</f>
        <v>12343</v>
      </c>
      <c r="E113" s="24">
        <f>SUMIFS($Z$6:$Z$245,$Y$6:$Y$245,6,$V$6:$V$245,"小瑞安侬")</f>
        <v>0</v>
      </c>
      <c r="F113" s="24">
        <f>SUMIFS($Z$6:$Z$245,$Y$6:$Y$245,6,$V$6:$V$245,"J")</f>
        <v>74694</v>
      </c>
      <c r="G113" s="35">
        <f t="shared" si="0"/>
        <v>3.0247587738279767E-2</v>
      </c>
      <c r="H113" s="37" t="s">
        <v>847</v>
      </c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U113" s="17">
        <f>IF(行动模拟!D116="","",ROW(行动模拟!D116))</f>
        <v>116</v>
      </c>
      <c r="V113" s="17" t="str">
        <f>IF(行动模拟!D116="","",后台计算!E110)</f>
        <v>37</v>
      </c>
      <c r="W113" s="17" t="str">
        <f>IF(行动模拟!D116="","",后台计算!F110)</f>
        <v>数与几何的王国</v>
      </c>
      <c r="X113" s="17" t="str">
        <f>IF(行动模拟!D116="","",行动模拟!B116)</f>
        <v>7（目击）</v>
      </c>
      <c r="Y113" s="17">
        <f>IF(行动模拟!D116="","",INDEX(回合状态!$B$7:$B$17,MATCH(行动模拟!B116,回合状态!$A$7:$A$17,0)))</f>
        <v>7</v>
      </c>
      <c r="Z113" s="24" t="str">
        <f>IF(ISNUMBER(行动模拟!R116),行动模拟!R116,"")</f>
        <v/>
      </c>
      <c r="AA113" s="17">
        <f>IF(ISNUMBER(行动模拟!R116),1,0)</f>
        <v>0</v>
      </c>
    </row>
    <row r="114" spans="1:27" ht="32.1" customHeight="1">
      <c r="A114" s="17" t="s">
        <v>823</v>
      </c>
      <c r="B114" s="24">
        <f>SUMIFS($Z$6:$Z$245,$Y$6:$Y$245,7)</f>
        <v>8181390</v>
      </c>
      <c r="C114" s="24">
        <f>SUMIFS($Z$6:$Z$245,$Y$6:$Y$245,7,$V$6:$V$245,"红弩箭")</f>
        <v>7684883</v>
      </c>
      <c r="D114" s="24">
        <f>SUMIFS($Z$6:$Z$245,$Y$6:$Y$245,7,$V$6:$V$245,"37")</f>
        <v>383233</v>
      </c>
      <c r="E114" s="24">
        <f>SUMIFS($Z$6:$Z$245,$Y$6:$Y$245,7,$V$6:$V$245,"小瑞安侬")</f>
        <v>1821</v>
      </c>
      <c r="F114" s="24">
        <f>SUMIFS($Z$6:$Z$245,$Y$6:$Y$245,7,$V$6:$V$245,"J")</f>
        <v>111453</v>
      </c>
      <c r="G114" s="35">
        <f t="shared" si="0"/>
        <v>0.35248690903793928</v>
      </c>
      <c r="H114" s="37" t="s">
        <v>849</v>
      </c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U114" s="17">
        <f>IF(行动模拟!D117="","",ROW(行动模拟!D117))</f>
        <v>117</v>
      </c>
      <c r="V114" s="17" t="str">
        <f>IF(行动模拟!D117="","",后台计算!E111)</f>
        <v>红弩箭</v>
      </c>
      <c r="W114" s="17" t="str">
        <f>IF(行动模拟!D117="","",后台计算!F111)</f>
        <v>试试杀手锏</v>
      </c>
      <c r="X114" s="17" t="str">
        <f>IF(行动模拟!D117="","",行动模拟!B117)</f>
        <v>7（目击）</v>
      </c>
      <c r="Y114" s="17">
        <f>IF(行动模拟!D117="","",INDEX(回合状态!$B$7:$B$17,MATCH(行动模拟!B117,回合状态!$A$7:$A$17,0)))</f>
        <v>7</v>
      </c>
      <c r="Z114" s="24">
        <f>IF(ISNUMBER(行动模拟!R117),行动模拟!R117,"")</f>
        <v>575024</v>
      </c>
      <c r="AA114" s="17">
        <f>IF(ISNUMBER(行动模拟!R117),1,0)</f>
        <v>1</v>
      </c>
    </row>
    <row r="115" spans="1:27" ht="32.1" customHeight="1">
      <c r="A115" s="30" t="s">
        <v>807</v>
      </c>
      <c r="B115" s="31">
        <f>SUM(B108:B114)</f>
        <v>23210479</v>
      </c>
      <c r="C115" s="31">
        <f>SUM(C108:C114)</f>
        <v>21911267</v>
      </c>
      <c r="D115" s="31">
        <f>SUM(D108:D114)</f>
        <v>917506</v>
      </c>
      <c r="E115" s="31">
        <f>SUM(E108:E114)</f>
        <v>42438</v>
      </c>
      <c r="F115" s="31">
        <f>SUM(F108:F114)</f>
        <v>339268</v>
      </c>
      <c r="G115" s="35">
        <f t="shared" si="0"/>
        <v>1</v>
      </c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U115" s="17">
        <f>IF(行动模拟!D118="","",ROW(行动模拟!D118))</f>
        <v>118</v>
      </c>
      <c r="V115" s="17" t="str">
        <f>IF(行动模拟!D118="","",后台计算!E112)</f>
        <v>37</v>
      </c>
      <c r="W115" s="17" t="str">
        <f>IF(行动模拟!D118="","",后台计算!F112)</f>
        <v>补充算式</v>
      </c>
      <c r="X115" s="17" t="str">
        <f>IF(行动模拟!D118="","",行动模拟!B118)</f>
        <v>7（目击）</v>
      </c>
      <c r="Y115" s="17">
        <f>IF(行动模拟!D118="","",INDEX(回合状态!$B$7:$B$17,MATCH(行动模拟!B118,回合状态!$A$7:$A$17,0)))</f>
        <v>7</v>
      </c>
      <c r="Z115" s="24">
        <f>IF(ISNUMBER(行动模拟!R118),行动模拟!R118,"")</f>
        <v>2269</v>
      </c>
      <c r="AA115" s="17">
        <f>IF(ISNUMBER(行动模拟!R118),1,0)</f>
        <v>1</v>
      </c>
    </row>
    <row r="116" spans="1:27" ht="27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U116" s="17">
        <f>IF(行动模拟!D119="","",ROW(行动模拟!D119))</f>
        <v>119</v>
      </c>
      <c r="V116" s="17" t="str">
        <f>IF(行动模拟!D119="","",后台计算!E113)</f>
        <v>红弩箭</v>
      </c>
      <c r="W116" s="17" t="str">
        <f>IF(行动模拟!D119="","",后台计算!F113)</f>
        <v>洞知咒语</v>
      </c>
      <c r="X116" s="17" t="str">
        <f>IF(行动模拟!D119="","",行动模拟!B119)</f>
        <v>洞知2</v>
      </c>
      <c r="Y116" s="17">
        <f>IF(行动模拟!D119="","",INDEX(回合状态!$B$7:$B$17,MATCH(行动模拟!B119,回合状态!$A$7:$A$17,0)))</f>
        <v>7</v>
      </c>
      <c r="Z116" s="24">
        <f>IF(ISNUMBER(行动模拟!R119),行动模拟!R119,"")</f>
        <v>203792</v>
      </c>
      <c r="AA116" s="17">
        <f>IF(ISNUMBER(行动模拟!R119),1,0)</f>
        <v>1</v>
      </c>
    </row>
    <row r="117" spans="1:27" ht="27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U117" s="17">
        <f>IF(行动模拟!D120="","",ROW(行动模拟!D120))</f>
        <v>120</v>
      </c>
      <c r="V117" s="17" t="str">
        <f>IF(行动模拟!D120="","",后台计算!E114)</f>
        <v>红弩箭</v>
      </c>
      <c r="W117" s="17" t="str">
        <f>IF(行动模拟!D120="","",后台计算!F114)</f>
        <v>洞知咒语</v>
      </c>
      <c r="X117" s="17" t="str">
        <f>IF(行动模拟!D120="","",行动模拟!B120)</f>
        <v>洞知2</v>
      </c>
      <c r="Y117" s="17">
        <f>IF(行动模拟!D120="","",INDEX(回合状态!$B$7:$B$17,MATCH(行动模拟!B120,回合状态!$A$7:$A$17,0)))</f>
        <v>7</v>
      </c>
      <c r="Z117" s="24">
        <f>IF(ISNUMBER(行动模拟!R120),行动模拟!R120,"")</f>
        <v>211630</v>
      </c>
      <c r="AA117" s="17">
        <f>IF(ISNUMBER(行动模拟!R120),1,0)</f>
        <v>1</v>
      </c>
    </row>
    <row r="118" spans="1:27" ht="35.1" customHeight="1">
      <c r="A118" s="23" t="s">
        <v>1</v>
      </c>
      <c r="B118" s="23" t="s">
        <v>824</v>
      </c>
      <c r="C118" s="23" t="s">
        <v>797</v>
      </c>
      <c r="D118" s="23" t="s">
        <v>825</v>
      </c>
      <c r="E118" s="23" t="s">
        <v>806</v>
      </c>
      <c r="F118" s="23" t="s">
        <v>805</v>
      </c>
      <c r="G118" s="16"/>
      <c r="H118" s="16"/>
      <c r="I118" s="16"/>
      <c r="J118" s="38" t="s">
        <v>826</v>
      </c>
      <c r="K118" s="38"/>
      <c r="L118" s="38"/>
      <c r="M118" s="38"/>
      <c r="N118" s="38"/>
      <c r="O118" s="38"/>
      <c r="P118" s="38"/>
      <c r="Q118" s="38"/>
      <c r="R118" s="38"/>
      <c r="U118" s="17">
        <f>IF(行动模拟!D121="","",ROW(行动模拟!D121))</f>
        <v>121</v>
      </c>
      <c r="V118" s="17" t="str">
        <f>IF(行动模拟!D121="","",后台计算!E115)</f>
        <v>37</v>
      </c>
      <c r="W118" s="17" t="str">
        <f>IF(行动模拟!D121="","",后台计算!F115)</f>
        <v>洞知咒语</v>
      </c>
      <c r="X118" s="17" t="str">
        <f>IF(行动模拟!D121="","",行动模拟!B121)</f>
        <v>洞知2</v>
      </c>
      <c r="Y118" s="17">
        <f>IF(行动模拟!D121="","",INDEX(回合状态!$B$7:$B$17,MATCH(行动模拟!B121,回合状态!$A$7:$A$17,0)))</f>
        <v>7</v>
      </c>
      <c r="Z118" s="24">
        <f>IF(ISNUMBER(行动模拟!R121),行动模拟!R121,"")</f>
        <v>85604</v>
      </c>
      <c r="AA118" s="17">
        <f>IF(ISNUMBER(行动模拟!R121),1,0)</f>
        <v>1</v>
      </c>
    </row>
    <row r="119" spans="1:27" ht="33" customHeight="1">
      <c r="A119" s="17" t="s">
        <v>14</v>
      </c>
      <c r="B119" s="24">
        <f>SUMIFS($Z$6:$Z$245,$V$6:$V$245,A119)</f>
        <v>21911267</v>
      </c>
      <c r="C119" s="33">
        <f>B119/$N$119</f>
        <v>3130181</v>
      </c>
      <c r="D119" s="33">
        <f>B119/$N$121</f>
        <v>2738908.375</v>
      </c>
      <c r="E119" s="17">
        <f>SUMIFS($AA$6:$AA$245,$V$6:$V$245,A119)</f>
        <v>30</v>
      </c>
      <c r="F119" s="29">
        <f>B119/$A$6</f>
        <v>0.9440247657103501</v>
      </c>
      <c r="G119" s="16"/>
      <c r="H119" s="16"/>
      <c r="I119" s="16"/>
      <c r="J119" s="41" t="s">
        <v>827</v>
      </c>
      <c r="K119" s="41"/>
      <c r="L119" s="41"/>
      <c r="M119" s="41"/>
      <c r="N119" s="16">
        <v>7</v>
      </c>
      <c r="O119" s="41" t="s">
        <v>828</v>
      </c>
      <c r="P119" s="41"/>
      <c r="Q119" s="41"/>
      <c r="R119" s="41"/>
      <c r="U119" s="17">
        <f>IF(行动模拟!D122="","",ROW(行动模拟!D122))</f>
        <v>122</v>
      </c>
      <c r="V119" s="17" t="str">
        <f>IF(行动模拟!D122="","",后台计算!E116)</f>
        <v>红弩箭</v>
      </c>
      <c r="W119" s="17" t="str">
        <f>IF(行动模拟!D122="","",后台计算!F116)</f>
        <v>洞知咒语</v>
      </c>
      <c r="X119" s="17" t="str">
        <f>IF(行动模拟!D122="","",行动模拟!B122)</f>
        <v>洞知2</v>
      </c>
      <c r="Y119" s="17">
        <f>IF(行动模拟!D122="","",INDEX(回合状态!$B$7:$B$17,MATCH(行动模拟!B122,回合状态!$A$7:$A$17,0)))</f>
        <v>7</v>
      </c>
      <c r="Z119" s="24">
        <f>IF(ISNUMBER(行动模拟!R122),行动模拟!R122,"")</f>
        <v>727294</v>
      </c>
      <c r="AA119" s="17">
        <f>IF(ISNUMBER(行动模拟!R122),1,0)</f>
        <v>1</v>
      </c>
    </row>
    <row r="120" spans="1:27" ht="33" customHeight="1">
      <c r="A120" s="17" t="s">
        <v>16</v>
      </c>
      <c r="B120" s="24">
        <f>SUMIFS($Z$6:$Z$245,$V$6:$V$245,A120)</f>
        <v>917506</v>
      </c>
      <c r="C120" s="33">
        <f>B120/$N$119</f>
        <v>131072.28571428571</v>
      </c>
      <c r="D120" s="33">
        <f>B120/$N$121</f>
        <v>114688.25</v>
      </c>
      <c r="E120" s="17">
        <f>SUMIFS($AA$6:$AA$245,$V$6:$V$245,A120)</f>
        <v>35</v>
      </c>
      <c r="F120" s="29">
        <f>B120/$A$6</f>
        <v>3.95298175449115E-2</v>
      </c>
      <c r="G120" s="16"/>
      <c r="H120" s="16"/>
      <c r="I120" s="16"/>
      <c r="J120" s="41" t="s">
        <v>829</v>
      </c>
      <c r="K120" s="41"/>
      <c r="L120" s="41"/>
      <c r="M120" s="41"/>
      <c r="N120" s="16">
        <v>1</v>
      </c>
      <c r="O120" s="41" t="s">
        <v>830</v>
      </c>
      <c r="P120" s="41"/>
      <c r="Q120" s="41"/>
      <c r="R120" s="41"/>
      <c r="U120" s="17">
        <f>IF(行动模拟!D123="","",ROW(行动模拟!D123))</f>
        <v>123</v>
      </c>
      <c r="V120" s="17" t="str">
        <f>IF(行动模拟!D123="","",后台计算!E117)</f>
        <v>红弩箭</v>
      </c>
      <c r="W120" s="17" t="str">
        <f>IF(行动模拟!D123="","",后台计算!F117)</f>
        <v>洞知咒语</v>
      </c>
      <c r="X120" s="17" t="str">
        <f>IF(行动模拟!D123="","",行动模拟!B123)</f>
        <v>洞知2</v>
      </c>
      <c r="Y120" s="17">
        <f>IF(行动模拟!D123="","",INDEX(回合状态!$B$7:$B$17,MATCH(行动模拟!B123,回合状态!$A$7:$A$17,0)))</f>
        <v>7</v>
      </c>
      <c r="Z120" s="24">
        <f>IF(ISNUMBER(行动模拟!R123),行动模拟!R123,"")</f>
        <v>235144</v>
      </c>
      <c r="AA120" s="17">
        <f>IF(ISNUMBER(行动模拟!R123),1,0)</f>
        <v>1</v>
      </c>
    </row>
    <row r="121" spans="1:27" ht="33" customHeight="1">
      <c r="A121" s="17" t="s">
        <v>17</v>
      </c>
      <c r="B121" s="24">
        <f>SUMIFS($Z$6:$Z$245,$V$6:$V$245,A121)</f>
        <v>42438</v>
      </c>
      <c r="C121" s="33">
        <f>B121/$N$119</f>
        <v>6062.5714285714284</v>
      </c>
      <c r="D121" s="33">
        <f>B121/$N$121</f>
        <v>5304.75</v>
      </c>
      <c r="E121" s="17">
        <f>SUMIFS($AA$6:$AA$245,$V$6:$V$245,A121)</f>
        <v>7</v>
      </c>
      <c r="F121" s="29">
        <f>B121/$A$6</f>
        <v>1.8283982851021729E-3</v>
      </c>
      <c r="G121" s="16"/>
      <c r="H121" s="16"/>
      <c r="I121" s="16"/>
      <c r="J121" s="41" t="s">
        <v>831</v>
      </c>
      <c r="K121" s="41"/>
      <c r="L121" s="41"/>
      <c r="M121" s="41"/>
      <c r="N121" s="16">
        <f>N119+N120</f>
        <v>8</v>
      </c>
      <c r="O121" s="41" t="s">
        <v>832</v>
      </c>
      <c r="P121" s="41"/>
      <c r="Q121" s="41"/>
      <c r="R121" s="41"/>
      <c r="U121" s="17">
        <f>IF(行动模拟!D124="","",ROW(行动模拟!D124))</f>
        <v>124</v>
      </c>
      <c r="V121" s="17" t="str">
        <f>IF(行动模拟!D124="","",后台计算!E118)</f>
        <v>红弩箭</v>
      </c>
      <c r="W121" s="17" t="str">
        <f>IF(行动模拟!D124="","",后台计算!F118)</f>
        <v>洞知咒语</v>
      </c>
      <c r="X121" s="17" t="str">
        <f>IF(行动模拟!D124="","",行动模拟!B124)</f>
        <v>洞知2</v>
      </c>
      <c r="Y121" s="17">
        <f>IF(行动模拟!D124="","",INDEX(回合状态!$B$7:$B$17,MATCH(行动模拟!B124,回合状态!$A$7:$A$17,0)))</f>
        <v>7</v>
      </c>
      <c r="Z121" s="24">
        <f>IF(ISNUMBER(行动模拟!R124),行动模拟!R124,"")</f>
        <v>242982</v>
      </c>
      <c r="AA121" s="17">
        <f>IF(ISNUMBER(行动模拟!R124),1,0)</f>
        <v>1</v>
      </c>
    </row>
    <row r="122" spans="1:27" ht="33" customHeight="1">
      <c r="A122" s="17" t="s">
        <v>19</v>
      </c>
      <c r="B122" s="24">
        <f>SUMIFS($Z$6:$Z$245,$V$6:$V$245,A122)</f>
        <v>339268</v>
      </c>
      <c r="C122" s="33">
        <f>B122/$N$119</f>
        <v>48466.857142857145</v>
      </c>
      <c r="D122" s="33">
        <f>B122/$N$121</f>
        <v>42408.5</v>
      </c>
      <c r="E122" s="17">
        <f>SUMIFS($AA$6:$AA$245,$V$6:$V$245,A122)</f>
        <v>32</v>
      </c>
      <c r="F122" s="29">
        <f>B122/$A$6</f>
        <v>1.4617018459636271E-2</v>
      </c>
      <c r="G122" s="16"/>
      <c r="H122" s="16"/>
      <c r="I122" s="16"/>
      <c r="J122" s="41" t="s">
        <v>833</v>
      </c>
      <c r="K122" s="41"/>
      <c r="L122" s="41"/>
      <c r="M122" s="41"/>
      <c r="N122" s="16">
        <v>10</v>
      </c>
      <c r="O122" s="41" t="s">
        <v>834</v>
      </c>
      <c r="P122" s="41"/>
      <c r="Q122" s="41"/>
      <c r="R122" s="41"/>
      <c r="U122" s="17">
        <f>IF(行动模拟!D125="","",ROW(行动模拟!D125))</f>
        <v>125</v>
      </c>
      <c r="V122" s="17" t="str">
        <f>IF(行动模拟!D125="","",后台计算!E119)</f>
        <v>37</v>
      </c>
      <c r="W122" s="17" t="str">
        <f>IF(行动模拟!D125="","",后台计算!F119)</f>
        <v>洞知咒语</v>
      </c>
      <c r="X122" s="17" t="str">
        <f>IF(行动模拟!D125="","",行动模拟!B125)</f>
        <v>洞知2</v>
      </c>
      <c r="Y122" s="17">
        <f>IF(行动模拟!D125="","",INDEX(回合状态!$B$7:$B$17,MATCH(行动模拟!B125,回合状态!$A$7:$A$17,0)))</f>
        <v>7</v>
      </c>
      <c r="Z122" s="24">
        <f>IF(ISNUMBER(行动模拟!R125),行动模拟!R125,"")</f>
        <v>35998</v>
      </c>
      <c r="AA122" s="17">
        <f>IF(ISNUMBER(行动模拟!R125),1,0)</f>
        <v>1</v>
      </c>
    </row>
    <row r="123" spans="1:27" ht="33" customHeight="1">
      <c r="A123" s="30" t="s">
        <v>835</v>
      </c>
      <c r="B123" s="31">
        <f>SUM(B119:B122)</f>
        <v>23210479</v>
      </c>
      <c r="C123" s="34">
        <f>SUM(C119:C122)</f>
        <v>3315782.7142857146</v>
      </c>
      <c r="D123" s="34">
        <f>SUM(D119:D122)</f>
        <v>2901309.875</v>
      </c>
      <c r="E123" s="30">
        <f>SUM(E119:E122)</f>
        <v>104</v>
      </c>
      <c r="F123" s="32">
        <f>SUM(F119:F122)</f>
        <v>1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U123" s="17">
        <f>IF(行动模拟!D126="","",ROW(行动模拟!D126))</f>
        <v>126</v>
      </c>
      <c r="V123" s="17" t="str">
        <f>IF(行动模拟!D126="","",后台计算!E120)</f>
        <v>红弩箭</v>
      </c>
      <c r="W123" s="17" t="str">
        <f>IF(行动模拟!D126="","",后台计算!F120)</f>
        <v>洞知咒语</v>
      </c>
      <c r="X123" s="17" t="str">
        <f>IF(行动模拟!D126="","",行动模拟!B126)</f>
        <v>洞知2</v>
      </c>
      <c r="Y123" s="17">
        <f>IF(行动模拟!D126="","",INDEX(回合状态!$B$7:$B$17,MATCH(行动模拟!B126,回合状态!$A$7:$A$17,0)))</f>
        <v>7</v>
      </c>
      <c r="Z123" s="24">
        <f>IF(ISNUMBER(行动模拟!R126),行动模拟!R126,"")</f>
        <v>827610</v>
      </c>
      <c r="AA123" s="17">
        <f>IF(ISNUMBER(行动模拟!R126),1,0)</f>
        <v>1</v>
      </c>
    </row>
    <row r="124" spans="1:27" ht="33" customHeight="1">
      <c r="A124" s="17"/>
      <c r="B124" s="17"/>
      <c r="C124" s="17"/>
      <c r="D124" s="17"/>
      <c r="E124" s="17"/>
      <c r="F124" s="17"/>
      <c r="G124" s="16"/>
      <c r="H124" s="16"/>
      <c r="I124" s="16"/>
      <c r="J124" s="37" t="s">
        <v>836</v>
      </c>
      <c r="K124" s="37"/>
      <c r="L124" s="37"/>
      <c r="M124" s="37"/>
      <c r="N124" s="37"/>
      <c r="O124" s="37"/>
      <c r="P124" s="37"/>
      <c r="Q124" s="37"/>
      <c r="R124" s="37"/>
      <c r="U124" s="17">
        <f>IF(行动模拟!D127="","",ROW(行动模拟!D127))</f>
        <v>127</v>
      </c>
      <c r="V124" s="17" t="str">
        <f>IF(行动模拟!D127="","",后台计算!E121)</f>
        <v>红弩箭</v>
      </c>
      <c r="W124" s="17" t="str">
        <f>IF(行动模拟!D127="","",后台计算!F121)</f>
        <v>洞知咒语</v>
      </c>
      <c r="X124" s="17" t="str">
        <f>IF(行动模拟!D127="","",行动模拟!B127)</f>
        <v>洞知2</v>
      </c>
      <c r="Y124" s="17">
        <f>IF(行动模拟!D127="","",INDEX(回合状态!$B$7:$B$17,MATCH(行动模拟!B127,回合状态!$A$7:$A$17,0)))</f>
        <v>7</v>
      </c>
      <c r="Z124" s="24">
        <f>IF(ISNUMBER(行动模拟!R127),行动模拟!R127,"")</f>
        <v>266497</v>
      </c>
      <c r="AA124" s="17">
        <f>IF(ISNUMBER(行动模拟!R127),1,0)</f>
        <v>1</v>
      </c>
    </row>
    <row r="125" spans="1:27" ht="27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37"/>
      <c r="K125" s="37"/>
      <c r="L125" s="37"/>
      <c r="M125" s="37"/>
      <c r="N125" s="37"/>
      <c r="O125" s="37"/>
      <c r="P125" s="37"/>
      <c r="Q125" s="37"/>
      <c r="R125" s="37"/>
      <c r="U125" s="17">
        <f>IF(行动模拟!D128="","",ROW(行动模拟!D128))</f>
        <v>128</v>
      </c>
      <c r="V125" s="17" t="str">
        <f>IF(行动模拟!D128="","",后台计算!E122)</f>
        <v>红弩箭</v>
      </c>
      <c r="W125" s="17" t="str">
        <f>IF(行动模拟!D128="","",后台计算!F122)</f>
        <v>洞知咒语</v>
      </c>
      <c r="X125" s="17" t="str">
        <f>IF(行动模拟!D128="","",行动模拟!B128)</f>
        <v>洞知2</v>
      </c>
      <c r="Y125" s="17">
        <f>IF(行动模拟!D128="","",INDEX(回合状态!$B$7:$B$17,MATCH(行动模拟!B128,回合状态!$A$7:$A$17,0)))</f>
        <v>7</v>
      </c>
      <c r="Z125" s="24">
        <f>IF(ISNUMBER(行动模拟!R128),行动模拟!R128,"")</f>
        <v>274335</v>
      </c>
      <c r="AA125" s="17">
        <f>IF(ISNUMBER(行动模拟!R128),1,0)</f>
        <v>1</v>
      </c>
    </row>
    <row r="126" spans="1:27" ht="27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U126" s="17">
        <f>IF(行动模拟!D129="","",ROW(行动模拟!D129))</f>
        <v>129</v>
      </c>
      <c r="V126" s="17" t="str">
        <f>IF(行动模拟!D129="","",后台计算!E123)</f>
        <v>37</v>
      </c>
      <c r="W126" s="17" t="str">
        <f>IF(行动模拟!D129="","",后台计算!F123)</f>
        <v>洞知咒语</v>
      </c>
      <c r="X126" s="17" t="str">
        <f>IF(行动模拟!D129="","",行动模拟!B129)</f>
        <v>洞知2</v>
      </c>
      <c r="Y126" s="17">
        <f>IF(行动模拟!D129="","",INDEX(回合状态!$B$7:$B$17,MATCH(行动模拟!B129,回合状态!$A$7:$A$17,0)))</f>
        <v>7</v>
      </c>
      <c r="Z126" s="24">
        <f>IF(ISNUMBER(行动模拟!R129),行动模拟!R129,"")</f>
        <v>85604</v>
      </c>
      <c r="AA126" s="17">
        <f>IF(ISNUMBER(行动模拟!R129),1,0)</f>
        <v>1</v>
      </c>
    </row>
    <row r="127" spans="1:27" ht="35.1" customHeight="1">
      <c r="A127" s="38" t="s">
        <v>837</v>
      </c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U127" s="17">
        <f>IF(行动模拟!D130="","",ROW(行动模拟!D130))</f>
        <v>130</v>
      </c>
      <c r="V127" s="17" t="str">
        <f>IF(行动模拟!D130="","",后台计算!E124)</f>
        <v>红弩箭</v>
      </c>
      <c r="W127" s="17" t="str">
        <f>IF(行动模拟!D130="","",后台计算!F124)</f>
        <v>洞知咒语</v>
      </c>
      <c r="X127" s="17" t="str">
        <f>IF(行动模拟!D130="","",行动模拟!B130)</f>
        <v>洞知2</v>
      </c>
      <c r="Y127" s="17">
        <f>IF(行动模拟!D130="","",INDEX(回合状态!$B$7:$B$17,MATCH(行动模拟!B130,回合状态!$A$7:$A$17,0)))</f>
        <v>7</v>
      </c>
      <c r="Z127" s="24">
        <f>IF(ISNUMBER(行动模拟!R130),行动模拟!R130,"")</f>
        <v>927927</v>
      </c>
      <c r="AA127" s="17">
        <f>IF(ISNUMBER(行动模拟!R130),1,0)</f>
        <v>1</v>
      </c>
    </row>
    <row r="128" spans="1:27" ht="35.1" customHeight="1">
      <c r="A128" s="23" t="s">
        <v>802</v>
      </c>
      <c r="B128" s="23" t="s">
        <v>366</v>
      </c>
      <c r="C128" s="23" t="s">
        <v>815</v>
      </c>
      <c r="D128" s="23" t="s">
        <v>14</v>
      </c>
      <c r="E128" s="23" t="s">
        <v>16</v>
      </c>
      <c r="F128" s="23" t="s">
        <v>17</v>
      </c>
      <c r="G128" s="23" t="s">
        <v>19</v>
      </c>
      <c r="H128" s="23" t="s">
        <v>838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U128" s="17">
        <f>IF(行动模拟!D131="","",ROW(行动模拟!D131))</f>
        <v>131</v>
      </c>
      <c r="V128" s="17" t="str">
        <f>IF(行动模拟!D131="","",后台计算!E125)</f>
        <v>37</v>
      </c>
      <c r="W128" s="17" t="str">
        <f>IF(行动模拟!D131="","",后台计算!F125)</f>
        <v>洞知咒语</v>
      </c>
      <c r="X128" s="17" t="str">
        <f>IF(行动模拟!D131="","",行动模拟!B131)</f>
        <v>洞知2</v>
      </c>
      <c r="Y128" s="17">
        <f>IF(行动模拟!D131="","",INDEX(回合状态!$B$7:$B$17,MATCH(行动模拟!B131,回合状态!$A$7:$A$17,0)))</f>
        <v>7</v>
      </c>
      <c r="Z128" s="24">
        <f>IF(ISNUMBER(行动模拟!R131),行动模拟!R131,"")</f>
        <v>35998</v>
      </c>
      <c r="AA128" s="17">
        <f>IF(ISNUMBER(行动模拟!R131),1,0)</f>
        <v>1</v>
      </c>
    </row>
    <row r="129" spans="1:27" ht="38.1" customHeight="1">
      <c r="A129" s="17">
        <v>1</v>
      </c>
      <c r="B129" s="17" t="s">
        <v>817</v>
      </c>
      <c r="C129" s="24">
        <f t="shared" ref="C129:C138" si="1">SUMIFS($Z$6:$Z$245,$X$6:$X$245,A129)</f>
        <v>88181</v>
      </c>
      <c r="D129" s="24">
        <f t="shared" ref="D129:D138" si="2">SUMIFS($Z$6:$Z$245,$X$6:$X$245,A129,$V$6:$V$245,"红弩箭")</f>
        <v>73241</v>
      </c>
      <c r="E129" s="24">
        <f t="shared" ref="E129:E138" si="3">SUMIFS($Z$6:$Z$245,$X$6:$X$245,A129,$V$6:$V$245,"37")</f>
        <v>8414</v>
      </c>
      <c r="F129" s="24">
        <f t="shared" ref="F129:F138" si="4">SUMIFS($Z$6:$Z$245,$X$6:$X$245,A129,$V$6:$V$245,"小瑞安侬")</f>
        <v>0</v>
      </c>
      <c r="G129" s="24">
        <f t="shared" ref="G129:G138" si="5">SUMIFS($Z$6:$Z$245,$X$6:$X$245,A129,$V$6:$V$245,"J")</f>
        <v>6526</v>
      </c>
      <c r="H129" s="17">
        <v>1</v>
      </c>
      <c r="I129" s="16"/>
      <c r="J129" s="37" t="s">
        <v>839</v>
      </c>
      <c r="K129" s="37"/>
      <c r="L129" s="37"/>
      <c r="M129" s="37"/>
      <c r="N129" s="37"/>
      <c r="O129" s="37"/>
      <c r="P129" s="37"/>
      <c r="Q129" s="37"/>
      <c r="R129" s="37"/>
      <c r="U129" s="17">
        <f>IF(行动模拟!D132="","",ROW(行动模拟!D132))</f>
        <v>132</v>
      </c>
      <c r="V129" s="17" t="str">
        <f>IF(行动模拟!D132="","",后台计算!E126)</f>
        <v>红弩箭</v>
      </c>
      <c r="W129" s="17" t="str">
        <f>IF(行动模拟!D132="","",后台计算!F126)</f>
        <v>洞知咒语</v>
      </c>
      <c r="X129" s="17" t="str">
        <f>IF(行动模拟!D132="","",行动模拟!B132)</f>
        <v>洞知2</v>
      </c>
      <c r="Y129" s="17">
        <f>IF(行动模拟!D132="","",INDEX(回合状态!$B$7:$B$17,MATCH(行动模拟!B132,回合状态!$A$7:$A$17,0)))</f>
        <v>7</v>
      </c>
      <c r="Z129" s="24">
        <f>IF(ISNUMBER(行动模拟!R132),行动模拟!R132,"")</f>
        <v>427963</v>
      </c>
      <c r="AA129" s="17">
        <f>IF(ISNUMBER(行动模拟!R132),1,0)</f>
        <v>1</v>
      </c>
    </row>
    <row r="130" spans="1:27" ht="38.1" customHeight="1">
      <c r="A130" s="17">
        <v>2</v>
      </c>
      <c r="B130" s="17" t="s">
        <v>818</v>
      </c>
      <c r="C130" s="24">
        <f t="shared" si="1"/>
        <v>54628</v>
      </c>
      <c r="D130" s="24">
        <f t="shared" si="2"/>
        <v>0</v>
      </c>
      <c r="E130" s="24">
        <f t="shared" si="3"/>
        <v>44065</v>
      </c>
      <c r="F130" s="24">
        <f t="shared" si="4"/>
        <v>0</v>
      </c>
      <c r="G130" s="24">
        <f t="shared" si="5"/>
        <v>10563</v>
      </c>
      <c r="H130" s="17">
        <v>2</v>
      </c>
      <c r="I130" s="16"/>
      <c r="J130" s="37"/>
      <c r="K130" s="37"/>
      <c r="L130" s="37"/>
      <c r="M130" s="37"/>
      <c r="N130" s="37"/>
      <c r="O130" s="37"/>
      <c r="P130" s="37"/>
      <c r="Q130" s="37"/>
      <c r="R130" s="37"/>
      <c r="U130" s="17">
        <f>IF(行动模拟!D133="","",ROW(行动模拟!D133))</f>
        <v>133</v>
      </c>
      <c r="V130" s="17" t="str">
        <f>IF(行动模拟!D133="","",后台计算!E127)</f>
        <v>37</v>
      </c>
      <c r="W130" s="17" t="str">
        <f>IF(行动模拟!D133="","",后台计算!F127)</f>
        <v>洞知咒语</v>
      </c>
      <c r="X130" s="17" t="str">
        <f>IF(行动模拟!D133="","",行动模拟!B133)</f>
        <v>洞知2</v>
      </c>
      <c r="Y130" s="17">
        <f>IF(行动模拟!D133="","",INDEX(回合状态!$B$7:$B$17,MATCH(行动模拟!B133,回合状态!$A$7:$A$17,0)))</f>
        <v>7</v>
      </c>
      <c r="Z130" s="24">
        <f>IF(ISNUMBER(行动模拟!R133),行动模拟!R133,"")</f>
        <v>31498</v>
      </c>
      <c r="AA130" s="17">
        <f>IF(ISNUMBER(行动模拟!R133),1,0)</f>
        <v>1</v>
      </c>
    </row>
    <row r="131" spans="1:27" ht="38.1" customHeight="1">
      <c r="A131" s="17">
        <v>3</v>
      </c>
      <c r="B131" s="17" t="s">
        <v>819</v>
      </c>
      <c r="C131" s="24">
        <f t="shared" si="1"/>
        <v>3304065</v>
      </c>
      <c r="D131" s="24">
        <f t="shared" si="2"/>
        <v>3189794</v>
      </c>
      <c r="E131" s="24">
        <f t="shared" si="3"/>
        <v>35505</v>
      </c>
      <c r="F131" s="24">
        <f t="shared" si="4"/>
        <v>14401</v>
      </c>
      <c r="G131" s="24">
        <f t="shared" si="5"/>
        <v>64365</v>
      </c>
      <c r="H131" s="17">
        <v>3</v>
      </c>
      <c r="I131" s="16"/>
      <c r="J131" s="37"/>
      <c r="K131" s="37"/>
      <c r="L131" s="37"/>
      <c r="M131" s="37"/>
      <c r="N131" s="37"/>
      <c r="O131" s="37"/>
      <c r="P131" s="37"/>
      <c r="Q131" s="37"/>
      <c r="R131" s="37"/>
      <c r="U131" s="17">
        <f>IF(行动模拟!D134="","",ROW(行动模拟!D134))</f>
        <v>134</v>
      </c>
      <c r="V131" s="17" t="str">
        <f>IF(行动模拟!D134="","",后台计算!E128)</f>
        <v>37</v>
      </c>
      <c r="W131" s="17" t="str">
        <f>IF(行动模拟!D134="","",后台计算!F128)</f>
        <v>洞知咒语</v>
      </c>
      <c r="X131" s="17" t="str">
        <f>IF(行动模拟!D134="","",行动模拟!B134)</f>
        <v>洞知2</v>
      </c>
      <c r="Y131" s="17">
        <f>IF(行动模拟!D134="","",INDEX(回合状态!$B$7:$B$17,MATCH(行动模拟!B134,回合状态!$A$7:$A$17,0)))</f>
        <v>7</v>
      </c>
      <c r="Z131" s="24">
        <f>IF(ISNUMBER(行动模拟!R134),行动模拟!R134,"")</f>
        <v>104864</v>
      </c>
      <c r="AA131" s="17">
        <f>IF(ISNUMBER(行动模拟!R134),1,0)</f>
        <v>1</v>
      </c>
    </row>
    <row r="132" spans="1:27" ht="38.1" customHeight="1">
      <c r="A132" s="17" t="s">
        <v>80</v>
      </c>
      <c r="B132" s="17" t="s">
        <v>840</v>
      </c>
      <c r="C132" s="24">
        <f t="shared" si="1"/>
        <v>9871402</v>
      </c>
      <c r="D132" s="24">
        <f t="shared" si="2"/>
        <v>9499888</v>
      </c>
      <c r="E132" s="24">
        <f t="shared" si="3"/>
        <v>371514</v>
      </c>
      <c r="F132" s="24">
        <f t="shared" si="4"/>
        <v>0</v>
      </c>
      <c r="G132" s="24">
        <f t="shared" si="5"/>
        <v>0</v>
      </c>
      <c r="H132" s="17">
        <v>3</v>
      </c>
      <c r="I132" s="16"/>
      <c r="J132" s="37"/>
      <c r="K132" s="37"/>
      <c r="L132" s="37"/>
      <c r="M132" s="37"/>
      <c r="N132" s="37"/>
      <c r="O132" s="37"/>
      <c r="P132" s="37"/>
      <c r="Q132" s="37"/>
      <c r="R132" s="37"/>
      <c r="U132" s="17">
        <f>IF(行动模拟!D135="","",ROW(行动模拟!D135))</f>
        <v>135</v>
      </c>
      <c r="V132" s="17" t="str">
        <f>IF(行动模拟!D135="","",后台计算!E129)</f>
        <v>红弩箭</v>
      </c>
      <c r="W132" s="17" t="str">
        <f>IF(行动模拟!D135="","",后台计算!F129)</f>
        <v>洞知终结</v>
      </c>
      <c r="X132" s="17" t="str">
        <f>IF(行动模拟!D135="","",行动模拟!B135)</f>
        <v>洞知2</v>
      </c>
      <c r="Y132" s="17">
        <f>IF(行动模拟!D135="","",INDEX(回合状态!$B$7:$B$17,MATCH(行动模拟!B135,回合状态!$A$7:$A$17,0)))</f>
        <v>7</v>
      </c>
      <c r="Z132" s="24">
        <f>IF(ISNUMBER(行动模拟!R135),行动模拟!R135,"")</f>
        <v>2764685</v>
      </c>
      <c r="AA132" s="17">
        <f>IF(ISNUMBER(行动模拟!R135),1,0)</f>
        <v>1</v>
      </c>
    </row>
    <row r="133" spans="1:27" ht="38.1" customHeight="1">
      <c r="A133" s="17" t="s">
        <v>552</v>
      </c>
      <c r="B133" s="17" t="s">
        <v>761</v>
      </c>
      <c r="C133" s="24">
        <f t="shared" si="1"/>
        <v>35041</v>
      </c>
      <c r="D133" s="24">
        <f t="shared" si="2"/>
        <v>0</v>
      </c>
      <c r="E133" s="24">
        <f t="shared" si="3"/>
        <v>17002</v>
      </c>
      <c r="F133" s="24">
        <f t="shared" si="4"/>
        <v>13789</v>
      </c>
      <c r="G133" s="24">
        <f t="shared" si="5"/>
        <v>4250</v>
      </c>
      <c r="H133" s="17">
        <v>3</v>
      </c>
      <c r="I133" s="16"/>
      <c r="J133" s="37"/>
      <c r="K133" s="37"/>
      <c r="L133" s="37"/>
      <c r="M133" s="37"/>
      <c r="N133" s="37"/>
      <c r="O133" s="37"/>
      <c r="P133" s="37"/>
      <c r="Q133" s="37"/>
      <c r="R133" s="37"/>
      <c r="U133" s="17" t="str">
        <f>IF(行动模拟!D136="","",ROW(行动模拟!D136))</f>
        <v/>
      </c>
      <c r="V133" s="17" t="str">
        <f>IF(行动模拟!D136="","",后台计算!E130)</f>
        <v/>
      </c>
      <c r="W133" s="17" t="str">
        <f>IF(行动模拟!D136="","",后台计算!F130)</f>
        <v/>
      </c>
      <c r="X133" s="17" t="str">
        <f>IF(行动模拟!D136="","",行动模拟!B136)</f>
        <v/>
      </c>
      <c r="Y133" s="17" t="str">
        <f>IF(行动模拟!D136="","",INDEX(回合状态!$B$7:$B$17,MATCH(行动模拟!B136,回合状态!$A$7:$A$17,0)))</f>
        <v/>
      </c>
      <c r="Z133" s="24" t="str">
        <f>IF(ISNUMBER(行动模拟!R136),行动模拟!R136,"")</f>
        <v/>
      </c>
      <c r="AA133" s="17">
        <f>IF(ISNUMBER(行动模拟!R136),1,0)</f>
        <v>0</v>
      </c>
    </row>
    <row r="134" spans="1:27" ht="38.1" customHeight="1">
      <c r="A134" s="17">
        <v>4</v>
      </c>
      <c r="B134" s="17" t="s">
        <v>820</v>
      </c>
      <c r="C134" s="24">
        <f t="shared" si="1"/>
        <v>200312</v>
      </c>
      <c r="D134" s="24">
        <f t="shared" si="2"/>
        <v>124304</v>
      </c>
      <c r="E134" s="24">
        <f t="shared" si="3"/>
        <v>18277</v>
      </c>
      <c r="F134" s="24">
        <f t="shared" si="4"/>
        <v>12427</v>
      </c>
      <c r="G134" s="24">
        <f t="shared" si="5"/>
        <v>45304</v>
      </c>
      <c r="H134" s="17">
        <v>4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U134" s="17" t="str">
        <f>IF(行动模拟!D137="","",ROW(行动模拟!D137))</f>
        <v/>
      </c>
      <c r="V134" s="17" t="str">
        <f>IF(行动模拟!D137="","",后台计算!E131)</f>
        <v/>
      </c>
      <c r="W134" s="17" t="str">
        <f>IF(行动模拟!D137="","",后台计算!F131)</f>
        <v/>
      </c>
      <c r="X134" s="17" t="str">
        <f>IF(行动模拟!D137="","",行动模拟!B137)</f>
        <v/>
      </c>
      <c r="Y134" s="17" t="str">
        <f>IF(行动模拟!D137="","",INDEX(回合状态!$B$7:$B$17,MATCH(行动模拟!B137,回合状态!$A$7:$A$17,0)))</f>
        <v/>
      </c>
      <c r="Z134" s="24" t="str">
        <f>IF(ISNUMBER(行动模拟!R137),行动模拟!R137,"")</f>
        <v/>
      </c>
      <c r="AA134" s="17">
        <f>IF(ISNUMBER(行动模拟!R137),1,0)</f>
        <v>0</v>
      </c>
    </row>
    <row r="135" spans="1:27" ht="35.1" customHeight="1">
      <c r="A135" s="17">
        <v>5</v>
      </c>
      <c r="B135" s="17" t="s">
        <v>821</v>
      </c>
      <c r="C135" s="24">
        <f t="shared" si="1"/>
        <v>773399</v>
      </c>
      <c r="D135" s="24">
        <f t="shared" si="2"/>
        <v>724133</v>
      </c>
      <c r="E135" s="24">
        <f t="shared" si="3"/>
        <v>27153</v>
      </c>
      <c r="F135" s="24">
        <f t="shared" si="4"/>
        <v>0</v>
      </c>
      <c r="G135" s="24">
        <f t="shared" si="5"/>
        <v>22113</v>
      </c>
      <c r="H135" s="17">
        <v>5</v>
      </c>
      <c r="I135" s="16"/>
      <c r="J135" s="38" t="s">
        <v>841</v>
      </c>
      <c r="K135" s="38"/>
      <c r="L135" s="38"/>
      <c r="M135" s="38"/>
      <c r="N135" s="38"/>
      <c r="O135" s="38"/>
      <c r="P135" s="38"/>
      <c r="Q135" s="38"/>
      <c r="R135" s="38"/>
      <c r="U135" s="17" t="str">
        <f>IF(行动模拟!D138="","",ROW(行动模拟!D138))</f>
        <v/>
      </c>
      <c r="V135" s="17" t="str">
        <f>IF(行动模拟!D138="","",后台计算!E132)</f>
        <v/>
      </c>
      <c r="W135" s="17" t="str">
        <f>IF(行动模拟!D138="","",后台计算!F132)</f>
        <v/>
      </c>
      <c r="X135" s="17" t="str">
        <f>IF(行动模拟!D138="","",行动模拟!B138)</f>
        <v/>
      </c>
      <c r="Y135" s="17" t="str">
        <f>IF(行动模拟!D138="","",INDEX(回合状态!$B$7:$B$17,MATCH(行动模拟!B138,回合状态!$A$7:$A$17,0)))</f>
        <v/>
      </c>
      <c r="Z135" s="24" t="str">
        <f>IF(ISNUMBER(行动模拟!R138),行动模拟!R138,"")</f>
        <v/>
      </c>
      <c r="AA135" s="17">
        <f>IF(ISNUMBER(行动模拟!R138),1,0)</f>
        <v>0</v>
      </c>
    </row>
    <row r="136" spans="1:27" ht="38.1" customHeight="1">
      <c r="A136" s="17">
        <v>6</v>
      </c>
      <c r="B136" s="17" t="s">
        <v>822</v>
      </c>
      <c r="C136" s="24">
        <f t="shared" si="1"/>
        <v>702061</v>
      </c>
      <c r="D136" s="24">
        <f t="shared" si="2"/>
        <v>615024</v>
      </c>
      <c r="E136" s="24">
        <f t="shared" si="3"/>
        <v>12343</v>
      </c>
      <c r="F136" s="24">
        <f t="shared" si="4"/>
        <v>0</v>
      </c>
      <c r="G136" s="24">
        <f t="shared" si="5"/>
        <v>74694</v>
      </c>
      <c r="H136" s="17">
        <v>6</v>
      </c>
      <c r="I136" s="16"/>
      <c r="J136" s="41" t="s">
        <v>842</v>
      </c>
      <c r="K136" s="41"/>
      <c r="L136" s="41"/>
      <c r="M136" s="41"/>
      <c r="N136" s="16">
        <f>B15-A6</f>
        <v>0</v>
      </c>
      <c r="O136" s="16"/>
      <c r="P136" s="16"/>
      <c r="Q136" s="16"/>
      <c r="R136" s="16"/>
      <c r="U136" s="17" t="str">
        <f>IF(行动模拟!D139="","",ROW(行动模拟!D139))</f>
        <v/>
      </c>
      <c r="V136" s="17" t="str">
        <f>IF(行动模拟!D139="","",后台计算!E133)</f>
        <v/>
      </c>
      <c r="W136" s="17" t="str">
        <f>IF(行动模拟!D139="","",后台计算!F133)</f>
        <v/>
      </c>
      <c r="X136" s="17" t="str">
        <f>IF(行动模拟!D139="","",行动模拟!B139)</f>
        <v/>
      </c>
      <c r="Y136" s="17" t="str">
        <f>IF(行动模拟!D139="","",INDEX(回合状态!$B$7:$B$17,MATCH(行动模拟!B139,回合状态!$A$7:$A$17,0)))</f>
        <v/>
      </c>
      <c r="Z136" s="24" t="str">
        <f>IF(ISNUMBER(行动模拟!R139),行动模拟!R139,"")</f>
        <v/>
      </c>
      <c r="AA136" s="17">
        <f>IF(ISNUMBER(行动模拟!R139),1,0)</f>
        <v>0</v>
      </c>
    </row>
    <row r="137" spans="1:27" ht="38.1" customHeight="1">
      <c r="A137" s="17" t="s">
        <v>554</v>
      </c>
      <c r="B137" s="17" t="s">
        <v>843</v>
      </c>
      <c r="C137" s="24">
        <f t="shared" si="1"/>
        <v>691965</v>
      </c>
      <c r="D137" s="24">
        <f t="shared" si="2"/>
        <v>575024</v>
      </c>
      <c r="E137" s="24">
        <f t="shared" si="3"/>
        <v>3667</v>
      </c>
      <c r="F137" s="24">
        <f t="shared" si="4"/>
        <v>1821</v>
      </c>
      <c r="G137" s="24">
        <f t="shared" si="5"/>
        <v>111453</v>
      </c>
      <c r="H137" s="17">
        <v>7</v>
      </c>
      <c r="I137" s="16"/>
      <c r="J137" s="41" t="s">
        <v>844</v>
      </c>
      <c r="K137" s="41"/>
      <c r="L137" s="41"/>
      <c r="M137" s="41"/>
      <c r="N137" s="16">
        <f>B115-A6</f>
        <v>0</v>
      </c>
      <c r="O137" s="16"/>
      <c r="P137" s="16"/>
      <c r="Q137" s="16"/>
      <c r="R137" s="16"/>
      <c r="U137" s="17" t="str">
        <f>IF(行动模拟!D140="","",ROW(行动模拟!D140))</f>
        <v/>
      </c>
      <c r="V137" s="17" t="str">
        <f>IF(行动模拟!D140="","",后台计算!E134)</f>
        <v/>
      </c>
      <c r="W137" s="17" t="str">
        <f>IF(行动模拟!D140="","",后台计算!F134)</f>
        <v/>
      </c>
      <c r="X137" s="17" t="str">
        <f>IF(行动模拟!D140="","",行动模拟!B140)</f>
        <v/>
      </c>
      <c r="Y137" s="17" t="str">
        <f>IF(行动模拟!D140="","",INDEX(回合状态!$B$7:$B$17,MATCH(行动模拟!B140,回合状态!$A$7:$A$17,0)))</f>
        <v/>
      </c>
      <c r="Z137" s="24" t="str">
        <f>IF(ISNUMBER(行动模拟!R140),行动模拟!R140,"")</f>
        <v/>
      </c>
      <c r="AA137" s="17">
        <f>IF(ISNUMBER(行动模拟!R140),1,0)</f>
        <v>0</v>
      </c>
    </row>
    <row r="138" spans="1:27" ht="38.1" customHeight="1">
      <c r="A138" s="17" t="s">
        <v>556</v>
      </c>
      <c r="B138" s="17" t="s">
        <v>845</v>
      </c>
      <c r="C138" s="24">
        <f t="shared" si="1"/>
        <v>7489425</v>
      </c>
      <c r="D138" s="24">
        <f t="shared" si="2"/>
        <v>7109859</v>
      </c>
      <c r="E138" s="24">
        <f t="shared" si="3"/>
        <v>379566</v>
      </c>
      <c r="F138" s="24">
        <f t="shared" si="4"/>
        <v>0</v>
      </c>
      <c r="G138" s="24">
        <f t="shared" si="5"/>
        <v>0</v>
      </c>
      <c r="H138" s="17">
        <v>7</v>
      </c>
      <c r="I138" s="16"/>
      <c r="J138" s="41" t="s">
        <v>846</v>
      </c>
      <c r="K138" s="41"/>
      <c r="L138" s="41"/>
      <c r="M138" s="41"/>
      <c r="N138" s="16">
        <f>C139-A6</f>
        <v>0</v>
      </c>
      <c r="O138" s="16"/>
      <c r="P138" s="16"/>
      <c r="Q138" s="16"/>
      <c r="R138" s="16"/>
      <c r="U138" s="17" t="str">
        <f>IF(行动模拟!D141="","",ROW(行动模拟!D141))</f>
        <v/>
      </c>
      <c r="V138" s="17" t="str">
        <f>IF(行动模拟!D141="","",后台计算!E135)</f>
        <v/>
      </c>
      <c r="W138" s="17" t="str">
        <f>IF(行动模拟!D141="","",后台计算!F135)</f>
        <v/>
      </c>
      <c r="X138" s="17" t="str">
        <f>IF(行动模拟!D141="","",行动模拟!B141)</f>
        <v/>
      </c>
      <c r="Y138" s="17" t="str">
        <f>IF(行动模拟!D141="","",INDEX(回合状态!$B$7:$B$17,MATCH(行动模拟!B141,回合状态!$A$7:$A$17,0)))</f>
        <v/>
      </c>
      <c r="Z138" s="24" t="str">
        <f>IF(ISNUMBER(行动模拟!R141),行动模拟!R141,"")</f>
        <v/>
      </c>
      <c r="AA138" s="17">
        <f>IF(ISNUMBER(行动模拟!R141),1,0)</f>
        <v>0</v>
      </c>
    </row>
    <row r="139" spans="1:27" ht="32.1" customHeight="1">
      <c r="A139" s="30"/>
      <c r="B139" s="30" t="s">
        <v>807</v>
      </c>
      <c r="C139" s="31">
        <f>SUM(C129:C138)</f>
        <v>23210479</v>
      </c>
      <c r="D139" s="31">
        <f>SUM(D129:D138)</f>
        <v>21911267</v>
      </c>
      <c r="E139" s="31">
        <f>SUM(E129:E138)</f>
        <v>917506</v>
      </c>
      <c r="F139" s="31">
        <f>SUM(F129:F138)</f>
        <v>42438</v>
      </c>
      <c r="G139" s="31">
        <f>SUM(G129:G138)</f>
        <v>339268</v>
      </c>
      <c r="H139" s="30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U139" s="17" t="str">
        <f>IF(行动模拟!D142="","",ROW(行动模拟!D142))</f>
        <v/>
      </c>
      <c r="V139" s="17" t="str">
        <f>IF(行动模拟!D142="","",后台计算!E136)</f>
        <v/>
      </c>
      <c r="W139" s="17" t="str">
        <f>IF(行动模拟!D142="","",后台计算!F136)</f>
        <v/>
      </c>
      <c r="X139" s="17" t="str">
        <f>IF(行动模拟!D142="","",行动模拟!B142)</f>
        <v/>
      </c>
      <c r="Y139" s="17" t="str">
        <f>IF(行动模拟!D142="","",INDEX(回合状态!$B$7:$B$17,MATCH(行动模拟!B142,回合状态!$A$7:$A$17,0)))</f>
        <v/>
      </c>
      <c r="Z139" s="24" t="str">
        <f>IF(ISNUMBER(行动模拟!R142),行动模拟!R142,"")</f>
        <v/>
      </c>
      <c r="AA139" s="17">
        <f>IF(ISNUMBER(行动模拟!R142),1,0)</f>
        <v>0</v>
      </c>
    </row>
    <row r="140" spans="1:27" ht="27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U140" s="17" t="str">
        <f>IF(行动模拟!D143="","",ROW(行动模拟!D143))</f>
        <v/>
      </c>
      <c r="V140" s="17" t="str">
        <f>IF(行动模拟!D143="","",后台计算!E137)</f>
        <v/>
      </c>
      <c r="W140" s="17" t="str">
        <f>IF(行动模拟!D143="","",后台计算!F137)</f>
        <v/>
      </c>
      <c r="X140" s="17" t="str">
        <f>IF(行动模拟!D143="","",行动模拟!B143)</f>
        <v/>
      </c>
      <c r="Y140" s="17" t="str">
        <f>IF(行动模拟!D143="","",INDEX(回合状态!$B$7:$B$17,MATCH(行动模拟!B143,回合状态!$A$7:$A$17,0)))</f>
        <v/>
      </c>
      <c r="Z140" s="24" t="str">
        <f>IF(ISNUMBER(行动模拟!R143),行动模拟!R143,"")</f>
        <v/>
      </c>
      <c r="AA140" s="17">
        <f>IF(ISNUMBER(行动模拟!R143),1,0)</f>
        <v>0</v>
      </c>
    </row>
    <row r="141" spans="1:27" ht="27" customHeight="1">
      <c r="U141" s="17" t="str">
        <f>IF(行动模拟!D144="","",ROW(行动模拟!D144))</f>
        <v/>
      </c>
      <c r="V141" s="17" t="str">
        <f>IF(行动模拟!D144="","",后台计算!E138)</f>
        <v/>
      </c>
      <c r="W141" s="17" t="str">
        <f>IF(行动模拟!D144="","",后台计算!F138)</f>
        <v/>
      </c>
      <c r="X141" s="17" t="str">
        <f>IF(行动模拟!D144="","",行动模拟!B144)</f>
        <v/>
      </c>
      <c r="Y141" s="17" t="str">
        <f>IF(行动模拟!D144="","",INDEX(回合状态!$B$7:$B$17,MATCH(行动模拟!B144,回合状态!$A$7:$A$17,0)))</f>
        <v/>
      </c>
      <c r="Z141" s="24" t="str">
        <f>IF(ISNUMBER(行动模拟!R144),行动模拟!R144,"")</f>
        <v/>
      </c>
      <c r="AA141" s="17">
        <f>IF(ISNUMBER(行动模拟!R144),1,0)</f>
        <v>0</v>
      </c>
    </row>
    <row r="142" spans="1:27" ht="27" customHeight="1">
      <c r="U142" s="17" t="str">
        <f>IF(行动模拟!D145="","",ROW(行动模拟!D145))</f>
        <v/>
      </c>
      <c r="V142" s="17" t="str">
        <f>IF(行动模拟!D145="","",后台计算!E139)</f>
        <v/>
      </c>
      <c r="W142" s="17" t="str">
        <f>IF(行动模拟!D145="","",后台计算!F139)</f>
        <v/>
      </c>
      <c r="X142" s="17" t="str">
        <f>IF(行动模拟!D145="","",行动模拟!B145)</f>
        <v/>
      </c>
      <c r="Y142" s="17" t="str">
        <f>IF(行动模拟!D145="","",INDEX(回合状态!$B$7:$B$17,MATCH(行动模拟!B145,回合状态!$A$7:$A$17,0)))</f>
        <v/>
      </c>
      <c r="Z142" s="24" t="str">
        <f>IF(ISNUMBER(行动模拟!R145),行动模拟!R145,"")</f>
        <v/>
      </c>
      <c r="AA142" s="17">
        <f>IF(ISNUMBER(行动模拟!R145),1,0)</f>
        <v>0</v>
      </c>
    </row>
    <row r="143" spans="1:27" ht="27" customHeight="1">
      <c r="U143" s="17" t="str">
        <f>IF(行动模拟!D146="","",ROW(行动模拟!D146))</f>
        <v/>
      </c>
      <c r="V143" s="17" t="str">
        <f>IF(行动模拟!D146="","",后台计算!E140)</f>
        <v/>
      </c>
      <c r="W143" s="17" t="str">
        <f>IF(行动模拟!D146="","",后台计算!F140)</f>
        <v/>
      </c>
      <c r="X143" s="17" t="str">
        <f>IF(行动模拟!D146="","",行动模拟!B146)</f>
        <v/>
      </c>
      <c r="Y143" s="17" t="str">
        <f>IF(行动模拟!D146="","",INDEX(回合状态!$B$7:$B$17,MATCH(行动模拟!B146,回合状态!$A$7:$A$17,0)))</f>
        <v/>
      </c>
      <c r="Z143" s="24" t="str">
        <f>IF(ISNUMBER(行动模拟!R146),行动模拟!R146,"")</f>
        <v/>
      </c>
      <c r="AA143" s="17">
        <f>IF(ISNUMBER(行动模拟!R146),1,0)</f>
        <v>0</v>
      </c>
    </row>
    <row r="144" spans="1:27" ht="27" customHeight="1">
      <c r="U144" s="17" t="str">
        <f>IF(行动模拟!D147="","",ROW(行动模拟!D147))</f>
        <v/>
      </c>
      <c r="V144" s="17" t="str">
        <f>IF(行动模拟!D147="","",后台计算!E141)</f>
        <v/>
      </c>
      <c r="W144" s="17" t="str">
        <f>IF(行动模拟!D147="","",后台计算!F141)</f>
        <v/>
      </c>
      <c r="X144" s="17" t="str">
        <f>IF(行动模拟!D147="","",行动模拟!B147)</f>
        <v/>
      </c>
      <c r="Y144" s="17" t="str">
        <f>IF(行动模拟!D147="","",INDEX(回合状态!$B$7:$B$17,MATCH(行动模拟!B147,回合状态!$A$7:$A$17,0)))</f>
        <v/>
      </c>
      <c r="Z144" s="24" t="str">
        <f>IF(ISNUMBER(行动模拟!R147),行动模拟!R147,"")</f>
        <v/>
      </c>
      <c r="AA144" s="17">
        <f>IF(ISNUMBER(行动模拟!R147),1,0)</f>
        <v>0</v>
      </c>
    </row>
    <row r="145" spans="21:27" ht="27" customHeight="1">
      <c r="U145" s="17" t="str">
        <f>IF(行动模拟!D148="","",ROW(行动模拟!D148))</f>
        <v/>
      </c>
      <c r="V145" s="17" t="str">
        <f>IF(行动模拟!D148="","",后台计算!E142)</f>
        <v/>
      </c>
      <c r="W145" s="17" t="str">
        <f>IF(行动模拟!D148="","",后台计算!F142)</f>
        <v/>
      </c>
      <c r="X145" s="17" t="str">
        <f>IF(行动模拟!D148="","",行动模拟!B148)</f>
        <v/>
      </c>
      <c r="Y145" s="17" t="str">
        <f>IF(行动模拟!D148="","",INDEX(回合状态!$B$7:$B$17,MATCH(行动模拟!B148,回合状态!$A$7:$A$17,0)))</f>
        <v/>
      </c>
      <c r="Z145" s="24" t="str">
        <f>IF(ISNUMBER(行动模拟!R148),行动模拟!R148,"")</f>
        <v/>
      </c>
      <c r="AA145" s="17">
        <f>IF(ISNUMBER(行动模拟!R148),1,0)</f>
        <v>0</v>
      </c>
    </row>
    <row r="146" spans="21:27" ht="27" customHeight="1">
      <c r="U146" s="17" t="str">
        <f>IF(行动模拟!D149="","",ROW(行动模拟!D149))</f>
        <v/>
      </c>
      <c r="V146" s="17" t="str">
        <f>IF(行动模拟!D149="","",后台计算!E143)</f>
        <v/>
      </c>
      <c r="W146" s="17" t="str">
        <f>IF(行动模拟!D149="","",后台计算!F143)</f>
        <v/>
      </c>
      <c r="X146" s="17" t="str">
        <f>IF(行动模拟!D149="","",行动模拟!B149)</f>
        <v/>
      </c>
      <c r="Y146" s="17" t="str">
        <f>IF(行动模拟!D149="","",INDEX(回合状态!$B$7:$B$17,MATCH(行动模拟!B149,回合状态!$A$7:$A$17,0)))</f>
        <v/>
      </c>
      <c r="Z146" s="24" t="str">
        <f>IF(ISNUMBER(行动模拟!R149),行动模拟!R149,"")</f>
        <v/>
      </c>
      <c r="AA146" s="17">
        <f>IF(ISNUMBER(行动模拟!R149),1,0)</f>
        <v>0</v>
      </c>
    </row>
    <row r="147" spans="21:27" ht="27" customHeight="1">
      <c r="U147" s="17" t="str">
        <f>IF(行动模拟!D150="","",ROW(行动模拟!D150))</f>
        <v/>
      </c>
      <c r="V147" s="17" t="str">
        <f>IF(行动模拟!D150="","",后台计算!E144)</f>
        <v/>
      </c>
      <c r="W147" s="17" t="str">
        <f>IF(行动模拟!D150="","",后台计算!F144)</f>
        <v/>
      </c>
      <c r="X147" s="17" t="str">
        <f>IF(行动模拟!D150="","",行动模拟!B150)</f>
        <v/>
      </c>
      <c r="Y147" s="17" t="str">
        <f>IF(行动模拟!D150="","",INDEX(回合状态!$B$7:$B$17,MATCH(行动模拟!B150,回合状态!$A$7:$A$17,0)))</f>
        <v/>
      </c>
      <c r="Z147" s="24" t="str">
        <f>IF(ISNUMBER(行动模拟!R150),行动模拟!R150,"")</f>
        <v/>
      </c>
      <c r="AA147" s="17">
        <f>IF(ISNUMBER(行动模拟!R150),1,0)</f>
        <v>0</v>
      </c>
    </row>
    <row r="148" spans="21:27" ht="27" customHeight="1">
      <c r="U148" s="17" t="str">
        <f>IF(行动模拟!D151="","",ROW(行动模拟!D151))</f>
        <v/>
      </c>
      <c r="V148" s="17" t="str">
        <f>IF(行动模拟!D151="","",后台计算!E145)</f>
        <v/>
      </c>
      <c r="W148" s="17" t="str">
        <f>IF(行动模拟!D151="","",后台计算!F145)</f>
        <v/>
      </c>
      <c r="X148" s="17" t="str">
        <f>IF(行动模拟!D151="","",行动模拟!B151)</f>
        <v/>
      </c>
      <c r="Y148" s="17" t="str">
        <f>IF(行动模拟!D151="","",INDEX(回合状态!$B$7:$B$17,MATCH(行动模拟!B151,回合状态!$A$7:$A$17,0)))</f>
        <v/>
      </c>
      <c r="Z148" s="24" t="str">
        <f>IF(ISNUMBER(行动模拟!R151),行动模拟!R151,"")</f>
        <v/>
      </c>
      <c r="AA148" s="17">
        <f>IF(ISNUMBER(行动模拟!R151),1,0)</f>
        <v>0</v>
      </c>
    </row>
    <row r="149" spans="21:27" ht="27" customHeight="1">
      <c r="U149" s="17" t="str">
        <f>IF(行动模拟!D152="","",ROW(行动模拟!D152))</f>
        <v/>
      </c>
      <c r="V149" s="17" t="str">
        <f>IF(行动模拟!D152="","",后台计算!E146)</f>
        <v/>
      </c>
      <c r="W149" s="17" t="str">
        <f>IF(行动模拟!D152="","",后台计算!F146)</f>
        <v/>
      </c>
      <c r="X149" s="17" t="str">
        <f>IF(行动模拟!D152="","",行动模拟!B152)</f>
        <v/>
      </c>
      <c r="Y149" s="17" t="str">
        <f>IF(行动模拟!D152="","",INDEX(回合状态!$B$7:$B$17,MATCH(行动模拟!B152,回合状态!$A$7:$A$17,0)))</f>
        <v/>
      </c>
      <c r="Z149" s="24" t="str">
        <f>IF(ISNUMBER(行动模拟!R152),行动模拟!R152,"")</f>
        <v/>
      </c>
      <c r="AA149" s="17">
        <f>IF(ISNUMBER(行动模拟!R152),1,0)</f>
        <v>0</v>
      </c>
    </row>
    <row r="150" spans="21:27" ht="27" customHeight="1">
      <c r="U150" s="17" t="str">
        <f>IF(行动模拟!D153="","",ROW(行动模拟!D153))</f>
        <v/>
      </c>
      <c r="V150" s="17" t="str">
        <f>IF(行动模拟!D153="","",后台计算!E147)</f>
        <v/>
      </c>
      <c r="W150" s="17" t="str">
        <f>IF(行动模拟!D153="","",后台计算!F147)</f>
        <v/>
      </c>
      <c r="X150" s="17" t="str">
        <f>IF(行动模拟!D153="","",行动模拟!B153)</f>
        <v/>
      </c>
      <c r="Y150" s="17" t="str">
        <f>IF(行动模拟!D153="","",INDEX(回合状态!$B$7:$B$17,MATCH(行动模拟!B153,回合状态!$A$7:$A$17,0)))</f>
        <v/>
      </c>
      <c r="Z150" s="24" t="str">
        <f>IF(ISNUMBER(行动模拟!R153),行动模拟!R153,"")</f>
        <v/>
      </c>
      <c r="AA150" s="17">
        <f>IF(ISNUMBER(行动模拟!R153),1,0)</f>
        <v>0</v>
      </c>
    </row>
    <row r="151" spans="21:27" ht="27" customHeight="1">
      <c r="U151" s="17" t="str">
        <f>IF(行动模拟!D154="","",ROW(行动模拟!D154))</f>
        <v/>
      </c>
      <c r="V151" s="17" t="str">
        <f>IF(行动模拟!D154="","",后台计算!E148)</f>
        <v/>
      </c>
      <c r="W151" s="17" t="str">
        <f>IF(行动模拟!D154="","",后台计算!F148)</f>
        <v/>
      </c>
      <c r="X151" s="17" t="str">
        <f>IF(行动模拟!D154="","",行动模拟!B154)</f>
        <v/>
      </c>
      <c r="Y151" s="17" t="str">
        <f>IF(行动模拟!D154="","",INDEX(回合状态!$B$7:$B$17,MATCH(行动模拟!B154,回合状态!$A$7:$A$17,0)))</f>
        <v/>
      </c>
      <c r="Z151" s="24" t="str">
        <f>IF(ISNUMBER(行动模拟!R154),行动模拟!R154,"")</f>
        <v/>
      </c>
      <c r="AA151" s="17">
        <f>IF(ISNUMBER(行动模拟!R154),1,0)</f>
        <v>0</v>
      </c>
    </row>
    <row r="152" spans="21:27" ht="27" customHeight="1">
      <c r="U152" s="17" t="str">
        <f>IF(行动模拟!D155="","",ROW(行动模拟!D155))</f>
        <v/>
      </c>
      <c r="V152" s="17" t="str">
        <f>IF(行动模拟!D155="","",后台计算!E149)</f>
        <v/>
      </c>
      <c r="W152" s="17" t="str">
        <f>IF(行动模拟!D155="","",后台计算!F149)</f>
        <v/>
      </c>
      <c r="X152" s="17" t="str">
        <f>IF(行动模拟!D155="","",行动模拟!B155)</f>
        <v/>
      </c>
      <c r="Y152" s="17" t="str">
        <f>IF(行动模拟!D155="","",INDEX(回合状态!$B$7:$B$17,MATCH(行动模拟!B155,回合状态!$A$7:$A$17,0)))</f>
        <v/>
      </c>
      <c r="Z152" s="24" t="str">
        <f>IF(ISNUMBER(行动模拟!R155),行动模拟!R155,"")</f>
        <v/>
      </c>
      <c r="AA152" s="17">
        <f>IF(ISNUMBER(行动模拟!R155),1,0)</f>
        <v>0</v>
      </c>
    </row>
    <row r="153" spans="21:27" ht="27" customHeight="1">
      <c r="U153" s="17" t="str">
        <f>IF(行动模拟!D156="","",ROW(行动模拟!D156))</f>
        <v/>
      </c>
      <c r="V153" s="17" t="str">
        <f>IF(行动模拟!D156="","",后台计算!E150)</f>
        <v/>
      </c>
      <c r="W153" s="17" t="str">
        <f>IF(行动模拟!D156="","",后台计算!F150)</f>
        <v/>
      </c>
      <c r="X153" s="17" t="str">
        <f>IF(行动模拟!D156="","",行动模拟!B156)</f>
        <v/>
      </c>
      <c r="Y153" s="17" t="str">
        <f>IF(行动模拟!D156="","",INDEX(回合状态!$B$7:$B$17,MATCH(行动模拟!B156,回合状态!$A$7:$A$17,0)))</f>
        <v/>
      </c>
      <c r="Z153" s="24" t="str">
        <f>IF(ISNUMBER(行动模拟!R156),行动模拟!R156,"")</f>
        <v/>
      </c>
      <c r="AA153" s="17">
        <f>IF(ISNUMBER(行动模拟!R156),1,0)</f>
        <v>0</v>
      </c>
    </row>
    <row r="154" spans="21:27" ht="27" customHeight="1">
      <c r="U154" s="17" t="str">
        <f>IF(行动模拟!D157="","",ROW(行动模拟!D157))</f>
        <v/>
      </c>
      <c r="V154" s="17" t="str">
        <f>IF(行动模拟!D157="","",后台计算!E151)</f>
        <v/>
      </c>
      <c r="W154" s="17" t="str">
        <f>IF(行动模拟!D157="","",后台计算!F151)</f>
        <v/>
      </c>
      <c r="X154" s="17" t="str">
        <f>IF(行动模拟!D157="","",行动模拟!B157)</f>
        <v/>
      </c>
      <c r="Y154" s="17" t="str">
        <f>IF(行动模拟!D157="","",INDEX(回合状态!$B$7:$B$17,MATCH(行动模拟!B157,回合状态!$A$7:$A$17,0)))</f>
        <v/>
      </c>
      <c r="Z154" s="24" t="str">
        <f>IF(ISNUMBER(行动模拟!R157),行动模拟!R157,"")</f>
        <v/>
      </c>
      <c r="AA154" s="17">
        <f>IF(ISNUMBER(行动模拟!R157),1,0)</f>
        <v>0</v>
      </c>
    </row>
    <row r="155" spans="21:27" ht="27" customHeight="1">
      <c r="U155" s="17" t="str">
        <f>IF(行动模拟!D158="","",ROW(行动模拟!D158))</f>
        <v/>
      </c>
      <c r="V155" s="17" t="str">
        <f>IF(行动模拟!D158="","",后台计算!E152)</f>
        <v/>
      </c>
      <c r="W155" s="17" t="str">
        <f>IF(行动模拟!D158="","",后台计算!F152)</f>
        <v/>
      </c>
      <c r="X155" s="17" t="str">
        <f>IF(行动模拟!D158="","",行动模拟!B158)</f>
        <v/>
      </c>
      <c r="Y155" s="17" t="str">
        <f>IF(行动模拟!D158="","",INDEX(回合状态!$B$7:$B$17,MATCH(行动模拟!B158,回合状态!$A$7:$A$17,0)))</f>
        <v/>
      </c>
      <c r="Z155" s="24" t="str">
        <f>IF(ISNUMBER(行动模拟!R158),行动模拟!R158,"")</f>
        <v/>
      </c>
      <c r="AA155" s="17">
        <f>IF(ISNUMBER(行动模拟!R158),1,0)</f>
        <v>0</v>
      </c>
    </row>
    <row r="156" spans="21:27" ht="27" customHeight="1">
      <c r="U156" s="17" t="str">
        <f>IF(行动模拟!D159="","",ROW(行动模拟!D159))</f>
        <v/>
      </c>
      <c r="V156" s="17" t="str">
        <f>IF(行动模拟!D159="","",后台计算!E153)</f>
        <v/>
      </c>
      <c r="W156" s="17" t="str">
        <f>IF(行动模拟!D159="","",后台计算!F153)</f>
        <v/>
      </c>
      <c r="X156" s="17" t="str">
        <f>IF(行动模拟!D159="","",行动模拟!B159)</f>
        <v/>
      </c>
      <c r="Y156" s="17" t="str">
        <f>IF(行动模拟!D159="","",INDEX(回合状态!$B$7:$B$17,MATCH(行动模拟!B159,回合状态!$A$7:$A$17,0)))</f>
        <v/>
      </c>
      <c r="Z156" s="24" t="str">
        <f>IF(ISNUMBER(行动模拟!R159),行动模拟!R159,"")</f>
        <v/>
      </c>
      <c r="AA156" s="17">
        <f>IF(ISNUMBER(行动模拟!R159),1,0)</f>
        <v>0</v>
      </c>
    </row>
    <row r="157" spans="21:27" ht="27" customHeight="1">
      <c r="U157" s="17" t="str">
        <f>IF(行动模拟!D160="","",ROW(行动模拟!D160))</f>
        <v/>
      </c>
      <c r="V157" s="17" t="str">
        <f>IF(行动模拟!D160="","",后台计算!E154)</f>
        <v/>
      </c>
      <c r="W157" s="17" t="str">
        <f>IF(行动模拟!D160="","",后台计算!F154)</f>
        <v/>
      </c>
      <c r="X157" s="17" t="str">
        <f>IF(行动模拟!D160="","",行动模拟!B160)</f>
        <v/>
      </c>
      <c r="Y157" s="17" t="str">
        <f>IF(行动模拟!D160="","",INDEX(回合状态!$B$7:$B$17,MATCH(行动模拟!B160,回合状态!$A$7:$A$17,0)))</f>
        <v/>
      </c>
      <c r="Z157" s="24" t="str">
        <f>IF(ISNUMBER(行动模拟!R160),行动模拟!R160,"")</f>
        <v/>
      </c>
      <c r="AA157" s="17">
        <f>IF(ISNUMBER(行动模拟!R160),1,0)</f>
        <v>0</v>
      </c>
    </row>
    <row r="158" spans="21:27" ht="27" customHeight="1">
      <c r="U158" s="17" t="str">
        <f>IF(行动模拟!D161="","",ROW(行动模拟!D161))</f>
        <v/>
      </c>
      <c r="V158" s="17" t="str">
        <f>IF(行动模拟!D161="","",后台计算!E155)</f>
        <v/>
      </c>
      <c r="W158" s="17" t="str">
        <f>IF(行动模拟!D161="","",后台计算!F155)</f>
        <v/>
      </c>
      <c r="X158" s="17" t="str">
        <f>IF(行动模拟!D161="","",行动模拟!B161)</f>
        <v/>
      </c>
      <c r="Y158" s="17" t="str">
        <f>IF(行动模拟!D161="","",INDEX(回合状态!$B$7:$B$17,MATCH(行动模拟!B161,回合状态!$A$7:$A$17,0)))</f>
        <v/>
      </c>
      <c r="Z158" s="24" t="str">
        <f>IF(ISNUMBER(行动模拟!R161),行动模拟!R161,"")</f>
        <v/>
      </c>
      <c r="AA158" s="17">
        <f>IF(ISNUMBER(行动模拟!R161),1,0)</f>
        <v>0</v>
      </c>
    </row>
    <row r="159" spans="21:27" ht="27" customHeight="1">
      <c r="U159" s="17" t="str">
        <f>IF(行动模拟!D162="","",ROW(行动模拟!D162))</f>
        <v/>
      </c>
      <c r="V159" s="17" t="str">
        <f>IF(行动模拟!D162="","",后台计算!E156)</f>
        <v/>
      </c>
      <c r="W159" s="17" t="str">
        <f>IF(行动模拟!D162="","",后台计算!F156)</f>
        <v/>
      </c>
      <c r="X159" s="17" t="str">
        <f>IF(行动模拟!D162="","",行动模拟!B162)</f>
        <v/>
      </c>
      <c r="Y159" s="17" t="str">
        <f>IF(行动模拟!D162="","",INDEX(回合状态!$B$7:$B$17,MATCH(行动模拟!B162,回合状态!$A$7:$A$17,0)))</f>
        <v/>
      </c>
      <c r="Z159" s="24" t="str">
        <f>IF(ISNUMBER(行动模拟!R162),行动模拟!R162,"")</f>
        <v/>
      </c>
      <c r="AA159" s="17">
        <f>IF(ISNUMBER(行动模拟!R162),1,0)</f>
        <v>0</v>
      </c>
    </row>
    <row r="160" spans="21:27" ht="27" customHeight="1">
      <c r="U160" s="17" t="str">
        <f>IF(行动模拟!D163="","",ROW(行动模拟!D163))</f>
        <v/>
      </c>
      <c r="V160" s="17" t="str">
        <f>IF(行动模拟!D163="","",后台计算!E157)</f>
        <v/>
      </c>
      <c r="W160" s="17" t="str">
        <f>IF(行动模拟!D163="","",后台计算!F157)</f>
        <v/>
      </c>
      <c r="X160" s="17" t="str">
        <f>IF(行动模拟!D163="","",行动模拟!B163)</f>
        <v/>
      </c>
      <c r="Y160" s="17" t="str">
        <f>IF(行动模拟!D163="","",INDEX(回合状态!$B$7:$B$17,MATCH(行动模拟!B163,回合状态!$A$7:$A$17,0)))</f>
        <v/>
      </c>
      <c r="Z160" s="24" t="str">
        <f>IF(ISNUMBER(行动模拟!R163),行动模拟!R163,"")</f>
        <v/>
      </c>
      <c r="AA160" s="17">
        <f>IF(ISNUMBER(行动模拟!R163),1,0)</f>
        <v>0</v>
      </c>
    </row>
    <row r="161" spans="21:27" ht="27" customHeight="1">
      <c r="U161" s="17" t="str">
        <f>IF(行动模拟!D164="","",ROW(行动模拟!D164))</f>
        <v/>
      </c>
      <c r="V161" s="17" t="str">
        <f>IF(行动模拟!D164="","",后台计算!E158)</f>
        <v/>
      </c>
      <c r="W161" s="17" t="str">
        <f>IF(行动模拟!D164="","",后台计算!F158)</f>
        <v/>
      </c>
      <c r="X161" s="17" t="str">
        <f>IF(行动模拟!D164="","",行动模拟!B164)</f>
        <v/>
      </c>
      <c r="Y161" s="17" t="str">
        <f>IF(行动模拟!D164="","",INDEX(回合状态!$B$7:$B$17,MATCH(行动模拟!B164,回合状态!$A$7:$A$17,0)))</f>
        <v/>
      </c>
      <c r="Z161" s="24" t="str">
        <f>IF(ISNUMBER(行动模拟!R164),行动模拟!R164,"")</f>
        <v/>
      </c>
      <c r="AA161" s="17">
        <f>IF(ISNUMBER(行动模拟!R164),1,0)</f>
        <v>0</v>
      </c>
    </row>
    <row r="162" spans="21:27" ht="27" customHeight="1">
      <c r="U162" s="17" t="str">
        <f>IF(行动模拟!D165="","",ROW(行动模拟!D165))</f>
        <v/>
      </c>
      <c r="V162" s="17" t="str">
        <f>IF(行动模拟!D165="","",后台计算!E159)</f>
        <v/>
      </c>
      <c r="W162" s="17" t="str">
        <f>IF(行动模拟!D165="","",后台计算!F159)</f>
        <v/>
      </c>
      <c r="X162" s="17" t="str">
        <f>IF(行动模拟!D165="","",行动模拟!B165)</f>
        <v/>
      </c>
      <c r="Y162" s="17" t="str">
        <f>IF(行动模拟!D165="","",INDEX(回合状态!$B$7:$B$17,MATCH(行动模拟!B165,回合状态!$A$7:$A$17,0)))</f>
        <v/>
      </c>
      <c r="Z162" s="24" t="str">
        <f>IF(ISNUMBER(行动模拟!R165),行动模拟!R165,"")</f>
        <v/>
      </c>
      <c r="AA162" s="17">
        <f>IF(ISNUMBER(行动模拟!R165),1,0)</f>
        <v>0</v>
      </c>
    </row>
    <row r="163" spans="21:27" ht="27" customHeight="1">
      <c r="U163" s="17" t="str">
        <f>IF(行动模拟!D166="","",ROW(行动模拟!D166))</f>
        <v/>
      </c>
      <c r="V163" s="17" t="str">
        <f>IF(行动模拟!D166="","",后台计算!E160)</f>
        <v/>
      </c>
      <c r="W163" s="17" t="str">
        <f>IF(行动模拟!D166="","",后台计算!F160)</f>
        <v/>
      </c>
      <c r="X163" s="17" t="str">
        <f>IF(行动模拟!D166="","",行动模拟!B166)</f>
        <v/>
      </c>
      <c r="Y163" s="17" t="str">
        <f>IF(行动模拟!D166="","",INDEX(回合状态!$B$7:$B$17,MATCH(行动模拟!B166,回合状态!$A$7:$A$17,0)))</f>
        <v/>
      </c>
      <c r="Z163" s="24" t="str">
        <f>IF(ISNUMBER(行动模拟!R166),行动模拟!R166,"")</f>
        <v/>
      </c>
      <c r="AA163" s="17">
        <f>IF(ISNUMBER(行动模拟!R166),1,0)</f>
        <v>0</v>
      </c>
    </row>
    <row r="164" spans="21:27" ht="27" customHeight="1">
      <c r="U164" s="17" t="str">
        <f>IF(行动模拟!D167="","",ROW(行动模拟!D167))</f>
        <v/>
      </c>
      <c r="V164" s="17" t="str">
        <f>IF(行动模拟!D167="","",后台计算!E161)</f>
        <v/>
      </c>
      <c r="W164" s="17" t="str">
        <f>IF(行动模拟!D167="","",后台计算!F161)</f>
        <v/>
      </c>
      <c r="X164" s="17" t="str">
        <f>IF(行动模拟!D167="","",行动模拟!B167)</f>
        <v/>
      </c>
      <c r="Y164" s="17" t="str">
        <f>IF(行动模拟!D167="","",INDEX(回合状态!$B$7:$B$17,MATCH(行动模拟!B167,回合状态!$A$7:$A$17,0)))</f>
        <v/>
      </c>
      <c r="Z164" s="24" t="str">
        <f>IF(ISNUMBER(行动模拟!R167),行动模拟!R167,"")</f>
        <v/>
      </c>
      <c r="AA164" s="17">
        <f>IF(ISNUMBER(行动模拟!R167),1,0)</f>
        <v>0</v>
      </c>
    </row>
    <row r="165" spans="21:27" ht="27" customHeight="1">
      <c r="U165" s="17" t="str">
        <f>IF(行动模拟!D168="","",ROW(行动模拟!D168))</f>
        <v/>
      </c>
      <c r="V165" s="17" t="str">
        <f>IF(行动模拟!D168="","",后台计算!E162)</f>
        <v/>
      </c>
      <c r="W165" s="17" t="str">
        <f>IF(行动模拟!D168="","",后台计算!F162)</f>
        <v/>
      </c>
      <c r="X165" s="17" t="str">
        <f>IF(行动模拟!D168="","",行动模拟!B168)</f>
        <v/>
      </c>
      <c r="Y165" s="17" t="str">
        <f>IF(行动模拟!D168="","",INDEX(回合状态!$B$7:$B$17,MATCH(行动模拟!B168,回合状态!$A$7:$A$17,0)))</f>
        <v/>
      </c>
      <c r="Z165" s="24" t="str">
        <f>IF(ISNUMBER(行动模拟!R168),行动模拟!R168,"")</f>
        <v/>
      </c>
      <c r="AA165" s="17">
        <f>IF(ISNUMBER(行动模拟!R168),1,0)</f>
        <v>0</v>
      </c>
    </row>
    <row r="166" spans="21:27" ht="27" customHeight="1">
      <c r="U166" s="17" t="str">
        <f>IF(行动模拟!D169="","",ROW(行动模拟!D169))</f>
        <v/>
      </c>
      <c r="V166" s="17" t="str">
        <f>IF(行动模拟!D169="","",后台计算!E163)</f>
        <v/>
      </c>
      <c r="W166" s="17" t="str">
        <f>IF(行动模拟!D169="","",后台计算!F163)</f>
        <v/>
      </c>
      <c r="X166" s="17" t="str">
        <f>IF(行动模拟!D169="","",行动模拟!B169)</f>
        <v/>
      </c>
      <c r="Y166" s="17" t="str">
        <f>IF(行动模拟!D169="","",INDEX(回合状态!$B$7:$B$17,MATCH(行动模拟!B169,回合状态!$A$7:$A$17,0)))</f>
        <v/>
      </c>
      <c r="Z166" s="24" t="str">
        <f>IF(ISNUMBER(行动模拟!R169),行动模拟!R169,"")</f>
        <v/>
      </c>
      <c r="AA166" s="17">
        <f>IF(ISNUMBER(行动模拟!R169),1,0)</f>
        <v>0</v>
      </c>
    </row>
    <row r="167" spans="21:27" ht="27" customHeight="1">
      <c r="U167" s="17" t="str">
        <f>IF(行动模拟!D170="","",ROW(行动模拟!D170))</f>
        <v/>
      </c>
      <c r="V167" s="17" t="str">
        <f>IF(行动模拟!D170="","",后台计算!E164)</f>
        <v/>
      </c>
      <c r="W167" s="17" t="str">
        <f>IF(行动模拟!D170="","",后台计算!F164)</f>
        <v/>
      </c>
      <c r="X167" s="17" t="str">
        <f>IF(行动模拟!D170="","",行动模拟!B170)</f>
        <v/>
      </c>
      <c r="Y167" s="17" t="str">
        <f>IF(行动模拟!D170="","",INDEX(回合状态!$B$7:$B$17,MATCH(行动模拟!B170,回合状态!$A$7:$A$17,0)))</f>
        <v/>
      </c>
      <c r="Z167" s="24" t="str">
        <f>IF(ISNUMBER(行动模拟!R170),行动模拟!R170,"")</f>
        <v/>
      </c>
      <c r="AA167" s="17">
        <f>IF(ISNUMBER(行动模拟!R170),1,0)</f>
        <v>0</v>
      </c>
    </row>
    <row r="168" spans="21:27" ht="27" customHeight="1">
      <c r="U168" s="17" t="str">
        <f>IF(行动模拟!D171="","",ROW(行动模拟!D171))</f>
        <v/>
      </c>
      <c r="V168" s="17" t="str">
        <f>IF(行动模拟!D171="","",后台计算!E165)</f>
        <v/>
      </c>
      <c r="W168" s="17" t="str">
        <f>IF(行动模拟!D171="","",后台计算!F165)</f>
        <v/>
      </c>
      <c r="X168" s="17" t="str">
        <f>IF(行动模拟!D171="","",行动模拟!B171)</f>
        <v/>
      </c>
      <c r="Y168" s="17" t="str">
        <f>IF(行动模拟!D171="","",INDEX(回合状态!$B$7:$B$17,MATCH(行动模拟!B171,回合状态!$A$7:$A$17,0)))</f>
        <v/>
      </c>
      <c r="Z168" s="24" t="str">
        <f>IF(ISNUMBER(行动模拟!R171),行动模拟!R171,"")</f>
        <v/>
      </c>
      <c r="AA168" s="17">
        <f>IF(ISNUMBER(行动模拟!R171),1,0)</f>
        <v>0</v>
      </c>
    </row>
    <row r="169" spans="21:27" ht="27" customHeight="1">
      <c r="U169" s="17" t="str">
        <f>IF(行动模拟!D172="","",ROW(行动模拟!D172))</f>
        <v/>
      </c>
      <c r="V169" s="17" t="str">
        <f>IF(行动模拟!D172="","",后台计算!E166)</f>
        <v/>
      </c>
      <c r="W169" s="17" t="str">
        <f>IF(行动模拟!D172="","",后台计算!F166)</f>
        <v/>
      </c>
      <c r="X169" s="17" t="str">
        <f>IF(行动模拟!D172="","",行动模拟!B172)</f>
        <v/>
      </c>
      <c r="Y169" s="17" t="str">
        <f>IF(行动模拟!D172="","",INDEX(回合状态!$B$7:$B$17,MATCH(行动模拟!B172,回合状态!$A$7:$A$17,0)))</f>
        <v/>
      </c>
      <c r="Z169" s="24" t="str">
        <f>IF(ISNUMBER(行动模拟!R172),行动模拟!R172,"")</f>
        <v/>
      </c>
      <c r="AA169" s="17">
        <f>IF(ISNUMBER(行动模拟!R172),1,0)</f>
        <v>0</v>
      </c>
    </row>
    <row r="170" spans="21:27" ht="27" customHeight="1">
      <c r="U170" s="17" t="str">
        <f>IF(行动模拟!D173="","",ROW(行动模拟!D173))</f>
        <v/>
      </c>
      <c r="V170" s="17" t="str">
        <f>IF(行动模拟!D173="","",后台计算!E167)</f>
        <v/>
      </c>
      <c r="W170" s="17" t="str">
        <f>IF(行动模拟!D173="","",后台计算!F167)</f>
        <v/>
      </c>
      <c r="X170" s="17" t="str">
        <f>IF(行动模拟!D173="","",行动模拟!B173)</f>
        <v/>
      </c>
      <c r="Y170" s="17" t="str">
        <f>IF(行动模拟!D173="","",INDEX(回合状态!$B$7:$B$17,MATCH(行动模拟!B173,回合状态!$A$7:$A$17,0)))</f>
        <v/>
      </c>
      <c r="Z170" s="24" t="str">
        <f>IF(ISNUMBER(行动模拟!R173),行动模拟!R173,"")</f>
        <v/>
      </c>
      <c r="AA170" s="17">
        <f>IF(ISNUMBER(行动模拟!R173),1,0)</f>
        <v>0</v>
      </c>
    </row>
    <row r="171" spans="21:27" ht="27" customHeight="1">
      <c r="U171" s="17" t="str">
        <f>IF(行动模拟!D174="","",ROW(行动模拟!D174))</f>
        <v/>
      </c>
      <c r="V171" s="17" t="str">
        <f>IF(行动模拟!D174="","",后台计算!E168)</f>
        <v/>
      </c>
      <c r="W171" s="17" t="str">
        <f>IF(行动模拟!D174="","",后台计算!F168)</f>
        <v/>
      </c>
      <c r="X171" s="17" t="str">
        <f>IF(行动模拟!D174="","",行动模拟!B174)</f>
        <v/>
      </c>
      <c r="Y171" s="17" t="str">
        <f>IF(行动模拟!D174="","",INDEX(回合状态!$B$7:$B$17,MATCH(行动模拟!B174,回合状态!$A$7:$A$17,0)))</f>
        <v/>
      </c>
      <c r="Z171" s="24" t="str">
        <f>IF(ISNUMBER(行动模拟!R174),行动模拟!R174,"")</f>
        <v/>
      </c>
      <c r="AA171" s="17">
        <f>IF(ISNUMBER(行动模拟!R174),1,0)</f>
        <v>0</v>
      </c>
    </row>
    <row r="172" spans="21:27" ht="27" customHeight="1">
      <c r="U172" s="17" t="str">
        <f>IF(行动模拟!D175="","",ROW(行动模拟!D175))</f>
        <v/>
      </c>
      <c r="V172" s="17" t="str">
        <f>IF(行动模拟!D175="","",后台计算!E169)</f>
        <v/>
      </c>
      <c r="W172" s="17" t="str">
        <f>IF(行动模拟!D175="","",后台计算!F169)</f>
        <v/>
      </c>
      <c r="X172" s="17" t="str">
        <f>IF(行动模拟!D175="","",行动模拟!B175)</f>
        <v/>
      </c>
      <c r="Y172" s="17" t="str">
        <f>IF(行动模拟!D175="","",INDEX(回合状态!$B$7:$B$17,MATCH(行动模拟!B175,回合状态!$A$7:$A$17,0)))</f>
        <v/>
      </c>
      <c r="Z172" s="24" t="str">
        <f>IF(ISNUMBER(行动模拟!R175),行动模拟!R175,"")</f>
        <v/>
      </c>
      <c r="AA172" s="17">
        <f>IF(ISNUMBER(行动模拟!R175),1,0)</f>
        <v>0</v>
      </c>
    </row>
    <row r="173" spans="21:27" ht="27" customHeight="1">
      <c r="U173" s="17" t="str">
        <f>IF(行动模拟!D176="","",ROW(行动模拟!D176))</f>
        <v/>
      </c>
      <c r="V173" s="17" t="str">
        <f>IF(行动模拟!D176="","",后台计算!E170)</f>
        <v/>
      </c>
      <c r="W173" s="17" t="str">
        <f>IF(行动模拟!D176="","",后台计算!F170)</f>
        <v/>
      </c>
      <c r="X173" s="17" t="str">
        <f>IF(行动模拟!D176="","",行动模拟!B176)</f>
        <v/>
      </c>
      <c r="Y173" s="17" t="str">
        <f>IF(行动模拟!D176="","",INDEX(回合状态!$B$7:$B$17,MATCH(行动模拟!B176,回合状态!$A$7:$A$17,0)))</f>
        <v/>
      </c>
      <c r="Z173" s="24" t="str">
        <f>IF(ISNUMBER(行动模拟!R176),行动模拟!R176,"")</f>
        <v/>
      </c>
      <c r="AA173" s="17">
        <f>IF(ISNUMBER(行动模拟!R176),1,0)</f>
        <v>0</v>
      </c>
    </row>
    <row r="174" spans="21:27" ht="27" customHeight="1">
      <c r="U174" s="17" t="str">
        <f>IF(行动模拟!D177="","",ROW(行动模拟!D177))</f>
        <v/>
      </c>
      <c r="V174" s="17" t="str">
        <f>IF(行动模拟!D177="","",后台计算!E171)</f>
        <v/>
      </c>
      <c r="W174" s="17" t="str">
        <f>IF(行动模拟!D177="","",后台计算!F171)</f>
        <v/>
      </c>
      <c r="X174" s="17" t="str">
        <f>IF(行动模拟!D177="","",行动模拟!B177)</f>
        <v/>
      </c>
      <c r="Y174" s="17" t="str">
        <f>IF(行动模拟!D177="","",INDEX(回合状态!$B$7:$B$17,MATCH(行动模拟!B177,回合状态!$A$7:$A$17,0)))</f>
        <v/>
      </c>
      <c r="Z174" s="24" t="str">
        <f>IF(ISNUMBER(行动模拟!R177),行动模拟!R177,"")</f>
        <v/>
      </c>
      <c r="AA174" s="17">
        <f>IF(ISNUMBER(行动模拟!R177),1,0)</f>
        <v>0</v>
      </c>
    </row>
    <row r="175" spans="21:27" ht="27" customHeight="1">
      <c r="U175" s="17" t="str">
        <f>IF(行动模拟!D178="","",ROW(行动模拟!D178))</f>
        <v/>
      </c>
      <c r="V175" s="17" t="str">
        <f>IF(行动模拟!D178="","",后台计算!E172)</f>
        <v/>
      </c>
      <c r="W175" s="17" t="str">
        <f>IF(行动模拟!D178="","",后台计算!F172)</f>
        <v/>
      </c>
      <c r="X175" s="17" t="str">
        <f>IF(行动模拟!D178="","",行动模拟!B178)</f>
        <v/>
      </c>
      <c r="Y175" s="17" t="str">
        <f>IF(行动模拟!D178="","",INDEX(回合状态!$B$7:$B$17,MATCH(行动模拟!B178,回合状态!$A$7:$A$17,0)))</f>
        <v/>
      </c>
      <c r="Z175" s="24" t="str">
        <f>IF(ISNUMBER(行动模拟!R178),行动模拟!R178,"")</f>
        <v/>
      </c>
      <c r="AA175" s="17">
        <f>IF(ISNUMBER(行动模拟!R178),1,0)</f>
        <v>0</v>
      </c>
    </row>
    <row r="176" spans="21:27" ht="27" customHeight="1">
      <c r="U176" s="17" t="str">
        <f>IF(行动模拟!D179="","",ROW(行动模拟!D179))</f>
        <v/>
      </c>
      <c r="V176" s="17" t="str">
        <f>IF(行动模拟!D179="","",后台计算!E173)</f>
        <v/>
      </c>
      <c r="W176" s="17" t="str">
        <f>IF(行动模拟!D179="","",后台计算!F173)</f>
        <v/>
      </c>
      <c r="X176" s="17" t="str">
        <f>IF(行动模拟!D179="","",行动模拟!B179)</f>
        <v/>
      </c>
      <c r="Y176" s="17" t="str">
        <f>IF(行动模拟!D179="","",INDEX(回合状态!$B$7:$B$17,MATCH(行动模拟!B179,回合状态!$A$7:$A$17,0)))</f>
        <v/>
      </c>
      <c r="Z176" s="24" t="str">
        <f>IF(ISNUMBER(行动模拟!R179),行动模拟!R179,"")</f>
        <v/>
      </c>
      <c r="AA176" s="17">
        <f>IF(ISNUMBER(行动模拟!R179),1,0)</f>
        <v>0</v>
      </c>
    </row>
    <row r="177" spans="21:27" ht="27" customHeight="1">
      <c r="U177" s="17" t="str">
        <f>IF(行动模拟!D180="","",ROW(行动模拟!D180))</f>
        <v/>
      </c>
      <c r="V177" s="17" t="str">
        <f>IF(行动模拟!D180="","",后台计算!E174)</f>
        <v/>
      </c>
      <c r="W177" s="17" t="str">
        <f>IF(行动模拟!D180="","",后台计算!F174)</f>
        <v/>
      </c>
      <c r="X177" s="17" t="str">
        <f>IF(行动模拟!D180="","",行动模拟!B180)</f>
        <v/>
      </c>
      <c r="Y177" s="17" t="str">
        <f>IF(行动模拟!D180="","",INDEX(回合状态!$B$7:$B$17,MATCH(行动模拟!B180,回合状态!$A$7:$A$17,0)))</f>
        <v/>
      </c>
      <c r="Z177" s="24" t="str">
        <f>IF(ISNUMBER(行动模拟!R180),行动模拟!R180,"")</f>
        <v/>
      </c>
      <c r="AA177" s="17">
        <f>IF(ISNUMBER(行动模拟!R180),1,0)</f>
        <v>0</v>
      </c>
    </row>
    <row r="178" spans="21:27" ht="27" customHeight="1">
      <c r="U178" s="17" t="str">
        <f>IF(行动模拟!D181="","",ROW(行动模拟!D181))</f>
        <v/>
      </c>
      <c r="V178" s="17" t="str">
        <f>IF(行动模拟!D181="","",后台计算!E175)</f>
        <v/>
      </c>
      <c r="W178" s="17" t="str">
        <f>IF(行动模拟!D181="","",后台计算!F175)</f>
        <v/>
      </c>
      <c r="X178" s="17" t="str">
        <f>IF(行动模拟!D181="","",行动模拟!B181)</f>
        <v/>
      </c>
      <c r="Y178" s="17" t="str">
        <f>IF(行动模拟!D181="","",INDEX(回合状态!$B$7:$B$17,MATCH(行动模拟!B181,回合状态!$A$7:$A$17,0)))</f>
        <v/>
      </c>
      <c r="Z178" s="24" t="str">
        <f>IF(ISNUMBER(行动模拟!R181),行动模拟!R181,"")</f>
        <v/>
      </c>
      <c r="AA178" s="17">
        <f>IF(ISNUMBER(行动模拟!R181),1,0)</f>
        <v>0</v>
      </c>
    </row>
    <row r="179" spans="21:27" ht="27" customHeight="1">
      <c r="U179" s="17" t="str">
        <f>IF(行动模拟!D182="","",ROW(行动模拟!D182))</f>
        <v/>
      </c>
      <c r="V179" s="17" t="str">
        <f>IF(行动模拟!D182="","",后台计算!E176)</f>
        <v/>
      </c>
      <c r="W179" s="17" t="str">
        <f>IF(行动模拟!D182="","",后台计算!F176)</f>
        <v/>
      </c>
      <c r="X179" s="17" t="str">
        <f>IF(行动模拟!D182="","",行动模拟!B182)</f>
        <v/>
      </c>
      <c r="Y179" s="17" t="str">
        <f>IF(行动模拟!D182="","",INDEX(回合状态!$B$7:$B$17,MATCH(行动模拟!B182,回合状态!$A$7:$A$17,0)))</f>
        <v/>
      </c>
      <c r="Z179" s="24" t="str">
        <f>IF(ISNUMBER(行动模拟!R182),行动模拟!R182,"")</f>
        <v/>
      </c>
      <c r="AA179" s="17">
        <f>IF(ISNUMBER(行动模拟!R182),1,0)</f>
        <v>0</v>
      </c>
    </row>
    <row r="180" spans="21:27" ht="27" customHeight="1">
      <c r="U180" s="17" t="str">
        <f>IF(行动模拟!D183="","",ROW(行动模拟!D183))</f>
        <v/>
      </c>
      <c r="V180" s="17" t="str">
        <f>IF(行动模拟!D183="","",后台计算!E177)</f>
        <v/>
      </c>
      <c r="W180" s="17" t="str">
        <f>IF(行动模拟!D183="","",后台计算!F177)</f>
        <v/>
      </c>
      <c r="X180" s="17" t="str">
        <f>IF(行动模拟!D183="","",行动模拟!B183)</f>
        <v/>
      </c>
      <c r="Y180" s="17" t="str">
        <f>IF(行动模拟!D183="","",INDEX(回合状态!$B$7:$B$17,MATCH(行动模拟!B183,回合状态!$A$7:$A$17,0)))</f>
        <v/>
      </c>
      <c r="Z180" s="24" t="str">
        <f>IF(ISNUMBER(行动模拟!R183),行动模拟!R183,"")</f>
        <v/>
      </c>
      <c r="AA180" s="17">
        <f>IF(ISNUMBER(行动模拟!R183),1,0)</f>
        <v>0</v>
      </c>
    </row>
    <row r="181" spans="21:27" ht="27" customHeight="1">
      <c r="U181" s="17" t="str">
        <f>IF(行动模拟!D184="","",ROW(行动模拟!D184))</f>
        <v/>
      </c>
      <c r="V181" s="17" t="str">
        <f>IF(行动模拟!D184="","",后台计算!E178)</f>
        <v/>
      </c>
      <c r="W181" s="17" t="str">
        <f>IF(行动模拟!D184="","",后台计算!F178)</f>
        <v/>
      </c>
      <c r="X181" s="17" t="str">
        <f>IF(行动模拟!D184="","",行动模拟!B184)</f>
        <v/>
      </c>
      <c r="Y181" s="17" t="str">
        <f>IF(行动模拟!D184="","",INDEX(回合状态!$B$7:$B$17,MATCH(行动模拟!B184,回合状态!$A$7:$A$17,0)))</f>
        <v/>
      </c>
      <c r="Z181" s="24" t="str">
        <f>IF(ISNUMBER(行动模拟!R184),行动模拟!R184,"")</f>
        <v/>
      </c>
      <c r="AA181" s="17">
        <f>IF(ISNUMBER(行动模拟!R184),1,0)</f>
        <v>0</v>
      </c>
    </row>
    <row r="182" spans="21:27" ht="27" customHeight="1">
      <c r="U182" s="17" t="str">
        <f>IF(行动模拟!D185="","",ROW(行动模拟!D185))</f>
        <v/>
      </c>
      <c r="V182" s="17" t="str">
        <f>IF(行动模拟!D185="","",后台计算!E179)</f>
        <v/>
      </c>
      <c r="W182" s="17" t="str">
        <f>IF(行动模拟!D185="","",后台计算!F179)</f>
        <v/>
      </c>
      <c r="X182" s="17" t="str">
        <f>IF(行动模拟!D185="","",行动模拟!B185)</f>
        <v/>
      </c>
      <c r="Y182" s="17" t="str">
        <f>IF(行动模拟!D185="","",INDEX(回合状态!$B$7:$B$17,MATCH(行动模拟!B185,回合状态!$A$7:$A$17,0)))</f>
        <v/>
      </c>
      <c r="Z182" s="24" t="str">
        <f>IF(ISNUMBER(行动模拟!R185),行动模拟!R185,"")</f>
        <v/>
      </c>
      <c r="AA182" s="17">
        <f>IF(ISNUMBER(行动模拟!R185),1,0)</f>
        <v>0</v>
      </c>
    </row>
    <row r="183" spans="21:27" ht="27" customHeight="1">
      <c r="U183" s="17" t="str">
        <f>IF(行动模拟!D186="","",ROW(行动模拟!D186))</f>
        <v/>
      </c>
      <c r="V183" s="17" t="str">
        <f>IF(行动模拟!D186="","",后台计算!E180)</f>
        <v/>
      </c>
      <c r="W183" s="17" t="str">
        <f>IF(行动模拟!D186="","",后台计算!F180)</f>
        <v/>
      </c>
      <c r="X183" s="17" t="str">
        <f>IF(行动模拟!D186="","",行动模拟!B186)</f>
        <v/>
      </c>
      <c r="Y183" s="17" t="str">
        <f>IF(行动模拟!D186="","",INDEX(回合状态!$B$7:$B$17,MATCH(行动模拟!B186,回合状态!$A$7:$A$17,0)))</f>
        <v/>
      </c>
      <c r="Z183" s="24" t="str">
        <f>IF(ISNUMBER(行动模拟!R186),行动模拟!R186,"")</f>
        <v/>
      </c>
      <c r="AA183" s="17">
        <f>IF(ISNUMBER(行动模拟!R186),1,0)</f>
        <v>0</v>
      </c>
    </row>
    <row r="184" spans="21:27" ht="27" customHeight="1">
      <c r="U184" s="17" t="str">
        <f>IF(行动模拟!D187="","",ROW(行动模拟!D187))</f>
        <v/>
      </c>
      <c r="V184" s="17" t="str">
        <f>IF(行动模拟!D187="","",后台计算!E181)</f>
        <v/>
      </c>
      <c r="W184" s="17" t="str">
        <f>IF(行动模拟!D187="","",后台计算!F181)</f>
        <v/>
      </c>
      <c r="X184" s="17" t="str">
        <f>IF(行动模拟!D187="","",行动模拟!B187)</f>
        <v/>
      </c>
      <c r="Y184" s="17" t="str">
        <f>IF(行动模拟!D187="","",INDEX(回合状态!$B$7:$B$17,MATCH(行动模拟!B187,回合状态!$A$7:$A$17,0)))</f>
        <v/>
      </c>
      <c r="Z184" s="24" t="str">
        <f>IF(ISNUMBER(行动模拟!R187),行动模拟!R187,"")</f>
        <v/>
      </c>
      <c r="AA184" s="17">
        <f>IF(ISNUMBER(行动模拟!R187),1,0)</f>
        <v>0</v>
      </c>
    </row>
    <row r="185" spans="21:27" ht="27" customHeight="1">
      <c r="U185" s="17" t="str">
        <f>IF(行动模拟!D188="","",ROW(行动模拟!D188))</f>
        <v/>
      </c>
      <c r="V185" s="17" t="str">
        <f>IF(行动模拟!D188="","",后台计算!E182)</f>
        <v/>
      </c>
      <c r="W185" s="17" t="str">
        <f>IF(行动模拟!D188="","",后台计算!F182)</f>
        <v/>
      </c>
      <c r="X185" s="17" t="str">
        <f>IF(行动模拟!D188="","",行动模拟!B188)</f>
        <v/>
      </c>
      <c r="Y185" s="17" t="str">
        <f>IF(行动模拟!D188="","",INDEX(回合状态!$B$7:$B$17,MATCH(行动模拟!B188,回合状态!$A$7:$A$17,0)))</f>
        <v/>
      </c>
      <c r="Z185" s="24" t="str">
        <f>IF(ISNUMBER(行动模拟!R188),行动模拟!R188,"")</f>
        <v/>
      </c>
      <c r="AA185" s="17">
        <f>IF(ISNUMBER(行动模拟!R188),1,0)</f>
        <v>0</v>
      </c>
    </row>
    <row r="186" spans="21:27" ht="27" customHeight="1">
      <c r="U186" s="17" t="str">
        <f>IF(行动模拟!D189="","",ROW(行动模拟!D189))</f>
        <v/>
      </c>
      <c r="V186" s="17" t="str">
        <f>IF(行动模拟!D189="","",后台计算!E183)</f>
        <v/>
      </c>
      <c r="W186" s="17" t="str">
        <f>IF(行动模拟!D189="","",后台计算!F183)</f>
        <v/>
      </c>
      <c r="X186" s="17" t="str">
        <f>IF(行动模拟!D189="","",行动模拟!B189)</f>
        <v/>
      </c>
      <c r="Y186" s="17" t="str">
        <f>IF(行动模拟!D189="","",INDEX(回合状态!$B$7:$B$17,MATCH(行动模拟!B189,回合状态!$A$7:$A$17,0)))</f>
        <v/>
      </c>
      <c r="Z186" s="24" t="str">
        <f>IF(ISNUMBER(行动模拟!R189),行动模拟!R189,"")</f>
        <v/>
      </c>
      <c r="AA186" s="17">
        <f>IF(ISNUMBER(行动模拟!R189),1,0)</f>
        <v>0</v>
      </c>
    </row>
    <row r="187" spans="21:27" ht="27" customHeight="1">
      <c r="U187" s="17" t="str">
        <f>IF(行动模拟!D190="","",ROW(行动模拟!D190))</f>
        <v/>
      </c>
      <c r="V187" s="17" t="str">
        <f>IF(行动模拟!D190="","",后台计算!E184)</f>
        <v/>
      </c>
      <c r="W187" s="17" t="str">
        <f>IF(行动模拟!D190="","",后台计算!F184)</f>
        <v/>
      </c>
      <c r="X187" s="17" t="str">
        <f>IF(行动模拟!D190="","",行动模拟!B190)</f>
        <v/>
      </c>
      <c r="Y187" s="17" t="str">
        <f>IF(行动模拟!D190="","",INDEX(回合状态!$B$7:$B$17,MATCH(行动模拟!B190,回合状态!$A$7:$A$17,0)))</f>
        <v/>
      </c>
      <c r="Z187" s="24" t="str">
        <f>IF(ISNUMBER(行动模拟!R190),行动模拟!R190,"")</f>
        <v/>
      </c>
      <c r="AA187" s="17">
        <f>IF(ISNUMBER(行动模拟!R190),1,0)</f>
        <v>0</v>
      </c>
    </row>
    <row r="188" spans="21:27" ht="27" customHeight="1">
      <c r="U188" s="17" t="str">
        <f>IF(行动模拟!D191="","",ROW(行动模拟!D191))</f>
        <v/>
      </c>
      <c r="V188" s="17" t="str">
        <f>IF(行动模拟!D191="","",后台计算!E185)</f>
        <v/>
      </c>
      <c r="W188" s="17" t="str">
        <f>IF(行动模拟!D191="","",后台计算!F185)</f>
        <v/>
      </c>
      <c r="X188" s="17" t="str">
        <f>IF(行动模拟!D191="","",行动模拟!B191)</f>
        <v/>
      </c>
      <c r="Y188" s="17" t="str">
        <f>IF(行动模拟!D191="","",INDEX(回合状态!$B$7:$B$17,MATCH(行动模拟!B191,回合状态!$A$7:$A$17,0)))</f>
        <v/>
      </c>
      <c r="Z188" s="24" t="str">
        <f>IF(ISNUMBER(行动模拟!R191),行动模拟!R191,"")</f>
        <v/>
      </c>
      <c r="AA188" s="17">
        <f>IF(ISNUMBER(行动模拟!R191),1,0)</f>
        <v>0</v>
      </c>
    </row>
    <row r="189" spans="21:27" ht="27" customHeight="1">
      <c r="U189" s="17" t="str">
        <f>IF(行动模拟!D192="","",ROW(行动模拟!D192))</f>
        <v/>
      </c>
      <c r="V189" s="17" t="str">
        <f>IF(行动模拟!D192="","",后台计算!E186)</f>
        <v/>
      </c>
      <c r="W189" s="17" t="str">
        <f>IF(行动模拟!D192="","",后台计算!F186)</f>
        <v/>
      </c>
      <c r="X189" s="17" t="str">
        <f>IF(行动模拟!D192="","",行动模拟!B192)</f>
        <v/>
      </c>
      <c r="Y189" s="17" t="str">
        <f>IF(行动模拟!D192="","",INDEX(回合状态!$B$7:$B$17,MATCH(行动模拟!B192,回合状态!$A$7:$A$17,0)))</f>
        <v/>
      </c>
      <c r="Z189" s="24" t="str">
        <f>IF(ISNUMBER(行动模拟!R192),行动模拟!R192,"")</f>
        <v/>
      </c>
      <c r="AA189" s="17">
        <f>IF(ISNUMBER(行动模拟!R192),1,0)</f>
        <v>0</v>
      </c>
    </row>
    <row r="190" spans="21:27" ht="27" customHeight="1">
      <c r="U190" s="17" t="str">
        <f>IF(行动模拟!D193="","",ROW(行动模拟!D193))</f>
        <v/>
      </c>
      <c r="V190" s="17" t="str">
        <f>IF(行动模拟!D193="","",后台计算!E187)</f>
        <v/>
      </c>
      <c r="W190" s="17" t="str">
        <f>IF(行动模拟!D193="","",后台计算!F187)</f>
        <v/>
      </c>
      <c r="X190" s="17" t="str">
        <f>IF(行动模拟!D193="","",行动模拟!B193)</f>
        <v/>
      </c>
      <c r="Y190" s="17" t="str">
        <f>IF(行动模拟!D193="","",INDEX(回合状态!$B$7:$B$17,MATCH(行动模拟!B193,回合状态!$A$7:$A$17,0)))</f>
        <v/>
      </c>
      <c r="Z190" s="24" t="str">
        <f>IF(ISNUMBER(行动模拟!R193),行动模拟!R193,"")</f>
        <v/>
      </c>
      <c r="AA190" s="17">
        <f>IF(ISNUMBER(行动模拟!R193),1,0)</f>
        <v>0</v>
      </c>
    </row>
    <row r="191" spans="21:27" ht="27" customHeight="1">
      <c r="U191" s="17" t="str">
        <f>IF(行动模拟!D194="","",ROW(行动模拟!D194))</f>
        <v/>
      </c>
      <c r="V191" s="17" t="str">
        <f>IF(行动模拟!D194="","",后台计算!E188)</f>
        <v/>
      </c>
      <c r="W191" s="17" t="str">
        <f>IF(行动模拟!D194="","",后台计算!F188)</f>
        <v/>
      </c>
      <c r="X191" s="17" t="str">
        <f>IF(行动模拟!D194="","",行动模拟!B194)</f>
        <v/>
      </c>
      <c r="Y191" s="17" t="str">
        <f>IF(行动模拟!D194="","",INDEX(回合状态!$B$7:$B$17,MATCH(行动模拟!B194,回合状态!$A$7:$A$17,0)))</f>
        <v/>
      </c>
      <c r="Z191" s="24" t="str">
        <f>IF(ISNUMBER(行动模拟!R194),行动模拟!R194,"")</f>
        <v/>
      </c>
      <c r="AA191" s="17">
        <f>IF(ISNUMBER(行动模拟!R194),1,0)</f>
        <v>0</v>
      </c>
    </row>
    <row r="192" spans="21:27" ht="27" customHeight="1">
      <c r="U192" s="17" t="str">
        <f>IF(行动模拟!D195="","",ROW(行动模拟!D195))</f>
        <v/>
      </c>
      <c r="V192" s="17" t="str">
        <f>IF(行动模拟!D195="","",后台计算!E189)</f>
        <v/>
      </c>
      <c r="W192" s="17" t="str">
        <f>IF(行动模拟!D195="","",后台计算!F189)</f>
        <v/>
      </c>
      <c r="X192" s="17" t="str">
        <f>IF(行动模拟!D195="","",行动模拟!B195)</f>
        <v/>
      </c>
      <c r="Y192" s="17" t="str">
        <f>IF(行动模拟!D195="","",INDEX(回合状态!$B$7:$B$17,MATCH(行动模拟!B195,回合状态!$A$7:$A$17,0)))</f>
        <v/>
      </c>
      <c r="Z192" s="24" t="str">
        <f>IF(ISNUMBER(行动模拟!R195),行动模拟!R195,"")</f>
        <v/>
      </c>
      <c r="AA192" s="17">
        <f>IF(ISNUMBER(行动模拟!R195),1,0)</f>
        <v>0</v>
      </c>
    </row>
    <row r="193" spans="21:27" ht="27" customHeight="1">
      <c r="U193" s="17" t="str">
        <f>IF(行动模拟!D196="","",ROW(行动模拟!D196))</f>
        <v/>
      </c>
      <c r="V193" s="17" t="str">
        <f>IF(行动模拟!D196="","",后台计算!E190)</f>
        <v/>
      </c>
      <c r="W193" s="17" t="str">
        <f>IF(行动模拟!D196="","",后台计算!F190)</f>
        <v/>
      </c>
      <c r="X193" s="17" t="str">
        <f>IF(行动模拟!D196="","",行动模拟!B196)</f>
        <v/>
      </c>
      <c r="Y193" s="17" t="str">
        <f>IF(行动模拟!D196="","",INDEX(回合状态!$B$7:$B$17,MATCH(行动模拟!B196,回合状态!$A$7:$A$17,0)))</f>
        <v/>
      </c>
      <c r="Z193" s="24" t="str">
        <f>IF(ISNUMBER(行动模拟!R196),行动模拟!R196,"")</f>
        <v/>
      </c>
      <c r="AA193" s="17">
        <f>IF(ISNUMBER(行动模拟!R196),1,0)</f>
        <v>0</v>
      </c>
    </row>
    <row r="194" spans="21:27" ht="27" customHeight="1">
      <c r="U194" s="17" t="str">
        <f>IF(行动模拟!D197="","",ROW(行动模拟!D197))</f>
        <v/>
      </c>
      <c r="V194" s="17" t="str">
        <f>IF(行动模拟!D197="","",后台计算!E191)</f>
        <v/>
      </c>
      <c r="W194" s="17" t="str">
        <f>IF(行动模拟!D197="","",后台计算!F191)</f>
        <v/>
      </c>
      <c r="X194" s="17" t="str">
        <f>IF(行动模拟!D197="","",行动模拟!B197)</f>
        <v/>
      </c>
      <c r="Y194" s="17" t="str">
        <f>IF(行动模拟!D197="","",INDEX(回合状态!$B$7:$B$17,MATCH(行动模拟!B197,回合状态!$A$7:$A$17,0)))</f>
        <v/>
      </c>
      <c r="Z194" s="24" t="str">
        <f>IF(ISNUMBER(行动模拟!R197),行动模拟!R197,"")</f>
        <v/>
      </c>
      <c r="AA194" s="17">
        <f>IF(ISNUMBER(行动模拟!R197),1,0)</f>
        <v>0</v>
      </c>
    </row>
    <row r="195" spans="21:27" ht="27" customHeight="1">
      <c r="U195" s="17" t="str">
        <f>IF(行动模拟!D198="","",ROW(行动模拟!D198))</f>
        <v/>
      </c>
      <c r="V195" s="17" t="str">
        <f>IF(行动模拟!D198="","",后台计算!E192)</f>
        <v/>
      </c>
      <c r="W195" s="17" t="str">
        <f>IF(行动模拟!D198="","",后台计算!F192)</f>
        <v/>
      </c>
      <c r="X195" s="17" t="str">
        <f>IF(行动模拟!D198="","",行动模拟!B198)</f>
        <v/>
      </c>
      <c r="Y195" s="17" t="str">
        <f>IF(行动模拟!D198="","",INDEX(回合状态!$B$7:$B$17,MATCH(行动模拟!B198,回合状态!$A$7:$A$17,0)))</f>
        <v/>
      </c>
      <c r="Z195" s="24" t="str">
        <f>IF(ISNUMBER(行动模拟!R198),行动模拟!R198,"")</f>
        <v/>
      </c>
      <c r="AA195" s="17">
        <f>IF(ISNUMBER(行动模拟!R198),1,0)</f>
        <v>0</v>
      </c>
    </row>
    <row r="196" spans="21:27" ht="27" customHeight="1">
      <c r="U196" s="17" t="str">
        <f>IF(行动模拟!D199="","",ROW(行动模拟!D199))</f>
        <v/>
      </c>
      <c r="V196" s="17" t="str">
        <f>IF(行动模拟!D199="","",后台计算!E193)</f>
        <v/>
      </c>
      <c r="W196" s="17" t="str">
        <f>IF(行动模拟!D199="","",后台计算!F193)</f>
        <v/>
      </c>
      <c r="X196" s="17" t="str">
        <f>IF(行动模拟!D199="","",行动模拟!B199)</f>
        <v/>
      </c>
      <c r="Y196" s="17" t="str">
        <f>IF(行动模拟!D199="","",INDEX(回合状态!$B$7:$B$17,MATCH(行动模拟!B199,回合状态!$A$7:$A$17,0)))</f>
        <v/>
      </c>
      <c r="Z196" s="24" t="str">
        <f>IF(ISNUMBER(行动模拟!R199),行动模拟!R199,"")</f>
        <v/>
      </c>
      <c r="AA196" s="17">
        <f>IF(ISNUMBER(行动模拟!R199),1,0)</f>
        <v>0</v>
      </c>
    </row>
    <row r="197" spans="21:27" ht="27" customHeight="1">
      <c r="U197" s="17" t="str">
        <f>IF(行动模拟!D200="","",ROW(行动模拟!D200))</f>
        <v/>
      </c>
      <c r="V197" s="17" t="str">
        <f>IF(行动模拟!D200="","",后台计算!E194)</f>
        <v/>
      </c>
      <c r="W197" s="17" t="str">
        <f>IF(行动模拟!D200="","",后台计算!F194)</f>
        <v/>
      </c>
      <c r="X197" s="17" t="str">
        <f>IF(行动模拟!D200="","",行动模拟!B200)</f>
        <v/>
      </c>
      <c r="Y197" s="17" t="str">
        <f>IF(行动模拟!D200="","",INDEX(回合状态!$B$7:$B$17,MATCH(行动模拟!B200,回合状态!$A$7:$A$17,0)))</f>
        <v/>
      </c>
      <c r="Z197" s="24" t="str">
        <f>IF(ISNUMBER(行动模拟!R200),行动模拟!R200,"")</f>
        <v/>
      </c>
      <c r="AA197" s="17">
        <f>IF(ISNUMBER(行动模拟!R200),1,0)</f>
        <v>0</v>
      </c>
    </row>
    <row r="198" spans="21:27" ht="27" customHeight="1">
      <c r="U198" s="17" t="str">
        <f>IF(行动模拟!D201="","",ROW(行动模拟!D201))</f>
        <v/>
      </c>
      <c r="V198" s="17" t="str">
        <f>IF(行动模拟!D201="","",后台计算!E195)</f>
        <v/>
      </c>
      <c r="W198" s="17" t="str">
        <f>IF(行动模拟!D201="","",后台计算!F195)</f>
        <v/>
      </c>
      <c r="X198" s="17" t="str">
        <f>IF(行动模拟!D201="","",行动模拟!B201)</f>
        <v/>
      </c>
      <c r="Y198" s="17" t="str">
        <f>IF(行动模拟!D201="","",INDEX(回合状态!$B$7:$B$17,MATCH(行动模拟!B201,回合状态!$A$7:$A$17,0)))</f>
        <v/>
      </c>
      <c r="Z198" s="24" t="str">
        <f>IF(ISNUMBER(行动模拟!R201),行动模拟!R201,"")</f>
        <v/>
      </c>
      <c r="AA198" s="17">
        <f>IF(ISNUMBER(行动模拟!R201),1,0)</f>
        <v>0</v>
      </c>
    </row>
    <row r="199" spans="21:27" ht="27" customHeight="1">
      <c r="U199" s="17" t="str">
        <f>IF(行动模拟!D202="","",ROW(行动模拟!D202))</f>
        <v/>
      </c>
      <c r="V199" s="17" t="str">
        <f>IF(行动模拟!D202="","",后台计算!E196)</f>
        <v/>
      </c>
      <c r="W199" s="17" t="str">
        <f>IF(行动模拟!D202="","",后台计算!F196)</f>
        <v/>
      </c>
      <c r="X199" s="17" t="str">
        <f>IF(行动模拟!D202="","",行动模拟!B202)</f>
        <v/>
      </c>
      <c r="Y199" s="17" t="str">
        <f>IF(行动模拟!D202="","",INDEX(回合状态!$B$7:$B$17,MATCH(行动模拟!B202,回合状态!$A$7:$A$17,0)))</f>
        <v/>
      </c>
      <c r="Z199" s="24" t="str">
        <f>IF(ISNUMBER(行动模拟!R202),行动模拟!R202,"")</f>
        <v/>
      </c>
      <c r="AA199" s="17">
        <f>IF(ISNUMBER(行动模拟!R202),1,0)</f>
        <v>0</v>
      </c>
    </row>
    <row r="200" spans="21:27" ht="27" customHeight="1">
      <c r="U200" s="17" t="str">
        <f>IF(行动模拟!D203="","",ROW(行动模拟!D203))</f>
        <v/>
      </c>
      <c r="V200" s="17" t="str">
        <f>IF(行动模拟!D203="","",后台计算!E197)</f>
        <v/>
      </c>
      <c r="W200" s="17" t="str">
        <f>IF(行动模拟!D203="","",后台计算!F197)</f>
        <v/>
      </c>
      <c r="X200" s="17" t="str">
        <f>IF(行动模拟!D203="","",行动模拟!B203)</f>
        <v/>
      </c>
      <c r="Y200" s="17" t="str">
        <f>IF(行动模拟!D203="","",INDEX(回合状态!$B$7:$B$17,MATCH(行动模拟!B203,回合状态!$A$7:$A$17,0)))</f>
        <v/>
      </c>
      <c r="Z200" s="24" t="str">
        <f>IF(ISNUMBER(行动模拟!R203),行动模拟!R203,"")</f>
        <v/>
      </c>
      <c r="AA200" s="17">
        <f>IF(ISNUMBER(行动模拟!R203),1,0)</f>
        <v>0</v>
      </c>
    </row>
    <row r="201" spans="21:27" ht="27" customHeight="1">
      <c r="U201" s="17" t="str">
        <f>IF(行动模拟!D204="","",ROW(行动模拟!D204))</f>
        <v/>
      </c>
      <c r="V201" s="17" t="str">
        <f>IF(行动模拟!D204="","",后台计算!E198)</f>
        <v/>
      </c>
      <c r="W201" s="17" t="str">
        <f>IF(行动模拟!D204="","",后台计算!F198)</f>
        <v/>
      </c>
      <c r="X201" s="17" t="str">
        <f>IF(行动模拟!D204="","",行动模拟!B204)</f>
        <v/>
      </c>
      <c r="Y201" s="17" t="str">
        <f>IF(行动模拟!D204="","",INDEX(回合状态!$B$7:$B$17,MATCH(行动模拟!B204,回合状态!$A$7:$A$17,0)))</f>
        <v/>
      </c>
      <c r="Z201" s="24" t="str">
        <f>IF(ISNUMBER(行动模拟!R204),行动模拟!R204,"")</f>
        <v/>
      </c>
      <c r="AA201" s="17">
        <f>IF(ISNUMBER(行动模拟!R204),1,0)</f>
        <v>0</v>
      </c>
    </row>
    <row r="202" spans="21:27" ht="27" customHeight="1">
      <c r="U202" s="17" t="str">
        <f>IF(行动模拟!D205="","",ROW(行动模拟!D205))</f>
        <v/>
      </c>
      <c r="V202" s="17" t="str">
        <f>IF(行动模拟!D205="","",后台计算!E199)</f>
        <v/>
      </c>
      <c r="W202" s="17" t="str">
        <f>IF(行动模拟!D205="","",后台计算!F199)</f>
        <v/>
      </c>
      <c r="X202" s="17" t="str">
        <f>IF(行动模拟!D205="","",行动模拟!B205)</f>
        <v/>
      </c>
      <c r="Y202" s="17" t="str">
        <f>IF(行动模拟!D205="","",INDEX(回合状态!$B$7:$B$17,MATCH(行动模拟!B205,回合状态!$A$7:$A$17,0)))</f>
        <v/>
      </c>
      <c r="Z202" s="24" t="str">
        <f>IF(ISNUMBER(行动模拟!R205),行动模拟!R205,"")</f>
        <v/>
      </c>
      <c r="AA202" s="17">
        <f>IF(ISNUMBER(行动模拟!R205),1,0)</f>
        <v>0</v>
      </c>
    </row>
    <row r="203" spans="21:27" ht="27" customHeight="1">
      <c r="U203" s="17" t="str">
        <f>IF(行动模拟!D206="","",ROW(行动模拟!D206))</f>
        <v/>
      </c>
      <c r="V203" s="17" t="str">
        <f>IF(行动模拟!D206="","",后台计算!E200)</f>
        <v/>
      </c>
      <c r="W203" s="17" t="str">
        <f>IF(行动模拟!D206="","",后台计算!F200)</f>
        <v/>
      </c>
      <c r="X203" s="17" t="str">
        <f>IF(行动模拟!D206="","",行动模拟!B206)</f>
        <v/>
      </c>
      <c r="Y203" s="17" t="str">
        <f>IF(行动模拟!D206="","",INDEX(回合状态!$B$7:$B$17,MATCH(行动模拟!B206,回合状态!$A$7:$A$17,0)))</f>
        <v/>
      </c>
      <c r="Z203" s="24" t="str">
        <f>IF(ISNUMBER(行动模拟!R206),行动模拟!R206,"")</f>
        <v/>
      </c>
      <c r="AA203" s="17">
        <f>IF(ISNUMBER(行动模拟!R206),1,0)</f>
        <v>0</v>
      </c>
    </row>
    <row r="204" spans="21:27" ht="27" customHeight="1">
      <c r="U204" s="17" t="str">
        <f>IF(行动模拟!D207="","",ROW(行动模拟!D207))</f>
        <v/>
      </c>
      <c r="V204" s="17" t="str">
        <f>IF(行动模拟!D207="","",后台计算!E201)</f>
        <v/>
      </c>
      <c r="W204" s="17" t="str">
        <f>IF(行动模拟!D207="","",后台计算!F201)</f>
        <v/>
      </c>
      <c r="X204" s="17" t="str">
        <f>IF(行动模拟!D207="","",行动模拟!B207)</f>
        <v/>
      </c>
      <c r="Y204" s="17" t="str">
        <f>IF(行动模拟!D207="","",INDEX(回合状态!$B$7:$B$17,MATCH(行动模拟!B207,回合状态!$A$7:$A$17,0)))</f>
        <v/>
      </c>
      <c r="Z204" s="24" t="str">
        <f>IF(ISNUMBER(行动模拟!R207),行动模拟!R207,"")</f>
        <v/>
      </c>
      <c r="AA204" s="17">
        <f>IF(ISNUMBER(行动模拟!R207),1,0)</f>
        <v>0</v>
      </c>
    </row>
    <row r="205" spans="21:27" ht="27" customHeight="1">
      <c r="U205" s="17" t="str">
        <f>IF(行动模拟!D208="","",ROW(行动模拟!D208))</f>
        <v/>
      </c>
      <c r="V205" s="17" t="str">
        <f>IF(行动模拟!D208="","",后台计算!E202)</f>
        <v/>
      </c>
      <c r="W205" s="17" t="str">
        <f>IF(行动模拟!D208="","",后台计算!F202)</f>
        <v/>
      </c>
      <c r="X205" s="17" t="str">
        <f>IF(行动模拟!D208="","",行动模拟!B208)</f>
        <v/>
      </c>
      <c r="Y205" s="17" t="str">
        <f>IF(行动模拟!D208="","",INDEX(回合状态!$B$7:$B$17,MATCH(行动模拟!B208,回合状态!$A$7:$A$17,0)))</f>
        <v/>
      </c>
      <c r="Z205" s="24" t="str">
        <f>IF(ISNUMBER(行动模拟!R208),行动模拟!R208,"")</f>
        <v/>
      </c>
      <c r="AA205" s="17">
        <f>IF(ISNUMBER(行动模拟!R208),1,0)</f>
        <v>0</v>
      </c>
    </row>
    <row r="206" spans="21:27" ht="27" customHeight="1">
      <c r="U206" s="17" t="str">
        <f>IF(行动模拟!D209="","",ROW(行动模拟!D209))</f>
        <v/>
      </c>
      <c r="V206" s="17" t="str">
        <f>IF(行动模拟!D209="","",后台计算!E203)</f>
        <v/>
      </c>
      <c r="W206" s="17" t="str">
        <f>IF(行动模拟!D209="","",后台计算!F203)</f>
        <v/>
      </c>
      <c r="X206" s="17" t="str">
        <f>IF(行动模拟!D209="","",行动模拟!B209)</f>
        <v/>
      </c>
      <c r="Y206" s="17" t="str">
        <f>IF(行动模拟!D209="","",INDEX(回合状态!$B$7:$B$17,MATCH(行动模拟!B209,回合状态!$A$7:$A$17,0)))</f>
        <v/>
      </c>
      <c r="Z206" s="24" t="str">
        <f>IF(ISNUMBER(行动模拟!R209),行动模拟!R209,"")</f>
        <v/>
      </c>
      <c r="AA206" s="17">
        <f>IF(ISNUMBER(行动模拟!R209),1,0)</f>
        <v>0</v>
      </c>
    </row>
    <row r="207" spans="21:27" ht="27" customHeight="1">
      <c r="U207" s="17" t="str">
        <f>IF(行动模拟!D210="","",ROW(行动模拟!D210))</f>
        <v/>
      </c>
      <c r="V207" s="17" t="str">
        <f>IF(行动模拟!D210="","",后台计算!E204)</f>
        <v/>
      </c>
      <c r="W207" s="17" t="str">
        <f>IF(行动模拟!D210="","",后台计算!F204)</f>
        <v/>
      </c>
      <c r="X207" s="17" t="str">
        <f>IF(行动模拟!D210="","",行动模拟!B210)</f>
        <v/>
      </c>
      <c r="Y207" s="17" t="str">
        <f>IF(行动模拟!D210="","",INDEX(回合状态!$B$7:$B$17,MATCH(行动模拟!B210,回合状态!$A$7:$A$17,0)))</f>
        <v/>
      </c>
      <c r="Z207" s="24" t="str">
        <f>IF(ISNUMBER(行动模拟!R210),行动模拟!R210,"")</f>
        <v/>
      </c>
      <c r="AA207" s="17">
        <f>IF(ISNUMBER(行动模拟!R210),1,0)</f>
        <v>0</v>
      </c>
    </row>
    <row r="208" spans="21:27" ht="27" customHeight="1">
      <c r="U208" s="17" t="str">
        <f>IF(行动模拟!D211="","",ROW(行动模拟!D211))</f>
        <v/>
      </c>
      <c r="V208" s="17" t="str">
        <f>IF(行动模拟!D211="","",后台计算!E205)</f>
        <v/>
      </c>
      <c r="W208" s="17" t="str">
        <f>IF(行动模拟!D211="","",后台计算!F205)</f>
        <v/>
      </c>
      <c r="X208" s="17" t="str">
        <f>IF(行动模拟!D211="","",行动模拟!B211)</f>
        <v/>
      </c>
      <c r="Y208" s="17" t="str">
        <f>IF(行动模拟!D211="","",INDEX(回合状态!$B$7:$B$17,MATCH(行动模拟!B211,回合状态!$A$7:$A$17,0)))</f>
        <v/>
      </c>
      <c r="Z208" s="24" t="str">
        <f>IF(ISNUMBER(行动模拟!R211),行动模拟!R211,"")</f>
        <v/>
      </c>
      <c r="AA208" s="17">
        <f>IF(ISNUMBER(行动模拟!R211),1,0)</f>
        <v>0</v>
      </c>
    </row>
    <row r="209" spans="21:27" ht="27" customHeight="1">
      <c r="U209" s="17" t="str">
        <f>IF(行动模拟!D212="","",ROW(行动模拟!D212))</f>
        <v/>
      </c>
      <c r="V209" s="17" t="str">
        <f>IF(行动模拟!D212="","",后台计算!E206)</f>
        <v/>
      </c>
      <c r="W209" s="17" t="str">
        <f>IF(行动模拟!D212="","",后台计算!F206)</f>
        <v/>
      </c>
      <c r="X209" s="17" t="str">
        <f>IF(行动模拟!D212="","",行动模拟!B212)</f>
        <v/>
      </c>
      <c r="Y209" s="17" t="str">
        <f>IF(行动模拟!D212="","",INDEX(回合状态!$B$7:$B$17,MATCH(行动模拟!B212,回合状态!$A$7:$A$17,0)))</f>
        <v/>
      </c>
      <c r="Z209" s="24" t="str">
        <f>IF(ISNUMBER(行动模拟!R212),行动模拟!R212,"")</f>
        <v/>
      </c>
      <c r="AA209" s="17">
        <f>IF(ISNUMBER(行动模拟!R212),1,0)</f>
        <v>0</v>
      </c>
    </row>
    <row r="210" spans="21:27" ht="27" customHeight="1">
      <c r="U210" s="17" t="str">
        <f>IF(行动模拟!D213="","",ROW(行动模拟!D213))</f>
        <v/>
      </c>
      <c r="V210" s="17" t="str">
        <f>IF(行动模拟!D213="","",后台计算!E207)</f>
        <v/>
      </c>
      <c r="W210" s="17" t="str">
        <f>IF(行动模拟!D213="","",后台计算!F207)</f>
        <v/>
      </c>
      <c r="X210" s="17" t="str">
        <f>IF(行动模拟!D213="","",行动模拟!B213)</f>
        <v/>
      </c>
      <c r="Y210" s="17" t="str">
        <f>IF(行动模拟!D213="","",INDEX(回合状态!$B$7:$B$17,MATCH(行动模拟!B213,回合状态!$A$7:$A$17,0)))</f>
        <v/>
      </c>
      <c r="Z210" s="24" t="str">
        <f>IF(ISNUMBER(行动模拟!R213),行动模拟!R213,"")</f>
        <v/>
      </c>
      <c r="AA210" s="17">
        <f>IF(ISNUMBER(行动模拟!R213),1,0)</f>
        <v>0</v>
      </c>
    </row>
    <row r="211" spans="21:27" ht="27" customHeight="1">
      <c r="U211" s="17" t="str">
        <f>IF(行动模拟!D214="","",ROW(行动模拟!D214))</f>
        <v/>
      </c>
      <c r="V211" s="17" t="str">
        <f>IF(行动模拟!D214="","",后台计算!E208)</f>
        <v/>
      </c>
      <c r="W211" s="17" t="str">
        <f>IF(行动模拟!D214="","",后台计算!F208)</f>
        <v/>
      </c>
      <c r="X211" s="17" t="str">
        <f>IF(行动模拟!D214="","",行动模拟!B214)</f>
        <v/>
      </c>
      <c r="Y211" s="17" t="str">
        <f>IF(行动模拟!D214="","",INDEX(回合状态!$B$7:$B$17,MATCH(行动模拟!B214,回合状态!$A$7:$A$17,0)))</f>
        <v/>
      </c>
      <c r="Z211" s="24" t="str">
        <f>IF(ISNUMBER(行动模拟!R214),行动模拟!R214,"")</f>
        <v/>
      </c>
      <c r="AA211" s="17">
        <f>IF(ISNUMBER(行动模拟!R214),1,0)</f>
        <v>0</v>
      </c>
    </row>
    <row r="212" spans="21:27" ht="27" customHeight="1">
      <c r="U212" s="17" t="str">
        <f>IF(行动模拟!D215="","",ROW(行动模拟!D215))</f>
        <v/>
      </c>
      <c r="V212" s="17" t="str">
        <f>IF(行动模拟!D215="","",后台计算!E209)</f>
        <v/>
      </c>
      <c r="W212" s="17" t="str">
        <f>IF(行动模拟!D215="","",后台计算!F209)</f>
        <v/>
      </c>
      <c r="X212" s="17" t="str">
        <f>IF(行动模拟!D215="","",行动模拟!B215)</f>
        <v/>
      </c>
      <c r="Y212" s="17" t="str">
        <f>IF(行动模拟!D215="","",INDEX(回合状态!$B$7:$B$17,MATCH(行动模拟!B215,回合状态!$A$7:$A$17,0)))</f>
        <v/>
      </c>
      <c r="Z212" s="24" t="str">
        <f>IF(ISNUMBER(行动模拟!R215),行动模拟!R215,"")</f>
        <v/>
      </c>
      <c r="AA212" s="17">
        <f>IF(ISNUMBER(行动模拟!R215),1,0)</f>
        <v>0</v>
      </c>
    </row>
    <row r="213" spans="21:27" ht="27" customHeight="1">
      <c r="U213" s="17" t="str">
        <f>IF(行动模拟!D216="","",ROW(行动模拟!D216))</f>
        <v/>
      </c>
      <c r="V213" s="17" t="str">
        <f>IF(行动模拟!D216="","",后台计算!E210)</f>
        <v/>
      </c>
      <c r="W213" s="17" t="str">
        <f>IF(行动模拟!D216="","",后台计算!F210)</f>
        <v/>
      </c>
      <c r="X213" s="17" t="str">
        <f>IF(行动模拟!D216="","",行动模拟!B216)</f>
        <v/>
      </c>
      <c r="Y213" s="17" t="str">
        <f>IF(行动模拟!D216="","",INDEX(回合状态!$B$7:$B$17,MATCH(行动模拟!B216,回合状态!$A$7:$A$17,0)))</f>
        <v/>
      </c>
      <c r="Z213" s="24" t="str">
        <f>IF(ISNUMBER(行动模拟!R216),行动模拟!R216,"")</f>
        <v/>
      </c>
      <c r="AA213" s="17">
        <f>IF(ISNUMBER(行动模拟!R216),1,0)</f>
        <v>0</v>
      </c>
    </row>
    <row r="214" spans="21:27" ht="27" customHeight="1">
      <c r="U214" s="17" t="str">
        <f>IF(行动模拟!D217="","",ROW(行动模拟!D217))</f>
        <v/>
      </c>
      <c r="V214" s="17" t="str">
        <f>IF(行动模拟!D217="","",后台计算!E211)</f>
        <v/>
      </c>
      <c r="W214" s="17" t="str">
        <f>IF(行动模拟!D217="","",后台计算!F211)</f>
        <v/>
      </c>
      <c r="X214" s="17" t="str">
        <f>IF(行动模拟!D217="","",行动模拟!B217)</f>
        <v/>
      </c>
      <c r="Y214" s="17" t="str">
        <f>IF(行动模拟!D217="","",INDEX(回合状态!$B$7:$B$17,MATCH(行动模拟!B217,回合状态!$A$7:$A$17,0)))</f>
        <v/>
      </c>
      <c r="Z214" s="24" t="str">
        <f>IF(ISNUMBER(行动模拟!R217),行动模拟!R217,"")</f>
        <v/>
      </c>
      <c r="AA214" s="17">
        <f>IF(ISNUMBER(行动模拟!R217),1,0)</f>
        <v>0</v>
      </c>
    </row>
    <row r="215" spans="21:27" ht="27" customHeight="1">
      <c r="U215" s="17" t="str">
        <f>IF(行动模拟!D218="","",ROW(行动模拟!D218))</f>
        <v/>
      </c>
      <c r="V215" s="17" t="str">
        <f>IF(行动模拟!D218="","",后台计算!E212)</f>
        <v/>
      </c>
      <c r="W215" s="17" t="str">
        <f>IF(行动模拟!D218="","",后台计算!F212)</f>
        <v/>
      </c>
      <c r="X215" s="17" t="str">
        <f>IF(行动模拟!D218="","",行动模拟!B218)</f>
        <v/>
      </c>
      <c r="Y215" s="17" t="str">
        <f>IF(行动模拟!D218="","",INDEX(回合状态!$B$7:$B$17,MATCH(行动模拟!B218,回合状态!$A$7:$A$17,0)))</f>
        <v/>
      </c>
      <c r="Z215" s="24" t="str">
        <f>IF(ISNUMBER(行动模拟!R218),行动模拟!R218,"")</f>
        <v/>
      </c>
      <c r="AA215" s="17">
        <f>IF(ISNUMBER(行动模拟!R218),1,0)</f>
        <v>0</v>
      </c>
    </row>
    <row r="216" spans="21:27" ht="27" customHeight="1">
      <c r="U216" s="17" t="str">
        <f>IF(行动模拟!D219="","",ROW(行动模拟!D219))</f>
        <v/>
      </c>
      <c r="V216" s="17" t="str">
        <f>IF(行动模拟!D219="","",后台计算!E213)</f>
        <v/>
      </c>
      <c r="W216" s="17" t="str">
        <f>IF(行动模拟!D219="","",后台计算!F213)</f>
        <v/>
      </c>
      <c r="X216" s="17" t="str">
        <f>IF(行动模拟!D219="","",行动模拟!B219)</f>
        <v/>
      </c>
      <c r="Y216" s="17" t="str">
        <f>IF(行动模拟!D219="","",INDEX(回合状态!$B$7:$B$17,MATCH(行动模拟!B219,回合状态!$A$7:$A$17,0)))</f>
        <v/>
      </c>
      <c r="Z216" s="24" t="str">
        <f>IF(ISNUMBER(行动模拟!R219),行动模拟!R219,"")</f>
        <v/>
      </c>
      <c r="AA216" s="17">
        <f>IF(ISNUMBER(行动模拟!R219),1,0)</f>
        <v>0</v>
      </c>
    </row>
    <row r="217" spans="21:27" ht="27" customHeight="1">
      <c r="U217" s="17" t="str">
        <f>IF(行动模拟!D220="","",ROW(行动模拟!D220))</f>
        <v/>
      </c>
      <c r="V217" s="17" t="str">
        <f>IF(行动模拟!D220="","",后台计算!E214)</f>
        <v/>
      </c>
      <c r="W217" s="17" t="str">
        <f>IF(行动模拟!D220="","",后台计算!F214)</f>
        <v/>
      </c>
      <c r="X217" s="17" t="str">
        <f>IF(行动模拟!D220="","",行动模拟!B220)</f>
        <v/>
      </c>
      <c r="Y217" s="17" t="str">
        <f>IF(行动模拟!D220="","",INDEX(回合状态!$B$7:$B$17,MATCH(行动模拟!B220,回合状态!$A$7:$A$17,0)))</f>
        <v/>
      </c>
      <c r="Z217" s="24" t="str">
        <f>IF(ISNUMBER(行动模拟!R220),行动模拟!R220,"")</f>
        <v/>
      </c>
      <c r="AA217" s="17">
        <f>IF(ISNUMBER(行动模拟!R220),1,0)</f>
        <v>0</v>
      </c>
    </row>
    <row r="218" spans="21:27" ht="27" customHeight="1">
      <c r="U218" s="17" t="str">
        <f>IF(行动模拟!D221="","",ROW(行动模拟!D221))</f>
        <v/>
      </c>
      <c r="V218" s="17" t="str">
        <f>IF(行动模拟!D221="","",后台计算!E215)</f>
        <v/>
      </c>
      <c r="W218" s="17" t="str">
        <f>IF(行动模拟!D221="","",后台计算!F215)</f>
        <v/>
      </c>
      <c r="X218" s="17" t="str">
        <f>IF(行动模拟!D221="","",行动模拟!B221)</f>
        <v/>
      </c>
      <c r="Y218" s="17" t="str">
        <f>IF(行动模拟!D221="","",INDEX(回合状态!$B$7:$B$17,MATCH(行动模拟!B221,回合状态!$A$7:$A$17,0)))</f>
        <v/>
      </c>
      <c r="Z218" s="24" t="str">
        <f>IF(ISNUMBER(行动模拟!R221),行动模拟!R221,"")</f>
        <v/>
      </c>
      <c r="AA218" s="17">
        <f>IF(ISNUMBER(行动模拟!R221),1,0)</f>
        <v>0</v>
      </c>
    </row>
    <row r="219" spans="21:27" ht="27" customHeight="1">
      <c r="U219" s="17" t="str">
        <f>IF(行动模拟!D222="","",ROW(行动模拟!D222))</f>
        <v/>
      </c>
      <c r="V219" s="17" t="str">
        <f>IF(行动模拟!D222="","",后台计算!E216)</f>
        <v/>
      </c>
      <c r="W219" s="17" t="str">
        <f>IF(行动模拟!D222="","",后台计算!F216)</f>
        <v/>
      </c>
      <c r="X219" s="17" t="str">
        <f>IF(行动模拟!D222="","",行动模拟!B222)</f>
        <v/>
      </c>
      <c r="Y219" s="17" t="str">
        <f>IF(行动模拟!D222="","",INDEX(回合状态!$B$7:$B$17,MATCH(行动模拟!B222,回合状态!$A$7:$A$17,0)))</f>
        <v/>
      </c>
      <c r="Z219" s="24" t="str">
        <f>IF(ISNUMBER(行动模拟!R222),行动模拟!R222,"")</f>
        <v/>
      </c>
      <c r="AA219" s="17">
        <f>IF(ISNUMBER(行动模拟!R222),1,0)</f>
        <v>0</v>
      </c>
    </row>
    <row r="220" spans="21:27" ht="27" customHeight="1">
      <c r="U220" s="17" t="str">
        <f>IF(行动模拟!D223="","",ROW(行动模拟!D223))</f>
        <v/>
      </c>
      <c r="V220" s="17" t="str">
        <f>IF(行动模拟!D223="","",后台计算!E217)</f>
        <v/>
      </c>
      <c r="W220" s="17" t="str">
        <f>IF(行动模拟!D223="","",后台计算!F217)</f>
        <v/>
      </c>
      <c r="X220" s="17" t="str">
        <f>IF(行动模拟!D223="","",行动模拟!B223)</f>
        <v/>
      </c>
      <c r="Y220" s="17" t="str">
        <f>IF(行动模拟!D223="","",INDEX(回合状态!$B$7:$B$17,MATCH(行动模拟!B223,回合状态!$A$7:$A$17,0)))</f>
        <v/>
      </c>
      <c r="Z220" s="24" t="str">
        <f>IF(ISNUMBER(行动模拟!R223),行动模拟!R223,"")</f>
        <v/>
      </c>
      <c r="AA220" s="17">
        <f>IF(ISNUMBER(行动模拟!R223),1,0)</f>
        <v>0</v>
      </c>
    </row>
    <row r="221" spans="21:27" ht="27" customHeight="1">
      <c r="U221" s="17" t="str">
        <f>IF(行动模拟!D224="","",ROW(行动模拟!D224))</f>
        <v/>
      </c>
      <c r="V221" s="17" t="str">
        <f>IF(行动模拟!D224="","",后台计算!E218)</f>
        <v/>
      </c>
      <c r="W221" s="17" t="str">
        <f>IF(行动模拟!D224="","",后台计算!F218)</f>
        <v/>
      </c>
      <c r="X221" s="17" t="str">
        <f>IF(行动模拟!D224="","",行动模拟!B224)</f>
        <v/>
      </c>
      <c r="Y221" s="17" t="str">
        <f>IF(行动模拟!D224="","",INDEX(回合状态!$B$7:$B$17,MATCH(行动模拟!B224,回合状态!$A$7:$A$17,0)))</f>
        <v/>
      </c>
      <c r="Z221" s="24" t="str">
        <f>IF(ISNUMBER(行动模拟!R224),行动模拟!R224,"")</f>
        <v/>
      </c>
      <c r="AA221" s="17">
        <f>IF(ISNUMBER(行动模拟!R224),1,0)</f>
        <v>0</v>
      </c>
    </row>
    <row r="222" spans="21:27" ht="27" customHeight="1">
      <c r="U222" s="17" t="str">
        <f>IF(行动模拟!D225="","",ROW(行动模拟!D225))</f>
        <v/>
      </c>
      <c r="V222" s="17" t="str">
        <f>IF(行动模拟!D225="","",后台计算!E219)</f>
        <v/>
      </c>
      <c r="W222" s="17" t="str">
        <f>IF(行动模拟!D225="","",后台计算!F219)</f>
        <v/>
      </c>
      <c r="X222" s="17" t="str">
        <f>IF(行动模拟!D225="","",行动模拟!B225)</f>
        <v/>
      </c>
      <c r="Y222" s="17" t="str">
        <f>IF(行动模拟!D225="","",INDEX(回合状态!$B$7:$B$17,MATCH(行动模拟!B225,回合状态!$A$7:$A$17,0)))</f>
        <v/>
      </c>
      <c r="Z222" s="24" t="str">
        <f>IF(ISNUMBER(行动模拟!R225),行动模拟!R225,"")</f>
        <v/>
      </c>
      <c r="AA222" s="17">
        <f>IF(ISNUMBER(行动模拟!R225),1,0)</f>
        <v>0</v>
      </c>
    </row>
    <row r="223" spans="21:27" ht="27" customHeight="1">
      <c r="U223" s="17" t="str">
        <f>IF(行动模拟!D226="","",ROW(行动模拟!D226))</f>
        <v/>
      </c>
      <c r="V223" s="17" t="str">
        <f>IF(行动模拟!D226="","",后台计算!E220)</f>
        <v/>
      </c>
      <c r="W223" s="17" t="str">
        <f>IF(行动模拟!D226="","",后台计算!F220)</f>
        <v/>
      </c>
      <c r="X223" s="17" t="str">
        <f>IF(行动模拟!D226="","",行动模拟!B226)</f>
        <v/>
      </c>
      <c r="Y223" s="17" t="str">
        <f>IF(行动模拟!D226="","",INDEX(回合状态!$B$7:$B$17,MATCH(行动模拟!B226,回合状态!$A$7:$A$17,0)))</f>
        <v/>
      </c>
      <c r="Z223" s="24" t="str">
        <f>IF(ISNUMBER(行动模拟!R226),行动模拟!R226,"")</f>
        <v/>
      </c>
      <c r="AA223" s="17">
        <f>IF(ISNUMBER(行动模拟!R226),1,0)</f>
        <v>0</v>
      </c>
    </row>
    <row r="224" spans="21:27" ht="27" customHeight="1">
      <c r="U224" s="17" t="str">
        <f>IF(行动模拟!D227="","",ROW(行动模拟!D227))</f>
        <v/>
      </c>
      <c r="V224" s="17" t="str">
        <f>IF(行动模拟!D227="","",后台计算!E221)</f>
        <v/>
      </c>
      <c r="W224" s="17" t="str">
        <f>IF(行动模拟!D227="","",后台计算!F221)</f>
        <v/>
      </c>
      <c r="X224" s="17" t="str">
        <f>IF(行动模拟!D227="","",行动模拟!B227)</f>
        <v/>
      </c>
      <c r="Y224" s="17" t="str">
        <f>IF(行动模拟!D227="","",INDEX(回合状态!$B$7:$B$17,MATCH(行动模拟!B227,回合状态!$A$7:$A$17,0)))</f>
        <v/>
      </c>
      <c r="Z224" s="24" t="str">
        <f>IF(ISNUMBER(行动模拟!R227),行动模拟!R227,"")</f>
        <v/>
      </c>
      <c r="AA224" s="17">
        <f>IF(ISNUMBER(行动模拟!R227),1,0)</f>
        <v>0</v>
      </c>
    </row>
    <row r="225" spans="21:27" ht="27" customHeight="1">
      <c r="U225" s="17" t="str">
        <f>IF(行动模拟!D228="","",ROW(行动模拟!D228))</f>
        <v/>
      </c>
      <c r="V225" s="17" t="str">
        <f>IF(行动模拟!D228="","",后台计算!E222)</f>
        <v/>
      </c>
      <c r="W225" s="17" t="str">
        <f>IF(行动模拟!D228="","",后台计算!F222)</f>
        <v/>
      </c>
      <c r="X225" s="17" t="str">
        <f>IF(行动模拟!D228="","",行动模拟!B228)</f>
        <v/>
      </c>
      <c r="Y225" s="17" t="str">
        <f>IF(行动模拟!D228="","",INDEX(回合状态!$B$7:$B$17,MATCH(行动模拟!B228,回合状态!$A$7:$A$17,0)))</f>
        <v/>
      </c>
      <c r="Z225" s="24" t="str">
        <f>IF(ISNUMBER(行动模拟!R228),行动模拟!R228,"")</f>
        <v/>
      </c>
      <c r="AA225" s="17">
        <f>IF(ISNUMBER(行动模拟!R228),1,0)</f>
        <v>0</v>
      </c>
    </row>
    <row r="226" spans="21:27" ht="27" customHeight="1">
      <c r="U226" s="17" t="str">
        <f>IF(行动模拟!D229="","",ROW(行动模拟!D229))</f>
        <v/>
      </c>
      <c r="V226" s="17" t="str">
        <f>IF(行动模拟!D229="","",后台计算!E223)</f>
        <v/>
      </c>
      <c r="W226" s="17" t="str">
        <f>IF(行动模拟!D229="","",后台计算!F223)</f>
        <v/>
      </c>
      <c r="X226" s="17" t="str">
        <f>IF(行动模拟!D229="","",行动模拟!B229)</f>
        <v/>
      </c>
      <c r="Y226" s="17" t="str">
        <f>IF(行动模拟!D229="","",INDEX(回合状态!$B$7:$B$17,MATCH(行动模拟!B229,回合状态!$A$7:$A$17,0)))</f>
        <v/>
      </c>
      <c r="Z226" s="24" t="str">
        <f>IF(ISNUMBER(行动模拟!R229),行动模拟!R229,"")</f>
        <v/>
      </c>
      <c r="AA226" s="17">
        <f>IF(ISNUMBER(行动模拟!R229),1,0)</f>
        <v>0</v>
      </c>
    </row>
    <row r="227" spans="21:27" ht="27" customHeight="1">
      <c r="U227" s="17" t="str">
        <f>IF(行动模拟!D230="","",ROW(行动模拟!D230))</f>
        <v/>
      </c>
      <c r="V227" s="17" t="str">
        <f>IF(行动模拟!D230="","",后台计算!E224)</f>
        <v/>
      </c>
      <c r="W227" s="17" t="str">
        <f>IF(行动模拟!D230="","",后台计算!F224)</f>
        <v/>
      </c>
      <c r="X227" s="17" t="str">
        <f>IF(行动模拟!D230="","",行动模拟!B230)</f>
        <v/>
      </c>
      <c r="Y227" s="17" t="str">
        <f>IF(行动模拟!D230="","",INDEX(回合状态!$B$7:$B$17,MATCH(行动模拟!B230,回合状态!$A$7:$A$17,0)))</f>
        <v/>
      </c>
      <c r="Z227" s="24" t="str">
        <f>IF(ISNUMBER(行动模拟!R230),行动模拟!R230,"")</f>
        <v/>
      </c>
      <c r="AA227" s="17">
        <f>IF(ISNUMBER(行动模拟!R230),1,0)</f>
        <v>0</v>
      </c>
    </row>
    <row r="228" spans="21:27" ht="27" customHeight="1">
      <c r="U228" s="17" t="str">
        <f>IF(行动模拟!D231="","",ROW(行动模拟!D231))</f>
        <v/>
      </c>
      <c r="V228" s="17" t="str">
        <f>IF(行动模拟!D231="","",后台计算!E225)</f>
        <v/>
      </c>
      <c r="W228" s="17" t="str">
        <f>IF(行动模拟!D231="","",后台计算!F225)</f>
        <v/>
      </c>
      <c r="X228" s="17" t="str">
        <f>IF(行动模拟!D231="","",行动模拟!B231)</f>
        <v/>
      </c>
      <c r="Y228" s="17" t="str">
        <f>IF(行动模拟!D231="","",INDEX(回合状态!$B$7:$B$17,MATCH(行动模拟!B231,回合状态!$A$7:$A$17,0)))</f>
        <v/>
      </c>
      <c r="Z228" s="24" t="str">
        <f>IF(ISNUMBER(行动模拟!R231),行动模拟!R231,"")</f>
        <v/>
      </c>
      <c r="AA228" s="17">
        <f>IF(ISNUMBER(行动模拟!R231),1,0)</f>
        <v>0</v>
      </c>
    </row>
    <row r="229" spans="21:27" ht="27" customHeight="1">
      <c r="U229" s="17" t="str">
        <f>IF(行动模拟!D232="","",ROW(行动模拟!D232))</f>
        <v/>
      </c>
      <c r="V229" s="17" t="str">
        <f>IF(行动模拟!D232="","",后台计算!E226)</f>
        <v/>
      </c>
      <c r="W229" s="17" t="str">
        <f>IF(行动模拟!D232="","",后台计算!F226)</f>
        <v/>
      </c>
      <c r="X229" s="17" t="str">
        <f>IF(行动模拟!D232="","",行动模拟!B232)</f>
        <v/>
      </c>
      <c r="Y229" s="17" t="str">
        <f>IF(行动模拟!D232="","",INDEX(回合状态!$B$7:$B$17,MATCH(行动模拟!B232,回合状态!$A$7:$A$17,0)))</f>
        <v/>
      </c>
      <c r="Z229" s="24" t="str">
        <f>IF(ISNUMBER(行动模拟!R232),行动模拟!R232,"")</f>
        <v/>
      </c>
      <c r="AA229" s="17">
        <f>IF(ISNUMBER(行动模拟!R232),1,0)</f>
        <v>0</v>
      </c>
    </row>
    <row r="230" spans="21:27" ht="27" customHeight="1">
      <c r="U230" s="17" t="str">
        <f>IF(行动模拟!D233="","",ROW(行动模拟!D233))</f>
        <v/>
      </c>
      <c r="V230" s="17" t="str">
        <f>IF(行动模拟!D233="","",后台计算!E227)</f>
        <v/>
      </c>
      <c r="W230" s="17" t="str">
        <f>IF(行动模拟!D233="","",后台计算!F227)</f>
        <v/>
      </c>
      <c r="X230" s="17" t="str">
        <f>IF(行动模拟!D233="","",行动模拟!B233)</f>
        <v/>
      </c>
      <c r="Y230" s="17" t="str">
        <f>IF(行动模拟!D233="","",INDEX(回合状态!$B$7:$B$17,MATCH(行动模拟!B233,回合状态!$A$7:$A$17,0)))</f>
        <v/>
      </c>
      <c r="Z230" s="24" t="str">
        <f>IF(ISNUMBER(行动模拟!R233),行动模拟!R233,"")</f>
        <v/>
      </c>
      <c r="AA230" s="17">
        <f>IF(ISNUMBER(行动模拟!R233),1,0)</f>
        <v>0</v>
      </c>
    </row>
    <row r="231" spans="21:27" ht="27" customHeight="1">
      <c r="U231" s="17" t="str">
        <f>IF(行动模拟!D234="","",ROW(行动模拟!D234))</f>
        <v/>
      </c>
      <c r="V231" s="17" t="str">
        <f>IF(行动模拟!D234="","",后台计算!E228)</f>
        <v/>
      </c>
      <c r="W231" s="17" t="str">
        <f>IF(行动模拟!D234="","",后台计算!F228)</f>
        <v/>
      </c>
      <c r="X231" s="17" t="str">
        <f>IF(行动模拟!D234="","",行动模拟!B234)</f>
        <v/>
      </c>
      <c r="Y231" s="17" t="str">
        <f>IF(行动模拟!D234="","",INDEX(回合状态!$B$7:$B$17,MATCH(行动模拟!B234,回合状态!$A$7:$A$17,0)))</f>
        <v/>
      </c>
      <c r="Z231" s="24" t="str">
        <f>IF(ISNUMBER(行动模拟!R234),行动模拟!R234,"")</f>
        <v/>
      </c>
      <c r="AA231" s="17">
        <f>IF(ISNUMBER(行动模拟!R234),1,0)</f>
        <v>0</v>
      </c>
    </row>
    <row r="232" spans="21:27" ht="27" customHeight="1">
      <c r="U232" s="17" t="str">
        <f>IF(行动模拟!D235="","",ROW(行动模拟!D235))</f>
        <v/>
      </c>
      <c r="V232" s="17" t="str">
        <f>IF(行动模拟!D235="","",后台计算!E229)</f>
        <v/>
      </c>
      <c r="W232" s="17" t="str">
        <f>IF(行动模拟!D235="","",后台计算!F229)</f>
        <v/>
      </c>
      <c r="X232" s="17" t="str">
        <f>IF(行动模拟!D235="","",行动模拟!B235)</f>
        <v/>
      </c>
      <c r="Y232" s="17" t="str">
        <f>IF(行动模拟!D235="","",INDEX(回合状态!$B$7:$B$17,MATCH(行动模拟!B235,回合状态!$A$7:$A$17,0)))</f>
        <v/>
      </c>
      <c r="Z232" s="24" t="str">
        <f>IF(ISNUMBER(行动模拟!R235),行动模拟!R235,"")</f>
        <v/>
      </c>
      <c r="AA232" s="17">
        <f>IF(ISNUMBER(行动模拟!R235),1,0)</f>
        <v>0</v>
      </c>
    </row>
    <row r="233" spans="21:27" ht="27" customHeight="1">
      <c r="U233" s="17" t="str">
        <f>IF(行动模拟!D236="","",ROW(行动模拟!D236))</f>
        <v/>
      </c>
      <c r="V233" s="17" t="str">
        <f>IF(行动模拟!D236="","",后台计算!E230)</f>
        <v/>
      </c>
      <c r="W233" s="17" t="str">
        <f>IF(行动模拟!D236="","",后台计算!F230)</f>
        <v/>
      </c>
      <c r="X233" s="17" t="str">
        <f>IF(行动模拟!D236="","",行动模拟!B236)</f>
        <v/>
      </c>
      <c r="Y233" s="17" t="str">
        <f>IF(行动模拟!D236="","",INDEX(回合状态!$B$7:$B$17,MATCH(行动模拟!B236,回合状态!$A$7:$A$17,0)))</f>
        <v/>
      </c>
      <c r="Z233" s="24" t="str">
        <f>IF(ISNUMBER(行动模拟!R236),行动模拟!R236,"")</f>
        <v/>
      </c>
      <c r="AA233" s="17">
        <f>IF(ISNUMBER(行动模拟!R236),1,0)</f>
        <v>0</v>
      </c>
    </row>
    <row r="234" spans="21:27" ht="27" customHeight="1">
      <c r="U234" s="17" t="str">
        <f>IF(行动模拟!D237="","",ROW(行动模拟!D237))</f>
        <v/>
      </c>
      <c r="V234" s="17" t="str">
        <f>IF(行动模拟!D237="","",后台计算!E231)</f>
        <v/>
      </c>
      <c r="W234" s="17" t="str">
        <f>IF(行动模拟!D237="","",后台计算!F231)</f>
        <v/>
      </c>
      <c r="X234" s="17" t="str">
        <f>IF(行动模拟!D237="","",行动模拟!B237)</f>
        <v/>
      </c>
      <c r="Y234" s="17" t="str">
        <f>IF(行动模拟!D237="","",INDEX(回合状态!$B$7:$B$17,MATCH(行动模拟!B237,回合状态!$A$7:$A$17,0)))</f>
        <v/>
      </c>
      <c r="Z234" s="24" t="str">
        <f>IF(ISNUMBER(行动模拟!R237),行动模拟!R237,"")</f>
        <v/>
      </c>
      <c r="AA234" s="17">
        <f>IF(ISNUMBER(行动模拟!R237),1,0)</f>
        <v>0</v>
      </c>
    </row>
    <row r="235" spans="21:27" ht="27" customHeight="1">
      <c r="U235" s="17" t="str">
        <f>IF(行动模拟!D238="","",ROW(行动模拟!D238))</f>
        <v/>
      </c>
      <c r="V235" s="17" t="str">
        <f>IF(行动模拟!D238="","",后台计算!E232)</f>
        <v/>
      </c>
      <c r="W235" s="17" t="str">
        <f>IF(行动模拟!D238="","",后台计算!F232)</f>
        <v/>
      </c>
      <c r="X235" s="17" t="str">
        <f>IF(行动模拟!D238="","",行动模拟!B238)</f>
        <v/>
      </c>
      <c r="Y235" s="17" t="str">
        <f>IF(行动模拟!D238="","",INDEX(回合状态!$B$7:$B$17,MATCH(行动模拟!B238,回合状态!$A$7:$A$17,0)))</f>
        <v/>
      </c>
      <c r="Z235" s="24" t="str">
        <f>IF(ISNUMBER(行动模拟!R238),行动模拟!R238,"")</f>
        <v/>
      </c>
      <c r="AA235" s="17">
        <f>IF(ISNUMBER(行动模拟!R238),1,0)</f>
        <v>0</v>
      </c>
    </row>
    <row r="236" spans="21:27" ht="27" customHeight="1">
      <c r="U236" s="17" t="str">
        <f>IF(行动模拟!D239="","",ROW(行动模拟!D239))</f>
        <v/>
      </c>
      <c r="V236" s="17" t="str">
        <f>IF(行动模拟!D239="","",后台计算!E233)</f>
        <v/>
      </c>
      <c r="W236" s="17" t="str">
        <f>IF(行动模拟!D239="","",后台计算!F233)</f>
        <v/>
      </c>
      <c r="X236" s="17" t="str">
        <f>IF(行动模拟!D239="","",行动模拟!B239)</f>
        <v/>
      </c>
      <c r="Y236" s="17" t="str">
        <f>IF(行动模拟!D239="","",INDEX(回合状态!$B$7:$B$17,MATCH(行动模拟!B239,回合状态!$A$7:$A$17,0)))</f>
        <v/>
      </c>
      <c r="Z236" s="24" t="str">
        <f>IF(ISNUMBER(行动模拟!R239),行动模拟!R239,"")</f>
        <v/>
      </c>
      <c r="AA236" s="17">
        <f>IF(ISNUMBER(行动模拟!R239),1,0)</f>
        <v>0</v>
      </c>
    </row>
    <row r="237" spans="21:27" ht="27" customHeight="1">
      <c r="U237" s="17" t="str">
        <f>IF(行动模拟!D240="","",ROW(行动模拟!D240))</f>
        <v/>
      </c>
      <c r="V237" s="17" t="str">
        <f>IF(行动模拟!D240="","",后台计算!E234)</f>
        <v/>
      </c>
      <c r="W237" s="17" t="str">
        <f>IF(行动模拟!D240="","",后台计算!F234)</f>
        <v/>
      </c>
      <c r="X237" s="17" t="str">
        <f>IF(行动模拟!D240="","",行动模拟!B240)</f>
        <v/>
      </c>
      <c r="Y237" s="17" t="str">
        <f>IF(行动模拟!D240="","",INDEX(回合状态!$B$7:$B$17,MATCH(行动模拟!B240,回合状态!$A$7:$A$17,0)))</f>
        <v/>
      </c>
      <c r="Z237" s="24" t="str">
        <f>IF(ISNUMBER(行动模拟!R240),行动模拟!R240,"")</f>
        <v/>
      </c>
      <c r="AA237" s="17">
        <f>IF(ISNUMBER(行动模拟!R240),1,0)</f>
        <v>0</v>
      </c>
    </row>
    <row r="238" spans="21:27" ht="27" customHeight="1">
      <c r="U238" s="17" t="str">
        <f>IF(行动模拟!D241="","",ROW(行动模拟!D241))</f>
        <v/>
      </c>
      <c r="V238" s="17" t="str">
        <f>IF(行动模拟!D241="","",后台计算!E235)</f>
        <v/>
      </c>
      <c r="W238" s="17" t="str">
        <f>IF(行动模拟!D241="","",后台计算!F235)</f>
        <v/>
      </c>
      <c r="X238" s="17" t="str">
        <f>IF(行动模拟!D241="","",行动模拟!B241)</f>
        <v/>
      </c>
      <c r="Y238" s="17" t="str">
        <f>IF(行动模拟!D241="","",INDEX(回合状态!$B$7:$B$17,MATCH(行动模拟!B241,回合状态!$A$7:$A$17,0)))</f>
        <v/>
      </c>
      <c r="Z238" s="24" t="str">
        <f>IF(ISNUMBER(行动模拟!R241),行动模拟!R241,"")</f>
        <v/>
      </c>
      <c r="AA238" s="17">
        <f>IF(ISNUMBER(行动模拟!R241),1,0)</f>
        <v>0</v>
      </c>
    </row>
    <row r="239" spans="21:27" ht="27" customHeight="1">
      <c r="U239" s="17" t="str">
        <f>IF(行动模拟!D242="","",ROW(行动模拟!D242))</f>
        <v/>
      </c>
      <c r="V239" s="17" t="str">
        <f>IF(行动模拟!D242="","",后台计算!E236)</f>
        <v/>
      </c>
      <c r="W239" s="17" t="str">
        <f>IF(行动模拟!D242="","",后台计算!F236)</f>
        <v/>
      </c>
      <c r="X239" s="17" t="str">
        <f>IF(行动模拟!D242="","",行动模拟!B242)</f>
        <v/>
      </c>
      <c r="Y239" s="17" t="str">
        <f>IF(行动模拟!D242="","",INDEX(回合状态!$B$7:$B$17,MATCH(行动模拟!B242,回合状态!$A$7:$A$17,0)))</f>
        <v/>
      </c>
      <c r="Z239" s="24" t="str">
        <f>IF(ISNUMBER(行动模拟!R242),行动模拟!R242,"")</f>
        <v/>
      </c>
      <c r="AA239" s="17">
        <f>IF(ISNUMBER(行动模拟!R242),1,0)</f>
        <v>0</v>
      </c>
    </row>
    <row r="240" spans="21:27" ht="27" customHeight="1">
      <c r="U240" s="17" t="str">
        <f>IF(行动模拟!D243="","",ROW(行动模拟!D243))</f>
        <v/>
      </c>
      <c r="V240" s="17" t="str">
        <f>IF(行动模拟!D243="","",后台计算!E237)</f>
        <v/>
      </c>
      <c r="W240" s="17" t="str">
        <f>IF(行动模拟!D243="","",后台计算!F237)</f>
        <v/>
      </c>
      <c r="X240" s="17" t="str">
        <f>IF(行动模拟!D243="","",行动模拟!B243)</f>
        <v/>
      </c>
      <c r="Y240" s="17" t="str">
        <f>IF(行动模拟!D243="","",INDEX(回合状态!$B$7:$B$17,MATCH(行动模拟!B243,回合状态!$A$7:$A$17,0)))</f>
        <v/>
      </c>
      <c r="Z240" s="24" t="str">
        <f>IF(ISNUMBER(行动模拟!R243),行动模拟!R243,"")</f>
        <v/>
      </c>
      <c r="AA240" s="17">
        <f>IF(ISNUMBER(行动模拟!R243),1,0)</f>
        <v>0</v>
      </c>
    </row>
    <row r="241" spans="21:27" ht="27" customHeight="1">
      <c r="U241" s="17" t="str">
        <f>IF(行动模拟!D244="","",ROW(行动模拟!D244))</f>
        <v/>
      </c>
      <c r="V241" s="17" t="str">
        <f>IF(行动模拟!D244="","",后台计算!E238)</f>
        <v/>
      </c>
      <c r="W241" s="17" t="str">
        <f>IF(行动模拟!D244="","",后台计算!F238)</f>
        <v/>
      </c>
      <c r="X241" s="17" t="str">
        <f>IF(行动模拟!D244="","",行动模拟!B244)</f>
        <v/>
      </c>
      <c r="Y241" s="17" t="str">
        <f>IF(行动模拟!D244="","",INDEX(回合状态!$B$7:$B$17,MATCH(行动模拟!B244,回合状态!$A$7:$A$17,0)))</f>
        <v/>
      </c>
      <c r="Z241" s="24" t="str">
        <f>IF(ISNUMBER(行动模拟!R244),行动模拟!R244,"")</f>
        <v/>
      </c>
      <c r="AA241" s="17">
        <f>IF(ISNUMBER(行动模拟!R244),1,0)</f>
        <v>0</v>
      </c>
    </row>
    <row r="242" spans="21:27" ht="27" customHeight="1">
      <c r="U242" s="17" t="str">
        <f>IF(行动模拟!D245="","",ROW(行动模拟!D245))</f>
        <v/>
      </c>
      <c r="V242" s="17" t="str">
        <f>IF(行动模拟!D245="","",后台计算!E239)</f>
        <v/>
      </c>
      <c r="W242" s="17" t="str">
        <f>IF(行动模拟!D245="","",后台计算!F239)</f>
        <v/>
      </c>
      <c r="X242" s="17" t="str">
        <f>IF(行动模拟!D245="","",行动模拟!B245)</f>
        <v/>
      </c>
      <c r="Y242" s="17" t="str">
        <f>IF(行动模拟!D245="","",INDEX(回合状态!$B$7:$B$17,MATCH(行动模拟!B245,回合状态!$A$7:$A$17,0)))</f>
        <v/>
      </c>
      <c r="Z242" s="24" t="str">
        <f>IF(ISNUMBER(行动模拟!R245),行动模拟!R245,"")</f>
        <v/>
      </c>
      <c r="AA242" s="17">
        <f>IF(ISNUMBER(行动模拟!R245),1,0)</f>
        <v>0</v>
      </c>
    </row>
    <row r="243" spans="21:27" ht="27" customHeight="1">
      <c r="U243" s="17" t="str">
        <f>IF(行动模拟!D246="","",ROW(行动模拟!D246))</f>
        <v/>
      </c>
      <c r="V243" s="17" t="str">
        <f>IF(行动模拟!D246="","",后台计算!E240)</f>
        <v/>
      </c>
      <c r="W243" s="17" t="str">
        <f>IF(行动模拟!D246="","",后台计算!F240)</f>
        <v/>
      </c>
      <c r="X243" s="17" t="str">
        <f>IF(行动模拟!D246="","",行动模拟!B246)</f>
        <v/>
      </c>
      <c r="Y243" s="17" t="str">
        <f>IF(行动模拟!D246="","",INDEX(回合状态!$B$7:$B$17,MATCH(行动模拟!B246,回合状态!$A$7:$A$17,0)))</f>
        <v/>
      </c>
      <c r="Z243" s="24" t="str">
        <f>IF(ISNUMBER(行动模拟!R246),行动模拟!R246,"")</f>
        <v/>
      </c>
      <c r="AA243" s="17">
        <f>IF(ISNUMBER(行动模拟!R246),1,0)</f>
        <v>0</v>
      </c>
    </row>
    <row r="244" spans="21:27" ht="27" customHeight="1">
      <c r="U244" s="17" t="str">
        <f>IF(行动模拟!D247="","",ROW(行动模拟!D247))</f>
        <v/>
      </c>
      <c r="V244" s="17" t="str">
        <f>IF(行动模拟!D247="","",后台计算!E241)</f>
        <v/>
      </c>
      <c r="W244" s="17" t="str">
        <f>IF(行动模拟!D247="","",后台计算!F241)</f>
        <v/>
      </c>
      <c r="X244" s="17" t="str">
        <f>IF(行动模拟!D247="","",行动模拟!B247)</f>
        <v/>
      </c>
      <c r="Y244" s="17" t="str">
        <f>IF(行动模拟!D247="","",INDEX(回合状态!$B$7:$B$17,MATCH(行动模拟!B247,回合状态!$A$7:$A$17,0)))</f>
        <v/>
      </c>
      <c r="Z244" s="24" t="str">
        <f>IF(ISNUMBER(行动模拟!R247),行动模拟!R247,"")</f>
        <v/>
      </c>
      <c r="AA244" s="17">
        <f>IF(ISNUMBER(行动模拟!R247),1,0)</f>
        <v>0</v>
      </c>
    </row>
    <row r="245" spans="21:27" ht="27" customHeight="1">
      <c r="U245" s="17" t="str">
        <f>IF(行动模拟!D248="","",ROW(行动模拟!D248))</f>
        <v/>
      </c>
      <c r="V245" s="17" t="str">
        <f>IF(行动模拟!D248="","",后台计算!E242)</f>
        <v/>
      </c>
      <c r="W245" s="17" t="str">
        <f>IF(行动模拟!D248="","",后台计算!F242)</f>
        <v/>
      </c>
      <c r="X245" s="17" t="str">
        <f>IF(行动模拟!D248="","",行动模拟!B248)</f>
        <v/>
      </c>
      <c r="Y245" s="17" t="str">
        <f>IF(行动模拟!D248="","",INDEX(回合状态!$B$7:$B$17,MATCH(行动模拟!B248,回合状态!$A$7:$A$17,0)))</f>
        <v/>
      </c>
      <c r="Z245" s="24" t="str">
        <f>IF(ISNUMBER(行动模拟!R248),行动模拟!R248,"")</f>
        <v/>
      </c>
      <c r="AA245" s="17">
        <f>IF(ISNUMBER(行动模拟!R248),1,0)</f>
        <v>0</v>
      </c>
    </row>
  </sheetData>
  <sheetProtection algorithmName="SHA-512" hashValue="mnQCRYnaGUSqKWb+DOfsaXZPfB/1uPju+xKn7mveUpspdfzV/xeUvWihdEBDjfhnREzYkEtNPq6uUPigYfrlVQ==" saltValue="KElZ/HwBmyyQfZkgCs64nA==" spinCount="100000" sheet="1" objects="1" scenarios="1"/>
  <mergeCells count="40">
    <mergeCell ref="J137:M137"/>
    <mergeCell ref="J138:M138"/>
    <mergeCell ref="H107:R107"/>
    <mergeCell ref="H108:R108"/>
    <mergeCell ref="H109:R109"/>
    <mergeCell ref="H110:R110"/>
    <mergeCell ref="H111:R111"/>
    <mergeCell ref="H112:R112"/>
    <mergeCell ref="H113:R113"/>
    <mergeCell ref="H114:R114"/>
    <mergeCell ref="H115:R115"/>
    <mergeCell ref="J124:R125"/>
    <mergeCell ref="A127:R127"/>
    <mergeCell ref="J129:R133"/>
    <mergeCell ref="J135:R135"/>
    <mergeCell ref="J136:M136"/>
    <mergeCell ref="J120:M120"/>
    <mergeCell ref="O120:R120"/>
    <mergeCell ref="J121:M121"/>
    <mergeCell ref="O121:R121"/>
    <mergeCell ref="J122:M122"/>
    <mergeCell ref="O122:R122"/>
    <mergeCell ref="J118:R118"/>
    <mergeCell ref="J119:M119"/>
    <mergeCell ref="O119:R119"/>
    <mergeCell ref="A27:I27"/>
    <mergeCell ref="K27:R27"/>
    <mergeCell ref="A55:I55"/>
    <mergeCell ref="K55:R55"/>
    <mergeCell ref="A81:R81"/>
    <mergeCell ref="A1:R1"/>
    <mergeCell ref="A2:R3"/>
    <mergeCell ref="A5:D5"/>
    <mergeCell ref="A6:D7"/>
    <mergeCell ref="F5:I5"/>
    <mergeCell ref="F6:I7"/>
    <mergeCell ref="K5:N5"/>
    <mergeCell ref="K6:N7"/>
    <mergeCell ref="P5:R5"/>
    <mergeCell ref="P6:R7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角色面板</vt:lpstr>
      <vt:lpstr>技能数据库</vt:lpstr>
      <vt:lpstr>Boss参数</vt:lpstr>
      <vt:lpstr>行动模拟</vt:lpstr>
      <vt:lpstr>验证表</vt:lpstr>
      <vt:lpstr>后台计算</vt:lpstr>
      <vt:lpstr>回合状态</vt:lpstr>
      <vt:lpstr>核对说明</vt:lpstr>
      <vt:lpstr>使用说明</vt:lpstr>
      <vt:lpstr>雨声层数明细</vt:lpstr>
      <vt:lpstr>伤害统计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Levi Ackerman</cp:lastModifiedBy>
  <cp:lastPrinted>2026-10-07T11:32:18Z</cp:lastPrinted>
  <dcterms:modified xsi:type="dcterms:W3CDTF">2026-10-07T11:35:39Z</dcterms:modified>
</cp:coreProperties>
</file>