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FONDOS" sheetId="1" r:id="rId1"/>
  </sheets>
</workbook>
</file>

<file path=xl/comments1.xml><?xml version="1.0" encoding="utf-8"?>
<comments xmlns="http://schemas.openxmlformats.org/spreadsheetml/2006/main">
  <authors>
    <author>Microsoft Office User</author>
  </authors>
  <commentList>
    <comment ref="C3" authorId="0">
      <text>
        <t xml:space="preserve">INCLUYE COMISION DE ENTRADA Y DE SALIDA
</t>
      </text>
    </comment>
    <comment ref="H3" authorId="0">
      <text>
        <t xml:space="preserve">descontando comision de venta
</t>
      </text>
    </comment>
    <comment ref="I3" authorId="0">
      <text>
        <t xml:space="preserve">PESOS
</t>
      </text>
    </comment>
    <comment ref="C17" authorId="0">
      <text>
        <t xml:space="preserve">INCLUYE COMISION DE ENTRADA Y DE SALIDA
</t>
      </text>
    </comment>
    <comment ref="H17" authorId="0">
      <text>
        <t xml:space="preserve">descontando comision de venta
</t>
      </text>
    </comment>
    <comment ref="B18" authorId="0">
      <text>
        <t xml:space="preserve">APROX
</t>
      </text>
    </comment>
    <comment ref="D26" authorId="0">
      <text>
        <t>A 1 o 2  MESES</t>
      </text>
    </comment>
    <comment ref="F26" authorId="0">
      <text>
        <t xml:space="preserve">ANTES DE LA CRISIS
</t>
      </text>
    </comment>
    <comment ref="S26" authorId="0">
      <text>
        <t xml:space="preserve">promedio yahoo finance y tip ranks
</t>
      </text>
    </comment>
    <comment ref="U26" authorId="0">
      <text>
        <t xml:space="preserve">promedio yahoo finance y tip ranks
</t>
      </text>
    </comment>
    <comment ref="W26" authorId="0">
      <text>
        <t xml:space="preserve">promedio yahoo finance y tip ranks
</t>
      </text>
    </comment>
    <comment ref="F29" authorId="0">
      <text>
        <t xml:space="preserve">comprar en $4,180
</t>
      </text>
    </comment>
    <comment ref="F30" authorId="0">
      <text>
        <t xml:space="preserve">comprar en $4,600
</t>
      </text>
    </comment>
    <comment ref="F31" authorId="0">
      <text>
        <t xml:space="preserve">comprar en $2,970
</t>
      </text>
    </comment>
    <comment ref="F34" authorId="0">
      <text>
        <t xml:space="preserve">comprar en $220
</t>
      </text>
    </comment>
    <comment ref="F37" authorId="0">
      <text>
        <t xml:space="preserve">comprar en $5,500
</t>
      </text>
    </comment>
    <comment ref="F38" authorId="0">
      <text>
        <t xml:space="preserve">comprar en $2,970
</t>
      </text>
    </comment>
    <comment ref="F49" authorId="0">
      <text>
        <t xml:space="preserve">COMPRAR EN 1,065
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4">
    <numFmt numFmtId="6" formatCode="&quot;$&quot;#,##0;[Red]\-&quot;$&quot;#,##0"/>
    <numFmt numFmtId="8" formatCode="&quot;$&quot;#,##0.00;[Red]\-&quot;$&quot;#,##0.00"/>
    <numFmt numFmtId="56" formatCode="&quot;上午/下午 &quot;hh&quot;時&quot;mm&quot;分&quot;ss&quot;秒 &quot;"/>
    <numFmt numFmtId="168" formatCode="&quot;$&quot;#,##0.00"/>
    <numFmt numFmtId="169" formatCode="&quot;$&quot;#,##0.0000;[Red]\-&quot;$&quot;#,##0.0000"/>
    <numFmt numFmtId="173" formatCode="0.00000"/>
    <numFmt numFmtId="175" formatCode="0.0000000"/>
    <numFmt numFmtId="176" formatCode="_-[$$-409]* #,##0.00_ ;_-[$$-409]* \-#,##0.00\ ;_-[$$-409]* &quot;-&quot;??_ ;_-@_ "/>
    <numFmt numFmtId="179" formatCode="#,##0.000000"/>
    <numFmt numFmtId="181" formatCode="&quot;$&quot;#,##0.000000;[Red]\-&quot;$&quot;#,##0.000000"/>
    <numFmt numFmtId="182" formatCode="&quot;$&quot;#,##0.0000000;[Red]\-&quot;$&quot;#,##0.0000000"/>
    <numFmt numFmtId="192" formatCode="&quot;$&quot;#,##0"/>
    <numFmt numFmtId="207" formatCode="[$USD]\ #,##0.00"/>
    <numFmt numFmtId="222" formatCode="dd/mm/yy;@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52"/>
  <sheetViews>
    <sheetView workbookViewId="0" rightToLeft="0"/>
  </sheetViews>
  <sheetData>
    <row r="1">
      <c r="F1">
        <v>20.16</v>
      </c>
      <c r="G1" t="str">
        <v>TIPO DE CAMBIO</v>
      </c>
    </row>
    <row r="2">
      <c r="A2" t="str">
        <v>ADCF VECTOR</v>
      </c>
      <c r="G2" t="str">
        <v>comision</v>
      </c>
      <c r="H2">
        <v>1.00174</v>
      </c>
    </row>
    <row r="3">
      <c r="A3" t="str">
        <v>EMISORA</v>
      </c>
      <c r="B3" t="str">
        <v>TITULOS</v>
      </c>
      <c r="C3" t="str">
        <v>COSTO PROM</v>
      </c>
      <c r="D3" t="str">
        <v>PRECIO ACTUAL USD</v>
      </c>
      <c r="E3" t="str">
        <v>ULTIMO PRECIO PESOS</v>
      </c>
      <c r="F3" t="str">
        <v>UTILIDAD ACTUAL</v>
      </c>
      <c r="G3" t="str">
        <v>% MARG ACTUAL</v>
      </c>
      <c r="H3" t="str">
        <v>TOTAL ACTUAL</v>
      </c>
      <c r="I3" t="str">
        <v>POSTURA COMPRA / VENTA</v>
      </c>
      <c r="J3" t="str">
        <v>UTILIDAD CON POST. VENTA</v>
      </c>
      <c r="K3" t="str">
        <v>% MARGEN CON POSTURA VENTA</v>
      </c>
      <c r="L3" t="str">
        <v>MONTO TOTAL CON POSTURA VENTA</v>
      </c>
    </row>
    <row r="4">
      <c r="A4" t="str">
        <v xml:space="preserve"> Credito disponible</v>
      </c>
    </row>
    <row r="5">
      <c r="A5" t="str">
        <v>VECPRE</v>
      </c>
      <c r="B5">
        <v>1</v>
      </c>
      <c r="C5">
        <v>1.765217</v>
      </c>
      <c r="D5">
        <v>1.765217</v>
      </c>
      <c r="E5">
        <v>1.765217</v>
      </c>
      <c r="H5">
        <f>(B5*E5)</f>
        <v>1.765217</v>
      </c>
    </row>
    <row r="6">
      <c r="A6" t="str">
        <v>AMZN</v>
      </c>
      <c r="B6">
        <v>1</v>
      </c>
      <c r="C6">
        <f>62802*1.0035</f>
        <v>63021.807</v>
      </c>
      <c r="D6">
        <f>B32</f>
        <v>3156</v>
      </c>
      <c r="E6">
        <f>D6*$F$1</f>
        <v>63624.96</v>
      </c>
      <c r="F6">
        <f>H6-(B6*C6)</f>
        <v>603.1529999999984</v>
      </c>
      <c r="G6">
        <f>((B6*E6)/(B6*C6))-1</f>
        <v>0.009570544367285327</v>
      </c>
      <c r="H6">
        <f>B6*E6</f>
        <v>63624.96</v>
      </c>
      <c r="I6">
        <v>63700</v>
      </c>
      <c r="J6">
        <f>L6-(B6*C6)</f>
        <v>567.3550000000032</v>
      </c>
      <c r="K6">
        <f>1-(C6/I6)</f>
        <v>0.010646671899529059</v>
      </c>
      <c r="L6">
        <f>(I6*B6)*0.99826</f>
        <v>63589.162000000004</v>
      </c>
    </row>
    <row r="7">
      <c r="A7" t="str">
        <v>BABA</v>
      </c>
      <c r="B7">
        <v>1</v>
      </c>
      <c r="C7">
        <f>2096*1.0035</f>
        <v>2103.3360000000002</v>
      </c>
      <c r="D7">
        <f>B37</f>
        <v>104.3</v>
      </c>
      <c r="E7">
        <f>D7*$F$1</f>
        <v>2102.688</v>
      </c>
      <c r="F7">
        <f>H7-(B7*C7)</f>
        <v>-0.6480000000001382</v>
      </c>
      <c r="G7">
        <f>((B7*E7)/(B7*C7))-1</f>
        <v>-0.00030808201827958737</v>
      </c>
      <c r="H7">
        <f>B7*E7</f>
        <v>2102.688</v>
      </c>
      <c r="I7">
        <v>2114</v>
      </c>
      <c r="J7">
        <f>L7-(B7*C7)</f>
        <v>6.985639999999876</v>
      </c>
      <c r="K7">
        <f>1-(C7/I7)</f>
        <v>0.005044465468306392</v>
      </c>
      <c r="L7">
        <f>(I7*B7)*0.99826</f>
        <v>2110.32164</v>
      </c>
    </row>
    <row r="8">
      <c r="A8" t="str">
        <v>FB</v>
      </c>
      <c r="B8">
        <v>1</v>
      </c>
      <c r="C8">
        <f>4455*1.0035</f>
        <v>4470.592500000001</v>
      </c>
      <c r="D8">
        <f>B28</f>
        <v>223</v>
      </c>
      <c r="E8">
        <f>D8*$F$1</f>
        <v>4495.68</v>
      </c>
      <c r="F8">
        <f>H8-(B8*C8)</f>
        <v>25.087499999999636</v>
      </c>
      <c r="G8">
        <f>((B8*E8)/(B8*C8))-1</f>
        <v>0.0056116722783388084</v>
      </c>
      <c r="H8">
        <f>B8*E8</f>
        <v>4495.68</v>
      </c>
      <c r="I8">
        <v>4511</v>
      </c>
      <c r="J8">
        <f>L8-(B8*C8)</f>
        <v>32.558359999999084</v>
      </c>
      <c r="K8">
        <f>1-(C8/I8)</f>
        <v>0.008957548215473121</v>
      </c>
      <c r="L8">
        <f>(I8*B8)*0.99826</f>
        <v>4503.15086</v>
      </c>
    </row>
    <row r="9">
      <c r="A9" t="str">
        <v>NFLX</v>
      </c>
      <c r="B9">
        <v>1</v>
      </c>
      <c r="C9">
        <f>7230*1.0035</f>
        <v>7255.305</v>
      </c>
      <c r="D9">
        <f>B38</f>
        <v>362.15</v>
      </c>
      <c r="E9">
        <f>D9*$F$1</f>
        <v>7300.9439999999995</v>
      </c>
      <c r="F9">
        <f>H9-(B9*C9)</f>
        <v>45.638999999999214</v>
      </c>
      <c r="G9">
        <f>((B9*E9)/(B9*C9))-1</f>
        <v>0.006290431622102632</v>
      </c>
      <c r="H9">
        <f>B9*E9</f>
        <v>7300.9439999999995</v>
      </c>
      <c r="I9">
        <v>7327</v>
      </c>
      <c r="J9">
        <f>L9-(B9*C9)</f>
        <v>58.94602000000032</v>
      </c>
      <c r="K9">
        <f>1-(C9/I9)</f>
        <v>0.009785041626859559</v>
      </c>
      <c r="L9">
        <f>(I9*B9)*0.99826</f>
        <v>7314.251020000001</v>
      </c>
    </row>
    <row r="10">
      <c r="A10" t="str">
        <v>TSLA</v>
      </c>
      <c r="B10">
        <v>1</v>
      </c>
      <c r="C10">
        <f>20730.93*1.0035</f>
        <v>20803.488255</v>
      </c>
      <c r="D10">
        <f>B27</f>
        <v>1057.26</v>
      </c>
      <c r="E10">
        <f>D10*$F$1</f>
        <v>21314.3616</v>
      </c>
      <c r="F10">
        <f>H10-(B10*C10)</f>
        <v>510.873345</v>
      </c>
      <c r="G10">
        <f>((B10*E10)/(B10*C10))-1</f>
        <v>0.02455710017175683</v>
      </c>
      <c r="H10">
        <f>B10*E10</f>
        <v>21314.3616</v>
      </c>
      <c r="I10">
        <v>21400</v>
      </c>
      <c r="J10">
        <f>L10-(B10*C10)</f>
        <v>559.275744999999</v>
      </c>
      <c r="K10">
        <f>1-(C10/I10)</f>
        <v>0.0278743806074766</v>
      </c>
      <c r="L10">
        <f>(I10*B10)*0.99826</f>
        <v>21362.764</v>
      </c>
    </row>
    <row r="11">
      <c r="A11" t="str">
        <v>UA</v>
      </c>
      <c r="B11">
        <v>1</v>
      </c>
      <c r="C11">
        <f>319.33*1.0035</f>
        <v>320.447655</v>
      </c>
      <c r="D11">
        <f>B34</f>
        <v>16.08</v>
      </c>
      <c r="E11">
        <f>D11*$F$1</f>
        <v>324.1728</v>
      </c>
      <c r="F11">
        <f>H11-(B11*C11)</f>
        <v>3.7251449999999977</v>
      </c>
      <c r="G11">
        <f>((B11*E11)/(B11*C11))-1</f>
        <v>0.01162481591572262</v>
      </c>
      <c r="H11">
        <f>B11*E11</f>
        <v>324.1728</v>
      </c>
      <c r="I11">
        <v>325.3</v>
      </c>
      <c r="J11">
        <f>L11-(B11*C11)</f>
        <v>4.2863230000000385</v>
      </c>
      <c r="K11">
        <f>1-(C11/I11)</f>
        <v>0.014916523209345223</v>
      </c>
      <c r="L11">
        <f>(I11*B11)*0.99826</f>
        <v>324.73397800000004</v>
      </c>
    </row>
    <row r="12">
      <c r="E12" t="str">
        <v xml:space="preserve"> </v>
      </c>
      <c r="F12">
        <f>SUM(F6:F11)</f>
        <v>1187.829989999997</v>
      </c>
      <c r="H12">
        <f>SUM(H5:H11)</f>
        <v>99164.571617</v>
      </c>
      <c r="I12" t="str">
        <v xml:space="preserve"> </v>
      </c>
      <c r="J12">
        <f>SUM(J6:J11)</f>
        <v>1229.4070880000015</v>
      </c>
    </row>
    <row r="14">
      <c r="A14" t="str">
        <v>JJFR VECTOR</v>
      </c>
      <c r="G14" t="str">
        <v>comision</v>
      </c>
      <c r="H14">
        <v>1.00116</v>
      </c>
    </row>
    <row r="16">
      <c r="A16" t="str">
        <v>VECTOR GLOBAL</v>
      </c>
    </row>
    <row r="17">
      <c r="A17" t="str">
        <v>EMISORA</v>
      </c>
      <c r="B17" t="str">
        <v>TITULOS</v>
      </c>
      <c r="C17" t="str">
        <v>COSTO PROM</v>
      </c>
      <c r="D17" t="str">
        <v>PRECIO ACTUAL USD</v>
      </c>
      <c r="E17" t="str">
        <v>ULTIMO PRECIO PESOS EN DLS</v>
      </c>
      <c r="F17" t="str">
        <v>UTILIDAD ACTUAL</v>
      </c>
      <c r="G17" t="str">
        <v>% MARG ACTUAL</v>
      </c>
      <c r="H17" t="str">
        <v>TOTAL ACTUAL</v>
      </c>
      <c r="I17" t="str">
        <v>POSTURA COMPRA / VENTA</v>
      </c>
      <c r="J17" t="str">
        <v>UTILIDAD CON POST. VENTA</v>
      </c>
      <c r="K17" t="str">
        <v>% MARGEN CON POSTURA VENTA</v>
      </c>
      <c r="L17" t="str">
        <v>MONTO TOTAL CON POSTURA VENTA</v>
      </c>
    </row>
    <row r="18">
      <c r="A18" t="str">
        <v>EFECTIVO</v>
      </c>
      <c r="B18">
        <v>1</v>
      </c>
      <c r="C18">
        <f>F1</f>
        <v>20.16</v>
      </c>
      <c r="D18">
        <f>C18</f>
        <v>20.16</v>
      </c>
      <c r="E18">
        <f>C18</f>
        <v>20.16</v>
      </c>
      <c r="H18">
        <f>B18*E18</f>
        <v>20.16</v>
      </c>
    </row>
    <row r="19">
      <c r="A19" t="str">
        <v>FB</v>
      </c>
      <c r="B19">
        <v>1</v>
      </c>
      <c r="C19">
        <f>4867.863003*1.00116</f>
        <v>4873.50972408348</v>
      </c>
      <c r="D19">
        <f>B28</f>
        <v>223</v>
      </c>
      <c r="E19">
        <f>D19*$F$1</f>
        <v>4495.68</v>
      </c>
      <c r="F19">
        <f>H19-(B19*C19)</f>
        <v>-377.82972408347996</v>
      </c>
      <c r="G19">
        <f>((B19*E19)/(B19*C19))-1</f>
        <v>-0.07752723303625608</v>
      </c>
      <c r="H19">
        <f>B19*E19</f>
        <v>4495.68</v>
      </c>
      <c r="I19">
        <v>5000</v>
      </c>
      <c r="J19">
        <f>L19-(B19*C19)</f>
        <v>117.79027591651993</v>
      </c>
      <c r="K19">
        <f>1-(C19/I19)</f>
        <v>0.02529805518330397</v>
      </c>
      <c r="L19">
        <f>(I19*B19)*0.99826</f>
        <v>4991.3</v>
      </c>
    </row>
    <row r="20">
      <c r="A20" t="str">
        <v>V</v>
      </c>
      <c r="B20">
        <v>1</v>
      </c>
      <c r="C20">
        <f>4504.917073*1.00116</f>
        <v>4510.14277680468</v>
      </c>
      <c r="D20">
        <f>B29</f>
        <v>216.25</v>
      </c>
      <c r="E20">
        <f>D20*$F$1</f>
        <v>4359.6</v>
      </c>
      <c r="F20">
        <f>H20-(B20*C20)</f>
        <v>-150.5427768046793</v>
      </c>
      <c r="G20">
        <f>((B20*E20)/(B20*C20))-1</f>
        <v>-0.03337871642975676</v>
      </c>
      <c r="H20">
        <f>B20*E20</f>
        <v>4359.6</v>
      </c>
      <c r="I20">
        <v>4600</v>
      </c>
      <c r="J20">
        <f>L20-(B20*C20)</f>
        <v>81.85322319532042</v>
      </c>
      <c r="K20">
        <f>1-(C20/I20)</f>
        <v>0.019534178955504466</v>
      </c>
      <c r="L20">
        <f>(I20*B20)*0.99826</f>
        <v>4591.996</v>
      </c>
    </row>
    <row r="21">
      <c r="A21" t="str">
        <v>WMT</v>
      </c>
      <c r="B21">
        <v>1</v>
      </c>
      <c r="C21">
        <f>2884.2338382*1.00116</f>
        <v>2887.5795494523118</v>
      </c>
      <c r="D21">
        <f>B31</f>
        <v>156.57</v>
      </c>
      <c r="E21">
        <f>D21*$F$1</f>
        <v>3156.4512</v>
      </c>
      <c r="F21">
        <f>H21-(B21*C21)</f>
        <v>268.8716505476882</v>
      </c>
      <c r="G21">
        <f>((B21*E21)/(B21*C21))-1</f>
        <v>0.09311315790371388</v>
      </c>
      <c r="H21">
        <f>B21*E21</f>
        <v>3156.4512</v>
      </c>
      <c r="I21">
        <v>3300</v>
      </c>
      <c r="J21">
        <f>L21-(B21*C21)</f>
        <v>406.6784505476885</v>
      </c>
      <c r="K21">
        <f>1-(C21/I21)</f>
        <v>0.12497589410536003</v>
      </c>
      <c r="L21">
        <f>(I21*B21)*0.99826</f>
        <v>3294.2580000000003</v>
      </c>
    </row>
    <row r="22">
      <c r="F22">
        <f>SUM(F19:F21)</f>
        <v>-259.50085034047106</v>
      </c>
      <c r="H22">
        <f>SUM(H18:H21)</f>
        <v>12031.8912</v>
      </c>
      <c r="J22">
        <f>J21+J20+J19</f>
        <v>606.3219496595289</v>
      </c>
    </row>
    <row r="23">
      <c r="D23" t="str">
        <v xml:space="preserve"> </v>
      </c>
      <c r="G23" t="str">
        <v xml:space="preserve"> </v>
      </c>
    </row>
    <row r="25">
      <c r="A25" t="str">
        <v>ANALISIS POR ACCION</v>
      </c>
    </row>
    <row r="26">
      <c r="A26" t="str">
        <v>EMISORA</v>
      </c>
      <c r="B26" t="str">
        <v>VALOR ACTUAL DLS</v>
      </c>
      <c r="C26" t="str">
        <v>VALOR ACTUAL EN PESOS</v>
      </c>
      <c r="D26" t="str">
        <v>P. O.  ADCF / NOTICIAS</v>
      </c>
      <c r="E26" t="str">
        <v>RENTABILIDAD CON MI P. O.</v>
      </c>
      <c r="F26" t="str">
        <v>SOPORTE BAJO ADCF / NIVEL DE ENTRADA</v>
      </c>
      <c r="G26" t="str">
        <v>MAXIMO HISTORICO</v>
      </c>
      <c r="H26" t="str">
        <v>FECHA EXCUPON</v>
      </c>
      <c r="I26" t="str">
        <v>FECHA PAGO DE DIVIDENDO</v>
      </c>
      <c r="J26" t="str">
        <v xml:space="preserve">TENDENCIA </v>
      </c>
      <c r="K26" t="str">
        <v>CAPITALIZACION BURSATIL (miles)</v>
      </c>
      <c r="L26" t="str">
        <v>PATRIMONIO CONTABLE (miles)</v>
      </c>
      <c r="M26" t="str">
        <v>UTILIDAD NETA 2020 (miles)</v>
      </c>
      <c r="O26" t="str">
        <v>UTILIDAD NETA 2019 (miles)</v>
      </c>
      <c r="P26" t="str">
        <v>UTILIDAD NETA 2018 (miles)</v>
      </c>
      <c r="Q26" t="str">
        <v>UTILIDAD NETA 2017 (miles)</v>
      </c>
      <c r="R26" t="str">
        <v>UTILIDAD NETA 2016 (miles)</v>
      </c>
      <c r="S26" t="str">
        <v>PO BAJO</v>
      </c>
      <c r="T26" t="str">
        <v>P. ACTUAL VS PO BAJO</v>
      </c>
      <c r="U26" t="str">
        <v>PO PROMEDIO</v>
      </c>
      <c r="V26" t="str">
        <v>P. ACTUAL VS PO PROM</v>
      </c>
      <c r="W26" t="str">
        <v>PO ALTO</v>
      </c>
      <c r="X26" t="str">
        <v>P. ACTUAL VS PO ALTO</v>
      </c>
    </row>
    <row r="27">
      <c r="A27" t="str">
        <v>TSLA</v>
      </c>
      <c r="B27">
        <v>663.9</v>
      </c>
      <c r="C27">
        <f>F1*B27</f>
      </c>
      <c r="D27">
        <v>1530</v>
      </c>
      <c r="E27">
        <f>1-(B27/D27)</f>
        <v>0.3089803921568628</v>
      </c>
      <c r="F27">
        <v>1030</v>
      </c>
      <c r="G27">
        <v>1243</v>
      </c>
      <c r="H27" t="str">
        <v>N/A</v>
      </c>
      <c r="I27" t="str">
        <v>N/A</v>
      </c>
      <c r="J27" t="str">
        <v>ALZA</v>
      </c>
      <c r="S27">
        <v>141</v>
      </c>
      <c r="T27">
        <f>1-(B27/S27)</f>
        <v>-6.498297872340426</v>
      </c>
      <c r="U27">
        <v>166</v>
      </c>
      <c r="V27">
        <f>1-(B27/U27)</f>
        <v>-5.369036144578313</v>
      </c>
      <c r="W27">
        <v>185</v>
      </c>
      <c r="X27">
        <f>1-(B27/W27)</f>
        <v>-4.714918918918919</v>
      </c>
    </row>
    <row r="28">
      <c r="A28" t="str">
        <v>FB</v>
      </c>
      <c r="B28">
        <v>193.54</v>
      </c>
      <c r="C28">
        <f>F1*B28</f>
      </c>
      <c r="D28">
        <v>300</v>
      </c>
      <c r="E28">
        <f>1-(B28/D28)</f>
        <v>0.2566666666666667</v>
      </c>
      <c r="F28">
        <v>220</v>
      </c>
      <c r="G28">
        <v>384</v>
      </c>
      <c r="J28" t="str">
        <v>ALZA</v>
      </c>
    </row>
    <row r="29">
      <c r="A29" t="str">
        <v>V</v>
      </c>
      <c r="B29">
        <v>199.03</v>
      </c>
      <c r="C29">
        <f>F1*B29</f>
      </c>
      <c r="D29">
        <v>260</v>
      </c>
      <c r="E29">
        <f>1-(B29/D29)</f>
        <v>0.16826923076923073</v>
      </c>
      <c r="F29">
        <v>204</v>
      </c>
      <c r="G29">
        <v>214.17</v>
      </c>
      <c r="H29">
        <v>44147</v>
      </c>
      <c r="I29">
        <v>44166</v>
      </c>
      <c r="J29" t="str">
        <v>ALZA</v>
      </c>
      <c r="K29">
        <f>(2214000)*B29</f>
        <v>478777500</v>
      </c>
      <c r="L29">
        <v>35524000</v>
      </c>
      <c r="O29">
        <v>12080000</v>
      </c>
      <c r="P29">
        <v>10301000</v>
      </c>
      <c r="Q29">
        <v>6699000</v>
      </c>
      <c r="R29">
        <v>5991000</v>
      </c>
      <c r="S29">
        <v>245</v>
      </c>
      <c r="T29">
        <f>1-(B29/S29)</f>
        <v>0.11734693877551017</v>
      </c>
      <c r="U29">
        <v>270</v>
      </c>
      <c r="V29">
        <f>1-(B29/U29)</f>
        <v>0.19907407407407407</v>
      </c>
      <c r="W29">
        <v>297</v>
      </c>
      <c r="X29">
        <f>1-(B29/W29)</f>
        <v>0.27188552188552184</v>
      </c>
    </row>
    <row r="30">
      <c r="A30" t="str">
        <v>BRK B</v>
      </c>
      <c r="B30">
        <v>4.971</v>
      </c>
      <c r="C30">
        <f>F1*B30</f>
      </c>
      <c r="D30">
        <v>364</v>
      </c>
      <c r="E30">
        <f>1-(B30/D30)</f>
        <v>0.04670329670329665</v>
      </c>
      <c r="F30">
        <v>210</v>
      </c>
      <c r="G30">
        <v>231.61</v>
      </c>
      <c r="H30" t="str">
        <v>N/A</v>
      </c>
      <c r="I30" t="str">
        <v>N/A</v>
      </c>
      <c r="J30" t="str">
        <v>ALZA</v>
      </c>
      <c r="K30">
        <f>(2450918)*B30</f>
        <v>850468546</v>
      </c>
      <c r="L30">
        <v>393495000</v>
      </c>
      <c r="O30">
        <v>81417000</v>
      </c>
      <c r="P30">
        <v>4021000</v>
      </c>
      <c r="Q30">
        <v>44940000</v>
      </c>
      <c r="R30">
        <v>24074000</v>
      </c>
      <c r="S30">
        <v>220</v>
      </c>
      <c r="T30">
        <f>1-(B30/S30)</f>
        <v>-0.5772727272727274</v>
      </c>
      <c r="U30">
        <v>226.5</v>
      </c>
      <c r="V30">
        <f>1-(B30/U30)</f>
        <v>-0.5320088300220751</v>
      </c>
      <c r="W30">
        <v>233</v>
      </c>
      <c r="X30">
        <f>1-(B30/W30)</f>
        <v>-0.4892703862660943</v>
      </c>
    </row>
    <row r="31">
      <c r="A31" t="str">
        <v>WMT</v>
      </c>
      <c r="B31">
        <v>119.2</v>
      </c>
      <c r="C31">
        <f>F1*B31</f>
      </c>
      <c r="D31">
        <v>160</v>
      </c>
      <c r="E31">
        <f>1-(B31/D31)</f>
        <v>0.021437499999999998</v>
      </c>
      <c r="F31">
        <v>136</v>
      </c>
      <c r="G31">
        <v>141.07</v>
      </c>
      <c r="H31">
        <v>44152</v>
      </c>
      <c r="I31">
        <v>44152</v>
      </c>
      <c r="J31" t="str">
        <v>ALZA</v>
      </c>
      <c r="S31">
        <v>140</v>
      </c>
      <c r="T31">
        <f>1-(B31/S31)</f>
        <v>-0.11835714285714283</v>
      </c>
      <c r="U31">
        <v>165</v>
      </c>
      <c r="V31">
        <f>1-(B31/U31)</f>
        <v>0.05109090909090919</v>
      </c>
      <c r="W31">
        <v>184</v>
      </c>
      <c r="X31">
        <f>1-(B31/W31)</f>
        <v>0.14907608695652175</v>
      </c>
    </row>
    <row r="32">
      <c r="A32" t="str">
        <v>AMZ</v>
      </c>
      <c r="B32">
        <v>2</v>
      </c>
      <c r="C32">
        <f>F1*B32</f>
      </c>
    </row>
    <row r="33">
      <c r="A33" t="str">
        <v>AAPL</v>
      </c>
      <c r="B33">
        <v>137.59</v>
      </c>
      <c r="C33">
        <f>F1*B33</f>
      </c>
    </row>
    <row r="34">
      <c r="A34" t="str">
        <v>UAA</v>
      </c>
      <c r="B34">
        <v>9.64</v>
      </c>
      <c r="C34">
        <f>F1*B34</f>
      </c>
      <c r="D34">
        <v>24</v>
      </c>
      <c r="E34">
        <f>1-(B34/D34)</f>
        <v>0.33000000000000007</v>
      </c>
      <c r="F34">
        <v>10</v>
      </c>
      <c r="G34">
        <v>49</v>
      </c>
      <c r="H34">
        <v>44137</v>
      </c>
      <c r="I34">
        <v>44141</v>
      </c>
      <c r="J34" t="str">
        <v>ALZA</v>
      </c>
      <c r="K34">
        <f>(450964)*B34</f>
        <v>7251501.119999999</v>
      </c>
      <c r="L34">
        <v>1423414</v>
      </c>
      <c r="O34">
        <v>92139</v>
      </c>
      <c r="P34">
        <v>-46302</v>
      </c>
      <c r="Q34">
        <v>-48260</v>
      </c>
      <c r="R34">
        <v>197979</v>
      </c>
      <c r="S34">
        <f>(5+6)/2</f>
        <v>5.5</v>
      </c>
      <c r="T34">
        <f>1-(B34/S34)</f>
        <v>-1.9236363636363634</v>
      </c>
      <c r="U34">
        <f>(10.39+10.63)/2</f>
        <v>10.510000000000002</v>
      </c>
      <c r="V34">
        <f>1-(B34/U34)</f>
        <v>-0.5299714557564221</v>
      </c>
      <c r="W34">
        <f>(16+14)/2</f>
        <v>15</v>
      </c>
      <c r="X34">
        <f>1-(B34/W34)</f>
        <v>-0.07199999999999984</v>
      </c>
    </row>
    <row r="35">
      <c r="A35" t="str">
        <v>GOOGL</v>
      </c>
      <c r="B35">
        <v>2</v>
      </c>
      <c r="C35">
        <f>F1*B35</f>
      </c>
      <c r="D35">
        <v>3400</v>
      </c>
      <c r="E35">
        <f>1-(B35/D35)</f>
        <v>0.2008823529411765</v>
      </c>
    </row>
    <row r="36">
      <c r="A36" t="str">
        <v>MSFT</v>
      </c>
      <c r="B36">
        <v>252.56</v>
      </c>
      <c r="C36">
        <f>F1*B36</f>
      </c>
    </row>
    <row r="37">
      <c r="A37" t="str">
        <v>BABA</v>
      </c>
      <c r="B37">
        <v>86.79</v>
      </c>
      <c r="C37">
        <f>F1*B37</f>
      </c>
      <c r="D37">
        <v>295</v>
      </c>
      <c r="E37">
        <f>1-(B37/D37)</f>
        <v>0.6464406779661017</v>
      </c>
      <c r="F37">
        <v>275</v>
      </c>
      <c r="G37">
        <v>268</v>
      </c>
      <c r="H37">
        <v>44134</v>
      </c>
      <c r="I37">
        <v>44138</v>
      </c>
      <c r="J37" t="str">
        <v>ALZA</v>
      </c>
      <c r="K37">
        <f>(2668250)*B37</f>
        <v>278298475</v>
      </c>
      <c r="L37">
        <v>116894342</v>
      </c>
      <c r="O37" t="e">
        <f>149263000*3.18/#REF!</f>
        <v>#REF!</v>
      </c>
      <c r="P37" t="e">
        <f>87600000*3.18/#REF!</f>
        <v>#REF!</v>
      </c>
      <c r="Q37" t="e">
        <f>63985000*3.18/#REF!</f>
        <v>#REF!</v>
      </c>
      <c r="R37" t="e">
        <f>43675000*3.18/#REF!</f>
        <v>#REF!</v>
      </c>
      <c r="S37">
        <f>(220.63+216)/2</f>
        <v>218.315</v>
      </c>
      <c r="T37">
        <f>1-(B37/S37)</f>
        <v>0.5222499599202987</v>
      </c>
      <c r="U37">
        <f>(293.29+288.6)/2</f>
        <v>290.94500000000005</v>
      </c>
      <c r="V37">
        <f>1-(B37/U37)</f>
        <v>0.6415130007389713</v>
      </c>
      <c r="W37">
        <f>(329.32+325)/2</f>
        <v>327.15999999999997</v>
      </c>
      <c r="X37">
        <f>1-(B37/W37)</f>
        <v>0.6811957452011248</v>
      </c>
    </row>
    <row r="38">
      <c r="A38" t="str">
        <v>NFLX</v>
      </c>
      <c r="B38">
        <v>186.35</v>
      </c>
      <c r="C38">
        <f>F1*B38</f>
      </c>
      <c r="D38">
        <v>500</v>
      </c>
      <c r="E38">
        <f>1-(B38/D38)</f>
        <v>0.27570000000000006</v>
      </c>
      <c r="F38">
        <v>136</v>
      </c>
      <c r="G38">
        <v>141.07</v>
      </c>
    </row>
    <row r="39">
      <c r="A39" t="str">
        <v>SBUX</v>
      </c>
      <c r="B39">
        <v>73.39</v>
      </c>
      <c r="C39">
        <f>F1*B39</f>
      </c>
    </row>
    <row r="40">
      <c r="A40" t="str">
        <v>MELI</v>
      </c>
      <c r="B40">
        <v>775.65</v>
      </c>
      <c r="C40">
        <f>F1*B40</f>
      </c>
    </row>
    <row r="41">
      <c r="A41" t="str">
        <v>BKNG</v>
      </c>
      <c r="B41">
        <v>2</v>
      </c>
      <c r="C41">
        <f>F1*B41</f>
      </c>
    </row>
    <row r="42">
      <c r="A42" t="str">
        <v>EXPE</v>
      </c>
      <c r="B42">
        <v>124.59</v>
      </c>
      <c r="C42">
        <f>F1*B42</f>
      </c>
      <c r="E42" t="e">
        <f>1-(B42/D42)</f>
        <v>#DIV/0!</v>
      </c>
    </row>
    <row r="43">
      <c r="A43" t="str">
        <v>TRIP</v>
      </c>
      <c r="B43">
        <v>24.65</v>
      </c>
      <c r="C43">
        <f>F1*B43</f>
      </c>
    </row>
    <row r="44">
      <c r="A44" t="str">
        <v>TRVG</v>
      </c>
      <c r="B44">
        <v>1.67</v>
      </c>
      <c r="C44">
        <f>F1*B44</f>
      </c>
    </row>
    <row r="45">
      <c r="A45" t="str">
        <v>FSLR</v>
      </c>
      <c r="B45">
        <v>65.77</v>
      </c>
      <c r="C45">
        <f>F1*B45</f>
      </c>
    </row>
    <row r="46">
      <c r="A46" t="str">
        <v>SPWR</v>
      </c>
      <c r="B46">
        <v>16.6</v>
      </c>
      <c r="C46">
        <f>F1*B46</f>
      </c>
    </row>
    <row r="47">
      <c r="A47" t="str">
        <v>RUN</v>
      </c>
      <c r="B47">
        <v>23.07</v>
      </c>
      <c r="C47">
        <f>F1*B47</f>
      </c>
    </row>
    <row r="48">
      <c r="A48" t="str">
        <v>NVDA</v>
      </c>
      <c r="B48">
        <v>166.94</v>
      </c>
      <c r="C48">
        <f>F1*B48</f>
      </c>
    </row>
    <row r="49">
      <c r="A49" t="str">
        <v>INTC</v>
      </c>
      <c r="B49">
        <v>41.65</v>
      </c>
      <c r="C49">
        <f>F1*B49</f>
      </c>
      <c r="D49">
        <v>66</v>
      </c>
      <c r="E49">
        <f>1-(B49/D49)</f>
        <v>0.27969696969696967</v>
      </c>
      <c r="F49">
        <v>55</v>
      </c>
      <c r="G49">
        <v>75</v>
      </c>
      <c r="J49" t="str">
        <v>ALZA</v>
      </c>
      <c r="K49">
        <f>(4246000)*B49</f>
        <v>201854840</v>
      </c>
      <c r="L49">
        <v>82010000</v>
      </c>
      <c r="O49">
        <v>21048000</v>
      </c>
      <c r="P49">
        <v>21053000</v>
      </c>
      <c r="Q49">
        <v>9601000</v>
      </c>
      <c r="R49">
        <v>10316000</v>
      </c>
      <c r="S49">
        <v>40</v>
      </c>
      <c r="T49">
        <f>1-(B49/S49)</f>
        <v>-0.1884999999999999</v>
      </c>
      <c r="U49">
        <v>63</v>
      </c>
      <c r="V49">
        <f>1-(B49/U49)</f>
        <v>0.2453968253968254</v>
      </c>
      <c r="W49">
        <v>85</v>
      </c>
      <c r="X49">
        <f>1-(B49/W49)</f>
        <v>0.44070588235294117</v>
      </c>
      <c r="Y49">
        <v>44247</v>
      </c>
    </row>
    <row r="50">
      <c r="A50" t="str">
        <v>AMD</v>
      </c>
      <c r="B50">
        <v>93.5</v>
      </c>
      <c r="C50">
        <f>F1*B50</f>
      </c>
    </row>
  </sheetData>
  <pageMargins left="0.7" right="0.7" top="0.75" bottom="0.75" header="0.3" footer="0.3"/>
  <ignoredErrors>
    <ignoredError numberStoredAsText="1" sqref="A1:AM52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FONDOS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2009-02-15T19:56:39Z</dcterms:created>
  <dcterms:modified xsi:type="dcterms:W3CDTF">2022-04-08T13:34:12Z</dcterms:modified>
  <cp:lastModifiedBy>Microsoft Office User</cp:lastModifiedBy>
  <cp:lastPrinted>2016-08-05T05:36:23Z</cp:lastPrinted>
  <dc:creator>Daniel</dc:creator>
</cp:coreProperties>
</file>