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L1500_2018 campaign/Coal characterization/"/>
    </mc:Choice>
  </mc:AlternateContent>
  <xr:revisionPtr revIDLastSave="0" documentId="13_ncr:1_{0CE4C4B1-9368-9848-A64A-7C4772F033B1}" xr6:coauthVersionLast="36" xr6:coauthVersionMax="36" xr10:uidLastSave="{00000000-0000-0000-0000-000000000000}"/>
  <bookViews>
    <workbookView xWindow="7760" yWindow="460" windowWidth="20580" windowHeight="19540" firstSheet="2" activeTab="5" xr2:uid="{00000000-000D-0000-FFFF-FFFF00000000}"/>
  </bookViews>
  <sheets>
    <sheet name="Analyses" sheetId="1" r:id="rId1"/>
    <sheet name="Black Thunder" sheetId="2" r:id="rId2"/>
    <sheet name="Black Thunder (15%)" sheetId="3" r:id="rId3"/>
    <sheet name="Indonesian" sheetId="4" r:id="rId4"/>
    <sheet name="Sufco" sheetId="5" r:id="rId5"/>
    <sheet name="Sufco_Nov2018" sheetId="9" r:id="rId6"/>
    <sheet name="Riverview Ill. 6" sheetId="7" r:id="rId7"/>
    <sheet name="No. Dakota Lignite" sheetId="6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9" l="1"/>
  <c r="K41" i="9"/>
  <c r="K50" i="9" s="1"/>
  <c r="K52" i="9" s="1"/>
  <c r="K42" i="9"/>
  <c r="K43" i="9"/>
  <c r="K40" i="9"/>
  <c r="L40" i="9" s="1"/>
  <c r="I41" i="9"/>
  <c r="I50" i="9" s="1"/>
  <c r="I51" i="9" s="1"/>
  <c r="I42" i="9"/>
  <c r="I43" i="9"/>
  <c r="J43" i="9" s="1"/>
  <c r="I40" i="9"/>
  <c r="L43" i="9"/>
  <c r="J42" i="9"/>
  <c r="J41" i="9"/>
  <c r="J40" i="9"/>
  <c r="H11" i="9"/>
  <c r="H12" i="9"/>
  <c r="H13" i="9"/>
  <c r="H14" i="9"/>
  <c r="H15" i="9"/>
  <c r="H16" i="9"/>
  <c r="H10" i="9"/>
  <c r="H19" i="9"/>
  <c r="E11" i="9"/>
  <c r="E12" i="9"/>
  <c r="E13" i="9"/>
  <c r="E14" i="9"/>
  <c r="E16" i="9"/>
  <c r="E10" i="9"/>
  <c r="D52" i="9"/>
  <c r="E43" i="9"/>
  <c r="E42" i="9"/>
  <c r="E41" i="9"/>
  <c r="E40" i="9"/>
  <c r="G34" i="9"/>
  <c r="I34" i="9" s="1"/>
  <c r="G33" i="9"/>
  <c r="I33" i="9" s="1"/>
  <c r="G31" i="9"/>
  <c r="K31" i="9" s="1"/>
  <c r="K47" i="9" s="1"/>
  <c r="G30" i="9"/>
  <c r="K30" i="9" s="1"/>
  <c r="G29" i="9"/>
  <c r="K29" i="9" s="1"/>
  <c r="K46" i="9" s="1"/>
  <c r="K48" i="9" s="1"/>
  <c r="G28" i="9"/>
  <c r="K28" i="9" s="1"/>
  <c r="G27" i="9"/>
  <c r="K27" i="9" s="1"/>
  <c r="G25" i="9"/>
  <c r="K25" i="9" s="1"/>
  <c r="G24" i="9"/>
  <c r="K24" i="9" s="1"/>
  <c r="G23" i="9"/>
  <c r="K23" i="9" s="1"/>
  <c r="E19" i="9"/>
  <c r="E40" i="5"/>
  <c r="E41" i="5"/>
  <c r="E42" i="5"/>
  <c r="E39" i="5"/>
  <c r="L41" i="9" l="1"/>
  <c r="K51" i="9"/>
  <c r="I52" i="9"/>
  <c r="L42" i="9"/>
  <c r="I27" i="9"/>
  <c r="I31" i="9"/>
  <c r="I23" i="9"/>
  <c r="K33" i="9"/>
  <c r="I24" i="9"/>
  <c r="I29" i="9"/>
  <c r="K34" i="9"/>
  <c r="I28" i="9"/>
  <c r="I25" i="9"/>
  <c r="I30" i="9"/>
  <c r="K35" i="9" l="1"/>
  <c r="I47" i="9"/>
  <c r="I46" i="9"/>
  <c r="I48" i="9" s="1"/>
  <c r="I49" i="9"/>
  <c r="I35" i="9"/>
  <c r="I37" i="9" s="1"/>
  <c r="K37" i="9"/>
  <c r="E19" i="5" l="1"/>
  <c r="E42" i="7" l="1"/>
  <c r="E41" i="7"/>
  <c r="E40" i="7"/>
  <c r="E39" i="7"/>
  <c r="K40" i="7" l="1"/>
  <c r="K42" i="7"/>
  <c r="K49" i="7"/>
  <c r="K51" i="7" s="1"/>
  <c r="D51" i="7"/>
  <c r="L42" i="7"/>
  <c r="I42" i="7"/>
  <c r="J42" i="7" s="1"/>
  <c r="K41" i="7"/>
  <c r="L41" i="7" s="1"/>
  <c r="I41" i="7"/>
  <c r="J41" i="7" s="1"/>
  <c r="I40" i="7"/>
  <c r="I49" i="7" s="1"/>
  <c r="I51" i="7" s="1"/>
  <c r="J40" i="7"/>
  <c r="K39" i="7"/>
  <c r="L39" i="7"/>
  <c r="I39" i="7"/>
  <c r="J39" i="7" s="1"/>
  <c r="G33" i="7"/>
  <c r="I33" i="7" s="1"/>
  <c r="K33" i="7"/>
  <c r="G32" i="7"/>
  <c r="K32" i="7" s="1"/>
  <c r="G30" i="7"/>
  <c r="K30" i="7" s="1"/>
  <c r="G29" i="7"/>
  <c r="I29" i="7"/>
  <c r="G28" i="7"/>
  <c r="K28" i="7" s="1"/>
  <c r="G27" i="7"/>
  <c r="I27" i="7" s="1"/>
  <c r="K27" i="7"/>
  <c r="G26" i="7"/>
  <c r="K26" i="7" s="1"/>
  <c r="K48" i="7" s="1"/>
  <c r="G24" i="7"/>
  <c r="K24" i="7" s="1"/>
  <c r="G23" i="7"/>
  <c r="I23" i="7" s="1"/>
  <c r="G22" i="7"/>
  <c r="K22" i="7" s="1"/>
  <c r="K19" i="7"/>
  <c r="L19" i="7" s="1"/>
  <c r="I19" i="7"/>
  <c r="J19" i="7" s="1"/>
  <c r="K16" i="7"/>
  <c r="I16" i="7"/>
  <c r="K15" i="7"/>
  <c r="I15" i="7"/>
  <c r="G14" i="7"/>
  <c r="K14" i="7" s="1"/>
  <c r="K13" i="7"/>
  <c r="I13" i="7"/>
  <c r="K12" i="7"/>
  <c r="I12" i="7"/>
  <c r="K11" i="7"/>
  <c r="I11" i="7"/>
  <c r="K10" i="7"/>
  <c r="I10" i="7"/>
  <c r="K6" i="7"/>
  <c r="I6" i="7"/>
  <c r="K5" i="7"/>
  <c r="I5" i="7"/>
  <c r="G4" i="7"/>
  <c r="K4" i="7" s="1"/>
  <c r="F4" i="6"/>
  <c r="F7" i="6" s="1"/>
  <c r="F14" i="6"/>
  <c r="J14" i="6" s="1"/>
  <c r="F22" i="6"/>
  <c r="H22" i="6" s="1"/>
  <c r="F23" i="6"/>
  <c r="J23" i="6" s="1"/>
  <c r="F24" i="6"/>
  <c r="H24" i="6" s="1"/>
  <c r="F26" i="6"/>
  <c r="J26" i="6" s="1"/>
  <c r="J48" i="6" s="1"/>
  <c r="F27" i="6"/>
  <c r="J27" i="6" s="1"/>
  <c r="F28" i="6"/>
  <c r="H28" i="6" s="1"/>
  <c r="F29" i="6"/>
  <c r="H29" i="6" s="1"/>
  <c r="F30" i="6"/>
  <c r="J30" i="6" s="1"/>
  <c r="H30" i="6"/>
  <c r="F32" i="6"/>
  <c r="J32" i="6" s="1"/>
  <c r="F33" i="6"/>
  <c r="J33" i="6" s="1"/>
  <c r="D51" i="6"/>
  <c r="J42" i="6"/>
  <c r="K42" i="6"/>
  <c r="H42" i="6"/>
  <c r="I42" i="6" s="1"/>
  <c r="J41" i="6"/>
  <c r="K41" i="6" s="1"/>
  <c r="H41" i="6"/>
  <c r="I41" i="6"/>
  <c r="J40" i="6"/>
  <c r="K40" i="6"/>
  <c r="H40" i="6"/>
  <c r="H49" i="6" s="1"/>
  <c r="J39" i="6"/>
  <c r="K39" i="6"/>
  <c r="H39" i="6"/>
  <c r="I39" i="6" s="1"/>
  <c r="J29" i="6"/>
  <c r="J19" i="6"/>
  <c r="K19" i="6"/>
  <c r="H19" i="6"/>
  <c r="I19" i="6" s="1"/>
  <c r="J15" i="6"/>
  <c r="H15" i="6"/>
  <c r="J13" i="6"/>
  <c r="H13" i="6"/>
  <c r="J12" i="6"/>
  <c r="H12" i="6"/>
  <c r="J11" i="6"/>
  <c r="H11" i="6"/>
  <c r="J10" i="6"/>
  <c r="H10" i="6"/>
  <c r="J6" i="6"/>
  <c r="H6" i="6"/>
  <c r="J5" i="6"/>
  <c r="H5" i="6"/>
  <c r="D51" i="5"/>
  <c r="K42" i="5"/>
  <c r="L42" i="5" s="1"/>
  <c r="I42" i="5"/>
  <c r="J42" i="5"/>
  <c r="K41" i="5"/>
  <c r="L41" i="5" s="1"/>
  <c r="I41" i="5"/>
  <c r="J41" i="5" s="1"/>
  <c r="K40" i="5"/>
  <c r="L40" i="5" s="1"/>
  <c r="I40" i="5"/>
  <c r="J40" i="5" s="1"/>
  <c r="K39" i="5"/>
  <c r="L39" i="5"/>
  <c r="I39" i="5"/>
  <c r="J39" i="5" s="1"/>
  <c r="G33" i="5"/>
  <c r="I33" i="5"/>
  <c r="G32" i="5"/>
  <c r="K32" i="5" s="1"/>
  <c r="G30" i="5"/>
  <c r="K30" i="5"/>
  <c r="G29" i="5"/>
  <c r="I29" i="5" s="1"/>
  <c r="G28" i="5"/>
  <c r="K28" i="5"/>
  <c r="G27" i="5"/>
  <c r="I27" i="5" s="1"/>
  <c r="K27" i="5"/>
  <c r="G26" i="5"/>
  <c r="I26" i="5" s="1"/>
  <c r="I48" i="5" s="1"/>
  <c r="G24" i="5"/>
  <c r="I24" i="5" s="1"/>
  <c r="G23" i="5"/>
  <c r="K23" i="5" s="1"/>
  <c r="I23" i="5"/>
  <c r="G22" i="5"/>
  <c r="K22" i="5" s="1"/>
  <c r="K19" i="5"/>
  <c r="L19" i="5"/>
  <c r="I19" i="5"/>
  <c r="J19" i="5" s="1"/>
  <c r="K16" i="5"/>
  <c r="I16" i="5"/>
  <c r="K15" i="5"/>
  <c r="I15" i="5"/>
  <c r="G14" i="5"/>
  <c r="I14" i="5" s="1"/>
  <c r="K14" i="5"/>
  <c r="K13" i="5"/>
  <c r="I13" i="5"/>
  <c r="K12" i="5"/>
  <c r="I12" i="5"/>
  <c r="K11" i="5"/>
  <c r="I11" i="5"/>
  <c r="K10" i="5"/>
  <c r="I10" i="5"/>
  <c r="G4" i="5"/>
  <c r="G7" i="5" s="1"/>
  <c r="K6" i="5"/>
  <c r="I6" i="5"/>
  <c r="K5" i="5"/>
  <c r="I5" i="5"/>
  <c r="D51" i="4"/>
  <c r="J42" i="4"/>
  <c r="K42" i="4" s="1"/>
  <c r="H42" i="4"/>
  <c r="I42" i="4" s="1"/>
  <c r="J41" i="4"/>
  <c r="K41" i="4"/>
  <c r="H41" i="4"/>
  <c r="I41" i="4" s="1"/>
  <c r="J40" i="4"/>
  <c r="K40" i="4" s="1"/>
  <c r="H40" i="4"/>
  <c r="I40" i="4" s="1"/>
  <c r="J39" i="4"/>
  <c r="K39" i="4"/>
  <c r="H39" i="4"/>
  <c r="I39" i="4" s="1"/>
  <c r="F33" i="4"/>
  <c r="J33" i="4" s="1"/>
  <c r="F32" i="4"/>
  <c r="J32" i="4" s="1"/>
  <c r="F30" i="4"/>
  <c r="J30" i="4"/>
  <c r="F29" i="4"/>
  <c r="J29" i="4"/>
  <c r="F28" i="4"/>
  <c r="J28" i="4"/>
  <c r="J46" i="4"/>
  <c r="H29" i="4"/>
  <c r="F27" i="4"/>
  <c r="J27" i="4" s="1"/>
  <c r="F26" i="4"/>
  <c r="J26" i="4" s="1"/>
  <c r="F24" i="4"/>
  <c r="J24" i="4"/>
  <c r="H24" i="4"/>
  <c r="F23" i="4"/>
  <c r="H23" i="4"/>
  <c r="F22" i="4"/>
  <c r="J22" i="4" s="1"/>
  <c r="J19" i="4"/>
  <c r="K19" i="4"/>
  <c r="H19" i="4"/>
  <c r="I19" i="4" s="1"/>
  <c r="J16" i="4"/>
  <c r="H16" i="4"/>
  <c r="J15" i="4"/>
  <c r="H15" i="4"/>
  <c r="F14" i="4"/>
  <c r="J14" i="4"/>
  <c r="J13" i="4"/>
  <c r="H13" i="4"/>
  <c r="J12" i="4"/>
  <c r="H12" i="4"/>
  <c r="J11" i="4"/>
  <c r="H11" i="4"/>
  <c r="J10" i="4"/>
  <c r="H10" i="4"/>
  <c r="J6" i="4"/>
  <c r="H6" i="4"/>
  <c r="J5" i="4"/>
  <c r="H5" i="4"/>
  <c r="F4" i="4"/>
  <c r="J4" i="4" s="1"/>
  <c r="D49" i="3"/>
  <c r="D50" i="3" s="1"/>
  <c r="D48" i="3"/>
  <c r="D46" i="3"/>
  <c r="D45" i="3"/>
  <c r="D47" i="3" s="1"/>
  <c r="J42" i="3"/>
  <c r="K42" i="3" s="1"/>
  <c r="H42" i="3"/>
  <c r="I42" i="3"/>
  <c r="J41" i="3"/>
  <c r="K41" i="3" s="1"/>
  <c r="H41" i="3"/>
  <c r="I41" i="3"/>
  <c r="J40" i="3"/>
  <c r="K40" i="3"/>
  <c r="H40" i="3"/>
  <c r="I40" i="3" s="1"/>
  <c r="H49" i="3"/>
  <c r="H51" i="3" s="1"/>
  <c r="J39" i="3"/>
  <c r="K39" i="3" s="1"/>
  <c r="H39" i="3"/>
  <c r="I39" i="3"/>
  <c r="D34" i="3"/>
  <c r="F33" i="3"/>
  <c r="J33" i="3" s="1"/>
  <c r="F32" i="3"/>
  <c r="H32" i="3" s="1"/>
  <c r="J32" i="3"/>
  <c r="F30" i="3"/>
  <c r="H30" i="3" s="1"/>
  <c r="F29" i="3"/>
  <c r="J29" i="3"/>
  <c r="F28" i="3"/>
  <c r="J28" i="3" s="1"/>
  <c r="F27" i="3"/>
  <c r="J27" i="3" s="1"/>
  <c r="F26" i="3"/>
  <c r="J26" i="3" s="1"/>
  <c r="H26" i="3"/>
  <c r="H48" i="3"/>
  <c r="F24" i="3"/>
  <c r="H24" i="3" s="1"/>
  <c r="J24" i="3"/>
  <c r="F23" i="3"/>
  <c r="H23" i="3" s="1"/>
  <c r="F22" i="3"/>
  <c r="J22" i="3" s="1"/>
  <c r="J19" i="3"/>
  <c r="K19" i="3"/>
  <c r="H19" i="3"/>
  <c r="I19" i="3"/>
  <c r="J16" i="3"/>
  <c r="J15" i="3"/>
  <c r="H15" i="3"/>
  <c r="F14" i="3"/>
  <c r="H14" i="3" s="1"/>
  <c r="J13" i="3"/>
  <c r="H13" i="3"/>
  <c r="J12" i="3"/>
  <c r="H12" i="3"/>
  <c r="J11" i="3"/>
  <c r="H11" i="3"/>
  <c r="J10" i="3"/>
  <c r="H10" i="3"/>
  <c r="J6" i="3"/>
  <c r="H6" i="3"/>
  <c r="J5" i="3"/>
  <c r="H5" i="3"/>
  <c r="F4" i="3"/>
  <c r="H4" i="3" s="1"/>
  <c r="J4" i="3"/>
  <c r="J39" i="2"/>
  <c r="K39" i="2" s="1"/>
  <c r="H40" i="2"/>
  <c r="I40" i="2"/>
  <c r="H39" i="2"/>
  <c r="I39" i="2" s="1"/>
  <c r="J40" i="2"/>
  <c r="K40" i="2" s="1"/>
  <c r="H41" i="2"/>
  <c r="I41" i="2" s="1"/>
  <c r="J41" i="2"/>
  <c r="K41" i="2"/>
  <c r="H42" i="2"/>
  <c r="I42" i="2" s="1"/>
  <c r="J42" i="2"/>
  <c r="K42" i="2"/>
  <c r="F32" i="2"/>
  <c r="J32" i="2" s="1"/>
  <c r="H32" i="2"/>
  <c r="F30" i="2"/>
  <c r="H30" i="2" s="1"/>
  <c r="F27" i="2"/>
  <c r="J27" i="2" s="1"/>
  <c r="F26" i="2"/>
  <c r="J26" i="2" s="1"/>
  <c r="F22" i="2"/>
  <c r="H22" i="2"/>
  <c r="F33" i="2"/>
  <c r="H33" i="2" s="1"/>
  <c r="J33" i="2"/>
  <c r="F29" i="2"/>
  <c r="H29" i="2" s="1"/>
  <c r="F28" i="2"/>
  <c r="J28" i="2" s="1"/>
  <c r="F24" i="2"/>
  <c r="J24" i="2" s="1"/>
  <c r="H24" i="2"/>
  <c r="F23" i="2"/>
  <c r="J23" i="2" s="1"/>
  <c r="J22" i="2"/>
  <c r="J19" i="2"/>
  <c r="K19" i="2" s="1"/>
  <c r="H19" i="2"/>
  <c r="I19" i="2"/>
  <c r="J15" i="2"/>
  <c r="H15" i="2"/>
  <c r="J13" i="2"/>
  <c r="H13" i="2"/>
  <c r="J12" i="2"/>
  <c r="H12" i="2"/>
  <c r="J11" i="2"/>
  <c r="H11" i="2"/>
  <c r="J10" i="2"/>
  <c r="H10" i="2"/>
  <c r="F14" i="2"/>
  <c r="H5" i="2"/>
  <c r="J5" i="2"/>
  <c r="H6" i="2"/>
  <c r="J6" i="2"/>
  <c r="F4" i="2"/>
  <c r="F7" i="2" s="1"/>
  <c r="H4" i="2"/>
  <c r="D7" i="2"/>
  <c r="D49" i="2"/>
  <c r="D50" i="2" s="1"/>
  <c r="D48" i="2"/>
  <c r="D46" i="2"/>
  <c r="D45" i="2"/>
  <c r="D47" i="2" s="1"/>
  <c r="D34" i="2"/>
  <c r="D16" i="2"/>
  <c r="D14" i="2" s="1"/>
  <c r="J16" i="2"/>
  <c r="H29" i="3"/>
  <c r="J49" i="3"/>
  <c r="J50" i="3" s="1"/>
  <c r="H30" i="4"/>
  <c r="H46" i="4" s="1"/>
  <c r="H23" i="2"/>
  <c r="K23" i="7"/>
  <c r="K29" i="7"/>
  <c r="K50" i="7"/>
  <c r="I22" i="7"/>
  <c r="I32" i="7"/>
  <c r="L40" i="7"/>
  <c r="I30" i="7"/>
  <c r="H14" i="6"/>
  <c r="H16" i="6"/>
  <c r="J16" i="6"/>
  <c r="J49" i="6"/>
  <c r="J51" i="6" s="1"/>
  <c r="J50" i="6"/>
  <c r="H4" i="6"/>
  <c r="J4" i="6"/>
  <c r="H27" i="6"/>
  <c r="H32" i="6"/>
  <c r="I28" i="5"/>
  <c r="K33" i="5"/>
  <c r="I22" i="5"/>
  <c r="I30" i="5"/>
  <c r="H28" i="4"/>
  <c r="H33" i="4"/>
  <c r="H14" i="4"/>
  <c r="J23" i="4"/>
  <c r="H27" i="4"/>
  <c r="H32" i="4"/>
  <c r="H16" i="3"/>
  <c r="H33" i="3"/>
  <c r="N49" i="1"/>
  <c r="N50" i="1" s="1"/>
  <c r="N48" i="1"/>
  <c r="N46" i="1"/>
  <c r="N45" i="1"/>
  <c r="N47" i="1" s="1"/>
  <c r="N34" i="1"/>
  <c r="N16" i="1"/>
  <c r="F16" i="1"/>
  <c r="F14" i="1" s="1"/>
  <c r="F49" i="1"/>
  <c r="F50" i="1"/>
  <c r="F48" i="1"/>
  <c r="F46" i="1"/>
  <c r="F45" i="1"/>
  <c r="F47" i="1" s="1"/>
  <c r="F34" i="1"/>
  <c r="F7" i="1"/>
  <c r="L49" i="1"/>
  <c r="L50" i="1"/>
  <c r="L48" i="1"/>
  <c r="L46" i="1"/>
  <c r="L45" i="1"/>
  <c r="L47" i="1" s="1"/>
  <c r="L34" i="1"/>
  <c r="L16" i="1"/>
  <c r="L14" i="1" s="1"/>
  <c r="J49" i="1"/>
  <c r="J50" i="1" s="1"/>
  <c r="J48" i="1"/>
  <c r="J46" i="1"/>
  <c r="J45" i="1"/>
  <c r="J47" i="1" s="1"/>
  <c r="J34" i="1"/>
  <c r="J16" i="1"/>
  <c r="J14" i="1" s="1"/>
  <c r="J7" i="1"/>
  <c r="H49" i="1"/>
  <c r="H50" i="1"/>
  <c r="D49" i="1"/>
  <c r="D50" i="1" s="1"/>
  <c r="H48" i="1"/>
  <c r="D48" i="1"/>
  <c r="H46" i="1"/>
  <c r="D46" i="1"/>
  <c r="H45" i="1"/>
  <c r="H47" i="1"/>
  <c r="D45" i="1"/>
  <c r="D47" i="1" s="1"/>
  <c r="H34" i="1"/>
  <c r="D34" i="1"/>
  <c r="D16" i="1"/>
  <c r="D14" i="1" s="1"/>
  <c r="H7" i="1"/>
  <c r="D7" i="1"/>
  <c r="G7" i="7" l="1"/>
  <c r="I14" i="7"/>
  <c r="I4" i="7"/>
  <c r="J29" i="2"/>
  <c r="J23" i="3"/>
  <c r="J49" i="4"/>
  <c r="K26" i="5"/>
  <c r="K48" i="5" s="1"/>
  <c r="J22" i="6"/>
  <c r="I28" i="7"/>
  <c r="I46" i="7" s="1"/>
  <c r="K45" i="7"/>
  <c r="K47" i="7" s="1"/>
  <c r="J4" i="2"/>
  <c r="I50" i="7"/>
  <c r="H50" i="3"/>
  <c r="H33" i="6"/>
  <c r="H34" i="6" s="1"/>
  <c r="H26" i="6"/>
  <c r="H48" i="6" s="1"/>
  <c r="J51" i="3"/>
  <c r="H23" i="6"/>
  <c r="I26" i="7"/>
  <c r="I48" i="7" s="1"/>
  <c r="K49" i="5"/>
  <c r="H46" i="6"/>
  <c r="K34" i="7"/>
  <c r="K36" i="7" s="1"/>
  <c r="I46" i="5"/>
  <c r="H16" i="2"/>
  <c r="J24" i="6"/>
  <c r="H28" i="3"/>
  <c r="H46" i="3" s="1"/>
  <c r="H27" i="2"/>
  <c r="J49" i="2"/>
  <c r="H14" i="2"/>
  <c r="J14" i="2"/>
  <c r="H50" i="6"/>
  <c r="H51" i="6"/>
  <c r="H45" i="6"/>
  <c r="H47" i="6" s="1"/>
  <c r="J7" i="6"/>
  <c r="H7" i="6"/>
  <c r="H7" i="2"/>
  <c r="J7" i="2"/>
  <c r="J34" i="4"/>
  <c r="J36" i="4" s="1"/>
  <c r="K46" i="7"/>
  <c r="K7" i="5"/>
  <c r="I7" i="5"/>
  <c r="I45" i="5"/>
  <c r="I47" i="5" s="1"/>
  <c r="J45" i="3"/>
  <c r="J47" i="3" s="1"/>
  <c r="J48" i="3"/>
  <c r="J45" i="4"/>
  <c r="J47" i="4" s="1"/>
  <c r="J48" i="4"/>
  <c r="J48" i="2"/>
  <c r="J51" i="2"/>
  <c r="J50" i="2"/>
  <c r="H46" i="2"/>
  <c r="I24" i="7"/>
  <c r="I34" i="7" s="1"/>
  <c r="F7" i="4"/>
  <c r="J30" i="2"/>
  <c r="J46" i="2" s="1"/>
  <c r="J14" i="3"/>
  <c r="H49" i="4"/>
  <c r="J28" i="6"/>
  <c r="J46" i="6" s="1"/>
  <c r="K4" i="5"/>
  <c r="F7" i="3"/>
  <c r="I49" i="5"/>
  <c r="I40" i="6"/>
  <c r="J30" i="3"/>
  <c r="J46" i="3" s="1"/>
  <c r="H22" i="4"/>
  <c r="K29" i="5"/>
  <c r="H26" i="4"/>
  <c r="H49" i="2"/>
  <c r="H27" i="3"/>
  <c r="H22" i="3"/>
  <c r="H4" i="4"/>
  <c r="K24" i="5"/>
  <c r="H28" i="2"/>
  <c r="H26" i="2"/>
  <c r="I32" i="5"/>
  <c r="I34" i="5" s="1"/>
  <c r="I36" i="5" s="1"/>
  <c r="I4" i="5"/>
  <c r="I7" i="7" l="1"/>
  <c r="K7" i="7"/>
  <c r="I45" i="7"/>
  <c r="I47" i="7" s="1"/>
  <c r="H36" i="6"/>
  <c r="J50" i="4"/>
  <c r="J51" i="4"/>
  <c r="H45" i="3"/>
  <c r="H47" i="3" s="1"/>
  <c r="I36" i="7"/>
  <c r="K50" i="5"/>
  <c r="K51" i="5"/>
  <c r="J34" i="3"/>
  <c r="J36" i="3" s="1"/>
  <c r="H50" i="2"/>
  <c r="H51" i="2"/>
  <c r="H45" i="4"/>
  <c r="H47" i="4" s="1"/>
  <c r="H48" i="4"/>
  <c r="K34" i="5"/>
  <c r="K36" i="5" s="1"/>
  <c r="J45" i="2"/>
  <c r="J47" i="2" s="1"/>
  <c r="J7" i="3"/>
  <c r="H7" i="3"/>
  <c r="K45" i="5"/>
  <c r="K47" i="5" s="1"/>
  <c r="K46" i="5"/>
  <c r="H34" i="4"/>
  <c r="H36" i="4" s="1"/>
  <c r="H7" i="4"/>
  <c r="J7" i="4"/>
  <c r="I51" i="5"/>
  <c r="I50" i="5"/>
  <c r="J45" i="6"/>
  <c r="J47" i="6" s="1"/>
  <c r="H34" i="3"/>
  <c r="H36" i="3"/>
  <c r="H34" i="2"/>
  <c r="H36" i="2" s="1"/>
  <c r="H45" i="2"/>
  <c r="H47" i="2" s="1"/>
  <c r="H48" i="2"/>
  <c r="H51" i="4"/>
  <c r="H50" i="4"/>
  <c r="J34" i="2"/>
  <c r="J36" i="2" s="1"/>
  <c r="J34" i="6"/>
  <c r="J36" i="6" s="1"/>
</calcChain>
</file>

<file path=xl/sharedStrings.xml><?xml version="1.0" encoding="utf-8"?>
<sst xmlns="http://schemas.openxmlformats.org/spreadsheetml/2006/main" count="468" uniqueCount="71">
  <si>
    <t>Black Thunder</t>
  </si>
  <si>
    <t>PARAMETER</t>
  </si>
  <si>
    <t>Fuel</t>
  </si>
  <si>
    <t>Proximate (As Received)</t>
  </si>
  <si>
    <t>Moisture</t>
  </si>
  <si>
    <t>Volatile Matter</t>
  </si>
  <si>
    <t>Ash</t>
  </si>
  <si>
    <t>Fixed Carbon</t>
  </si>
  <si>
    <t>Ultimate (Dry)</t>
  </si>
  <si>
    <t>Carbon</t>
  </si>
  <si>
    <t>Hydrogen</t>
  </si>
  <si>
    <t>Nitrogen</t>
  </si>
  <si>
    <t>Sulfur</t>
  </si>
  <si>
    <t>Oxygen</t>
  </si>
  <si>
    <t>Chlorine</t>
  </si>
  <si>
    <t>Heating Value (As Received)</t>
  </si>
  <si>
    <t>Btu/lb</t>
  </si>
  <si>
    <t>Ash Composition (wt% of Ash)</t>
  </si>
  <si>
    <t>Al2O3</t>
  </si>
  <si>
    <t>SiO2</t>
  </si>
  <si>
    <t>TiO2</t>
  </si>
  <si>
    <t>Na2O</t>
  </si>
  <si>
    <t>K2O</t>
  </si>
  <si>
    <t>Fe2O3</t>
  </si>
  <si>
    <t>MgO</t>
  </si>
  <si>
    <t>CaO</t>
  </si>
  <si>
    <t>SO3</t>
  </si>
  <si>
    <t>P2O5</t>
  </si>
  <si>
    <t>Other</t>
  </si>
  <si>
    <t>Total</t>
  </si>
  <si>
    <t>Ash Fusion Temperatures (oF)</t>
  </si>
  <si>
    <t>Initial Deformation</t>
  </si>
  <si>
    <t>Red</t>
  </si>
  <si>
    <t>Softening</t>
  </si>
  <si>
    <t>Hemispheric</t>
  </si>
  <si>
    <t>Fluid</t>
  </si>
  <si>
    <t>Adaro</t>
  </si>
  <si>
    <t>Indonesian</t>
  </si>
  <si>
    <t>Slagging Factor:</t>
  </si>
  <si>
    <t>Fouling Factor:</t>
  </si>
  <si>
    <t>Ash Type:</t>
  </si>
  <si>
    <t>Base/Acid Ratio:</t>
  </si>
  <si>
    <t>Calculated Parameters</t>
  </si>
  <si>
    <t>(oF)</t>
  </si>
  <si>
    <t>(oC)</t>
  </si>
  <si>
    <r>
      <t>(T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+T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)/2:</t>
    </r>
  </si>
  <si>
    <t>Sufco</t>
  </si>
  <si>
    <t>ND Lignite</t>
  </si>
  <si>
    <t>Black Thunder (15%)</t>
  </si>
  <si>
    <t>Riverview</t>
  </si>
  <si>
    <t>Uncertainty</t>
  </si>
  <si>
    <t>Range</t>
  </si>
  <si>
    <t>Low</t>
  </si>
  <si>
    <t>High</t>
  </si>
  <si>
    <t>BLACK THUNDER COAL (Subbituminous)</t>
  </si>
  <si>
    <t>Analysis</t>
  </si>
  <si>
    <t>J/g</t>
  </si>
  <si>
    <t>(K)</t>
  </si>
  <si>
    <t>BLACK THUNDER COAL 15% Moisture (Subbituminous)</t>
  </si>
  <si>
    <t>Lignitic</t>
  </si>
  <si>
    <t>INDONESIAN COAL (Subbituminous)</t>
  </si>
  <si>
    <t>SUFCO COAL (Western Bituminous)</t>
  </si>
  <si>
    <t>NORTH DAKOTA LIGNITE (Lignite)</t>
  </si>
  <si>
    <t>RIVERVIEW ILLINOIS #6 COAL (Bituminous)</t>
  </si>
  <si>
    <t>Bituminous</t>
  </si>
  <si>
    <t>(wet)</t>
  </si>
  <si>
    <t>(dry)</t>
  </si>
  <si>
    <t>Analysis (1)</t>
  </si>
  <si>
    <t>Analysis (2)</t>
  </si>
  <si>
    <t>NA</t>
  </si>
  <si>
    <t>NA =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</si>
</sst>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.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0"/>
      <name val="Arial"/>
      <family val="2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19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 applyProtection="1">
      <alignment horizontal="center" vertical="top"/>
      <protection locked="0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Border="1" applyAlignment="1" applyProtection="1">
      <alignment horizontal="center"/>
      <protection locked="0"/>
    </xf>
    <xf numFmtId="3" fontId="2" fillId="0" borderId="0" xfId="0" applyNumberFormat="1" applyFont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38" fontId="2" fillId="0" borderId="0" xfId="1" applyNumberFormat="1" applyFont="1" applyAlignment="1">
      <alignment horizontal="center"/>
    </xf>
    <xf numFmtId="2" fontId="2" fillId="0" borderId="0" xfId="2" applyNumberFormat="1" applyFont="1" applyAlignment="1">
      <alignment horizontal="left"/>
    </xf>
    <xf numFmtId="2" fontId="2" fillId="0" borderId="0" xfId="1" applyNumberFormat="1" applyFont="1" applyBorder="1" applyAlignment="1" applyProtection="1">
      <protection locked="0"/>
    </xf>
    <xf numFmtId="3" fontId="0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2" fontId="5" fillId="0" borderId="0" xfId="3" applyNumberFormat="1" applyFont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right"/>
    </xf>
    <xf numFmtId="0" fontId="0" fillId="0" borderId="19" xfId="0" applyBorder="1"/>
    <xf numFmtId="0" fontId="0" fillId="0" borderId="20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right"/>
    </xf>
    <xf numFmtId="0" fontId="0" fillId="0" borderId="25" xfId="0" applyBorder="1"/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right"/>
    </xf>
    <xf numFmtId="0" fontId="0" fillId="0" borderId="31" xfId="0" applyBorder="1"/>
    <xf numFmtId="2" fontId="0" fillId="0" borderId="32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6" xfId="0" applyBorder="1" applyAlignment="1">
      <alignment horizontal="right"/>
    </xf>
    <xf numFmtId="0" fontId="0" fillId="0" borderId="37" xfId="0" applyBorder="1"/>
    <xf numFmtId="3" fontId="0" fillId="0" borderId="38" xfId="1" applyNumberFormat="1" applyFont="1" applyBorder="1" applyAlignment="1">
      <alignment horizontal="center"/>
    </xf>
    <xf numFmtId="3" fontId="0" fillId="0" borderId="39" xfId="1" applyNumberFormat="1" applyFont="1" applyBorder="1" applyAlignment="1">
      <alignment horizontal="center"/>
    </xf>
    <xf numFmtId="3" fontId="0" fillId="0" borderId="37" xfId="1" applyNumberFormat="1" applyFont="1" applyBorder="1" applyAlignment="1">
      <alignment horizontal="center"/>
    </xf>
    <xf numFmtId="3" fontId="0" fillId="0" borderId="40" xfId="1" applyNumberFormat="1" applyFont="1" applyBorder="1" applyAlignment="1">
      <alignment horizontal="center"/>
    </xf>
    <xf numFmtId="165" fontId="6" fillId="0" borderId="41" xfId="1" applyNumberFormat="1" applyFont="1" applyBorder="1" applyAlignment="1">
      <alignment horizontal="center"/>
    </xf>
    <xf numFmtId="0" fontId="0" fillId="0" borderId="24" xfId="0" applyBorder="1"/>
    <xf numFmtId="1" fontId="0" fillId="0" borderId="2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4" fontId="6" fillId="0" borderId="23" xfId="0" applyNumberFormat="1" applyFont="1" applyBorder="1" applyAlignment="1">
      <alignment horizontal="center"/>
    </xf>
    <xf numFmtId="0" fontId="0" fillId="0" borderId="26" xfId="0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" fontId="0" fillId="0" borderId="33" xfId="0" applyNumberFormat="1" applyBorder="1" applyAlignment="1">
      <alignment horizontal="center"/>
    </xf>
    <xf numFmtId="1" fontId="0" fillId="0" borderId="34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164" fontId="6" fillId="0" borderId="35" xfId="0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6" fillId="0" borderId="42" xfId="0" applyFont="1" applyBorder="1"/>
    <xf numFmtId="0" fontId="0" fillId="0" borderId="42" xfId="0" applyBorder="1"/>
    <xf numFmtId="0" fontId="0" fillId="0" borderId="43" xfId="0" applyBorder="1" applyAlignment="1">
      <alignment horizontal="center"/>
    </xf>
    <xf numFmtId="2" fontId="0" fillId="0" borderId="44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164" fontId="6" fillId="0" borderId="45" xfId="0" applyNumberFormat="1" applyFont="1" applyBorder="1" applyAlignment="1">
      <alignment horizontal="center"/>
    </xf>
    <xf numFmtId="164" fontId="6" fillId="0" borderId="42" xfId="0" applyNumberFormat="1" applyFont="1" applyBorder="1" applyAlignment="1">
      <alignment horizontal="center"/>
    </xf>
    <xf numFmtId="0" fontId="0" fillId="0" borderId="46" xfId="0" applyBorder="1" applyAlignment="1">
      <alignment horizontal="center"/>
    </xf>
    <xf numFmtId="2" fontId="0" fillId="0" borderId="51" xfId="0" applyNumberFormat="1" applyBorder="1" applyAlignment="1">
      <alignment horizontal="center"/>
    </xf>
    <xf numFmtId="2" fontId="0" fillId="0" borderId="52" xfId="0" applyNumberFormat="1" applyBorder="1" applyAlignment="1">
      <alignment horizontal="center"/>
    </xf>
    <xf numFmtId="2" fontId="0" fillId="0" borderId="53" xfId="0" applyNumberFormat="1" applyBorder="1" applyAlignment="1">
      <alignment horizontal="center"/>
    </xf>
    <xf numFmtId="2" fontId="0" fillId="0" borderId="54" xfId="0" applyNumberFormat="1" applyBorder="1" applyAlignment="1">
      <alignment horizontal="center"/>
    </xf>
    <xf numFmtId="2" fontId="6" fillId="0" borderId="54" xfId="0" applyNumberFormat="1" applyFont="1" applyBorder="1" applyAlignment="1">
      <alignment horizontal="center"/>
    </xf>
    <xf numFmtId="165" fontId="6" fillId="0" borderId="55" xfId="1" applyNumberFormat="1" applyFont="1" applyBorder="1" applyAlignment="1">
      <alignment horizontal="center"/>
    </xf>
    <xf numFmtId="164" fontId="6" fillId="0" borderId="51" xfId="0" applyNumberFormat="1" applyFont="1" applyBorder="1" applyAlignment="1">
      <alignment horizontal="center"/>
    </xf>
    <xf numFmtId="164" fontId="6" fillId="0" borderId="52" xfId="0" applyNumberFormat="1" applyFont="1" applyBorder="1" applyAlignment="1">
      <alignment horizontal="center"/>
    </xf>
    <xf numFmtId="164" fontId="6" fillId="0" borderId="53" xfId="0" applyNumberFormat="1" applyFont="1" applyBorder="1" applyAlignment="1">
      <alignment horizontal="center"/>
    </xf>
    <xf numFmtId="164" fontId="0" fillId="0" borderId="52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0" fontId="0" fillId="0" borderId="0" xfId="0" applyAlignment="1"/>
    <xf numFmtId="1" fontId="0" fillId="0" borderId="20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64" fontId="6" fillId="0" borderId="43" xfId="0" applyNumberFormat="1" applyFont="1" applyBorder="1" applyAlignment="1">
      <alignment horizontal="center"/>
    </xf>
    <xf numFmtId="2" fontId="7" fillId="0" borderId="48" xfId="0" applyNumberFormat="1" applyFont="1" applyBorder="1" applyAlignment="1">
      <alignment horizontal="center"/>
    </xf>
    <xf numFmtId="0" fontId="0" fillId="0" borderId="0" xfId="0" applyAlignment="1">
      <alignment horizontal="right" vertic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7" fillId="0" borderId="47" xfId="0" applyNumberFormat="1" applyFont="1" applyBorder="1" applyAlignment="1">
      <alignment horizontal="center"/>
    </xf>
    <xf numFmtId="2" fontId="7" fillId="0" borderId="50" xfId="0" applyNumberFormat="1" applyFont="1" applyBorder="1" applyAlignment="1">
      <alignment horizontal="center"/>
    </xf>
    <xf numFmtId="2" fontId="7" fillId="0" borderId="48" xfId="0" applyNumberFormat="1" applyFont="1" applyBorder="1" applyAlignment="1">
      <alignment horizontal="center"/>
    </xf>
    <xf numFmtId="2" fontId="7" fillId="0" borderId="49" xfId="0" applyNumberFormat="1" applyFont="1" applyBorder="1" applyAlignment="1">
      <alignment horizontal="center"/>
    </xf>
    <xf numFmtId="0" fontId="0" fillId="0" borderId="57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61" xfId="0" applyNumberFormat="1" applyBorder="1" applyAlignment="1">
      <alignment horizontal="center"/>
    </xf>
    <xf numFmtId="2" fontId="0" fillId="0" borderId="62" xfId="0" applyNumberFormat="1" applyBorder="1" applyAlignment="1">
      <alignment horizontal="center"/>
    </xf>
    <xf numFmtId="2" fontId="0" fillId="0" borderId="60" xfId="0" applyNumberFormat="1" applyBorder="1" applyAlignment="1">
      <alignment horizontal="center"/>
    </xf>
    <xf numFmtId="3" fontId="0" fillId="0" borderId="63" xfId="1" applyNumberFormat="1" applyFont="1" applyBorder="1" applyAlignment="1">
      <alignment horizontal="center"/>
    </xf>
    <xf numFmtId="2" fontId="0" fillId="0" borderId="59" xfId="0" applyNumberForma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164" fontId="6" fillId="0" borderId="21" xfId="0" applyNumberFormat="1" applyFont="1" applyBorder="1" applyAlignment="1">
      <alignment horizontal="center"/>
    </xf>
    <xf numFmtId="164" fontId="6" fillId="0" borderId="44" xfId="0" applyNumberFormat="1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13" xfId="0" applyBorder="1"/>
    <xf numFmtId="0" fontId="0" fillId="0" borderId="66" xfId="0" applyBorder="1" applyAlignment="1">
      <alignment horizontal="center"/>
    </xf>
    <xf numFmtId="0" fontId="9" fillId="0" borderId="20" xfId="0" applyFont="1" applyBorder="1" applyAlignment="1">
      <alignment horizontal="center" readingOrder="1"/>
    </xf>
    <xf numFmtId="0" fontId="0" fillId="0" borderId="66" xfId="0" applyBorder="1"/>
    <xf numFmtId="2" fontId="0" fillId="0" borderId="24" xfId="0" applyNumberFormat="1" applyBorder="1" applyAlignment="1">
      <alignment horizontal="center"/>
    </xf>
    <xf numFmtId="2" fontId="0" fillId="0" borderId="65" xfId="0" applyNumberFormat="1" applyBorder="1" applyAlignment="1">
      <alignment horizontal="center"/>
    </xf>
    <xf numFmtId="2" fontId="0" fillId="0" borderId="68" xfId="0" applyNumberFormat="1" applyBorder="1" applyAlignment="1">
      <alignment horizontal="center"/>
    </xf>
    <xf numFmtId="2" fontId="0" fillId="0" borderId="70" xfId="0" applyNumberFormat="1" applyBorder="1" applyAlignment="1">
      <alignment horizontal="center"/>
    </xf>
    <xf numFmtId="0" fontId="0" fillId="0" borderId="68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164" fontId="6" fillId="0" borderId="39" xfId="0" applyNumberFormat="1" applyFont="1" applyBorder="1" applyAlignment="1">
      <alignment horizontal="center"/>
    </xf>
    <xf numFmtId="0" fontId="0" fillId="0" borderId="4" xfId="0" applyBorder="1" applyAlignment="1">
      <alignment horizontal="right"/>
    </xf>
    <xf numFmtId="3" fontId="0" fillId="0" borderId="15" xfId="1" applyNumberFormat="1" applyFont="1" applyBorder="1" applyAlignment="1">
      <alignment horizontal="center"/>
    </xf>
    <xf numFmtId="3" fontId="0" fillId="0" borderId="13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0" fontId="0" fillId="0" borderId="71" xfId="0" applyFont="1" applyBorder="1" applyAlignment="1">
      <alignment horizontal="center"/>
    </xf>
    <xf numFmtId="0" fontId="0" fillId="0" borderId="69" xfId="0" applyBorder="1" applyAlignment="1">
      <alignment horizontal="center"/>
    </xf>
    <xf numFmtId="164" fontId="6" fillId="0" borderId="65" xfId="0" applyNumberFormat="1" applyFont="1" applyBorder="1" applyAlignment="1">
      <alignment horizontal="center"/>
    </xf>
    <xf numFmtId="164" fontId="6" fillId="0" borderId="66" xfId="0" applyNumberFormat="1" applyFont="1" applyBorder="1" applyAlignment="1">
      <alignment horizontal="center"/>
    </xf>
    <xf numFmtId="2" fontId="0" fillId="0" borderId="72" xfId="0" applyNumberFormat="1" applyBorder="1" applyAlignment="1">
      <alignment horizontal="center"/>
    </xf>
    <xf numFmtId="3" fontId="0" fillId="0" borderId="59" xfId="1" applyNumberFormat="1" applyFont="1" applyBorder="1" applyAlignment="1">
      <alignment horizontal="center"/>
    </xf>
    <xf numFmtId="2" fontId="0" fillId="0" borderId="58" xfId="0" applyNumberFormat="1" applyBorder="1" applyAlignment="1">
      <alignment horizontal="center"/>
    </xf>
    <xf numFmtId="2" fontId="7" fillId="0" borderId="73" xfId="0" applyNumberFormat="1" applyFont="1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23" xfId="0" applyBorder="1"/>
    <xf numFmtId="0" fontId="0" fillId="0" borderId="29" xfId="0" applyBorder="1"/>
    <xf numFmtId="2" fontId="0" fillId="0" borderId="29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3" xfId="0" applyBorder="1" applyAlignment="1">
      <alignment horizontal="center"/>
    </xf>
    <xf numFmtId="2" fontId="7" fillId="0" borderId="74" xfId="0" applyNumberFormat="1" applyFont="1" applyBorder="1" applyAlignment="1">
      <alignment horizontal="center"/>
    </xf>
    <xf numFmtId="1" fontId="0" fillId="0" borderId="70" xfId="0" applyNumberFormat="1" applyBorder="1" applyAlignment="1">
      <alignment horizontal="center"/>
    </xf>
    <xf numFmtId="1" fontId="0" fillId="0" borderId="65" xfId="0" applyNumberFormat="1" applyBorder="1" applyAlignment="1">
      <alignment horizontal="center"/>
    </xf>
    <xf numFmtId="164" fontId="6" fillId="0" borderId="75" xfId="0" applyNumberFormat="1" applyFont="1" applyBorder="1" applyAlignment="1">
      <alignment horizontal="center"/>
    </xf>
    <xf numFmtId="2" fontId="10" fillId="0" borderId="67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2" fontId="0" fillId="0" borderId="75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164" fontId="6" fillId="0" borderId="33" xfId="0" applyNumberFormat="1" applyFont="1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67" xfId="0" applyBorder="1"/>
    <xf numFmtId="2" fontId="0" fillId="0" borderId="35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</cellXfs>
  <cellStyles count="4">
    <cellStyle name="Comma" xfId="1" builtinId="3"/>
    <cellStyle name="Comma_Sheet1" xfId="3" xr:uid="{00000000-0005-0000-0000-000001000000}"/>
    <cellStyle name="Normal" xfId="0" builtinId="0"/>
    <cellStyle name="Normal_Sheet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opLeftCell="A16" workbookViewId="0">
      <selection activeCell="E52" sqref="E52"/>
    </sheetView>
  </sheetViews>
  <sheetFormatPr baseColWidth="10" defaultColWidth="8.83203125" defaultRowHeight="15"/>
  <cols>
    <col min="1" max="1" width="18.5" customWidth="1"/>
    <col min="2" max="3" width="5.5" customWidth="1"/>
    <col min="4" max="4" width="14.6640625" style="4" customWidth="1"/>
    <col min="5" max="5" width="3.83203125" style="4" customWidth="1"/>
    <col min="6" max="6" width="18.6640625" style="4" customWidth="1"/>
    <col min="7" max="7" width="3.83203125" style="4" customWidth="1"/>
    <col min="8" max="8" width="12" style="4" customWidth="1"/>
    <col min="9" max="9" width="3.5" customWidth="1"/>
    <col min="10" max="10" width="10.5" style="4" bestFit="1" customWidth="1"/>
    <col min="11" max="11" width="3.5" customWidth="1"/>
    <col min="12" max="12" width="10.33203125" style="4" customWidth="1"/>
    <col min="13" max="13" width="3.5" customWidth="1"/>
    <col min="14" max="14" width="10.5" style="4" customWidth="1"/>
  </cols>
  <sheetData>
    <row r="1" spans="1:15">
      <c r="A1" t="s">
        <v>1</v>
      </c>
    </row>
    <row r="2" spans="1:15">
      <c r="A2" t="s">
        <v>2</v>
      </c>
      <c r="D2" s="4" t="s">
        <v>0</v>
      </c>
      <c r="F2" s="4" t="s">
        <v>48</v>
      </c>
      <c r="H2" s="4" t="s">
        <v>37</v>
      </c>
      <c r="J2" s="4" t="s">
        <v>46</v>
      </c>
      <c r="L2" s="4" t="s">
        <v>47</v>
      </c>
      <c r="N2" s="4" t="s">
        <v>49</v>
      </c>
    </row>
    <row r="3" spans="1:15">
      <c r="A3" t="s">
        <v>3</v>
      </c>
    </row>
    <row r="4" spans="1:15">
      <c r="A4" s="1" t="s">
        <v>4</v>
      </c>
      <c r="D4" s="4">
        <v>27.58</v>
      </c>
      <c r="F4" s="17">
        <v>15</v>
      </c>
      <c r="H4" s="4">
        <v>23.86</v>
      </c>
      <c r="J4" s="4">
        <v>6.11</v>
      </c>
      <c r="L4" s="4">
        <v>26.68</v>
      </c>
      <c r="N4" s="3">
        <v>12.14</v>
      </c>
    </row>
    <row r="5" spans="1:15">
      <c r="A5" s="1" t="s">
        <v>5</v>
      </c>
      <c r="D5" s="3">
        <v>30.3</v>
      </c>
      <c r="F5" s="17">
        <v>35.56</v>
      </c>
      <c r="H5" s="2">
        <v>38.76</v>
      </c>
      <c r="J5" s="4">
        <v>38.49</v>
      </c>
      <c r="L5" s="4">
        <v>30.66</v>
      </c>
      <c r="N5" s="3">
        <v>36.15</v>
      </c>
    </row>
    <row r="6" spans="1:15">
      <c r="A6" s="1" t="s">
        <v>6</v>
      </c>
      <c r="D6" s="3">
        <v>5.52</v>
      </c>
      <c r="F6" s="17">
        <v>6.48</v>
      </c>
      <c r="H6" s="4">
        <v>1.1599999999999999</v>
      </c>
      <c r="J6" s="4">
        <v>8.36</v>
      </c>
      <c r="L6" s="4">
        <v>10.07</v>
      </c>
      <c r="N6" s="3">
        <v>7.86</v>
      </c>
    </row>
    <row r="7" spans="1:15">
      <c r="A7" s="1" t="s">
        <v>7</v>
      </c>
      <c r="D7" s="3">
        <f>100-D4-D5-D6</f>
        <v>36.600000000000009</v>
      </c>
      <c r="F7" s="17">
        <f>100-SUM(F4:F6)</f>
        <v>42.959999999999994</v>
      </c>
      <c r="H7" s="4">
        <f>100-H4-H5-H6</f>
        <v>36.220000000000006</v>
      </c>
      <c r="J7" s="4">
        <f>100-J4-J5-J6</f>
        <v>47.04</v>
      </c>
      <c r="L7" s="4">
        <v>32.590000000000003</v>
      </c>
      <c r="N7" s="3">
        <v>43.85</v>
      </c>
    </row>
    <row r="8" spans="1:15">
      <c r="F8" s="17"/>
    </row>
    <row r="9" spans="1:15">
      <c r="A9" t="s">
        <v>8</v>
      </c>
      <c r="F9" s="17"/>
    </row>
    <row r="10" spans="1:15">
      <c r="A10" s="1" t="s">
        <v>9</v>
      </c>
      <c r="D10" s="3">
        <v>69.81</v>
      </c>
      <c r="F10" s="17">
        <v>69.81</v>
      </c>
      <c r="H10" s="2">
        <v>57.8</v>
      </c>
      <c r="J10" s="4">
        <v>67.87</v>
      </c>
      <c r="L10" s="4">
        <v>62.42</v>
      </c>
      <c r="N10" s="3">
        <v>71.67</v>
      </c>
      <c r="O10" s="16"/>
    </row>
    <row r="11" spans="1:15">
      <c r="A11" s="1" t="s">
        <v>10</v>
      </c>
      <c r="D11" s="3">
        <v>4.91</v>
      </c>
      <c r="F11" s="17">
        <v>4.91</v>
      </c>
      <c r="H11" s="2">
        <v>4.4000000000000004</v>
      </c>
      <c r="J11" s="4">
        <v>5.45</v>
      </c>
      <c r="L11" s="4">
        <v>3.99</v>
      </c>
      <c r="N11" s="3">
        <v>5.01</v>
      </c>
      <c r="O11" s="16"/>
    </row>
    <row r="12" spans="1:15">
      <c r="A12" s="1" t="s">
        <v>11</v>
      </c>
      <c r="D12" s="3">
        <v>1.05</v>
      </c>
      <c r="F12" s="17">
        <v>1.05</v>
      </c>
      <c r="H12" s="2">
        <v>0.66</v>
      </c>
      <c r="J12" s="4">
        <v>1.0900000000000001</v>
      </c>
      <c r="L12" s="3">
        <v>1</v>
      </c>
      <c r="N12" s="3">
        <v>1.54</v>
      </c>
      <c r="O12" s="16"/>
    </row>
    <row r="13" spans="1:15">
      <c r="A13" s="1" t="s">
        <v>12</v>
      </c>
      <c r="D13" s="3">
        <v>0.59</v>
      </c>
      <c r="F13" s="17">
        <v>0.59</v>
      </c>
      <c r="H13" s="2">
        <v>0.1</v>
      </c>
      <c r="J13" s="4">
        <v>0.36</v>
      </c>
      <c r="L13" s="4">
        <v>1.07</v>
      </c>
      <c r="N13" s="3">
        <v>3.41</v>
      </c>
      <c r="O13" s="16"/>
    </row>
    <row r="14" spans="1:15">
      <c r="A14" s="1" t="s">
        <v>13</v>
      </c>
      <c r="D14" s="3">
        <f>100-D10-D11-D12-D13-D16-D15</f>
        <v>16.017796188898092</v>
      </c>
      <c r="E14" s="6"/>
      <c r="F14" s="17">
        <f>100-F10-F11-F12-F13-F15-F16</f>
        <v>16.01647058823529</v>
      </c>
      <c r="G14" s="6"/>
      <c r="H14" s="2">
        <v>12</v>
      </c>
      <c r="J14" s="3">
        <f>100-J10-J11-J12-J13-J16-J15</f>
        <v>16.325963361380335</v>
      </c>
      <c r="L14" s="3">
        <f>100-L10-L11-L12-L13-L16-L15</f>
        <v>17.765684669939986</v>
      </c>
      <c r="N14" s="3">
        <v>9.4239494650580475</v>
      </c>
      <c r="O14" s="3"/>
    </row>
    <row r="15" spans="1:15">
      <c r="A15" s="1" t="s">
        <v>14</v>
      </c>
      <c r="D15" s="3">
        <v>0</v>
      </c>
      <c r="E15" s="7"/>
      <c r="F15" s="17">
        <v>0</v>
      </c>
      <c r="G15" s="7"/>
      <c r="H15" s="3">
        <v>0</v>
      </c>
      <c r="L15" s="4">
        <v>0.02</v>
      </c>
      <c r="N15" s="3">
        <v>0</v>
      </c>
      <c r="O15" s="16"/>
    </row>
    <row r="16" spans="1:15">
      <c r="A16" s="1" t="s">
        <v>6</v>
      </c>
      <c r="D16" s="3">
        <f>(D6/(1-D4/100))</f>
        <v>7.6222038111019055</v>
      </c>
      <c r="E16" s="7"/>
      <c r="F16" s="17">
        <f>F6/(1-($F$4/100))</f>
        <v>7.6235294117647063</v>
      </c>
      <c r="G16" s="7"/>
      <c r="H16" s="2">
        <v>1.1599999999999999</v>
      </c>
      <c r="J16" s="3">
        <f>(J6/(1-J4/100))</f>
        <v>8.9040366386196617</v>
      </c>
      <c r="L16" s="3">
        <f>(L6/(1-L4/100))</f>
        <v>13.73431533006001</v>
      </c>
      <c r="N16" s="3">
        <f>(N6/(1-N4/100))</f>
        <v>8.9460505349419535</v>
      </c>
      <c r="O16" s="3"/>
    </row>
    <row r="17" spans="1:15">
      <c r="E17" s="7"/>
      <c r="F17" s="17"/>
      <c r="G17" s="7"/>
      <c r="O17" s="4"/>
    </row>
    <row r="18" spans="1:15">
      <c r="A18" t="s">
        <v>15</v>
      </c>
      <c r="E18" s="8"/>
      <c r="F18" s="17"/>
      <c r="G18" s="8"/>
      <c r="O18" s="3"/>
    </row>
    <row r="19" spans="1:15">
      <c r="A19" s="1" t="s">
        <v>16</v>
      </c>
      <c r="D19" s="13">
        <v>8659</v>
      </c>
      <c r="E19" s="12"/>
      <c r="F19" s="20">
        <v>10163</v>
      </c>
      <c r="G19" s="12"/>
      <c r="H19" s="13">
        <v>9459</v>
      </c>
      <c r="I19" s="14"/>
      <c r="J19" s="13">
        <v>11899</v>
      </c>
      <c r="L19" s="15">
        <v>7671</v>
      </c>
      <c r="N19" s="15">
        <v>11496</v>
      </c>
      <c r="O19" s="5"/>
    </row>
    <row r="20" spans="1:15">
      <c r="D20" s="3"/>
      <c r="E20" s="8"/>
      <c r="F20" s="17"/>
      <c r="G20" s="8"/>
    </row>
    <row r="21" spans="1:15">
      <c r="A21" t="s">
        <v>17</v>
      </c>
      <c r="D21" s="3"/>
      <c r="E21" s="8"/>
      <c r="F21" s="17"/>
      <c r="G21" s="8"/>
    </row>
    <row r="22" spans="1:15">
      <c r="A22" s="1" t="s">
        <v>18</v>
      </c>
      <c r="D22" s="3">
        <v>19.38</v>
      </c>
      <c r="E22" s="8"/>
      <c r="F22" s="3">
        <v>19.38</v>
      </c>
      <c r="G22" s="8"/>
      <c r="H22" s="3">
        <v>25.49</v>
      </c>
      <c r="J22" s="4">
        <v>8.34</v>
      </c>
      <c r="K22" s="11"/>
      <c r="L22" s="16">
        <v>11.35</v>
      </c>
      <c r="N22" s="3">
        <v>17.59</v>
      </c>
    </row>
    <row r="23" spans="1:15">
      <c r="A23" s="1" t="s">
        <v>19</v>
      </c>
      <c r="D23" s="3">
        <v>38.520000000000003</v>
      </c>
      <c r="E23" s="8"/>
      <c r="F23" s="3">
        <v>38.520000000000003</v>
      </c>
      <c r="G23" s="8"/>
      <c r="H23" s="3">
        <v>39.36</v>
      </c>
      <c r="J23" s="4">
        <v>48.85</v>
      </c>
      <c r="K23" s="11"/>
      <c r="L23" s="16">
        <v>36.25</v>
      </c>
      <c r="N23" s="3">
        <v>45.56</v>
      </c>
    </row>
    <row r="24" spans="1:15">
      <c r="A24" s="1" t="s">
        <v>20</v>
      </c>
      <c r="D24" s="3">
        <v>1.4</v>
      </c>
      <c r="E24" s="8"/>
      <c r="F24" s="3">
        <v>1.4</v>
      </c>
      <c r="G24" s="8"/>
      <c r="H24" s="3">
        <v>1.0900000000000001</v>
      </c>
      <c r="J24" s="4">
        <v>0.64</v>
      </c>
      <c r="K24" s="11"/>
      <c r="L24" s="16">
        <v>0.44</v>
      </c>
      <c r="N24" s="3">
        <v>1.08</v>
      </c>
    </row>
    <row r="25" spans="1:15">
      <c r="A25" s="1"/>
      <c r="D25" s="3"/>
      <c r="E25" s="8"/>
      <c r="F25" s="3"/>
      <c r="G25" s="8"/>
      <c r="H25" s="3"/>
      <c r="K25" s="11"/>
      <c r="L25" s="16"/>
    </row>
    <row r="26" spans="1:15">
      <c r="A26" s="1" t="s">
        <v>21</v>
      </c>
      <c r="D26" s="3">
        <v>0.56000000000000005</v>
      </c>
      <c r="E26" s="8"/>
      <c r="F26" s="3">
        <v>0.56000000000000005</v>
      </c>
      <c r="G26" s="8"/>
      <c r="H26" s="3">
        <v>2.46</v>
      </c>
      <c r="J26" s="4">
        <v>3.09</v>
      </c>
      <c r="K26" s="11"/>
      <c r="L26" s="16">
        <v>5.9</v>
      </c>
      <c r="N26" s="3">
        <v>0.6</v>
      </c>
    </row>
    <row r="27" spans="1:15">
      <c r="A27" s="1" t="s">
        <v>22</v>
      </c>
      <c r="D27" s="3">
        <v>1.05</v>
      </c>
      <c r="E27" s="9"/>
      <c r="F27" s="3">
        <v>1.05</v>
      </c>
      <c r="G27" s="9"/>
      <c r="H27" s="3">
        <v>1.06</v>
      </c>
      <c r="J27" s="4">
        <v>0.33</v>
      </c>
      <c r="K27" s="11"/>
      <c r="L27" s="16">
        <v>1.24</v>
      </c>
      <c r="N27" s="3">
        <v>2.25</v>
      </c>
    </row>
    <row r="28" spans="1:15">
      <c r="A28" s="1" t="s">
        <v>23</v>
      </c>
      <c r="D28" s="3">
        <v>5.63</v>
      </c>
      <c r="E28" s="9"/>
      <c r="F28" s="3">
        <v>5.63</v>
      </c>
      <c r="G28" s="9"/>
      <c r="H28" s="3">
        <v>10.119999999999999</v>
      </c>
      <c r="J28" s="4">
        <v>5.25</v>
      </c>
      <c r="K28" s="11"/>
      <c r="L28" s="16">
        <v>7.85</v>
      </c>
      <c r="N28" s="3">
        <v>20.68</v>
      </c>
    </row>
    <row r="29" spans="1:15">
      <c r="A29" s="1" t="s">
        <v>24</v>
      </c>
      <c r="D29" s="3">
        <v>2.77</v>
      </c>
      <c r="E29" s="9"/>
      <c r="F29" s="3">
        <v>2.77</v>
      </c>
      <c r="G29" s="9"/>
      <c r="H29" s="3">
        <v>4.0999999999999996</v>
      </c>
      <c r="J29" s="4">
        <v>2.84</v>
      </c>
      <c r="K29" s="11"/>
      <c r="L29" s="16">
        <v>4.4000000000000004</v>
      </c>
      <c r="N29" s="3">
        <v>0.81</v>
      </c>
    </row>
    <row r="30" spans="1:15">
      <c r="A30" s="1" t="s">
        <v>25</v>
      </c>
      <c r="D30" s="3">
        <v>13.27</v>
      </c>
      <c r="E30" s="9"/>
      <c r="F30" s="3">
        <v>13.27</v>
      </c>
      <c r="G30" s="9"/>
      <c r="H30" s="3">
        <v>7.89</v>
      </c>
      <c r="J30" s="4">
        <v>18.21</v>
      </c>
      <c r="K30" s="11"/>
      <c r="L30" s="4">
        <v>14.35</v>
      </c>
      <c r="N30" s="3">
        <v>4.9000000000000004</v>
      </c>
    </row>
    <row r="31" spans="1:15">
      <c r="A31" s="1"/>
      <c r="D31" s="3"/>
      <c r="E31" s="9"/>
      <c r="F31" s="3"/>
      <c r="G31" s="9"/>
      <c r="H31" s="3"/>
      <c r="K31" s="11"/>
    </row>
    <row r="32" spans="1:15">
      <c r="A32" s="1" t="s">
        <v>26</v>
      </c>
      <c r="D32" s="3">
        <v>11.94</v>
      </c>
      <c r="E32" s="9"/>
      <c r="F32" s="3">
        <v>11.94</v>
      </c>
      <c r="G32" s="9"/>
      <c r="H32" s="3">
        <v>7.93</v>
      </c>
      <c r="J32" s="4">
        <v>5.96</v>
      </c>
      <c r="L32" s="4">
        <v>17.329999999999998</v>
      </c>
      <c r="N32" s="3">
        <v>2.4500000000000002</v>
      </c>
    </row>
    <row r="33" spans="1:14">
      <c r="A33" s="1" t="s">
        <v>27</v>
      </c>
      <c r="D33" s="3">
        <v>0.61</v>
      </c>
      <c r="E33" s="9"/>
      <c r="F33" s="3">
        <v>0.61</v>
      </c>
      <c r="G33" s="9"/>
      <c r="H33" s="3">
        <v>0.1</v>
      </c>
      <c r="J33" s="4">
        <v>0.01</v>
      </c>
      <c r="L33" s="4">
        <v>0.12</v>
      </c>
      <c r="N33" s="3">
        <v>0.19</v>
      </c>
    </row>
    <row r="34" spans="1:14">
      <c r="A34" s="1" t="s">
        <v>28</v>
      </c>
      <c r="D34" s="3">
        <f>100-SUM(D22:D33)</f>
        <v>4.8700000000000045</v>
      </c>
      <c r="E34" s="9"/>
      <c r="F34" s="3">
        <f>100-SUM(F22:F33)</f>
        <v>4.8700000000000045</v>
      </c>
      <c r="G34" s="9"/>
      <c r="H34" s="3">
        <f>100-SUM(H22:H33)</f>
        <v>0.40000000000000568</v>
      </c>
      <c r="J34" s="3">
        <f>100-SUM(J22:J33)</f>
        <v>6.4799999999999898</v>
      </c>
      <c r="L34" s="3">
        <f>100-SUM(L22:L33)</f>
        <v>0.76999999999999602</v>
      </c>
      <c r="N34" s="3">
        <f>100-SUM(N22:N33)</f>
        <v>3.8900000000000006</v>
      </c>
    </row>
    <row r="35" spans="1:14">
      <c r="D35" s="3"/>
      <c r="E35" s="9"/>
      <c r="F35" s="17"/>
      <c r="G35" s="9"/>
      <c r="N35" s="3"/>
    </row>
    <row r="36" spans="1:14">
      <c r="A36" s="1" t="s">
        <v>29</v>
      </c>
      <c r="D36" s="3">
        <v>100</v>
      </c>
      <c r="E36" s="9"/>
      <c r="F36" s="17">
        <v>100</v>
      </c>
      <c r="G36" s="9"/>
      <c r="H36" s="3">
        <v>100</v>
      </c>
      <c r="J36" s="3">
        <v>100</v>
      </c>
      <c r="L36" s="3">
        <v>100</v>
      </c>
      <c r="N36" s="3">
        <v>100</v>
      </c>
    </row>
    <row r="37" spans="1:14">
      <c r="E37" s="9"/>
      <c r="F37" s="17"/>
      <c r="G37" s="9"/>
    </row>
    <row r="38" spans="1:14">
      <c r="A38" t="s">
        <v>30</v>
      </c>
      <c r="E38" s="9"/>
      <c r="F38" s="19"/>
      <c r="G38" s="9"/>
    </row>
    <row r="39" spans="1:14">
      <c r="A39" s="1" t="s">
        <v>31</v>
      </c>
      <c r="B39" t="s">
        <v>32</v>
      </c>
      <c r="D39" s="4">
        <v>2180</v>
      </c>
      <c r="E39" s="9"/>
      <c r="F39" s="4">
        <v>2180</v>
      </c>
      <c r="G39" s="9"/>
      <c r="H39" s="5">
        <v>2241.6020055725157</v>
      </c>
      <c r="J39" s="4">
        <v>2175</v>
      </c>
      <c r="L39" s="4">
        <v>2027</v>
      </c>
      <c r="N39" s="5">
        <v>1950</v>
      </c>
    </row>
    <row r="40" spans="1:14">
      <c r="A40" s="1" t="s">
        <v>33</v>
      </c>
      <c r="B40" t="s">
        <v>32</v>
      </c>
      <c r="D40" s="4">
        <v>2220</v>
      </c>
      <c r="E40" s="10"/>
      <c r="F40" s="4">
        <v>2220</v>
      </c>
      <c r="G40" s="10"/>
      <c r="H40" s="5">
        <v>2295.1303155638461</v>
      </c>
      <c r="J40" s="4">
        <v>2232</v>
      </c>
      <c r="L40" s="4">
        <v>2094</v>
      </c>
      <c r="N40" s="5">
        <v>2000</v>
      </c>
    </row>
    <row r="41" spans="1:14">
      <c r="A41" s="1" t="s">
        <v>34</v>
      </c>
      <c r="B41" t="s">
        <v>32</v>
      </c>
      <c r="D41" s="4">
        <v>2250</v>
      </c>
      <c r="E41" s="10"/>
      <c r="F41" s="4">
        <v>2250</v>
      </c>
      <c r="G41" s="10"/>
      <c r="H41" s="5">
        <v>2342.8386945118777</v>
      </c>
      <c r="J41" s="4">
        <v>2346</v>
      </c>
      <c r="L41" s="4">
        <v>2119</v>
      </c>
      <c r="N41" s="5">
        <v>2075</v>
      </c>
    </row>
    <row r="42" spans="1:14">
      <c r="A42" s="1" t="s">
        <v>35</v>
      </c>
      <c r="B42" t="s">
        <v>32</v>
      </c>
      <c r="D42" s="4">
        <v>2290</v>
      </c>
      <c r="E42" s="10"/>
      <c r="F42" s="4">
        <v>2290</v>
      </c>
      <c r="G42" s="10"/>
      <c r="H42" s="5">
        <v>2458.8491004185748</v>
      </c>
      <c r="J42" s="4">
        <v>2371</v>
      </c>
      <c r="L42" s="4">
        <v>2148</v>
      </c>
      <c r="N42" s="5">
        <v>2210</v>
      </c>
    </row>
    <row r="43" spans="1:14">
      <c r="E43" s="10"/>
      <c r="F43" s="18"/>
      <c r="G43" s="10"/>
      <c r="H43" s="5"/>
      <c r="J43" s="5"/>
    </row>
    <row r="44" spans="1:14">
      <c r="A44" t="s">
        <v>42</v>
      </c>
      <c r="E44" s="10"/>
      <c r="F44" s="18"/>
      <c r="G44" s="10"/>
      <c r="J44" s="5"/>
    </row>
    <row r="45" spans="1:14">
      <c r="A45" s="1" t="s">
        <v>41</v>
      </c>
      <c r="D45" s="3">
        <f>SUM(D26:D30)/SUM(D22:D24)</f>
        <v>0.39258010118043846</v>
      </c>
      <c r="F45" s="3">
        <f>SUM(F26:F30)/SUM(F22:F24)</f>
        <v>0.39258010118043846</v>
      </c>
      <c r="H45" s="3">
        <f>SUM(H26:H30)/SUM(H22:H24)</f>
        <v>0.38868668486502883</v>
      </c>
      <c r="J45" s="3">
        <f>SUM(J26:J30)/SUM(J22:J24)</f>
        <v>0.51392011066920285</v>
      </c>
      <c r="L45" s="3">
        <f>SUM(L26:L30)/SUM(L22:L24)</f>
        <v>0.70233139050791016</v>
      </c>
      <c r="N45" s="3">
        <f>SUM(N26:N30)/SUM(N22:N24)</f>
        <v>0.45523898489802272</v>
      </c>
    </row>
    <row r="46" spans="1:14">
      <c r="A46" s="1" t="s">
        <v>40</v>
      </c>
      <c r="D46" s="3" t="str">
        <f>IF(D30+D29&gt;D28,"Lignitic","Bituminous")</f>
        <v>Lignitic</v>
      </c>
      <c r="F46" s="3" t="str">
        <f>IF(F30+F29&gt;F28,"Lignitic","Bituminous")</f>
        <v>Lignitic</v>
      </c>
      <c r="H46" s="3" t="str">
        <f>IF(H30+H29&gt;H28,"Lignitic","Bituminous")</f>
        <v>Lignitic</v>
      </c>
      <c r="J46" s="3" t="str">
        <f>IF(J30+J29&gt;J28,"Lignitic","Bituminous")</f>
        <v>Lignitic</v>
      </c>
      <c r="L46" s="3" t="str">
        <f>IF(L30+L29&gt;L28,"Lignitic","Bituminous")</f>
        <v>Lignitic</v>
      </c>
      <c r="N46" s="3" t="str">
        <f>IF(N30+N29&gt;N28,"Lignitic","Bituminous")</f>
        <v>Bituminous</v>
      </c>
    </row>
    <row r="47" spans="1:14">
      <c r="A47" s="1" t="s">
        <v>38</v>
      </c>
      <c r="D47" s="3">
        <f>D45*D13</f>
        <v>0.23162225969645867</v>
      </c>
      <c r="F47" s="3">
        <f>F45*F13</f>
        <v>0.23162225969645867</v>
      </c>
      <c r="H47" s="3">
        <f>H45*H13</f>
        <v>3.8868668486502889E-2</v>
      </c>
      <c r="J47" s="3">
        <f>J45*J13</f>
        <v>0.18501123984091303</v>
      </c>
      <c r="L47" s="3">
        <f>L45*L13</f>
        <v>0.7514945878434639</v>
      </c>
      <c r="N47" s="3">
        <f>N45*N13</f>
        <v>1.5523649385022575</v>
      </c>
    </row>
    <row r="48" spans="1:14">
      <c r="A48" s="1" t="s">
        <v>39</v>
      </c>
      <c r="D48" s="3">
        <f>D26</f>
        <v>0.56000000000000005</v>
      </c>
      <c r="F48" s="3">
        <f>F26</f>
        <v>0.56000000000000005</v>
      </c>
      <c r="H48" s="3">
        <f>H26</f>
        <v>2.46</v>
      </c>
      <c r="J48" s="3">
        <f>J26</f>
        <v>3.09</v>
      </c>
      <c r="L48" s="3">
        <f>L26</f>
        <v>5.9</v>
      </c>
      <c r="N48" s="3">
        <f>N26</f>
        <v>0.6</v>
      </c>
    </row>
    <row r="49" spans="1:14">
      <c r="A49" s="110" t="s">
        <v>45</v>
      </c>
      <c r="B49" t="s">
        <v>43</v>
      </c>
      <c r="D49" s="4">
        <f>(D40+D42)/2</f>
        <v>2255</v>
      </c>
      <c r="F49" s="4">
        <f>(F40+F42)/2</f>
        <v>2255</v>
      </c>
      <c r="H49" s="5">
        <f>(H40+H42)/2</f>
        <v>2376.9897079912107</v>
      </c>
      <c r="J49" s="5">
        <f>(J40+J42)/2</f>
        <v>2301.5</v>
      </c>
      <c r="L49" s="5">
        <f>(L40+L42)/2</f>
        <v>2121</v>
      </c>
      <c r="N49" s="5">
        <f>(N40+N42)/2</f>
        <v>2105</v>
      </c>
    </row>
    <row r="50" spans="1:14">
      <c r="A50" s="110"/>
      <c r="B50" t="s">
        <v>44</v>
      </c>
      <c r="D50" s="4">
        <f>(D49-32)/1.8</f>
        <v>1235</v>
      </c>
      <c r="F50" s="4">
        <f>(F49-32)/1.8</f>
        <v>1235</v>
      </c>
      <c r="H50" s="5">
        <f>(H49-32)/1.8</f>
        <v>1302.7720599951169</v>
      </c>
      <c r="J50" s="5">
        <f>(J49-32)/1.8</f>
        <v>1260.8333333333333</v>
      </c>
      <c r="L50" s="5">
        <f>(L49-32)/1.8</f>
        <v>1160.5555555555554</v>
      </c>
      <c r="N50" s="5">
        <f>(N49-32)/1.8</f>
        <v>1151.6666666666667</v>
      </c>
    </row>
    <row r="106" spans="8:8">
      <c r="H106" s="4" t="s">
        <v>36</v>
      </c>
    </row>
    <row r="107" spans="8:8">
      <c r="H107" s="4">
        <v>1.5744547103037134</v>
      </c>
    </row>
  </sheetData>
  <mergeCells count="1">
    <mergeCell ref="A49:A50"/>
  </mergeCell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51"/>
  <sheetViews>
    <sheetView topLeftCell="A22" workbookViewId="0">
      <selection sqref="A1:XFD1048576"/>
    </sheetView>
  </sheetViews>
  <sheetFormatPr baseColWidth="10" defaultColWidth="8.83203125" defaultRowHeight="15"/>
  <cols>
    <col min="1" max="1" width="18.5" customWidth="1"/>
    <col min="2" max="3" width="5.5" customWidth="1"/>
    <col min="4" max="4" width="14.6640625" style="4" customWidth="1"/>
    <col min="5" max="5" width="3.1640625" customWidth="1"/>
    <col min="6" max="6" width="10.83203125" style="3" customWidth="1"/>
    <col min="7" max="7" width="3.1640625" style="4" customWidth="1"/>
    <col min="8" max="8" width="9.1640625" style="3" bestFit="1" customWidth="1"/>
    <col min="9" max="9" width="9.1640625" style="3" customWidth="1"/>
    <col min="10" max="10" width="9.1640625" style="3" bestFit="1" customWidth="1"/>
    <col min="11" max="11" width="8.83203125" style="4"/>
  </cols>
  <sheetData>
    <row r="1" spans="1:13" ht="17" thickBot="1">
      <c r="A1" s="124" t="s">
        <v>1</v>
      </c>
      <c r="B1" s="125"/>
      <c r="C1" s="126"/>
      <c r="D1" s="111" t="s">
        <v>54</v>
      </c>
      <c r="E1" s="112"/>
      <c r="F1" s="112"/>
      <c r="G1" s="112"/>
      <c r="H1" s="112"/>
      <c r="I1" s="112"/>
      <c r="J1" s="112"/>
      <c r="K1" s="113"/>
    </row>
    <row r="2" spans="1:13" ht="16" thickBot="1">
      <c r="A2" s="127"/>
      <c r="B2" s="128"/>
      <c r="C2" s="129"/>
      <c r="D2" s="33" t="s">
        <v>55</v>
      </c>
      <c r="E2" s="29"/>
      <c r="F2" s="31" t="s">
        <v>50</v>
      </c>
      <c r="G2" s="30"/>
      <c r="H2" s="114" t="s">
        <v>51</v>
      </c>
      <c r="I2" s="115"/>
      <c r="J2" s="115"/>
      <c r="K2" s="116"/>
    </row>
    <row r="3" spans="1:13">
      <c r="A3" s="22" t="s">
        <v>3</v>
      </c>
      <c r="B3" s="23"/>
      <c r="C3" s="23"/>
      <c r="D3" s="34"/>
      <c r="E3" s="23"/>
      <c r="F3" s="32"/>
      <c r="G3" s="25"/>
      <c r="H3" s="117" t="s">
        <v>52</v>
      </c>
      <c r="I3" s="118"/>
      <c r="J3" s="119" t="s">
        <v>53</v>
      </c>
      <c r="K3" s="120"/>
    </row>
    <row r="4" spans="1:13">
      <c r="A4" s="37" t="s">
        <v>4</v>
      </c>
      <c r="B4" s="38"/>
      <c r="C4" s="38"/>
      <c r="D4" s="39">
        <v>27.58</v>
      </c>
      <c r="E4" s="38"/>
      <c r="F4" s="40">
        <f>0.23+0.02*D4</f>
        <v>0.78159999999999996</v>
      </c>
      <c r="G4" s="41"/>
      <c r="H4" s="42">
        <f>D4-F4</f>
        <v>26.798399999999997</v>
      </c>
      <c r="I4" s="93"/>
      <c r="J4" s="41">
        <f>D4+F4</f>
        <v>28.361599999999999</v>
      </c>
      <c r="K4" s="43"/>
    </row>
    <row r="5" spans="1:13">
      <c r="A5" s="44" t="s">
        <v>5</v>
      </c>
      <c r="B5" s="45"/>
      <c r="C5" s="45"/>
      <c r="D5" s="46">
        <v>30.3</v>
      </c>
      <c r="E5" s="45"/>
      <c r="F5" s="47">
        <v>1.4</v>
      </c>
      <c r="G5" s="48"/>
      <c r="H5" s="49">
        <f>D5-F5</f>
        <v>28.900000000000002</v>
      </c>
      <c r="I5" s="94"/>
      <c r="J5" s="50">
        <f>D5+F5</f>
        <v>31.7</v>
      </c>
      <c r="K5" s="51"/>
    </row>
    <row r="6" spans="1:13">
      <c r="A6" s="44" t="s">
        <v>6</v>
      </c>
      <c r="B6" s="45"/>
      <c r="C6" s="45"/>
      <c r="D6" s="46">
        <v>5.52</v>
      </c>
      <c r="E6" s="45"/>
      <c r="F6" s="47">
        <v>0.47</v>
      </c>
      <c r="G6" s="48"/>
      <c r="H6" s="49">
        <f>D6-F6</f>
        <v>5.05</v>
      </c>
      <c r="I6" s="94"/>
      <c r="J6" s="50">
        <f>D6+F6</f>
        <v>5.9899999999999993</v>
      </c>
      <c r="K6" s="51"/>
    </row>
    <row r="7" spans="1:13">
      <c r="A7" s="52" t="s">
        <v>7</v>
      </c>
      <c r="B7" s="53"/>
      <c r="C7" s="53"/>
      <c r="D7" s="54">
        <f>100-D4-D5-D6</f>
        <v>36.600000000000009</v>
      </c>
      <c r="E7" s="53"/>
      <c r="F7" s="55">
        <f>SUM(F4:F6)</f>
        <v>2.6516000000000002</v>
      </c>
      <c r="G7" s="56"/>
      <c r="H7" s="57">
        <f>D7-F7</f>
        <v>33.948400000000007</v>
      </c>
      <c r="I7" s="95"/>
      <c r="J7" s="58">
        <f>D7+F7</f>
        <v>39.25160000000001</v>
      </c>
      <c r="K7" s="59"/>
      <c r="L7" s="21"/>
      <c r="M7" s="21"/>
    </row>
    <row r="8" spans="1:13">
      <c r="A8" s="22"/>
      <c r="B8" s="23"/>
      <c r="C8" s="23"/>
      <c r="D8" s="34"/>
      <c r="E8" s="23"/>
      <c r="F8" s="32"/>
      <c r="G8" s="25"/>
      <c r="H8" s="36"/>
      <c r="I8" s="96"/>
      <c r="J8" s="24"/>
      <c r="K8" s="26"/>
    </row>
    <row r="9" spans="1:13">
      <c r="A9" s="22" t="s">
        <v>8</v>
      </c>
      <c r="B9" s="23"/>
      <c r="C9" s="23"/>
      <c r="D9" s="34"/>
      <c r="E9" s="23"/>
      <c r="F9" s="32"/>
      <c r="G9" s="25"/>
      <c r="H9" s="36"/>
      <c r="I9" s="96"/>
      <c r="J9" s="24"/>
      <c r="K9" s="26"/>
    </row>
    <row r="10" spans="1:13">
      <c r="A10" s="37" t="s">
        <v>9</v>
      </c>
      <c r="B10" s="38"/>
      <c r="C10" s="38"/>
      <c r="D10" s="60">
        <v>69.81</v>
      </c>
      <c r="E10" s="38"/>
      <c r="F10" s="40">
        <v>1</v>
      </c>
      <c r="G10" s="61"/>
      <c r="H10" s="42">
        <f t="shared" ref="H10:H16" si="0">D10-F10</f>
        <v>68.81</v>
      </c>
      <c r="I10" s="93"/>
      <c r="J10" s="41">
        <f t="shared" ref="J10:J16" si="1">D10+F10</f>
        <v>70.81</v>
      </c>
      <c r="K10" s="43"/>
    </row>
    <row r="11" spans="1:13">
      <c r="A11" s="44" t="s">
        <v>10</v>
      </c>
      <c r="B11" s="45"/>
      <c r="C11" s="45"/>
      <c r="D11" s="46">
        <v>4.91</v>
      </c>
      <c r="E11" s="45"/>
      <c r="F11" s="47">
        <v>0.25</v>
      </c>
      <c r="G11" s="48"/>
      <c r="H11" s="49">
        <f t="shared" si="0"/>
        <v>4.66</v>
      </c>
      <c r="I11" s="94"/>
      <c r="J11" s="50">
        <f t="shared" si="1"/>
        <v>5.16</v>
      </c>
      <c r="K11" s="51"/>
    </row>
    <row r="12" spans="1:13">
      <c r="A12" s="44" t="s">
        <v>11</v>
      </c>
      <c r="B12" s="45"/>
      <c r="C12" s="45"/>
      <c r="D12" s="46">
        <v>1.05</v>
      </c>
      <c r="E12" s="45"/>
      <c r="F12" s="47">
        <v>0.15</v>
      </c>
      <c r="G12" s="48"/>
      <c r="H12" s="49">
        <f t="shared" si="0"/>
        <v>0.9</v>
      </c>
      <c r="I12" s="94"/>
      <c r="J12" s="50">
        <f t="shared" si="1"/>
        <v>1.2</v>
      </c>
      <c r="K12" s="51"/>
    </row>
    <row r="13" spans="1:13">
      <c r="A13" s="44" t="s">
        <v>12</v>
      </c>
      <c r="B13" s="45"/>
      <c r="C13" s="45"/>
      <c r="D13" s="46">
        <v>0.59</v>
      </c>
      <c r="E13" s="45"/>
      <c r="F13" s="47">
        <v>0.1</v>
      </c>
      <c r="G13" s="48"/>
      <c r="H13" s="49">
        <f t="shared" si="0"/>
        <v>0.49</v>
      </c>
      <c r="I13" s="94"/>
      <c r="J13" s="50">
        <f t="shared" si="1"/>
        <v>0.69</v>
      </c>
      <c r="K13" s="51"/>
    </row>
    <row r="14" spans="1:13">
      <c r="A14" s="44" t="s">
        <v>13</v>
      </c>
      <c r="B14" s="45"/>
      <c r="C14" s="45"/>
      <c r="D14" s="46">
        <f>100-D10-D11-D12-D13-D16-D15</f>
        <v>16.017796188898092</v>
      </c>
      <c r="E14" s="45"/>
      <c r="F14" s="47">
        <f>SUM(F10:F13,F16)</f>
        <v>1.97</v>
      </c>
      <c r="G14" s="48"/>
      <c r="H14" s="49">
        <f t="shared" si="0"/>
        <v>14.047796188898092</v>
      </c>
      <c r="I14" s="94"/>
      <c r="J14" s="50">
        <f t="shared" si="1"/>
        <v>17.987796188898091</v>
      </c>
      <c r="K14" s="51"/>
    </row>
    <row r="15" spans="1:13">
      <c r="A15" s="44" t="s">
        <v>14</v>
      </c>
      <c r="B15" s="45"/>
      <c r="C15" s="45"/>
      <c r="D15" s="46">
        <v>0</v>
      </c>
      <c r="E15" s="45"/>
      <c r="F15" s="47">
        <v>0</v>
      </c>
      <c r="G15" s="48"/>
      <c r="H15" s="49">
        <f t="shared" si="0"/>
        <v>0</v>
      </c>
      <c r="I15" s="94"/>
      <c r="J15" s="50">
        <f t="shared" si="1"/>
        <v>0</v>
      </c>
      <c r="K15" s="51"/>
    </row>
    <row r="16" spans="1:13">
      <c r="A16" s="52" t="s">
        <v>6</v>
      </c>
      <c r="B16" s="53"/>
      <c r="C16" s="53"/>
      <c r="D16" s="54">
        <f>(D6/(1-D4/100))</f>
        <v>7.6222038111019055</v>
      </c>
      <c r="E16" s="53"/>
      <c r="F16" s="55">
        <v>0.47</v>
      </c>
      <c r="G16" s="56"/>
      <c r="H16" s="57">
        <f t="shared" si="0"/>
        <v>7.1522038111019057</v>
      </c>
      <c r="I16" s="95"/>
      <c r="J16" s="58">
        <f t="shared" si="1"/>
        <v>8.0922038111019052</v>
      </c>
      <c r="K16" s="59"/>
    </row>
    <row r="17" spans="1:11">
      <c r="A17" s="22"/>
      <c r="B17" s="23"/>
      <c r="C17" s="23"/>
      <c r="D17" s="34"/>
      <c r="E17" s="23"/>
      <c r="F17" s="32"/>
      <c r="G17" s="25"/>
      <c r="H17" s="36"/>
      <c r="I17" s="96"/>
      <c r="J17" s="24"/>
      <c r="K17" s="26"/>
    </row>
    <row r="18" spans="1:11">
      <c r="A18" s="22" t="s">
        <v>15</v>
      </c>
      <c r="B18" s="23"/>
      <c r="C18" s="23"/>
      <c r="D18" s="34"/>
      <c r="E18" s="23"/>
      <c r="F18" s="32"/>
      <c r="G18" s="25"/>
      <c r="H18" s="36"/>
      <c r="I18" s="97" t="s">
        <v>56</v>
      </c>
      <c r="J18" s="24"/>
      <c r="K18" s="27" t="s">
        <v>56</v>
      </c>
    </row>
    <row r="19" spans="1:11">
      <c r="A19" s="62" t="s">
        <v>16</v>
      </c>
      <c r="B19" s="63"/>
      <c r="C19" s="63"/>
      <c r="D19" s="64">
        <v>8659</v>
      </c>
      <c r="E19" s="63"/>
      <c r="F19" s="65">
        <v>164</v>
      </c>
      <c r="G19" s="66"/>
      <c r="H19" s="67">
        <f>D19-F19</f>
        <v>8495</v>
      </c>
      <c r="I19" s="98">
        <f>2.326*H19</f>
        <v>19759.37</v>
      </c>
      <c r="J19" s="66">
        <f>D19+F19</f>
        <v>8823</v>
      </c>
      <c r="K19" s="68">
        <f>2.326*J19</f>
        <v>20522.297999999999</v>
      </c>
    </row>
    <row r="20" spans="1:11">
      <c r="A20" s="22"/>
      <c r="B20" s="23"/>
      <c r="C20" s="23"/>
      <c r="D20" s="35"/>
      <c r="E20" s="23"/>
      <c r="F20" s="32"/>
      <c r="G20" s="25"/>
      <c r="H20" s="36"/>
      <c r="I20" s="96"/>
      <c r="J20" s="24"/>
      <c r="K20" s="26"/>
    </row>
    <row r="21" spans="1:11">
      <c r="A21" s="22" t="s">
        <v>17</v>
      </c>
      <c r="B21" s="23"/>
      <c r="C21" s="23"/>
      <c r="D21" s="35"/>
      <c r="E21" s="23"/>
      <c r="F21" s="32"/>
      <c r="G21" s="25"/>
      <c r="H21" s="36"/>
      <c r="I21" s="96"/>
      <c r="J21" s="24"/>
      <c r="K21" s="26"/>
    </row>
    <row r="22" spans="1:11">
      <c r="A22" s="37" t="s">
        <v>18</v>
      </c>
      <c r="B22" s="38"/>
      <c r="C22" s="38"/>
      <c r="D22" s="60">
        <v>19.38</v>
      </c>
      <c r="E22" s="38"/>
      <c r="F22" s="40">
        <f>0.86+0.07*D22</f>
        <v>2.2166000000000001</v>
      </c>
      <c r="G22" s="61"/>
      <c r="H22" s="42">
        <f t="shared" ref="H22:H33" si="2">D22-F22</f>
        <v>17.163399999999999</v>
      </c>
      <c r="I22" s="93"/>
      <c r="J22" s="41">
        <f>D22+F22</f>
        <v>21.596599999999999</v>
      </c>
      <c r="K22" s="43"/>
    </row>
    <row r="23" spans="1:11">
      <c r="A23" s="44" t="s">
        <v>19</v>
      </c>
      <c r="B23" s="45"/>
      <c r="C23" s="45"/>
      <c r="D23" s="46">
        <v>38.520000000000003</v>
      </c>
      <c r="E23" s="45"/>
      <c r="F23" s="47">
        <f>2+0.1*D23</f>
        <v>5.8520000000000003</v>
      </c>
      <c r="G23" s="48"/>
      <c r="H23" s="49">
        <f t="shared" si="2"/>
        <v>32.668000000000006</v>
      </c>
      <c r="I23" s="94"/>
      <c r="J23" s="50">
        <f>D23+F23</f>
        <v>44.372</v>
      </c>
      <c r="K23" s="51"/>
    </row>
    <row r="24" spans="1:11">
      <c r="A24" s="44" t="s">
        <v>20</v>
      </c>
      <c r="B24" s="45"/>
      <c r="C24" s="45"/>
      <c r="D24" s="46">
        <v>1.4</v>
      </c>
      <c r="E24" s="45"/>
      <c r="F24" s="47">
        <f>0.05+0.12*D24</f>
        <v>0.21799999999999997</v>
      </c>
      <c r="G24" s="48"/>
      <c r="H24" s="49">
        <f t="shared" si="2"/>
        <v>1.1819999999999999</v>
      </c>
      <c r="I24" s="94"/>
      <c r="J24" s="50">
        <f>D24+F24</f>
        <v>1.6179999999999999</v>
      </c>
      <c r="K24" s="51"/>
    </row>
    <row r="25" spans="1:11">
      <c r="A25" s="44"/>
      <c r="B25" s="45"/>
      <c r="C25" s="45"/>
      <c r="D25" s="46"/>
      <c r="E25" s="45"/>
      <c r="F25" s="47"/>
      <c r="G25" s="48"/>
      <c r="H25" s="49"/>
      <c r="I25" s="94"/>
      <c r="J25" s="50"/>
      <c r="K25" s="51"/>
    </row>
    <row r="26" spans="1:11">
      <c r="A26" s="44" t="s">
        <v>21</v>
      </c>
      <c r="B26" s="45"/>
      <c r="C26" s="45"/>
      <c r="D26" s="46">
        <v>0.56000000000000005</v>
      </c>
      <c r="E26" s="45"/>
      <c r="F26" s="47">
        <f>0.1+0.17*D26</f>
        <v>0.19520000000000004</v>
      </c>
      <c r="G26" s="48"/>
      <c r="H26" s="49">
        <f t="shared" si="2"/>
        <v>0.36480000000000001</v>
      </c>
      <c r="I26" s="94"/>
      <c r="J26" s="50">
        <f>D26+F26</f>
        <v>0.75520000000000009</v>
      </c>
      <c r="K26" s="51"/>
    </row>
    <row r="27" spans="1:11">
      <c r="A27" s="44" t="s">
        <v>22</v>
      </c>
      <c r="B27" s="45"/>
      <c r="C27" s="45"/>
      <c r="D27" s="46">
        <v>1.05</v>
      </c>
      <c r="E27" s="45"/>
      <c r="F27" s="47">
        <f>0.14+0.3*D27</f>
        <v>0.45500000000000002</v>
      </c>
      <c r="G27" s="48"/>
      <c r="H27" s="49">
        <f t="shared" si="2"/>
        <v>0.59499999999999997</v>
      </c>
      <c r="I27" s="94"/>
      <c r="J27" s="50">
        <f>D27+F27</f>
        <v>1.5050000000000001</v>
      </c>
      <c r="K27" s="51"/>
    </row>
    <row r="28" spans="1:11">
      <c r="A28" s="44" t="s">
        <v>23</v>
      </c>
      <c r="B28" s="45"/>
      <c r="C28" s="45"/>
      <c r="D28" s="46">
        <v>5.63</v>
      </c>
      <c r="E28" s="45"/>
      <c r="F28" s="47">
        <f>0.23*D28</f>
        <v>1.2948999999999999</v>
      </c>
      <c r="G28" s="48"/>
      <c r="H28" s="49">
        <f t="shared" si="2"/>
        <v>4.3350999999999997</v>
      </c>
      <c r="I28" s="94"/>
      <c r="J28" s="50">
        <f>D28+F28</f>
        <v>6.9249000000000001</v>
      </c>
      <c r="K28" s="51"/>
    </row>
    <row r="29" spans="1:11">
      <c r="A29" s="44" t="s">
        <v>24</v>
      </c>
      <c r="B29" s="45"/>
      <c r="C29" s="45"/>
      <c r="D29" s="46">
        <v>2.77</v>
      </c>
      <c r="E29" s="45"/>
      <c r="F29" s="47">
        <f>0.11+0.11*D29</f>
        <v>0.41470000000000001</v>
      </c>
      <c r="G29" s="48"/>
      <c r="H29" s="49">
        <f t="shared" si="2"/>
        <v>2.3553000000000002</v>
      </c>
      <c r="I29" s="94"/>
      <c r="J29" s="50">
        <f>D29+F29</f>
        <v>3.1846999999999999</v>
      </c>
      <c r="K29" s="51"/>
    </row>
    <row r="30" spans="1:11">
      <c r="A30" s="44" t="s">
        <v>25</v>
      </c>
      <c r="B30" s="45"/>
      <c r="C30" s="45"/>
      <c r="D30" s="46">
        <v>13.27</v>
      </c>
      <c r="E30" s="45"/>
      <c r="F30" s="47">
        <f>0.25*D30</f>
        <v>3.3174999999999999</v>
      </c>
      <c r="G30" s="48"/>
      <c r="H30" s="49">
        <f t="shared" si="2"/>
        <v>9.9525000000000006</v>
      </c>
      <c r="I30" s="94"/>
      <c r="J30" s="50">
        <f>D30+F30</f>
        <v>16.587499999999999</v>
      </c>
      <c r="K30" s="51"/>
    </row>
    <row r="31" spans="1:11">
      <c r="A31" s="44"/>
      <c r="B31" s="45"/>
      <c r="C31" s="45"/>
      <c r="D31" s="46"/>
      <c r="E31" s="45"/>
      <c r="F31" s="47"/>
      <c r="G31" s="48"/>
      <c r="H31" s="49"/>
      <c r="I31" s="94"/>
      <c r="J31" s="50"/>
      <c r="K31" s="51"/>
    </row>
    <row r="32" spans="1:11">
      <c r="A32" s="44" t="s">
        <v>26</v>
      </c>
      <c r="B32" s="45"/>
      <c r="C32" s="45"/>
      <c r="D32" s="46">
        <v>11.94</v>
      </c>
      <c r="E32" s="45"/>
      <c r="F32" s="47">
        <f>0.08*D32+0.06</f>
        <v>1.0151999999999999</v>
      </c>
      <c r="G32" s="48"/>
      <c r="H32" s="49">
        <f t="shared" si="2"/>
        <v>10.924799999999999</v>
      </c>
      <c r="I32" s="94"/>
      <c r="J32" s="50">
        <f>D32+F32</f>
        <v>12.9552</v>
      </c>
      <c r="K32" s="51"/>
    </row>
    <row r="33" spans="1:18">
      <c r="A33" s="44" t="s">
        <v>27</v>
      </c>
      <c r="B33" s="45"/>
      <c r="C33" s="45"/>
      <c r="D33" s="46">
        <v>0.61</v>
      </c>
      <c r="E33" s="45"/>
      <c r="F33" s="47">
        <f>0.11+0.31*D33</f>
        <v>0.29909999999999998</v>
      </c>
      <c r="G33" s="48"/>
      <c r="H33" s="49">
        <f t="shared" si="2"/>
        <v>0.31090000000000001</v>
      </c>
      <c r="I33" s="94"/>
      <c r="J33" s="50">
        <f>D33+F33</f>
        <v>0.90910000000000002</v>
      </c>
      <c r="K33" s="51"/>
    </row>
    <row r="34" spans="1:18">
      <c r="A34" s="44" t="s">
        <v>28</v>
      </c>
      <c r="B34" s="45"/>
      <c r="C34" s="45"/>
      <c r="D34" s="46">
        <f>100-SUM(D22:D33)</f>
        <v>4.8700000000000045</v>
      </c>
      <c r="E34" s="45"/>
      <c r="F34" s="47"/>
      <c r="G34" s="48"/>
      <c r="H34" s="49">
        <f>100-SUM(H22:H33)</f>
        <v>20.148199999999989</v>
      </c>
      <c r="I34" s="94"/>
      <c r="J34" s="50">
        <f>100-SUM(J22:J33)</f>
        <v>-10.408199999999979</v>
      </c>
      <c r="K34" s="51"/>
    </row>
    <row r="35" spans="1:18">
      <c r="A35" s="69"/>
      <c r="B35" s="45"/>
      <c r="C35" s="45"/>
      <c r="D35" s="46"/>
      <c r="E35" s="45"/>
      <c r="F35" s="47"/>
      <c r="G35" s="48"/>
      <c r="H35" s="49"/>
      <c r="I35" s="94"/>
      <c r="J35" s="50"/>
      <c r="K35" s="51"/>
    </row>
    <row r="36" spans="1:18">
      <c r="A36" s="52" t="s">
        <v>29</v>
      </c>
      <c r="B36" s="53"/>
      <c r="C36" s="53"/>
      <c r="D36" s="54">
        <v>100</v>
      </c>
      <c r="E36" s="53"/>
      <c r="F36" s="55"/>
      <c r="G36" s="56"/>
      <c r="H36" s="57">
        <f>SUM(H22:H34)</f>
        <v>100</v>
      </c>
      <c r="I36" s="95"/>
      <c r="J36" s="58">
        <f>SUM(J22:J34)</f>
        <v>100</v>
      </c>
      <c r="K36" s="59"/>
    </row>
    <row r="37" spans="1:18">
      <c r="A37" s="22"/>
      <c r="B37" s="23"/>
      <c r="C37" s="23"/>
      <c r="D37" s="34"/>
      <c r="E37" s="23"/>
      <c r="F37" s="32"/>
      <c r="G37" s="25"/>
      <c r="H37" s="36"/>
      <c r="I37" s="96"/>
      <c r="J37" s="24"/>
      <c r="K37" s="26"/>
    </row>
    <row r="38" spans="1:18">
      <c r="A38" s="22" t="s">
        <v>30</v>
      </c>
      <c r="B38" s="23"/>
      <c r="C38" s="23"/>
      <c r="D38" s="34"/>
      <c r="E38" s="23"/>
      <c r="F38" s="32"/>
      <c r="G38" s="25"/>
      <c r="H38" s="36"/>
      <c r="I38" s="97" t="s">
        <v>57</v>
      </c>
      <c r="J38" s="24"/>
      <c r="K38" s="28" t="s">
        <v>57</v>
      </c>
    </row>
    <row r="39" spans="1:18">
      <c r="A39" s="37" t="s">
        <v>31</v>
      </c>
      <c r="B39" s="38" t="s">
        <v>32</v>
      </c>
      <c r="C39" s="38"/>
      <c r="D39" s="39">
        <v>2180</v>
      </c>
      <c r="E39" s="38"/>
      <c r="F39" s="70">
        <v>125</v>
      </c>
      <c r="G39" s="61"/>
      <c r="H39" s="71">
        <f>D39-F39</f>
        <v>2055</v>
      </c>
      <c r="I39" s="99">
        <f>(5/9*(H39-32))+273.15</f>
        <v>1397.0388888888888</v>
      </c>
      <c r="J39" s="72">
        <f>D39+F39</f>
        <v>2305</v>
      </c>
      <c r="K39" s="73">
        <f>(5/9*(J39-32))+273.15</f>
        <v>1535.9277777777779</v>
      </c>
      <c r="R39" s="104"/>
    </row>
    <row r="40" spans="1:18">
      <c r="A40" s="44" t="s">
        <v>33</v>
      </c>
      <c r="B40" s="45" t="s">
        <v>32</v>
      </c>
      <c r="C40" s="45"/>
      <c r="D40" s="74">
        <v>2220</v>
      </c>
      <c r="E40" s="45"/>
      <c r="F40" s="75">
        <v>100</v>
      </c>
      <c r="G40" s="48"/>
      <c r="H40" s="76">
        <f>D40-F40</f>
        <v>2120</v>
      </c>
      <c r="I40" s="100">
        <f>(5/9*(H40-32))+273.15</f>
        <v>1433.15</v>
      </c>
      <c r="J40" s="77">
        <f>D40+F40</f>
        <v>2320</v>
      </c>
      <c r="K40" s="78">
        <f>(5/9*(J40-32))+273.15</f>
        <v>1544.2611111111109</v>
      </c>
    </row>
    <row r="41" spans="1:18">
      <c r="A41" s="44" t="s">
        <v>34</v>
      </c>
      <c r="B41" s="45" t="s">
        <v>32</v>
      </c>
      <c r="C41" s="45"/>
      <c r="D41" s="74">
        <v>2250</v>
      </c>
      <c r="E41" s="45"/>
      <c r="F41" s="75">
        <v>100</v>
      </c>
      <c r="G41" s="48"/>
      <c r="H41" s="76">
        <f>D41-F41</f>
        <v>2150</v>
      </c>
      <c r="I41" s="100">
        <f>(5/9*(H41-32))+273.15</f>
        <v>1449.8166666666666</v>
      </c>
      <c r="J41" s="77">
        <f>D41+F41</f>
        <v>2350</v>
      </c>
      <c r="K41" s="78">
        <f>(5/9*(J41-32))+273.15</f>
        <v>1560.9277777777779</v>
      </c>
    </row>
    <row r="42" spans="1:18">
      <c r="A42" s="52" t="s">
        <v>35</v>
      </c>
      <c r="B42" s="53" t="s">
        <v>32</v>
      </c>
      <c r="C42" s="53"/>
      <c r="D42" s="79">
        <v>2290</v>
      </c>
      <c r="E42" s="53"/>
      <c r="F42" s="80">
        <v>150</v>
      </c>
      <c r="G42" s="56"/>
      <c r="H42" s="81">
        <f>D42-F42</f>
        <v>2140</v>
      </c>
      <c r="I42" s="101">
        <f>(5/9*(H42-32))+273.15</f>
        <v>1444.2611111111109</v>
      </c>
      <c r="J42" s="82">
        <f>D42+F42</f>
        <v>2440</v>
      </c>
      <c r="K42" s="83">
        <f>(5/9*(J42-32))+273.15</f>
        <v>1610.9277777777779</v>
      </c>
    </row>
    <row r="43" spans="1:18">
      <c r="A43" s="22"/>
      <c r="B43" s="23"/>
      <c r="C43" s="23"/>
      <c r="D43" s="34"/>
      <c r="E43" s="23"/>
      <c r="F43" s="32"/>
      <c r="G43" s="25"/>
      <c r="H43" s="36"/>
      <c r="I43" s="96"/>
      <c r="J43" s="24"/>
      <c r="K43" s="26"/>
    </row>
    <row r="44" spans="1:18">
      <c r="A44" s="22" t="s">
        <v>42</v>
      </c>
      <c r="B44" s="23"/>
      <c r="C44" s="23"/>
      <c r="D44" s="34"/>
      <c r="E44" s="23"/>
      <c r="F44" s="32"/>
      <c r="G44" s="25"/>
      <c r="H44" s="36"/>
      <c r="I44" s="96"/>
      <c r="J44" s="24"/>
      <c r="K44" s="26"/>
    </row>
    <row r="45" spans="1:18">
      <c r="A45" s="37" t="s">
        <v>41</v>
      </c>
      <c r="B45" s="38"/>
      <c r="C45" s="38"/>
      <c r="D45" s="60">
        <f>SUM(D26:D30)/SUM(D22:D24)</f>
        <v>0.39258010118043846</v>
      </c>
      <c r="E45" s="38"/>
      <c r="F45" s="40"/>
      <c r="G45" s="61"/>
      <c r="H45" s="42">
        <f>SUM(H26:H30)/SUM(H22:H24)</f>
        <v>0.34506031748520971</v>
      </c>
      <c r="I45" s="93"/>
      <c r="J45" s="41">
        <f>SUM(J26:J30)/SUM(J22:J24)</f>
        <v>0.42844735494905795</v>
      </c>
      <c r="K45" s="43"/>
    </row>
    <row r="46" spans="1:18">
      <c r="A46" s="44" t="s">
        <v>40</v>
      </c>
      <c r="B46" s="45"/>
      <c r="C46" s="45"/>
      <c r="D46" s="46" t="str">
        <f>IF(D30+D29&gt;D28,"Lignitic","Bituminous")</f>
        <v>Lignitic</v>
      </c>
      <c r="E46" s="45"/>
      <c r="F46" s="47"/>
      <c r="G46" s="48"/>
      <c r="H46" s="49" t="str">
        <f>IF(H30+H29&gt;H28,"Lignitic","Bituminous")</f>
        <v>Lignitic</v>
      </c>
      <c r="I46" s="94"/>
      <c r="J46" s="50" t="str">
        <f>IF(J30+J29&gt;J28,"Lignitic","Bituminous")</f>
        <v>Lignitic</v>
      </c>
      <c r="K46" s="51"/>
    </row>
    <row r="47" spans="1:18">
      <c r="A47" s="44" t="s">
        <v>38</v>
      </c>
      <c r="B47" s="45"/>
      <c r="C47" s="45"/>
      <c r="D47" s="46">
        <f>D45*D13</f>
        <v>0.23162225969645867</v>
      </c>
      <c r="E47" s="45"/>
      <c r="F47" s="47"/>
      <c r="G47" s="48"/>
      <c r="H47" s="49">
        <f>H45*H13</f>
        <v>0.16907955556775275</v>
      </c>
      <c r="I47" s="94"/>
      <c r="J47" s="50">
        <f>J45*J13</f>
        <v>0.29562867491484995</v>
      </c>
      <c r="K47" s="51"/>
    </row>
    <row r="48" spans="1:18">
      <c r="A48" s="44" t="s">
        <v>39</v>
      </c>
      <c r="B48" s="45"/>
      <c r="C48" s="45"/>
      <c r="D48" s="46">
        <f>D26</f>
        <v>0.56000000000000005</v>
      </c>
      <c r="E48" s="45"/>
      <c r="F48" s="47"/>
      <c r="G48" s="48"/>
      <c r="H48" s="49">
        <f>H26</f>
        <v>0.36480000000000001</v>
      </c>
      <c r="I48" s="94"/>
      <c r="J48" s="50">
        <f>J26</f>
        <v>0.75520000000000009</v>
      </c>
      <c r="K48" s="51"/>
    </row>
    <row r="49" spans="1:11" ht="14.5" customHeight="1">
      <c r="A49" s="121" t="s">
        <v>45</v>
      </c>
      <c r="B49" s="45" t="s">
        <v>43</v>
      </c>
      <c r="C49" s="45"/>
      <c r="D49" s="74">
        <f>(D40+D42)/2</f>
        <v>2255</v>
      </c>
      <c r="E49" s="45"/>
      <c r="F49" s="47"/>
      <c r="G49" s="48"/>
      <c r="H49" s="84">
        <f>(H40+H42)/2</f>
        <v>2130</v>
      </c>
      <c r="I49" s="100"/>
      <c r="J49" s="48">
        <f>(J40+J42)/2</f>
        <v>2380</v>
      </c>
      <c r="K49" s="78"/>
    </row>
    <row r="50" spans="1:11">
      <c r="A50" s="122"/>
      <c r="B50" s="45" t="s">
        <v>44</v>
      </c>
      <c r="C50" s="45"/>
      <c r="D50" s="74">
        <f>(D49-32)/1.8</f>
        <v>1235</v>
      </c>
      <c r="E50" s="45"/>
      <c r="F50" s="47"/>
      <c r="G50" s="48"/>
      <c r="H50" s="76">
        <f>(H49-32)/1.8</f>
        <v>1165.5555555555554</v>
      </c>
      <c r="I50" s="102"/>
      <c r="J50" s="77">
        <f>(J49-32)/1.8</f>
        <v>1304.4444444444443</v>
      </c>
      <c r="K50" s="51"/>
    </row>
    <row r="51" spans="1:11" ht="16" thickBot="1">
      <c r="A51" s="123"/>
      <c r="B51" s="85" t="s">
        <v>57</v>
      </c>
      <c r="C51" s="86"/>
      <c r="D51" s="87"/>
      <c r="E51" s="86"/>
      <c r="F51" s="88"/>
      <c r="G51" s="89"/>
      <c r="H51" s="90">
        <f>(5/9*(H49-32)+273.15)</f>
        <v>1438.7055555555557</v>
      </c>
      <c r="I51" s="103"/>
      <c r="J51" s="91">
        <f>(5/9*(J49-32)+273.15)</f>
        <v>1577.5944444444444</v>
      </c>
      <c r="K51" s="92"/>
    </row>
  </sheetData>
  <mergeCells count="6">
    <mergeCell ref="D1:K1"/>
    <mergeCell ref="H2:K2"/>
    <mergeCell ref="H3:I3"/>
    <mergeCell ref="J3:K3"/>
    <mergeCell ref="A49:A51"/>
    <mergeCell ref="A1:C2"/>
  </mergeCells>
  <printOptions horizontalCentered="1" verticalCentered="1"/>
  <pageMargins left="0.7" right="0.7" top="0.5" bottom="0.5" header="0.3" footer="0.3"/>
  <pageSetup scale="9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1"/>
  <sheetViews>
    <sheetView topLeftCell="A18" workbookViewId="0">
      <selection activeCell="D2" sqref="D2"/>
    </sheetView>
  </sheetViews>
  <sheetFormatPr baseColWidth="10" defaultColWidth="8.83203125" defaultRowHeight="15"/>
  <cols>
    <col min="1" max="1" width="18.5" customWidth="1"/>
    <col min="2" max="3" width="5.5" customWidth="1"/>
    <col min="4" max="4" width="14.6640625" style="4" customWidth="1"/>
    <col min="5" max="5" width="3.1640625" customWidth="1"/>
    <col min="6" max="6" width="10.83203125" style="3" customWidth="1"/>
    <col min="7" max="7" width="3.1640625" style="4" customWidth="1"/>
    <col min="8" max="8" width="9.1640625" style="3" bestFit="1" customWidth="1"/>
    <col min="9" max="9" width="9.1640625" style="3" customWidth="1"/>
    <col min="10" max="10" width="9.1640625" style="3" bestFit="1" customWidth="1"/>
    <col min="11" max="11" width="8.83203125" style="4"/>
  </cols>
  <sheetData>
    <row r="1" spans="1:13" ht="17" thickBot="1">
      <c r="A1" s="124" t="s">
        <v>1</v>
      </c>
      <c r="B1" s="125"/>
      <c r="C1" s="126"/>
      <c r="D1" s="111" t="s">
        <v>58</v>
      </c>
      <c r="E1" s="112"/>
      <c r="F1" s="112"/>
      <c r="G1" s="112"/>
      <c r="H1" s="112"/>
      <c r="I1" s="112"/>
      <c r="J1" s="112"/>
      <c r="K1" s="113"/>
    </row>
    <row r="2" spans="1:13" ht="16" thickBot="1">
      <c r="A2" s="127"/>
      <c r="B2" s="128"/>
      <c r="C2" s="129"/>
      <c r="D2" s="33" t="s">
        <v>55</v>
      </c>
      <c r="E2" s="29"/>
      <c r="F2" s="31" t="s">
        <v>50</v>
      </c>
      <c r="G2" s="30"/>
      <c r="H2" s="114" t="s">
        <v>51</v>
      </c>
      <c r="I2" s="115"/>
      <c r="J2" s="115"/>
      <c r="K2" s="116"/>
    </row>
    <row r="3" spans="1:13">
      <c r="A3" s="22" t="s">
        <v>3</v>
      </c>
      <c r="B3" s="23"/>
      <c r="C3" s="23"/>
      <c r="D3" s="34"/>
      <c r="E3" s="23"/>
      <c r="F3" s="32"/>
      <c r="G3" s="25"/>
      <c r="H3" s="117" t="s">
        <v>52</v>
      </c>
      <c r="I3" s="118"/>
      <c r="J3" s="119" t="s">
        <v>53</v>
      </c>
      <c r="K3" s="120"/>
    </row>
    <row r="4" spans="1:13">
      <c r="A4" s="37" t="s">
        <v>4</v>
      </c>
      <c r="B4" s="38"/>
      <c r="C4" s="38"/>
      <c r="D4" s="60">
        <v>15</v>
      </c>
      <c r="E4" s="38"/>
      <c r="F4" s="40">
        <f>0.23+0.02*D4</f>
        <v>0.53</v>
      </c>
      <c r="G4" s="41"/>
      <c r="H4" s="42">
        <f>D4-F4</f>
        <v>14.47</v>
      </c>
      <c r="I4" s="93"/>
      <c r="J4" s="41">
        <f>D4+F4</f>
        <v>15.53</v>
      </c>
      <c r="K4" s="43"/>
    </row>
    <row r="5" spans="1:13">
      <c r="A5" s="44" t="s">
        <v>5</v>
      </c>
      <c r="B5" s="45"/>
      <c r="C5" s="45"/>
      <c r="D5" s="46">
        <v>35.56</v>
      </c>
      <c r="E5" s="45"/>
      <c r="F5" s="47">
        <v>1.4</v>
      </c>
      <c r="G5" s="48"/>
      <c r="H5" s="49">
        <f>D5-F5</f>
        <v>34.160000000000004</v>
      </c>
      <c r="I5" s="94"/>
      <c r="J5" s="50">
        <f>D5+F5</f>
        <v>36.96</v>
      </c>
      <c r="K5" s="51"/>
    </row>
    <row r="6" spans="1:13">
      <c r="A6" s="44" t="s">
        <v>6</v>
      </c>
      <c r="B6" s="45"/>
      <c r="C6" s="45"/>
      <c r="D6" s="46">
        <v>6.48</v>
      </c>
      <c r="E6" s="45"/>
      <c r="F6" s="47">
        <v>0.47</v>
      </c>
      <c r="G6" s="48"/>
      <c r="H6" s="49">
        <f>D6-F6</f>
        <v>6.0100000000000007</v>
      </c>
      <c r="I6" s="94"/>
      <c r="J6" s="50">
        <f>D6+F6</f>
        <v>6.95</v>
      </c>
      <c r="K6" s="51"/>
    </row>
    <row r="7" spans="1:13">
      <c r="A7" s="52" t="s">
        <v>7</v>
      </c>
      <c r="B7" s="53"/>
      <c r="C7" s="53"/>
      <c r="D7" s="54">
        <v>42.959999999999994</v>
      </c>
      <c r="E7" s="53"/>
      <c r="F7" s="55">
        <f>SUM(F4:F6)</f>
        <v>2.4</v>
      </c>
      <c r="G7" s="56"/>
      <c r="H7" s="57">
        <f>D7-F7</f>
        <v>40.559999999999995</v>
      </c>
      <c r="I7" s="95"/>
      <c r="J7" s="58">
        <f>D7+F7</f>
        <v>45.359999999999992</v>
      </c>
      <c r="K7" s="59"/>
      <c r="L7" s="21"/>
      <c r="M7" s="21"/>
    </row>
    <row r="8" spans="1:13">
      <c r="A8" s="22"/>
      <c r="B8" s="23"/>
      <c r="C8" s="23"/>
      <c r="D8" s="34"/>
      <c r="E8" s="23"/>
      <c r="F8" s="32"/>
      <c r="G8" s="25"/>
      <c r="H8" s="36"/>
      <c r="I8" s="96"/>
      <c r="J8" s="24"/>
      <c r="K8" s="26"/>
    </row>
    <row r="9" spans="1:13">
      <c r="A9" s="22" t="s">
        <v>8</v>
      </c>
      <c r="B9" s="23"/>
      <c r="C9" s="23"/>
      <c r="D9" s="34"/>
      <c r="E9" s="23"/>
      <c r="F9" s="32"/>
      <c r="G9" s="25"/>
      <c r="H9" s="36"/>
      <c r="I9" s="96"/>
      <c r="J9" s="24"/>
      <c r="K9" s="26"/>
    </row>
    <row r="10" spans="1:13">
      <c r="A10" s="37" t="s">
        <v>9</v>
      </c>
      <c r="B10" s="38"/>
      <c r="C10" s="38"/>
      <c r="D10" s="60">
        <v>69.81</v>
      </c>
      <c r="E10" s="38"/>
      <c r="F10" s="40">
        <v>1</v>
      </c>
      <c r="G10" s="61"/>
      <c r="H10" s="42">
        <f t="shared" ref="H10:H16" si="0">D10-F10</f>
        <v>68.81</v>
      </c>
      <c r="I10" s="93"/>
      <c r="J10" s="41">
        <f t="shared" ref="J10:J16" si="1">D10+F10</f>
        <v>70.81</v>
      </c>
      <c r="K10" s="43"/>
    </row>
    <row r="11" spans="1:13">
      <c r="A11" s="44" t="s">
        <v>10</v>
      </c>
      <c r="B11" s="45"/>
      <c r="C11" s="45"/>
      <c r="D11" s="46">
        <v>4.91</v>
      </c>
      <c r="E11" s="45"/>
      <c r="F11" s="47">
        <v>0.25</v>
      </c>
      <c r="G11" s="48"/>
      <c r="H11" s="49">
        <f t="shared" si="0"/>
        <v>4.66</v>
      </c>
      <c r="I11" s="94"/>
      <c r="J11" s="50">
        <f t="shared" si="1"/>
        <v>5.16</v>
      </c>
      <c r="K11" s="51"/>
    </row>
    <row r="12" spans="1:13">
      <c r="A12" s="44" t="s">
        <v>11</v>
      </c>
      <c r="B12" s="45"/>
      <c r="C12" s="45"/>
      <c r="D12" s="46">
        <v>1.05</v>
      </c>
      <c r="E12" s="45"/>
      <c r="F12" s="47">
        <v>0.15</v>
      </c>
      <c r="G12" s="48"/>
      <c r="H12" s="49">
        <f t="shared" si="0"/>
        <v>0.9</v>
      </c>
      <c r="I12" s="94"/>
      <c r="J12" s="50">
        <f t="shared" si="1"/>
        <v>1.2</v>
      </c>
      <c r="K12" s="51"/>
    </row>
    <row r="13" spans="1:13">
      <c r="A13" s="44" t="s">
        <v>12</v>
      </c>
      <c r="B13" s="45"/>
      <c r="C13" s="45"/>
      <c r="D13" s="46">
        <v>0.59</v>
      </c>
      <c r="E13" s="45"/>
      <c r="F13" s="47">
        <v>0.1</v>
      </c>
      <c r="G13" s="48"/>
      <c r="H13" s="49">
        <f t="shared" si="0"/>
        <v>0.49</v>
      </c>
      <c r="I13" s="94"/>
      <c r="J13" s="50">
        <f t="shared" si="1"/>
        <v>0.69</v>
      </c>
      <c r="K13" s="51"/>
    </row>
    <row r="14" spans="1:13">
      <c r="A14" s="44" t="s">
        <v>13</v>
      </c>
      <c r="B14" s="45"/>
      <c r="C14" s="45"/>
      <c r="D14" s="46">
        <v>16.01647058823529</v>
      </c>
      <c r="E14" s="45"/>
      <c r="F14" s="47">
        <f>SUM(F10:F13,F16)</f>
        <v>1.97</v>
      </c>
      <c r="G14" s="48"/>
      <c r="H14" s="49">
        <f t="shared" si="0"/>
        <v>14.046470588235289</v>
      </c>
      <c r="I14" s="94"/>
      <c r="J14" s="50">
        <f t="shared" si="1"/>
        <v>17.986470588235289</v>
      </c>
      <c r="K14" s="51"/>
    </row>
    <row r="15" spans="1:13">
      <c r="A15" s="44" t="s">
        <v>14</v>
      </c>
      <c r="B15" s="45"/>
      <c r="C15" s="45"/>
      <c r="D15" s="46">
        <v>0</v>
      </c>
      <c r="E15" s="45"/>
      <c r="F15" s="47">
        <v>0</v>
      </c>
      <c r="G15" s="48"/>
      <c r="H15" s="49">
        <f t="shared" si="0"/>
        <v>0</v>
      </c>
      <c r="I15" s="94"/>
      <c r="J15" s="50">
        <f t="shared" si="1"/>
        <v>0</v>
      </c>
      <c r="K15" s="51"/>
    </row>
    <row r="16" spans="1:13">
      <c r="A16" s="52" t="s">
        <v>6</v>
      </c>
      <c r="B16" s="53"/>
      <c r="C16" s="53"/>
      <c r="D16" s="54">
        <v>7.6235294117647063</v>
      </c>
      <c r="E16" s="53"/>
      <c r="F16" s="55">
        <v>0.47</v>
      </c>
      <c r="G16" s="56"/>
      <c r="H16" s="57">
        <f t="shared" si="0"/>
        <v>7.1535294117647066</v>
      </c>
      <c r="I16" s="95"/>
      <c r="J16" s="58">
        <f t="shared" si="1"/>
        <v>8.0935294117647061</v>
      </c>
      <c r="K16" s="59"/>
    </row>
    <row r="17" spans="1:11">
      <c r="A17" s="22"/>
      <c r="B17" s="23"/>
      <c r="C17" s="23"/>
      <c r="D17" s="34"/>
      <c r="E17" s="23"/>
      <c r="F17" s="32"/>
      <c r="G17" s="25"/>
      <c r="H17" s="36"/>
      <c r="I17" s="96"/>
      <c r="J17" s="24"/>
      <c r="K17" s="26"/>
    </row>
    <row r="18" spans="1:11">
      <c r="A18" s="22" t="s">
        <v>15</v>
      </c>
      <c r="B18" s="23"/>
      <c r="C18" s="23"/>
      <c r="D18" s="34"/>
      <c r="E18" s="23"/>
      <c r="F18" s="32"/>
      <c r="G18" s="25"/>
      <c r="H18" s="36"/>
      <c r="I18" s="97" t="s">
        <v>56</v>
      </c>
      <c r="J18" s="24"/>
      <c r="K18" s="27" t="s">
        <v>56</v>
      </c>
    </row>
    <row r="19" spans="1:11">
      <c r="A19" s="62" t="s">
        <v>16</v>
      </c>
      <c r="B19" s="63"/>
      <c r="C19" s="63"/>
      <c r="D19" s="64">
        <v>10163</v>
      </c>
      <c r="E19" s="63"/>
      <c r="F19" s="65">
        <v>164</v>
      </c>
      <c r="G19" s="66"/>
      <c r="H19" s="67">
        <f>D19-F19</f>
        <v>9999</v>
      </c>
      <c r="I19" s="98">
        <f>2.326*H19</f>
        <v>23257.673999999999</v>
      </c>
      <c r="J19" s="66">
        <f>D19+F19</f>
        <v>10327</v>
      </c>
      <c r="K19" s="68">
        <f>2.326*J19</f>
        <v>24020.601999999999</v>
      </c>
    </row>
    <row r="20" spans="1:11">
      <c r="A20" s="22"/>
      <c r="B20" s="23"/>
      <c r="C20" s="23"/>
      <c r="D20" s="35"/>
      <c r="E20" s="23"/>
      <c r="F20" s="32"/>
      <c r="G20" s="25"/>
      <c r="H20" s="36"/>
      <c r="I20" s="96"/>
      <c r="J20" s="24"/>
      <c r="K20" s="26"/>
    </row>
    <row r="21" spans="1:11">
      <c r="A21" s="22" t="s">
        <v>17</v>
      </c>
      <c r="B21" s="23"/>
      <c r="C21" s="23"/>
      <c r="D21" s="35"/>
      <c r="E21" s="23"/>
      <c r="F21" s="32"/>
      <c r="G21" s="25"/>
      <c r="H21" s="36"/>
      <c r="I21" s="96"/>
      <c r="J21" s="24"/>
      <c r="K21" s="26"/>
    </row>
    <row r="22" spans="1:11">
      <c r="A22" s="37" t="s">
        <v>18</v>
      </c>
      <c r="B22" s="38"/>
      <c r="C22" s="38"/>
      <c r="D22" s="60">
        <v>19.38</v>
      </c>
      <c r="E22" s="38"/>
      <c r="F22" s="40">
        <f>0.86+0.07*D22</f>
        <v>2.2166000000000001</v>
      </c>
      <c r="G22" s="61"/>
      <c r="H22" s="42">
        <f t="shared" ref="H22:H33" si="2">D22-F22</f>
        <v>17.163399999999999</v>
      </c>
      <c r="I22" s="93"/>
      <c r="J22" s="41">
        <f>D22+F22</f>
        <v>21.596599999999999</v>
      </c>
      <c r="K22" s="43"/>
    </row>
    <row r="23" spans="1:11">
      <c r="A23" s="44" t="s">
        <v>19</v>
      </c>
      <c r="B23" s="45"/>
      <c r="C23" s="45"/>
      <c r="D23" s="46">
        <v>38.520000000000003</v>
      </c>
      <c r="E23" s="45"/>
      <c r="F23" s="47">
        <f>2+0.1*D23</f>
        <v>5.8520000000000003</v>
      </c>
      <c r="G23" s="48"/>
      <c r="H23" s="49">
        <f t="shared" si="2"/>
        <v>32.668000000000006</v>
      </c>
      <c r="I23" s="94"/>
      <c r="J23" s="50">
        <f>D23+F23</f>
        <v>44.372</v>
      </c>
      <c r="K23" s="51"/>
    </row>
    <row r="24" spans="1:11">
      <c r="A24" s="44" t="s">
        <v>20</v>
      </c>
      <c r="B24" s="45"/>
      <c r="C24" s="45"/>
      <c r="D24" s="46">
        <v>1.4</v>
      </c>
      <c r="E24" s="45"/>
      <c r="F24" s="47">
        <f>0.05+0.12*D24</f>
        <v>0.21799999999999997</v>
      </c>
      <c r="G24" s="48"/>
      <c r="H24" s="49">
        <f t="shared" si="2"/>
        <v>1.1819999999999999</v>
      </c>
      <c r="I24" s="94"/>
      <c r="J24" s="50">
        <f>D24+F24</f>
        <v>1.6179999999999999</v>
      </c>
      <c r="K24" s="51"/>
    </row>
    <row r="25" spans="1:11">
      <c r="A25" s="44"/>
      <c r="B25" s="45"/>
      <c r="C25" s="45"/>
      <c r="D25" s="46"/>
      <c r="E25" s="45"/>
      <c r="F25" s="47"/>
      <c r="G25" s="48"/>
      <c r="H25" s="49"/>
      <c r="I25" s="94"/>
      <c r="J25" s="50"/>
      <c r="K25" s="51"/>
    </row>
    <row r="26" spans="1:11">
      <c r="A26" s="44" t="s">
        <v>21</v>
      </c>
      <c r="B26" s="45"/>
      <c r="C26" s="45"/>
      <c r="D26" s="46">
        <v>0.56000000000000005</v>
      </c>
      <c r="E26" s="45"/>
      <c r="F26" s="47">
        <f>0.1+0.17*D26</f>
        <v>0.19520000000000004</v>
      </c>
      <c r="G26" s="48"/>
      <c r="H26" s="49">
        <f t="shared" si="2"/>
        <v>0.36480000000000001</v>
      </c>
      <c r="I26" s="94"/>
      <c r="J26" s="50">
        <f>D26+F26</f>
        <v>0.75520000000000009</v>
      </c>
      <c r="K26" s="51"/>
    </row>
    <row r="27" spans="1:11">
      <c r="A27" s="44" t="s">
        <v>22</v>
      </c>
      <c r="B27" s="45"/>
      <c r="C27" s="45"/>
      <c r="D27" s="46">
        <v>1.05</v>
      </c>
      <c r="E27" s="45"/>
      <c r="F27" s="47">
        <f>0.14+0.3*D27</f>
        <v>0.45500000000000002</v>
      </c>
      <c r="G27" s="48"/>
      <c r="H27" s="49">
        <f t="shared" si="2"/>
        <v>0.59499999999999997</v>
      </c>
      <c r="I27" s="94"/>
      <c r="J27" s="50">
        <f>D27+F27</f>
        <v>1.5050000000000001</v>
      </c>
      <c r="K27" s="51"/>
    </row>
    <row r="28" spans="1:11">
      <c r="A28" s="44" t="s">
        <v>23</v>
      </c>
      <c r="B28" s="45"/>
      <c r="C28" s="45"/>
      <c r="D28" s="46">
        <v>5.63</v>
      </c>
      <c r="E28" s="45"/>
      <c r="F28" s="47">
        <f>0.23*D28</f>
        <v>1.2948999999999999</v>
      </c>
      <c r="G28" s="48"/>
      <c r="H28" s="49">
        <f t="shared" si="2"/>
        <v>4.3350999999999997</v>
      </c>
      <c r="I28" s="94"/>
      <c r="J28" s="50">
        <f>D28+F28</f>
        <v>6.9249000000000001</v>
      </c>
      <c r="K28" s="51"/>
    </row>
    <row r="29" spans="1:11">
      <c r="A29" s="44" t="s">
        <v>24</v>
      </c>
      <c r="B29" s="45"/>
      <c r="C29" s="45"/>
      <c r="D29" s="46">
        <v>2.77</v>
      </c>
      <c r="E29" s="45"/>
      <c r="F29" s="47">
        <f>0.11+0.11*D29</f>
        <v>0.41470000000000001</v>
      </c>
      <c r="G29" s="48"/>
      <c r="H29" s="49">
        <f t="shared" si="2"/>
        <v>2.3553000000000002</v>
      </c>
      <c r="I29" s="94"/>
      <c r="J29" s="50">
        <f>D29+F29</f>
        <v>3.1846999999999999</v>
      </c>
      <c r="K29" s="51"/>
    </row>
    <row r="30" spans="1:11">
      <c r="A30" s="44" t="s">
        <v>25</v>
      </c>
      <c r="B30" s="45"/>
      <c r="C30" s="45"/>
      <c r="D30" s="46">
        <v>13.27</v>
      </c>
      <c r="E30" s="45"/>
      <c r="F30" s="47">
        <f>0.25*D30</f>
        <v>3.3174999999999999</v>
      </c>
      <c r="G30" s="48"/>
      <c r="H30" s="49">
        <f t="shared" si="2"/>
        <v>9.9525000000000006</v>
      </c>
      <c r="I30" s="94"/>
      <c r="J30" s="50">
        <f>D30+F30</f>
        <v>16.587499999999999</v>
      </c>
      <c r="K30" s="51"/>
    </row>
    <row r="31" spans="1:11">
      <c r="A31" s="44"/>
      <c r="B31" s="45"/>
      <c r="C31" s="45"/>
      <c r="D31" s="46"/>
      <c r="E31" s="45"/>
      <c r="F31" s="47"/>
      <c r="G31" s="48"/>
      <c r="H31" s="49"/>
      <c r="I31" s="94"/>
      <c r="J31" s="50"/>
      <c r="K31" s="51"/>
    </row>
    <row r="32" spans="1:11">
      <c r="A32" s="44" t="s">
        <v>26</v>
      </c>
      <c r="B32" s="45"/>
      <c r="C32" s="45"/>
      <c r="D32" s="46">
        <v>11.94</v>
      </c>
      <c r="E32" s="45"/>
      <c r="F32" s="47">
        <f>0.08*D32+0.06</f>
        <v>1.0151999999999999</v>
      </c>
      <c r="G32" s="48"/>
      <c r="H32" s="49">
        <f t="shared" si="2"/>
        <v>10.924799999999999</v>
      </c>
      <c r="I32" s="94"/>
      <c r="J32" s="50">
        <f>D32+F32</f>
        <v>12.9552</v>
      </c>
      <c r="K32" s="51"/>
    </row>
    <row r="33" spans="1:18">
      <c r="A33" s="44" t="s">
        <v>27</v>
      </c>
      <c r="B33" s="45"/>
      <c r="C33" s="45"/>
      <c r="D33" s="46">
        <v>0.61</v>
      </c>
      <c r="E33" s="45"/>
      <c r="F33" s="47">
        <f>0.11+0.31*D33</f>
        <v>0.29909999999999998</v>
      </c>
      <c r="G33" s="48"/>
      <c r="H33" s="49">
        <f t="shared" si="2"/>
        <v>0.31090000000000001</v>
      </c>
      <c r="I33" s="94"/>
      <c r="J33" s="50">
        <f>D33+F33</f>
        <v>0.90910000000000002</v>
      </c>
      <c r="K33" s="51"/>
    </row>
    <row r="34" spans="1:18">
      <c r="A34" s="44" t="s">
        <v>28</v>
      </c>
      <c r="B34" s="45"/>
      <c r="C34" s="45"/>
      <c r="D34" s="46">
        <f>100-SUM(D22:D33)</f>
        <v>4.8700000000000045</v>
      </c>
      <c r="E34" s="45"/>
      <c r="F34" s="47"/>
      <c r="G34" s="48"/>
      <c r="H34" s="49">
        <f>100-SUM(H22:H33)</f>
        <v>20.148199999999989</v>
      </c>
      <c r="I34" s="94"/>
      <c r="J34" s="50">
        <f>100-SUM(J22:J33)</f>
        <v>-10.408199999999979</v>
      </c>
      <c r="K34" s="51"/>
    </row>
    <row r="35" spans="1:18">
      <c r="A35" s="69"/>
      <c r="B35" s="45"/>
      <c r="C35" s="45"/>
      <c r="D35" s="46"/>
      <c r="E35" s="45"/>
      <c r="F35" s="47"/>
      <c r="G35" s="48"/>
      <c r="H35" s="49"/>
      <c r="I35" s="94"/>
      <c r="J35" s="50"/>
      <c r="K35" s="51"/>
    </row>
    <row r="36" spans="1:18">
      <c r="A36" s="52" t="s">
        <v>29</v>
      </c>
      <c r="B36" s="53"/>
      <c r="C36" s="53"/>
      <c r="D36" s="54">
        <v>100</v>
      </c>
      <c r="E36" s="53"/>
      <c r="F36" s="55"/>
      <c r="G36" s="56"/>
      <c r="H36" s="57">
        <f>SUM(H22:H34)</f>
        <v>100</v>
      </c>
      <c r="I36" s="95"/>
      <c r="J36" s="58">
        <f>SUM(J22:J34)</f>
        <v>100</v>
      </c>
      <c r="K36" s="59"/>
    </row>
    <row r="37" spans="1:18">
      <c r="A37" s="22"/>
      <c r="B37" s="23"/>
      <c r="C37" s="23"/>
      <c r="D37" s="34"/>
      <c r="E37" s="23"/>
      <c r="F37" s="32"/>
      <c r="G37" s="25"/>
      <c r="H37" s="36"/>
      <c r="I37" s="96"/>
      <c r="J37" s="24"/>
      <c r="K37" s="26"/>
    </row>
    <row r="38" spans="1:18">
      <c r="A38" s="22" t="s">
        <v>30</v>
      </c>
      <c r="B38" s="23"/>
      <c r="C38" s="23"/>
      <c r="D38" s="34"/>
      <c r="E38" s="23"/>
      <c r="F38" s="32"/>
      <c r="G38" s="25"/>
      <c r="H38" s="36"/>
      <c r="I38" s="97" t="s">
        <v>57</v>
      </c>
      <c r="J38" s="24"/>
      <c r="K38" s="28" t="s">
        <v>57</v>
      </c>
    </row>
    <row r="39" spans="1:18">
      <c r="A39" s="37" t="s">
        <v>31</v>
      </c>
      <c r="B39" s="38" t="s">
        <v>32</v>
      </c>
      <c r="C39" s="38"/>
      <c r="D39" s="39">
        <v>2180</v>
      </c>
      <c r="E39" s="38"/>
      <c r="F39" s="70">
        <v>125</v>
      </c>
      <c r="G39" s="61"/>
      <c r="H39" s="71">
        <f>D39-F39</f>
        <v>2055</v>
      </c>
      <c r="I39" s="99">
        <f>(5/9*(H39-32))+273.15</f>
        <v>1397.0388888888888</v>
      </c>
      <c r="J39" s="72">
        <f>D39+F39</f>
        <v>2305</v>
      </c>
      <c r="K39" s="73">
        <f>(5/9*(J39-32))+273.15</f>
        <v>1535.9277777777779</v>
      </c>
      <c r="R39" s="104"/>
    </row>
    <row r="40" spans="1:18">
      <c r="A40" s="44" t="s">
        <v>33</v>
      </c>
      <c r="B40" s="45" t="s">
        <v>32</v>
      </c>
      <c r="C40" s="45"/>
      <c r="D40" s="74">
        <v>2220</v>
      </c>
      <c r="E40" s="45"/>
      <c r="F40" s="75">
        <v>100</v>
      </c>
      <c r="G40" s="48"/>
      <c r="H40" s="76">
        <f>D40-F40</f>
        <v>2120</v>
      </c>
      <c r="I40" s="100">
        <f>(5/9*(H40-32))+273.15</f>
        <v>1433.15</v>
      </c>
      <c r="J40" s="77">
        <f>D40+F40</f>
        <v>2320</v>
      </c>
      <c r="K40" s="78">
        <f>(5/9*(J40-32))+273.15</f>
        <v>1544.2611111111109</v>
      </c>
    </row>
    <row r="41" spans="1:18">
      <c r="A41" s="44" t="s">
        <v>34</v>
      </c>
      <c r="B41" s="45" t="s">
        <v>32</v>
      </c>
      <c r="C41" s="45"/>
      <c r="D41" s="74">
        <v>2250</v>
      </c>
      <c r="E41" s="45"/>
      <c r="F41" s="75">
        <v>100</v>
      </c>
      <c r="G41" s="48"/>
      <c r="H41" s="76">
        <f>D41-F41</f>
        <v>2150</v>
      </c>
      <c r="I41" s="100">
        <f>(5/9*(H41-32))+273.15</f>
        <v>1449.8166666666666</v>
      </c>
      <c r="J41" s="77">
        <f>D41+F41</f>
        <v>2350</v>
      </c>
      <c r="K41" s="78">
        <f>(5/9*(J41-32))+273.15</f>
        <v>1560.9277777777779</v>
      </c>
    </row>
    <row r="42" spans="1:18">
      <c r="A42" s="52" t="s">
        <v>35</v>
      </c>
      <c r="B42" s="53" t="s">
        <v>32</v>
      </c>
      <c r="C42" s="53"/>
      <c r="D42" s="79">
        <v>2290</v>
      </c>
      <c r="E42" s="53"/>
      <c r="F42" s="80">
        <v>150</v>
      </c>
      <c r="G42" s="56"/>
      <c r="H42" s="81">
        <f>D42-F42</f>
        <v>2140</v>
      </c>
      <c r="I42" s="101">
        <f>(5/9*(H42-32))+273.15</f>
        <v>1444.2611111111109</v>
      </c>
      <c r="J42" s="82">
        <f>D42+F42</f>
        <v>2440</v>
      </c>
      <c r="K42" s="83">
        <f>(5/9*(J42-32))+273.15</f>
        <v>1610.9277777777779</v>
      </c>
    </row>
    <row r="43" spans="1:18">
      <c r="A43" s="22"/>
      <c r="B43" s="23"/>
      <c r="C43" s="23"/>
      <c r="D43" s="34"/>
      <c r="E43" s="23"/>
      <c r="F43" s="32"/>
      <c r="G43" s="25"/>
      <c r="H43" s="36"/>
      <c r="I43" s="96"/>
      <c r="J43" s="24"/>
      <c r="K43" s="26"/>
    </row>
    <row r="44" spans="1:18">
      <c r="A44" s="22" t="s">
        <v>42</v>
      </c>
      <c r="B44" s="23"/>
      <c r="C44" s="23"/>
      <c r="D44" s="34"/>
      <c r="E44" s="23"/>
      <c r="F44" s="32"/>
      <c r="G44" s="25"/>
      <c r="H44" s="36"/>
      <c r="I44" s="96"/>
      <c r="J44" s="24"/>
      <c r="K44" s="26"/>
    </row>
    <row r="45" spans="1:18">
      <c r="A45" s="37" t="s">
        <v>41</v>
      </c>
      <c r="B45" s="38"/>
      <c r="C45" s="38"/>
      <c r="D45" s="60">
        <f>SUM(D26:D30)/SUM(D22:D24)</f>
        <v>0.39258010118043846</v>
      </c>
      <c r="E45" s="38"/>
      <c r="F45" s="40"/>
      <c r="G45" s="61"/>
      <c r="H45" s="42">
        <f>SUM(H26:H30)/SUM(H22:H24)</f>
        <v>0.34506031748520971</v>
      </c>
      <c r="I45" s="93"/>
      <c r="J45" s="41">
        <f>SUM(J26:J30)/SUM(J22:J24)</f>
        <v>0.42844735494905795</v>
      </c>
      <c r="K45" s="43"/>
    </row>
    <row r="46" spans="1:18">
      <c r="A46" s="44" t="s">
        <v>40</v>
      </c>
      <c r="B46" s="45"/>
      <c r="C46" s="45"/>
      <c r="D46" s="46" t="str">
        <f>IF(D30+D29&gt;D28,"Lignitic","Bituminous")</f>
        <v>Lignitic</v>
      </c>
      <c r="E46" s="45"/>
      <c r="F46" s="47"/>
      <c r="G46" s="48"/>
      <c r="H46" s="49" t="str">
        <f>IF(H30+H29&gt;H28,"Lignitic","Bituminous")</f>
        <v>Lignitic</v>
      </c>
      <c r="I46" s="94"/>
      <c r="J46" s="50" t="str">
        <f>IF(J30+J29&gt;J28,"Lignitic","Bituminous")</f>
        <v>Lignitic</v>
      </c>
      <c r="K46" s="51"/>
    </row>
    <row r="47" spans="1:18">
      <c r="A47" s="44" t="s">
        <v>38</v>
      </c>
      <c r="B47" s="45"/>
      <c r="C47" s="45"/>
      <c r="D47" s="46">
        <f>D45*D13</f>
        <v>0.23162225969645867</v>
      </c>
      <c r="E47" s="45"/>
      <c r="F47" s="47"/>
      <c r="G47" s="48"/>
      <c r="H47" s="49">
        <f>H45*H13</f>
        <v>0.16907955556775275</v>
      </c>
      <c r="I47" s="94"/>
      <c r="J47" s="50">
        <f>J45*J13</f>
        <v>0.29562867491484995</v>
      </c>
      <c r="K47" s="51"/>
    </row>
    <row r="48" spans="1:18">
      <c r="A48" s="44" t="s">
        <v>39</v>
      </c>
      <c r="B48" s="45"/>
      <c r="C48" s="45"/>
      <c r="D48" s="46">
        <f>D26</f>
        <v>0.56000000000000005</v>
      </c>
      <c r="E48" s="45"/>
      <c r="F48" s="47"/>
      <c r="G48" s="48"/>
      <c r="H48" s="49">
        <f>H26</f>
        <v>0.36480000000000001</v>
      </c>
      <c r="I48" s="94"/>
      <c r="J48" s="50">
        <f>J26</f>
        <v>0.75520000000000009</v>
      </c>
      <c r="K48" s="51"/>
    </row>
    <row r="49" spans="1:11" ht="14.5" customHeight="1">
      <c r="A49" s="121" t="s">
        <v>45</v>
      </c>
      <c r="B49" s="45" t="s">
        <v>43</v>
      </c>
      <c r="C49" s="45"/>
      <c r="D49" s="74">
        <f>(D40+D42)/2</f>
        <v>2255</v>
      </c>
      <c r="E49" s="45"/>
      <c r="F49" s="47"/>
      <c r="G49" s="48"/>
      <c r="H49" s="84">
        <f>(H40+H42)/2</f>
        <v>2130</v>
      </c>
      <c r="I49" s="100"/>
      <c r="J49" s="48">
        <f>(J40+J42)/2</f>
        <v>2380</v>
      </c>
      <c r="K49" s="78"/>
    </row>
    <row r="50" spans="1:11">
      <c r="A50" s="122"/>
      <c r="B50" s="45" t="s">
        <v>44</v>
      </c>
      <c r="C50" s="45"/>
      <c r="D50" s="74">
        <f>(D49-32)/1.8</f>
        <v>1235</v>
      </c>
      <c r="E50" s="45"/>
      <c r="F50" s="47"/>
      <c r="G50" s="48"/>
      <c r="H50" s="76">
        <f>(H49-32)/1.8</f>
        <v>1165.5555555555554</v>
      </c>
      <c r="I50" s="102"/>
      <c r="J50" s="77">
        <f>(J49-32)/1.8</f>
        <v>1304.4444444444443</v>
      </c>
      <c r="K50" s="51"/>
    </row>
    <row r="51" spans="1:11" ht="16" thickBot="1">
      <c r="A51" s="123"/>
      <c r="B51" s="85" t="s">
        <v>57</v>
      </c>
      <c r="C51" s="86"/>
      <c r="D51" s="87"/>
      <c r="E51" s="86"/>
      <c r="F51" s="88"/>
      <c r="G51" s="89"/>
      <c r="H51" s="90">
        <f>(5/9*(H49-32)+273.15)</f>
        <v>1438.7055555555557</v>
      </c>
      <c r="I51" s="103"/>
      <c r="J51" s="91">
        <f>(5/9*(J49-32)+273.15)</f>
        <v>1577.5944444444444</v>
      </c>
      <c r="K51" s="92"/>
    </row>
  </sheetData>
  <mergeCells count="6">
    <mergeCell ref="A49:A51"/>
    <mergeCell ref="A1:C2"/>
    <mergeCell ref="D1:K1"/>
    <mergeCell ref="H2:K2"/>
    <mergeCell ref="H3:I3"/>
    <mergeCell ref="J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2"/>
  <sheetViews>
    <sheetView topLeftCell="A9" workbookViewId="0">
      <selection activeCell="I37" sqref="I37"/>
    </sheetView>
  </sheetViews>
  <sheetFormatPr baseColWidth="10" defaultColWidth="8.83203125" defaultRowHeight="15"/>
  <cols>
    <col min="1" max="1" width="18.5" customWidth="1"/>
    <col min="2" max="3" width="5.5" customWidth="1"/>
    <col min="4" max="4" width="14.6640625" style="4" customWidth="1"/>
    <col min="5" max="5" width="3.1640625" customWidth="1"/>
    <col min="6" max="6" width="10.83203125" style="3" customWidth="1"/>
    <col min="7" max="7" width="3.1640625" style="4" customWidth="1"/>
    <col min="8" max="8" width="9.1640625" style="3" bestFit="1" customWidth="1"/>
    <col min="9" max="9" width="9.1640625" style="3" customWidth="1"/>
    <col min="10" max="10" width="9.1640625" style="3" bestFit="1" customWidth="1"/>
    <col min="11" max="11" width="8.83203125" style="4"/>
  </cols>
  <sheetData>
    <row r="1" spans="1:13" ht="17" thickBot="1">
      <c r="A1" s="124" t="s">
        <v>1</v>
      </c>
      <c r="B1" s="125"/>
      <c r="C1" s="126"/>
      <c r="D1" s="111" t="s">
        <v>60</v>
      </c>
      <c r="E1" s="112"/>
      <c r="F1" s="112"/>
      <c r="G1" s="112"/>
      <c r="H1" s="112"/>
      <c r="I1" s="112"/>
      <c r="J1" s="112"/>
      <c r="K1" s="113"/>
    </row>
    <row r="2" spans="1:13" ht="16" thickBot="1">
      <c r="A2" s="127"/>
      <c r="B2" s="128"/>
      <c r="C2" s="129"/>
      <c r="D2" s="33" t="s">
        <v>55</v>
      </c>
      <c r="E2" s="29"/>
      <c r="F2" s="31" t="s">
        <v>50</v>
      </c>
      <c r="G2" s="30"/>
      <c r="H2" s="114" t="s">
        <v>51</v>
      </c>
      <c r="I2" s="115"/>
      <c r="J2" s="115"/>
      <c r="K2" s="116"/>
    </row>
    <row r="3" spans="1:13">
      <c r="A3" s="22" t="s">
        <v>3</v>
      </c>
      <c r="B3" s="23"/>
      <c r="C3" s="23"/>
      <c r="D3" s="34"/>
      <c r="E3" s="23"/>
      <c r="F3" s="32"/>
      <c r="G3" s="25"/>
      <c r="H3" s="117" t="s">
        <v>52</v>
      </c>
      <c r="I3" s="118"/>
      <c r="J3" s="119" t="s">
        <v>53</v>
      </c>
      <c r="K3" s="120"/>
    </row>
    <row r="4" spans="1:13">
      <c r="A4" s="37" t="s">
        <v>4</v>
      </c>
      <c r="B4" s="38"/>
      <c r="C4" s="38"/>
      <c r="D4" s="39">
        <v>23.86</v>
      </c>
      <c r="E4" s="38"/>
      <c r="F4" s="40">
        <f>0.23+0.02*D4</f>
        <v>0.70720000000000005</v>
      </c>
      <c r="G4" s="41"/>
      <c r="H4" s="42">
        <f>D4-F4</f>
        <v>23.152799999999999</v>
      </c>
      <c r="I4" s="93"/>
      <c r="J4" s="41">
        <f>D4+F4</f>
        <v>24.5672</v>
      </c>
      <c r="K4" s="43"/>
    </row>
    <row r="5" spans="1:13">
      <c r="A5" s="44" t="s">
        <v>5</v>
      </c>
      <c r="B5" s="45"/>
      <c r="C5" s="45"/>
      <c r="D5" s="46">
        <v>38.76</v>
      </c>
      <c r="E5" s="45"/>
      <c r="F5" s="47">
        <v>1.4</v>
      </c>
      <c r="G5" s="48"/>
      <c r="H5" s="49">
        <f>D5-F5</f>
        <v>37.36</v>
      </c>
      <c r="I5" s="94"/>
      <c r="J5" s="50">
        <f>D5+F5</f>
        <v>40.159999999999997</v>
      </c>
      <c r="K5" s="51"/>
    </row>
    <row r="6" spans="1:13">
      <c r="A6" s="44" t="s">
        <v>6</v>
      </c>
      <c r="B6" s="45"/>
      <c r="C6" s="45"/>
      <c r="D6" s="46">
        <v>1.1599999999999999</v>
      </c>
      <c r="E6" s="45"/>
      <c r="F6" s="47">
        <v>0.47</v>
      </c>
      <c r="G6" s="48"/>
      <c r="H6" s="49">
        <f>D6-F6</f>
        <v>0.69</v>
      </c>
      <c r="I6" s="94"/>
      <c r="J6" s="50">
        <f>D6+F6</f>
        <v>1.63</v>
      </c>
      <c r="K6" s="51"/>
    </row>
    <row r="7" spans="1:13">
      <c r="A7" s="52" t="s">
        <v>7</v>
      </c>
      <c r="B7" s="53"/>
      <c r="C7" s="53"/>
      <c r="D7" s="54">
        <v>36.220000000000006</v>
      </c>
      <c r="E7" s="53"/>
      <c r="F7" s="55">
        <f>SUM(F4:F6)</f>
        <v>2.5771999999999995</v>
      </c>
      <c r="G7" s="56"/>
      <c r="H7" s="57">
        <f>D7-F7</f>
        <v>33.642800000000008</v>
      </c>
      <c r="I7" s="95"/>
      <c r="J7" s="58">
        <f>D7+F7</f>
        <v>38.797200000000004</v>
      </c>
      <c r="K7" s="59"/>
      <c r="L7" s="21"/>
      <c r="M7" s="21"/>
    </row>
    <row r="8" spans="1:13">
      <c r="A8" s="22"/>
      <c r="B8" s="23"/>
      <c r="C8" s="23"/>
      <c r="D8" s="34"/>
      <c r="E8" s="23"/>
      <c r="F8" s="32"/>
      <c r="G8" s="25"/>
      <c r="H8" s="36"/>
      <c r="I8" s="96"/>
      <c r="J8" s="24"/>
      <c r="K8" s="26"/>
    </row>
    <row r="9" spans="1:13">
      <c r="A9" s="22" t="s">
        <v>8</v>
      </c>
      <c r="B9" s="23"/>
      <c r="C9" s="23"/>
      <c r="D9" s="34"/>
      <c r="E9" s="23"/>
      <c r="F9" s="32"/>
      <c r="G9" s="25"/>
      <c r="H9" s="36"/>
      <c r="I9" s="96"/>
      <c r="J9" s="24"/>
      <c r="K9" s="26"/>
    </row>
    <row r="10" spans="1:13">
      <c r="A10" s="37" t="s">
        <v>9</v>
      </c>
      <c r="B10" s="38"/>
      <c r="C10" s="38"/>
      <c r="D10" s="60">
        <v>57.8</v>
      </c>
      <c r="E10" s="38"/>
      <c r="F10" s="40">
        <v>1</v>
      </c>
      <c r="G10" s="61"/>
      <c r="H10" s="42">
        <f t="shared" ref="H10:H16" si="0">D10-F10</f>
        <v>56.8</v>
      </c>
      <c r="I10" s="93"/>
      <c r="J10" s="41">
        <f t="shared" ref="J10:J16" si="1">D10+F10</f>
        <v>58.8</v>
      </c>
      <c r="K10" s="43"/>
    </row>
    <row r="11" spans="1:13">
      <c r="A11" s="44" t="s">
        <v>10</v>
      </c>
      <c r="B11" s="45"/>
      <c r="C11" s="45"/>
      <c r="D11" s="46">
        <v>4.4000000000000004</v>
      </c>
      <c r="E11" s="45"/>
      <c r="F11" s="47">
        <v>0.25</v>
      </c>
      <c r="G11" s="48"/>
      <c r="H11" s="49">
        <f t="shared" si="0"/>
        <v>4.1500000000000004</v>
      </c>
      <c r="I11" s="94"/>
      <c r="J11" s="50">
        <f t="shared" si="1"/>
        <v>4.6500000000000004</v>
      </c>
      <c r="K11" s="51"/>
    </row>
    <row r="12" spans="1:13">
      <c r="A12" s="44" t="s">
        <v>11</v>
      </c>
      <c r="B12" s="45"/>
      <c r="C12" s="45"/>
      <c r="D12" s="46">
        <v>0.66</v>
      </c>
      <c r="E12" s="45"/>
      <c r="F12" s="47">
        <v>0.15</v>
      </c>
      <c r="G12" s="48"/>
      <c r="H12" s="49">
        <f t="shared" si="0"/>
        <v>0.51</v>
      </c>
      <c r="I12" s="94"/>
      <c r="J12" s="50">
        <f t="shared" si="1"/>
        <v>0.81</v>
      </c>
      <c r="K12" s="51"/>
    </row>
    <row r="13" spans="1:13">
      <c r="A13" s="44" t="s">
        <v>12</v>
      </c>
      <c r="B13" s="45"/>
      <c r="C13" s="45"/>
      <c r="D13" s="46">
        <v>0.1</v>
      </c>
      <c r="E13" s="45"/>
      <c r="F13" s="47">
        <v>0.1</v>
      </c>
      <c r="G13" s="48"/>
      <c r="H13" s="49">
        <f t="shared" si="0"/>
        <v>0</v>
      </c>
      <c r="I13" s="94"/>
      <c r="J13" s="50">
        <f t="shared" si="1"/>
        <v>0.2</v>
      </c>
      <c r="K13" s="51"/>
    </row>
    <row r="14" spans="1:13">
      <c r="A14" s="44" t="s">
        <v>13</v>
      </c>
      <c r="B14" s="45"/>
      <c r="C14" s="45"/>
      <c r="D14" s="46">
        <v>12</v>
      </c>
      <c r="E14" s="45"/>
      <c r="F14" s="47">
        <f>SUM(F10:F13,F16)</f>
        <v>1.97</v>
      </c>
      <c r="G14" s="48"/>
      <c r="H14" s="49">
        <f t="shared" si="0"/>
        <v>10.029999999999999</v>
      </c>
      <c r="I14" s="94"/>
      <c r="J14" s="50">
        <f t="shared" si="1"/>
        <v>13.97</v>
      </c>
      <c r="K14" s="51"/>
    </row>
    <row r="15" spans="1:13">
      <c r="A15" s="44" t="s">
        <v>14</v>
      </c>
      <c r="B15" s="45"/>
      <c r="C15" s="45"/>
      <c r="D15" s="46">
        <v>0</v>
      </c>
      <c r="E15" s="45"/>
      <c r="F15" s="47">
        <v>0</v>
      </c>
      <c r="G15" s="48"/>
      <c r="H15" s="49">
        <f t="shared" si="0"/>
        <v>0</v>
      </c>
      <c r="I15" s="94"/>
      <c r="J15" s="50">
        <f t="shared" si="1"/>
        <v>0</v>
      </c>
      <c r="K15" s="51"/>
    </row>
    <row r="16" spans="1:13">
      <c r="A16" s="52" t="s">
        <v>6</v>
      </c>
      <c r="B16" s="53"/>
      <c r="C16" s="53"/>
      <c r="D16" s="54">
        <v>1.1599999999999999</v>
      </c>
      <c r="E16" s="53"/>
      <c r="F16" s="55">
        <v>0.47</v>
      </c>
      <c r="G16" s="56"/>
      <c r="H16" s="57">
        <f t="shared" si="0"/>
        <v>0.69</v>
      </c>
      <c r="I16" s="95"/>
      <c r="J16" s="58">
        <f t="shared" si="1"/>
        <v>1.63</v>
      </c>
      <c r="K16" s="59"/>
    </row>
    <row r="17" spans="1:11">
      <c r="A17" s="22"/>
      <c r="B17" s="23"/>
      <c r="C17" s="23"/>
      <c r="D17" s="34"/>
      <c r="E17" s="23"/>
      <c r="F17" s="32"/>
      <c r="G17" s="25"/>
      <c r="H17" s="36"/>
      <c r="I17" s="96"/>
      <c r="J17" s="24"/>
      <c r="K17" s="26"/>
    </row>
    <row r="18" spans="1:11">
      <c r="A18" s="22" t="s">
        <v>15</v>
      </c>
      <c r="B18" s="23"/>
      <c r="C18" s="23"/>
      <c r="D18" s="34"/>
      <c r="E18" s="23"/>
      <c r="F18" s="32"/>
      <c r="G18" s="25"/>
      <c r="H18" s="36"/>
      <c r="I18" s="97" t="s">
        <v>56</v>
      </c>
      <c r="J18" s="24"/>
      <c r="K18" s="27" t="s">
        <v>56</v>
      </c>
    </row>
    <row r="19" spans="1:11">
      <c r="A19" s="62" t="s">
        <v>16</v>
      </c>
      <c r="B19" s="63"/>
      <c r="C19" s="63"/>
      <c r="D19" s="64">
        <v>9459</v>
      </c>
      <c r="E19" s="63"/>
      <c r="F19" s="65">
        <v>164</v>
      </c>
      <c r="G19" s="66"/>
      <c r="H19" s="67">
        <f>D19-F19</f>
        <v>9295</v>
      </c>
      <c r="I19" s="98">
        <f>2.326*H19</f>
        <v>21620.170000000002</v>
      </c>
      <c r="J19" s="66">
        <f>D19+F19</f>
        <v>9623</v>
      </c>
      <c r="K19" s="68">
        <f>2.326*J19</f>
        <v>22383.098000000002</v>
      </c>
    </row>
    <row r="20" spans="1:11">
      <c r="A20" s="22"/>
      <c r="B20" s="23"/>
      <c r="C20" s="23"/>
      <c r="D20" s="35"/>
      <c r="E20" s="23"/>
      <c r="F20" s="32"/>
      <c r="G20" s="25"/>
      <c r="H20" s="36"/>
      <c r="I20" s="96"/>
      <c r="J20" s="24"/>
      <c r="K20" s="26"/>
    </row>
    <row r="21" spans="1:11">
      <c r="A21" s="22" t="s">
        <v>17</v>
      </c>
      <c r="B21" s="23"/>
      <c r="C21" s="23"/>
      <c r="D21" s="35"/>
      <c r="E21" s="23"/>
      <c r="F21" s="32"/>
      <c r="G21" s="25"/>
      <c r="H21" s="36"/>
      <c r="I21" s="96"/>
      <c r="J21" s="24"/>
      <c r="K21" s="26"/>
    </row>
    <row r="22" spans="1:11">
      <c r="A22" s="37" t="s">
        <v>18</v>
      </c>
      <c r="B22" s="38"/>
      <c r="C22" s="38"/>
      <c r="D22" s="60">
        <v>25.49</v>
      </c>
      <c r="E22" s="38"/>
      <c r="F22" s="40">
        <f>0.86+0.07*D22</f>
        <v>2.6442999999999999</v>
      </c>
      <c r="G22" s="61"/>
      <c r="H22" s="42">
        <f t="shared" ref="H22:H33" si="2">D22-F22</f>
        <v>22.845699999999997</v>
      </c>
      <c r="I22" s="93"/>
      <c r="J22" s="41">
        <f>D22+F22</f>
        <v>28.1343</v>
      </c>
      <c r="K22" s="43"/>
    </row>
    <row r="23" spans="1:11">
      <c r="A23" s="44" t="s">
        <v>19</v>
      </c>
      <c r="B23" s="45"/>
      <c r="C23" s="45"/>
      <c r="D23" s="46">
        <v>39.36</v>
      </c>
      <c r="E23" s="45"/>
      <c r="F23" s="47">
        <f>2+0.1*D23</f>
        <v>5.9359999999999999</v>
      </c>
      <c r="G23" s="48"/>
      <c r="H23" s="49">
        <f t="shared" si="2"/>
        <v>33.423999999999999</v>
      </c>
      <c r="I23" s="94"/>
      <c r="J23" s="50">
        <f>D23+F23</f>
        <v>45.295999999999999</v>
      </c>
      <c r="K23" s="51"/>
    </row>
    <row r="24" spans="1:11">
      <c r="A24" s="44" t="s">
        <v>20</v>
      </c>
      <c r="B24" s="45"/>
      <c r="C24" s="45"/>
      <c r="D24" s="46">
        <v>1.0900000000000001</v>
      </c>
      <c r="E24" s="45"/>
      <c r="F24" s="47">
        <f>0.05+0.12*D24</f>
        <v>0.18080000000000002</v>
      </c>
      <c r="G24" s="48"/>
      <c r="H24" s="49">
        <f t="shared" si="2"/>
        <v>0.90920000000000001</v>
      </c>
      <c r="I24" s="94"/>
      <c r="J24" s="50">
        <f>D24+F24</f>
        <v>1.2708000000000002</v>
      </c>
      <c r="K24" s="51"/>
    </row>
    <row r="25" spans="1:11">
      <c r="A25" s="44"/>
      <c r="B25" s="45"/>
      <c r="C25" s="45"/>
      <c r="D25" s="46"/>
      <c r="E25" s="45"/>
      <c r="F25" s="47"/>
      <c r="G25" s="48"/>
      <c r="H25" s="49"/>
      <c r="I25" s="94"/>
      <c r="J25" s="50"/>
      <c r="K25" s="51"/>
    </row>
    <row r="26" spans="1:11">
      <c r="A26" s="44" t="s">
        <v>21</v>
      </c>
      <c r="B26" s="45"/>
      <c r="C26" s="45"/>
      <c r="D26" s="46">
        <v>2.46</v>
      </c>
      <c r="E26" s="45"/>
      <c r="F26" s="47">
        <f>0.1+0.17*D26</f>
        <v>0.51819999999999999</v>
      </c>
      <c r="G26" s="48"/>
      <c r="H26" s="49">
        <f t="shared" si="2"/>
        <v>1.9418</v>
      </c>
      <c r="I26" s="94"/>
      <c r="J26" s="50">
        <f>D26+F26</f>
        <v>2.9782000000000002</v>
      </c>
      <c r="K26" s="51"/>
    </row>
    <row r="27" spans="1:11">
      <c r="A27" s="44" t="s">
        <v>22</v>
      </c>
      <c r="B27" s="45"/>
      <c r="C27" s="45"/>
      <c r="D27" s="46">
        <v>1.06</v>
      </c>
      <c r="E27" s="45"/>
      <c r="F27" s="47">
        <f>0.14+0.3*D27</f>
        <v>0.45800000000000002</v>
      </c>
      <c r="G27" s="48"/>
      <c r="H27" s="49">
        <f t="shared" si="2"/>
        <v>0.60200000000000009</v>
      </c>
      <c r="I27" s="94"/>
      <c r="J27" s="50">
        <f>D27+F27</f>
        <v>1.518</v>
      </c>
      <c r="K27" s="51"/>
    </row>
    <row r="28" spans="1:11">
      <c r="A28" s="44" t="s">
        <v>23</v>
      </c>
      <c r="B28" s="45"/>
      <c r="C28" s="45"/>
      <c r="D28" s="46">
        <v>10.119999999999999</v>
      </c>
      <c r="E28" s="45"/>
      <c r="F28" s="47">
        <f>0.23*D28</f>
        <v>2.3275999999999999</v>
      </c>
      <c r="G28" s="48"/>
      <c r="H28" s="49">
        <f t="shared" si="2"/>
        <v>7.7923999999999989</v>
      </c>
      <c r="I28" s="94"/>
      <c r="J28" s="50">
        <f>D28+F28</f>
        <v>12.4476</v>
      </c>
      <c r="K28" s="51"/>
    </row>
    <row r="29" spans="1:11">
      <c r="A29" s="44" t="s">
        <v>24</v>
      </c>
      <c r="B29" s="45"/>
      <c r="C29" s="45"/>
      <c r="D29" s="46">
        <v>4.0999999999999996</v>
      </c>
      <c r="E29" s="45"/>
      <c r="F29" s="47">
        <f>0.11+0.11*D29</f>
        <v>0.56099999999999994</v>
      </c>
      <c r="G29" s="48"/>
      <c r="H29" s="49">
        <f t="shared" si="2"/>
        <v>3.5389999999999997</v>
      </c>
      <c r="I29" s="94"/>
      <c r="J29" s="50">
        <f>D29+F29</f>
        <v>4.6609999999999996</v>
      </c>
      <c r="K29" s="51"/>
    </row>
    <row r="30" spans="1:11">
      <c r="A30" s="44" t="s">
        <v>25</v>
      </c>
      <c r="B30" s="45"/>
      <c r="C30" s="45"/>
      <c r="D30" s="46">
        <v>7.89</v>
      </c>
      <c r="E30" s="45"/>
      <c r="F30" s="47">
        <f>0.25*D30</f>
        <v>1.9724999999999999</v>
      </c>
      <c r="G30" s="48"/>
      <c r="H30" s="49">
        <f t="shared" si="2"/>
        <v>5.9174999999999995</v>
      </c>
      <c r="I30" s="94"/>
      <c r="J30" s="50">
        <f>D30+F30</f>
        <v>9.8624999999999989</v>
      </c>
      <c r="K30" s="51"/>
    </row>
    <row r="31" spans="1:11">
      <c r="A31" s="44"/>
      <c r="B31" s="45"/>
      <c r="C31" s="45"/>
      <c r="D31" s="46"/>
      <c r="E31" s="45"/>
      <c r="F31" s="47"/>
      <c r="G31" s="48"/>
      <c r="H31" s="49"/>
      <c r="I31" s="94"/>
      <c r="J31" s="50"/>
      <c r="K31" s="51"/>
    </row>
    <row r="32" spans="1:11">
      <c r="A32" s="44" t="s">
        <v>26</v>
      </c>
      <c r="B32" s="45"/>
      <c r="C32" s="45"/>
      <c r="D32" s="46">
        <v>7.93</v>
      </c>
      <c r="E32" s="45"/>
      <c r="F32" s="47">
        <f>0.08*D32+0.06</f>
        <v>0.69439999999999991</v>
      </c>
      <c r="G32" s="48"/>
      <c r="H32" s="49">
        <f t="shared" si="2"/>
        <v>7.2355999999999998</v>
      </c>
      <c r="I32" s="94"/>
      <c r="J32" s="50">
        <f>D32+F32</f>
        <v>8.6243999999999996</v>
      </c>
      <c r="K32" s="51"/>
    </row>
    <row r="33" spans="1:18">
      <c r="A33" s="44" t="s">
        <v>27</v>
      </c>
      <c r="B33" s="45"/>
      <c r="C33" s="45"/>
      <c r="D33" s="46">
        <v>0.1</v>
      </c>
      <c r="E33" s="45"/>
      <c r="F33" s="47">
        <f>0.11+0.31*D33</f>
        <v>0.14100000000000001</v>
      </c>
      <c r="G33" s="48"/>
      <c r="H33" s="49">
        <f t="shared" si="2"/>
        <v>-4.1000000000000009E-2</v>
      </c>
      <c r="I33" s="94"/>
      <c r="J33" s="50">
        <f>D33+F33</f>
        <v>0.24100000000000002</v>
      </c>
      <c r="K33" s="51"/>
    </row>
    <row r="34" spans="1:18">
      <c r="A34" s="44" t="s">
        <v>28</v>
      </c>
      <c r="B34" s="45"/>
      <c r="C34" s="45"/>
      <c r="D34" s="46">
        <v>0.40000000000000568</v>
      </c>
      <c r="E34" s="45"/>
      <c r="F34" s="47"/>
      <c r="G34" s="48"/>
      <c r="H34" s="49">
        <f>100-SUM(H22:H33)</f>
        <v>15.833799999999997</v>
      </c>
      <c r="I34" s="94"/>
      <c r="J34" s="50">
        <f>100-SUM(J22:J33)</f>
        <v>-15.033799999999985</v>
      </c>
      <c r="K34" s="51"/>
    </row>
    <row r="35" spans="1:18">
      <c r="A35" s="69"/>
      <c r="B35" s="45"/>
      <c r="C35" s="45"/>
      <c r="D35" s="46"/>
      <c r="E35" s="45"/>
      <c r="F35" s="47"/>
      <c r="G35" s="48"/>
      <c r="H35" s="49"/>
      <c r="I35" s="94"/>
      <c r="J35" s="50"/>
      <c r="K35" s="51"/>
    </row>
    <row r="36" spans="1:18">
      <c r="A36" s="52" t="s">
        <v>29</v>
      </c>
      <c r="B36" s="53"/>
      <c r="C36" s="53"/>
      <c r="D36" s="54">
        <v>100</v>
      </c>
      <c r="E36" s="53"/>
      <c r="F36" s="55"/>
      <c r="G36" s="56"/>
      <c r="H36" s="57">
        <f>SUM(H22:H34)</f>
        <v>100</v>
      </c>
      <c r="I36" s="95"/>
      <c r="J36" s="58">
        <f>SUM(J22:J34)</f>
        <v>100</v>
      </c>
      <c r="K36" s="59"/>
    </row>
    <row r="37" spans="1:18">
      <c r="A37" s="22"/>
      <c r="B37" s="23"/>
      <c r="C37" s="23"/>
      <c r="D37" s="34"/>
      <c r="E37" s="23"/>
      <c r="F37" s="32"/>
      <c r="G37" s="25"/>
      <c r="H37" s="36"/>
      <c r="I37" s="96"/>
      <c r="J37" s="24"/>
      <c r="K37" s="26"/>
    </row>
    <row r="38" spans="1:18">
      <c r="A38" s="22" t="s">
        <v>30</v>
      </c>
      <c r="B38" s="23"/>
      <c r="C38" s="23"/>
      <c r="D38" s="34"/>
      <c r="E38" s="23"/>
      <c r="F38" s="32"/>
      <c r="G38" s="25"/>
      <c r="H38" s="36"/>
      <c r="I38" s="97" t="s">
        <v>57</v>
      </c>
      <c r="J38" s="24"/>
      <c r="K38" s="28" t="s">
        <v>57</v>
      </c>
    </row>
    <row r="39" spans="1:18">
      <c r="A39" s="37" t="s">
        <v>31</v>
      </c>
      <c r="B39" s="38" t="s">
        <v>32</v>
      </c>
      <c r="C39" s="38"/>
      <c r="D39" s="105">
        <v>2241.6020055725157</v>
      </c>
      <c r="E39" s="38"/>
      <c r="F39" s="70">
        <v>125</v>
      </c>
      <c r="G39" s="61"/>
      <c r="H39" s="71">
        <f>D39-F39</f>
        <v>2116.6020055725157</v>
      </c>
      <c r="I39" s="99">
        <f>(5/9*(H39-32))+273.15</f>
        <v>1431.2622253180643</v>
      </c>
      <c r="J39" s="72">
        <f>D39+F39</f>
        <v>2366.6020055725157</v>
      </c>
      <c r="K39" s="73">
        <f>(5/9*(J39-32))+273.15</f>
        <v>1570.151114206953</v>
      </c>
      <c r="R39" s="104"/>
    </row>
    <row r="40" spans="1:18">
      <c r="A40" s="44" t="s">
        <v>33</v>
      </c>
      <c r="B40" s="45" t="s">
        <v>32</v>
      </c>
      <c r="C40" s="45"/>
      <c r="D40" s="106">
        <v>2295.1303155638461</v>
      </c>
      <c r="E40" s="45"/>
      <c r="F40" s="75">
        <v>100</v>
      </c>
      <c r="G40" s="48"/>
      <c r="H40" s="76">
        <f>D40-F40</f>
        <v>2195.1303155638461</v>
      </c>
      <c r="I40" s="100">
        <f>(5/9*(H40-32))+273.15</f>
        <v>1474.889064202137</v>
      </c>
      <c r="J40" s="77">
        <f>D40+F40</f>
        <v>2395.1303155638461</v>
      </c>
      <c r="K40" s="78">
        <f>(5/9*(J40-32))+273.15</f>
        <v>1586.0001753132478</v>
      </c>
    </row>
    <row r="41" spans="1:18">
      <c r="A41" s="44" t="s">
        <v>34</v>
      </c>
      <c r="B41" s="45" t="s">
        <v>32</v>
      </c>
      <c r="C41" s="45"/>
      <c r="D41" s="106">
        <v>2342.8386945118777</v>
      </c>
      <c r="E41" s="45"/>
      <c r="F41" s="75">
        <v>100</v>
      </c>
      <c r="G41" s="48"/>
      <c r="H41" s="76">
        <f>D41-F41</f>
        <v>2242.8386945118777</v>
      </c>
      <c r="I41" s="100">
        <f>(5/9*(H41-32))+273.15</f>
        <v>1501.3937191732653</v>
      </c>
      <c r="J41" s="77">
        <f>D41+F41</f>
        <v>2442.8386945118777</v>
      </c>
      <c r="K41" s="78">
        <f>(5/9*(J41-32))+273.15</f>
        <v>1612.5048302843766</v>
      </c>
    </row>
    <row r="42" spans="1:18">
      <c r="A42" s="52" t="s">
        <v>35</v>
      </c>
      <c r="B42" s="53" t="s">
        <v>32</v>
      </c>
      <c r="C42" s="53"/>
      <c r="D42" s="107">
        <v>2458.8491004185748</v>
      </c>
      <c r="E42" s="53"/>
      <c r="F42" s="80">
        <v>150</v>
      </c>
      <c r="G42" s="56"/>
      <c r="H42" s="81">
        <f>D42-F42</f>
        <v>2308.8491004185748</v>
      </c>
      <c r="I42" s="101">
        <f>(5/9*(H42-32))+273.15</f>
        <v>1538.0661668992084</v>
      </c>
      <c r="J42" s="82">
        <f>D42+F42</f>
        <v>2608.8491004185748</v>
      </c>
      <c r="K42" s="83">
        <f>(5/9*(J42-32))+273.15</f>
        <v>1704.7328335658749</v>
      </c>
    </row>
    <row r="43" spans="1:18">
      <c r="A43" s="22"/>
      <c r="B43" s="23"/>
      <c r="C43" s="23"/>
      <c r="D43" s="34"/>
      <c r="E43" s="23"/>
      <c r="F43" s="32"/>
      <c r="G43" s="25"/>
      <c r="H43" s="36"/>
      <c r="I43" s="96"/>
      <c r="J43" s="24"/>
      <c r="K43" s="26"/>
    </row>
    <row r="44" spans="1:18">
      <c r="A44" s="22" t="s">
        <v>42</v>
      </c>
      <c r="B44" s="23"/>
      <c r="C44" s="23"/>
      <c r="D44" s="34"/>
      <c r="E44" s="23"/>
      <c r="F44" s="32"/>
      <c r="G44" s="25"/>
      <c r="H44" s="36"/>
      <c r="I44" s="96"/>
      <c r="J44" s="24"/>
      <c r="K44" s="26"/>
    </row>
    <row r="45" spans="1:18">
      <c r="A45" s="37" t="s">
        <v>41</v>
      </c>
      <c r="B45" s="38"/>
      <c r="C45" s="38"/>
      <c r="D45" s="60">
        <v>0.38868668486502883</v>
      </c>
      <c r="E45" s="38"/>
      <c r="F45" s="40"/>
      <c r="G45" s="61"/>
      <c r="H45" s="42">
        <f>SUM(H26:H30)/SUM(H22:H24)</f>
        <v>0.34615391341911084</v>
      </c>
      <c r="I45" s="93"/>
      <c r="J45" s="41">
        <f>SUM(J26:J30)/SUM(J22:J24)</f>
        <v>0.42124279294414668</v>
      </c>
      <c r="K45" s="43"/>
    </row>
    <row r="46" spans="1:18">
      <c r="A46" s="44" t="s">
        <v>40</v>
      </c>
      <c r="B46" s="45"/>
      <c r="C46" s="45"/>
      <c r="D46" s="46" t="s">
        <v>59</v>
      </c>
      <c r="E46" s="45"/>
      <c r="F46" s="47"/>
      <c r="G46" s="48"/>
      <c r="H46" s="49" t="str">
        <f>IF(H30+H29&gt;H28,"Lignitic","Bituminous")</f>
        <v>Lignitic</v>
      </c>
      <c r="I46" s="94"/>
      <c r="J46" s="50" t="str">
        <f>IF(J30+J29&gt;J28,"Lignitic","Bituminous")</f>
        <v>Lignitic</v>
      </c>
      <c r="K46" s="51"/>
    </row>
    <row r="47" spans="1:18">
      <c r="A47" s="44" t="s">
        <v>38</v>
      </c>
      <c r="B47" s="45"/>
      <c r="C47" s="45"/>
      <c r="D47" s="46">
        <v>3.8868668486502889E-2</v>
      </c>
      <c r="E47" s="45"/>
      <c r="F47" s="47"/>
      <c r="G47" s="48"/>
      <c r="H47" s="49">
        <f>H45*H13</f>
        <v>0</v>
      </c>
      <c r="I47" s="94"/>
      <c r="J47" s="50">
        <f>J45*J13</f>
        <v>8.4248558588829348E-2</v>
      </c>
      <c r="K47" s="51"/>
    </row>
    <row r="48" spans="1:18">
      <c r="A48" s="44" t="s">
        <v>39</v>
      </c>
      <c r="B48" s="45"/>
      <c r="C48" s="45"/>
      <c r="D48" s="46">
        <v>2.46</v>
      </c>
      <c r="E48" s="45"/>
      <c r="F48" s="47"/>
      <c r="G48" s="48"/>
      <c r="H48" s="49">
        <f>H26</f>
        <v>1.9418</v>
      </c>
      <c r="I48" s="94"/>
      <c r="J48" s="50">
        <f>J26</f>
        <v>2.9782000000000002</v>
      </c>
      <c r="K48" s="51"/>
    </row>
    <row r="49" spans="1:11" ht="14.5" customHeight="1">
      <c r="A49" s="121" t="s">
        <v>45</v>
      </c>
      <c r="B49" s="45" t="s">
        <v>43</v>
      </c>
      <c r="C49" s="45"/>
      <c r="D49" s="106">
        <v>2376.9897079912107</v>
      </c>
      <c r="E49" s="45"/>
      <c r="F49" s="47"/>
      <c r="G49" s="48"/>
      <c r="H49" s="76">
        <f>(H40+H42)/2</f>
        <v>2251.9897079912107</v>
      </c>
      <c r="I49" s="100"/>
      <c r="J49" s="77">
        <f>(J40+J42)/2</f>
        <v>2501.9897079912107</v>
      </c>
      <c r="K49" s="78"/>
    </row>
    <row r="50" spans="1:11">
      <c r="A50" s="122"/>
      <c r="B50" s="45" t="s">
        <v>44</v>
      </c>
      <c r="C50" s="45"/>
      <c r="D50" s="106">
        <v>1302.7720599951169</v>
      </c>
      <c r="E50" s="45"/>
      <c r="F50" s="47"/>
      <c r="G50" s="48"/>
      <c r="H50" s="76">
        <f>(H49-32)/1.8</f>
        <v>1233.3276155506726</v>
      </c>
      <c r="I50" s="102"/>
      <c r="J50" s="77">
        <f>(J49-32)/1.8</f>
        <v>1372.2165044395615</v>
      </c>
      <c r="K50" s="51"/>
    </row>
    <row r="51" spans="1:11" ht="16" thickBot="1">
      <c r="A51" s="123"/>
      <c r="B51" s="85" t="s">
        <v>57</v>
      </c>
      <c r="C51" s="86"/>
      <c r="D51" s="108">
        <f>D50+273.15</f>
        <v>1575.9220599951168</v>
      </c>
      <c r="E51" s="86"/>
      <c r="F51" s="88"/>
      <c r="G51" s="89"/>
      <c r="H51" s="90">
        <f>(5/9*(H49-32)+273.15)</f>
        <v>1506.4776155506725</v>
      </c>
      <c r="I51" s="103"/>
      <c r="J51" s="91">
        <f>(5/9*(J49-32)+273.15)</f>
        <v>1645.3665044395616</v>
      </c>
      <c r="K51" s="92"/>
    </row>
    <row r="52" spans="1:11">
      <c r="D52" s="3"/>
    </row>
  </sheetData>
  <mergeCells count="6">
    <mergeCell ref="A49:A51"/>
    <mergeCell ref="A1:C2"/>
    <mergeCell ref="D1:K1"/>
    <mergeCell ref="H2:K2"/>
    <mergeCell ref="H3:I3"/>
    <mergeCell ref="J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52"/>
  <sheetViews>
    <sheetView workbookViewId="0">
      <selection activeCell="G54" sqref="G54"/>
    </sheetView>
  </sheetViews>
  <sheetFormatPr baseColWidth="10" defaultColWidth="8.83203125" defaultRowHeight="15"/>
  <cols>
    <col min="1" max="1" width="18.5" customWidth="1"/>
    <col min="2" max="3" width="5.5" customWidth="1"/>
    <col min="4" max="4" width="14.6640625" style="4" customWidth="1"/>
    <col min="5" max="5" width="12" style="4" customWidth="1"/>
    <col min="6" max="6" width="3.1640625" customWidth="1"/>
    <col min="7" max="7" width="10.83203125" style="3" customWidth="1"/>
    <col min="8" max="8" width="3.1640625" style="4" customWidth="1"/>
    <col min="9" max="9" width="9.1640625" style="3" bestFit="1" customWidth="1"/>
    <col min="10" max="10" width="9.1640625" style="3" customWidth="1"/>
    <col min="11" max="11" width="9.1640625" style="3" bestFit="1" customWidth="1"/>
    <col min="12" max="12" width="8.83203125" style="4"/>
  </cols>
  <sheetData>
    <row r="1" spans="1:14" ht="17" thickBot="1">
      <c r="A1" s="124" t="s">
        <v>1</v>
      </c>
      <c r="B1" s="125"/>
      <c r="C1" s="126"/>
      <c r="D1" s="111" t="s">
        <v>61</v>
      </c>
      <c r="E1" s="112"/>
      <c r="F1" s="112"/>
      <c r="G1" s="112"/>
      <c r="H1" s="112"/>
      <c r="I1" s="112"/>
      <c r="J1" s="112"/>
      <c r="K1" s="112"/>
      <c r="L1" s="113"/>
    </row>
    <row r="2" spans="1:14" ht="16" thickBot="1">
      <c r="A2" s="127"/>
      <c r="B2" s="128"/>
      <c r="C2" s="129"/>
      <c r="D2" s="33" t="s">
        <v>55</v>
      </c>
      <c r="E2" s="135"/>
      <c r="F2" s="29"/>
      <c r="G2" s="31" t="s">
        <v>50</v>
      </c>
      <c r="H2" s="30"/>
      <c r="I2" s="114" t="s">
        <v>51</v>
      </c>
      <c r="J2" s="115"/>
      <c r="K2" s="115"/>
      <c r="L2" s="116"/>
    </row>
    <row r="3" spans="1:14">
      <c r="A3" s="22" t="s">
        <v>3</v>
      </c>
      <c r="B3" s="23"/>
      <c r="C3" s="23"/>
      <c r="D3" s="34"/>
      <c r="E3" s="136"/>
      <c r="F3" s="23"/>
      <c r="G3" s="32"/>
      <c r="H3" s="25"/>
      <c r="I3" s="117" t="s">
        <v>52</v>
      </c>
      <c r="J3" s="118"/>
      <c r="K3" s="119" t="s">
        <v>53</v>
      </c>
      <c r="L3" s="120"/>
    </row>
    <row r="4" spans="1:14">
      <c r="A4" s="37" t="s">
        <v>4</v>
      </c>
      <c r="B4" s="38"/>
      <c r="C4" s="38"/>
      <c r="D4" s="39">
        <v>6.11</v>
      </c>
      <c r="E4" s="137"/>
      <c r="F4" s="38"/>
      <c r="G4" s="40">
        <f>0.23+0.02*D4</f>
        <v>0.35220000000000001</v>
      </c>
      <c r="H4" s="41"/>
      <c r="I4" s="42">
        <f>D4-G4</f>
        <v>5.7578000000000005</v>
      </c>
      <c r="J4" s="93"/>
      <c r="K4" s="41">
        <f>D4+G4</f>
        <v>6.4622000000000002</v>
      </c>
      <c r="L4" s="43"/>
    </row>
    <row r="5" spans="1:14">
      <c r="A5" s="44" t="s">
        <v>5</v>
      </c>
      <c r="B5" s="45"/>
      <c r="C5" s="45"/>
      <c r="D5" s="46">
        <v>38.49</v>
      </c>
      <c r="E5" s="47"/>
      <c r="F5" s="45"/>
      <c r="G5" s="47">
        <v>1</v>
      </c>
      <c r="H5" s="48"/>
      <c r="I5" s="49">
        <f>D5-G5</f>
        <v>37.49</v>
      </c>
      <c r="J5" s="94"/>
      <c r="K5" s="50">
        <f>D5+G5</f>
        <v>39.49</v>
      </c>
      <c r="L5" s="51"/>
    </row>
    <row r="6" spans="1:14">
      <c r="A6" s="44" t="s">
        <v>6</v>
      </c>
      <c r="B6" s="45"/>
      <c r="C6" s="45"/>
      <c r="D6" s="46">
        <v>8.36</v>
      </c>
      <c r="E6" s="47"/>
      <c r="F6" s="45"/>
      <c r="G6" s="47">
        <v>0.49</v>
      </c>
      <c r="H6" s="48"/>
      <c r="I6" s="49">
        <f>D6-G6</f>
        <v>7.8699999999999992</v>
      </c>
      <c r="J6" s="94"/>
      <c r="K6" s="50">
        <f>D6+G6</f>
        <v>8.85</v>
      </c>
      <c r="L6" s="51"/>
    </row>
    <row r="7" spans="1:14">
      <c r="A7" s="52" t="s">
        <v>7</v>
      </c>
      <c r="B7" s="53"/>
      <c r="C7" s="53"/>
      <c r="D7" s="54">
        <v>47.04</v>
      </c>
      <c r="E7" s="55"/>
      <c r="F7" s="53"/>
      <c r="G7" s="55">
        <f>SUM(G4:G6)</f>
        <v>1.8422000000000001</v>
      </c>
      <c r="H7" s="56"/>
      <c r="I7" s="57">
        <f>D7-G7</f>
        <v>45.197800000000001</v>
      </c>
      <c r="J7" s="95"/>
      <c r="K7" s="58">
        <f>D7+G7</f>
        <v>48.882199999999997</v>
      </c>
      <c r="L7" s="59"/>
      <c r="M7" s="21"/>
      <c r="N7" s="21"/>
    </row>
    <row r="8" spans="1:14">
      <c r="A8" s="22"/>
      <c r="B8" s="23"/>
      <c r="C8" s="23"/>
      <c r="D8" s="34"/>
      <c r="E8" s="136"/>
      <c r="F8" s="23"/>
      <c r="G8" s="32"/>
      <c r="H8" s="25"/>
      <c r="I8" s="36"/>
      <c r="J8" s="96"/>
      <c r="K8" s="24"/>
      <c r="L8" s="26"/>
    </row>
    <row r="9" spans="1:14">
      <c r="A9" s="22" t="s">
        <v>8</v>
      </c>
      <c r="B9" s="23"/>
      <c r="C9" s="23"/>
      <c r="D9" s="34"/>
      <c r="E9" s="136"/>
      <c r="F9" s="23"/>
      <c r="G9" s="32"/>
      <c r="H9" s="25"/>
      <c r="I9" s="36"/>
      <c r="J9" s="96"/>
      <c r="K9" s="24"/>
      <c r="L9" s="26"/>
    </row>
    <row r="10" spans="1:14">
      <c r="A10" s="37" t="s">
        <v>9</v>
      </c>
      <c r="B10" s="38"/>
      <c r="C10" s="38"/>
      <c r="D10" s="60">
        <v>67.87</v>
      </c>
      <c r="E10" s="40"/>
      <c r="F10" s="38"/>
      <c r="G10" s="40">
        <v>1</v>
      </c>
      <c r="H10" s="61"/>
      <c r="I10" s="42">
        <f t="shared" ref="I10:I16" si="0">D10-G10</f>
        <v>66.87</v>
      </c>
      <c r="J10" s="93"/>
      <c r="K10" s="41">
        <f t="shared" ref="K10:K16" si="1">D10+G10</f>
        <v>68.87</v>
      </c>
      <c r="L10" s="43"/>
    </row>
    <row r="11" spans="1:14">
      <c r="A11" s="44" t="s">
        <v>10</v>
      </c>
      <c r="B11" s="45"/>
      <c r="C11" s="45"/>
      <c r="D11" s="46">
        <v>5.45</v>
      </c>
      <c r="E11" s="47"/>
      <c r="F11" s="45"/>
      <c r="G11" s="47">
        <v>0.25</v>
      </c>
      <c r="H11" s="48"/>
      <c r="I11" s="49">
        <f t="shared" si="0"/>
        <v>5.2</v>
      </c>
      <c r="J11" s="94"/>
      <c r="K11" s="50">
        <f t="shared" si="1"/>
        <v>5.7</v>
      </c>
      <c r="L11" s="51"/>
    </row>
    <row r="12" spans="1:14">
      <c r="A12" s="44" t="s">
        <v>11</v>
      </c>
      <c r="B12" s="45"/>
      <c r="C12" s="45"/>
      <c r="D12" s="46">
        <v>1.0900000000000001</v>
      </c>
      <c r="E12" s="47"/>
      <c r="F12" s="45"/>
      <c r="G12" s="47">
        <v>0.15</v>
      </c>
      <c r="H12" s="48"/>
      <c r="I12" s="49">
        <f t="shared" si="0"/>
        <v>0.94000000000000006</v>
      </c>
      <c r="J12" s="94"/>
      <c r="K12" s="50">
        <f t="shared" si="1"/>
        <v>1.24</v>
      </c>
      <c r="L12" s="51"/>
    </row>
    <row r="13" spans="1:14">
      <c r="A13" s="44" t="s">
        <v>12</v>
      </c>
      <c r="B13" s="45"/>
      <c r="C13" s="45"/>
      <c r="D13" s="46">
        <v>0.36</v>
      </c>
      <c r="E13" s="47"/>
      <c r="F13" s="45"/>
      <c r="G13" s="47">
        <v>0.1</v>
      </c>
      <c r="H13" s="48"/>
      <c r="I13" s="49">
        <f t="shared" si="0"/>
        <v>0.26</v>
      </c>
      <c r="J13" s="94"/>
      <c r="K13" s="50">
        <f t="shared" si="1"/>
        <v>0.45999999999999996</v>
      </c>
      <c r="L13" s="51"/>
    </row>
    <row r="14" spans="1:14">
      <c r="A14" s="44" t="s">
        <v>13</v>
      </c>
      <c r="B14" s="45"/>
      <c r="C14" s="45"/>
      <c r="D14" s="46">
        <v>16.325963361380335</v>
      </c>
      <c r="E14" s="47"/>
      <c r="F14" s="45"/>
      <c r="G14" s="47">
        <f>SUM(G10:G13,G16)</f>
        <v>1.97</v>
      </c>
      <c r="H14" s="48"/>
      <c r="I14" s="49">
        <f t="shared" si="0"/>
        <v>14.355963361380335</v>
      </c>
      <c r="J14" s="94"/>
      <c r="K14" s="50">
        <f t="shared" si="1"/>
        <v>18.295963361380334</v>
      </c>
      <c r="L14" s="51"/>
    </row>
    <row r="15" spans="1:14">
      <c r="A15" s="44" t="s">
        <v>14</v>
      </c>
      <c r="B15" s="45"/>
      <c r="C15" s="45"/>
      <c r="D15" s="46"/>
      <c r="E15" s="47"/>
      <c r="F15" s="45"/>
      <c r="G15" s="47">
        <v>0</v>
      </c>
      <c r="H15" s="48"/>
      <c r="I15" s="49">
        <f t="shared" si="0"/>
        <v>0</v>
      </c>
      <c r="J15" s="94"/>
      <c r="K15" s="50">
        <f t="shared" si="1"/>
        <v>0</v>
      </c>
      <c r="L15" s="51"/>
    </row>
    <row r="16" spans="1:14">
      <c r="A16" s="52" t="s">
        <v>6</v>
      </c>
      <c r="B16" s="53"/>
      <c r="C16" s="53"/>
      <c r="D16" s="54">
        <v>8.9040366386196617</v>
      </c>
      <c r="E16" s="55"/>
      <c r="F16" s="53"/>
      <c r="G16" s="55">
        <v>0.47</v>
      </c>
      <c r="H16" s="56"/>
      <c r="I16" s="57">
        <f t="shared" si="0"/>
        <v>8.434036638619661</v>
      </c>
      <c r="J16" s="95"/>
      <c r="K16" s="58">
        <f t="shared" si="1"/>
        <v>9.3740366386196623</v>
      </c>
      <c r="L16" s="59"/>
    </row>
    <row r="17" spans="1:12">
      <c r="A17" s="22"/>
      <c r="B17" s="23"/>
      <c r="C17" s="23"/>
      <c r="D17" s="34"/>
      <c r="E17" s="136"/>
      <c r="F17" s="23"/>
      <c r="G17" s="32"/>
      <c r="H17" s="25"/>
      <c r="I17" s="36"/>
      <c r="J17" s="96"/>
      <c r="K17" s="24"/>
      <c r="L17" s="26"/>
    </row>
    <row r="18" spans="1:12">
      <c r="A18" s="22" t="s">
        <v>15</v>
      </c>
      <c r="B18" s="23"/>
      <c r="C18" s="23"/>
      <c r="D18" s="34"/>
      <c r="E18" s="136"/>
      <c r="F18" s="23"/>
      <c r="G18" s="32"/>
      <c r="H18" s="25"/>
      <c r="I18" s="36"/>
      <c r="J18" s="97" t="s">
        <v>56</v>
      </c>
      <c r="K18" s="24"/>
      <c r="L18" s="27" t="s">
        <v>56</v>
      </c>
    </row>
    <row r="19" spans="1:12">
      <c r="A19" s="62" t="s">
        <v>16</v>
      </c>
      <c r="B19" s="63"/>
      <c r="C19" s="63"/>
      <c r="D19" s="64">
        <v>11899</v>
      </c>
      <c r="E19" s="65">
        <f>2.326*D19</f>
        <v>27677.074000000001</v>
      </c>
      <c r="F19" s="63"/>
      <c r="G19" s="65">
        <v>110</v>
      </c>
      <c r="H19" s="66"/>
      <c r="I19" s="67">
        <f>D19-G19</f>
        <v>11789</v>
      </c>
      <c r="J19" s="98">
        <f>2.326*I19</f>
        <v>27421.214</v>
      </c>
      <c r="K19" s="66">
        <f>D19+G19</f>
        <v>12009</v>
      </c>
      <c r="L19" s="68">
        <f>2.326*K19</f>
        <v>27932.934000000001</v>
      </c>
    </row>
    <row r="20" spans="1:12">
      <c r="A20" s="22"/>
      <c r="B20" s="23"/>
      <c r="C20" s="23"/>
      <c r="D20" s="35"/>
      <c r="E20" s="32"/>
      <c r="F20" s="23"/>
      <c r="G20" s="32"/>
      <c r="H20" s="25"/>
      <c r="I20" s="36"/>
      <c r="J20" s="96"/>
      <c r="K20" s="24"/>
      <c r="L20" s="26"/>
    </row>
    <row r="21" spans="1:12">
      <c r="A21" s="22" t="s">
        <v>17</v>
      </c>
      <c r="B21" s="23"/>
      <c r="C21" s="23"/>
      <c r="D21" s="35"/>
      <c r="E21" s="32"/>
      <c r="F21" s="23"/>
      <c r="G21" s="32"/>
      <c r="H21" s="25"/>
      <c r="I21" s="36"/>
      <c r="J21" s="96"/>
      <c r="K21" s="24"/>
      <c r="L21" s="26"/>
    </row>
    <row r="22" spans="1:12">
      <c r="A22" s="37" t="s">
        <v>18</v>
      </c>
      <c r="B22" s="38"/>
      <c r="C22" s="38"/>
      <c r="D22" s="60">
        <v>8.34</v>
      </c>
      <c r="E22" s="40"/>
      <c r="F22" s="38"/>
      <c r="G22" s="40">
        <f>0.86+0.07*D22</f>
        <v>1.4438</v>
      </c>
      <c r="H22" s="61"/>
      <c r="I22" s="42">
        <f t="shared" ref="I22:I33" si="2">D22-G22</f>
        <v>6.8962000000000003</v>
      </c>
      <c r="J22" s="93"/>
      <c r="K22" s="41">
        <f>D22+G22</f>
        <v>9.7837999999999994</v>
      </c>
      <c r="L22" s="43"/>
    </row>
    <row r="23" spans="1:12">
      <c r="A23" s="44" t="s">
        <v>19</v>
      </c>
      <c r="B23" s="45"/>
      <c r="C23" s="45"/>
      <c r="D23" s="46">
        <v>48.85</v>
      </c>
      <c r="E23" s="47"/>
      <c r="F23" s="45"/>
      <c r="G23" s="47">
        <f>2+0.1*D23</f>
        <v>6.8850000000000007</v>
      </c>
      <c r="H23" s="48"/>
      <c r="I23" s="49">
        <f t="shared" si="2"/>
        <v>41.965000000000003</v>
      </c>
      <c r="J23" s="94"/>
      <c r="K23" s="50">
        <f>D23+G23</f>
        <v>55.734999999999999</v>
      </c>
      <c r="L23" s="51"/>
    </row>
    <row r="24" spans="1:12">
      <c r="A24" s="44" t="s">
        <v>20</v>
      </c>
      <c r="B24" s="45"/>
      <c r="C24" s="45"/>
      <c r="D24" s="46">
        <v>0.64</v>
      </c>
      <c r="E24" s="47"/>
      <c r="F24" s="45"/>
      <c r="G24" s="47">
        <f>0.05+0.12*D24</f>
        <v>0.1268</v>
      </c>
      <c r="H24" s="48"/>
      <c r="I24" s="49">
        <f t="shared" si="2"/>
        <v>0.51319999999999999</v>
      </c>
      <c r="J24" s="94"/>
      <c r="K24" s="50">
        <f>D24+G24</f>
        <v>0.76680000000000004</v>
      </c>
      <c r="L24" s="51"/>
    </row>
    <row r="25" spans="1:12">
      <c r="A25" s="44"/>
      <c r="B25" s="45"/>
      <c r="C25" s="45"/>
      <c r="D25" s="46"/>
      <c r="E25" s="47"/>
      <c r="F25" s="45"/>
      <c r="G25" s="47"/>
      <c r="H25" s="48"/>
      <c r="I25" s="49"/>
      <c r="J25" s="94"/>
      <c r="K25" s="50"/>
      <c r="L25" s="51"/>
    </row>
    <row r="26" spans="1:12">
      <c r="A26" s="44" t="s">
        <v>21</v>
      </c>
      <c r="B26" s="45"/>
      <c r="C26" s="45"/>
      <c r="D26" s="46">
        <v>3.09</v>
      </c>
      <c r="E26" s="47"/>
      <c r="F26" s="45"/>
      <c r="G26" s="47">
        <f>0.1+0.17*D26</f>
        <v>0.62529999999999997</v>
      </c>
      <c r="H26" s="48"/>
      <c r="I26" s="49">
        <f t="shared" si="2"/>
        <v>2.4646999999999997</v>
      </c>
      <c r="J26" s="94"/>
      <c r="K26" s="50">
        <f>D26+G26</f>
        <v>3.7153</v>
      </c>
      <c r="L26" s="51"/>
    </row>
    <row r="27" spans="1:12">
      <c r="A27" s="44" t="s">
        <v>22</v>
      </c>
      <c r="B27" s="45"/>
      <c r="C27" s="45"/>
      <c r="D27" s="46">
        <v>0.33</v>
      </c>
      <c r="E27" s="47"/>
      <c r="F27" s="45"/>
      <c r="G27" s="47">
        <f>0.14+0.3*D27</f>
        <v>0.23900000000000002</v>
      </c>
      <c r="H27" s="48"/>
      <c r="I27" s="49">
        <f t="shared" si="2"/>
        <v>9.0999999999999998E-2</v>
      </c>
      <c r="J27" s="94"/>
      <c r="K27" s="50">
        <f>D27+G27</f>
        <v>0.56900000000000006</v>
      </c>
      <c r="L27" s="51"/>
    </row>
    <row r="28" spans="1:12">
      <c r="A28" s="44" t="s">
        <v>23</v>
      </c>
      <c r="B28" s="45"/>
      <c r="C28" s="45"/>
      <c r="D28" s="46">
        <v>5.25</v>
      </c>
      <c r="E28" s="47"/>
      <c r="F28" s="45"/>
      <c r="G28" s="47">
        <f>0.23*D28</f>
        <v>1.2075</v>
      </c>
      <c r="H28" s="48"/>
      <c r="I28" s="49">
        <f t="shared" si="2"/>
        <v>4.0425000000000004</v>
      </c>
      <c r="J28" s="94"/>
      <c r="K28" s="50">
        <f>D28+G28</f>
        <v>6.4574999999999996</v>
      </c>
      <c r="L28" s="51"/>
    </row>
    <row r="29" spans="1:12">
      <c r="A29" s="44" t="s">
        <v>24</v>
      </c>
      <c r="B29" s="45"/>
      <c r="C29" s="45"/>
      <c r="D29" s="46">
        <v>2.84</v>
      </c>
      <c r="E29" s="47"/>
      <c r="F29" s="45"/>
      <c r="G29" s="47">
        <f>0.11+0.11*D29</f>
        <v>0.4224</v>
      </c>
      <c r="H29" s="48"/>
      <c r="I29" s="49">
        <f t="shared" si="2"/>
        <v>2.4175999999999997</v>
      </c>
      <c r="J29" s="94"/>
      <c r="K29" s="50">
        <f>D29+G29</f>
        <v>3.2624</v>
      </c>
      <c r="L29" s="51"/>
    </row>
    <row r="30" spans="1:12">
      <c r="A30" s="44" t="s">
        <v>25</v>
      </c>
      <c r="B30" s="45"/>
      <c r="C30" s="45"/>
      <c r="D30" s="46">
        <v>18.21</v>
      </c>
      <c r="E30" s="47"/>
      <c r="F30" s="45"/>
      <c r="G30" s="47">
        <f>0.25*D30</f>
        <v>4.5525000000000002</v>
      </c>
      <c r="H30" s="48"/>
      <c r="I30" s="49">
        <f t="shared" si="2"/>
        <v>13.657500000000001</v>
      </c>
      <c r="J30" s="94"/>
      <c r="K30" s="50">
        <f>D30+G30</f>
        <v>22.762500000000003</v>
      </c>
      <c r="L30" s="51"/>
    </row>
    <row r="31" spans="1:12">
      <c r="A31" s="44"/>
      <c r="B31" s="45"/>
      <c r="C31" s="45"/>
      <c r="D31" s="46"/>
      <c r="E31" s="47"/>
      <c r="F31" s="45"/>
      <c r="G31" s="47"/>
      <c r="H31" s="48"/>
      <c r="I31" s="49"/>
      <c r="J31" s="94"/>
      <c r="K31" s="50"/>
      <c r="L31" s="51"/>
    </row>
    <row r="32" spans="1:12">
      <c r="A32" s="44" t="s">
        <v>26</v>
      </c>
      <c r="B32" s="45"/>
      <c r="C32" s="45"/>
      <c r="D32" s="46">
        <v>5.96</v>
      </c>
      <c r="E32" s="47"/>
      <c r="F32" s="45"/>
      <c r="G32" s="47">
        <f>0.08*D32+0.06</f>
        <v>0.53679999999999994</v>
      </c>
      <c r="H32" s="48"/>
      <c r="I32" s="49">
        <f t="shared" si="2"/>
        <v>5.4231999999999996</v>
      </c>
      <c r="J32" s="94"/>
      <c r="K32" s="50">
        <f>D32+G32</f>
        <v>6.4968000000000004</v>
      </c>
      <c r="L32" s="51"/>
    </row>
    <row r="33" spans="1:19">
      <c r="A33" s="44" t="s">
        <v>27</v>
      </c>
      <c r="B33" s="45"/>
      <c r="C33" s="45"/>
      <c r="D33" s="46">
        <v>0.01</v>
      </c>
      <c r="E33" s="47"/>
      <c r="F33" s="45"/>
      <c r="G33" s="47">
        <f>0.11+0.31*D33</f>
        <v>0.11310000000000001</v>
      </c>
      <c r="H33" s="48"/>
      <c r="I33" s="49">
        <f t="shared" si="2"/>
        <v>-0.10310000000000001</v>
      </c>
      <c r="J33" s="94"/>
      <c r="K33" s="50">
        <f>D33+G33</f>
        <v>0.1231</v>
      </c>
      <c r="L33" s="51"/>
    </row>
    <row r="34" spans="1:19">
      <c r="A34" s="44" t="s">
        <v>28</v>
      </c>
      <c r="B34" s="45"/>
      <c r="C34" s="45"/>
      <c r="D34" s="46">
        <v>6.4799999999999898</v>
      </c>
      <c r="E34" s="47"/>
      <c r="F34" s="45"/>
      <c r="G34" s="47"/>
      <c r="H34" s="48"/>
      <c r="I34" s="49">
        <f>100-SUM(I22:I33)</f>
        <v>22.632199999999997</v>
      </c>
      <c r="J34" s="94"/>
      <c r="K34" s="50">
        <f>100-SUM(K22:K33)</f>
        <v>-9.6722000000000037</v>
      </c>
      <c r="L34" s="51"/>
    </row>
    <row r="35" spans="1:19">
      <c r="A35" s="69"/>
      <c r="B35" s="45"/>
      <c r="C35" s="45"/>
      <c r="D35" s="46"/>
      <c r="E35" s="47"/>
      <c r="F35" s="45"/>
      <c r="G35" s="47"/>
      <c r="H35" s="48"/>
      <c r="I35" s="49"/>
      <c r="J35" s="94"/>
      <c r="K35" s="50"/>
      <c r="L35" s="51"/>
    </row>
    <row r="36" spans="1:19">
      <c r="A36" s="52" t="s">
        <v>29</v>
      </c>
      <c r="B36" s="53"/>
      <c r="C36" s="53"/>
      <c r="D36" s="54">
        <v>100</v>
      </c>
      <c r="E36" s="55"/>
      <c r="F36" s="53"/>
      <c r="G36" s="55"/>
      <c r="H36" s="56"/>
      <c r="I36" s="57">
        <f>SUM(I22:I34)</f>
        <v>100</v>
      </c>
      <c r="J36" s="95"/>
      <c r="K36" s="58">
        <f>SUM(K22:K34)</f>
        <v>100</v>
      </c>
      <c r="L36" s="59"/>
    </row>
    <row r="37" spans="1:19">
      <c r="A37" s="22"/>
      <c r="B37" s="23"/>
      <c r="C37" s="23"/>
      <c r="D37" s="34"/>
      <c r="E37" s="136"/>
      <c r="F37" s="23"/>
      <c r="G37" s="32"/>
      <c r="H37" s="25"/>
      <c r="I37" s="36"/>
      <c r="J37" s="96"/>
      <c r="K37" s="24"/>
      <c r="L37" s="26"/>
    </row>
    <row r="38" spans="1:19">
      <c r="A38" s="22" t="s">
        <v>30</v>
      </c>
      <c r="B38" s="23"/>
      <c r="C38" s="23"/>
      <c r="D38" s="34"/>
      <c r="E38" s="138" t="s">
        <v>57</v>
      </c>
      <c r="F38" s="23"/>
      <c r="G38" s="32"/>
      <c r="H38" s="25"/>
      <c r="I38" s="36"/>
      <c r="J38" s="97" t="s">
        <v>57</v>
      </c>
      <c r="K38" s="24"/>
      <c r="L38" s="28" t="s">
        <v>57</v>
      </c>
    </row>
    <row r="39" spans="1:19">
      <c r="A39" s="37" t="s">
        <v>31</v>
      </c>
      <c r="B39" s="38" t="s">
        <v>32</v>
      </c>
      <c r="C39" s="38"/>
      <c r="D39" s="105">
        <v>2175</v>
      </c>
      <c r="E39" s="139">
        <f>(5/9*(D39-32))+273.15</f>
        <v>1463.7055555555557</v>
      </c>
      <c r="F39" s="38"/>
      <c r="G39" s="70">
        <v>125</v>
      </c>
      <c r="H39" s="61"/>
      <c r="I39" s="71">
        <f>D39-G39</f>
        <v>2050</v>
      </c>
      <c r="J39" s="99">
        <f>(5/9*(I39-32))+273.15</f>
        <v>1394.2611111111109</v>
      </c>
      <c r="K39" s="72">
        <f>D39+G39</f>
        <v>2300</v>
      </c>
      <c r="L39" s="73">
        <f>(5/9*(K39-32))+273.15</f>
        <v>1533.15</v>
      </c>
      <c r="S39" s="104"/>
    </row>
    <row r="40" spans="1:19">
      <c r="A40" s="44" t="s">
        <v>33</v>
      </c>
      <c r="B40" s="45" t="s">
        <v>32</v>
      </c>
      <c r="C40" s="45"/>
      <c r="D40" s="106">
        <v>2232</v>
      </c>
      <c r="E40" s="139">
        <f t="shared" ref="E40:E42" si="3">(5/9*(D40-32))+273.15</f>
        <v>1495.3722222222223</v>
      </c>
      <c r="F40" s="45"/>
      <c r="G40" s="75">
        <v>100</v>
      </c>
      <c r="H40" s="48"/>
      <c r="I40" s="76">
        <f>D40-G40</f>
        <v>2132</v>
      </c>
      <c r="J40" s="100">
        <f>(5/9*(I40-32))+273.15</f>
        <v>1439.8166666666666</v>
      </c>
      <c r="K40" s="77">
        <f>D40+G40</f>
        <v>2332</v>
      </c>
      <c r="L40" s="73">
        <f>(5/9*(K40-32))+273.15</f>
        <v>1550.9277777777779</v>
      </c>
    </row>
    <row r="41" spans="1:19">
      <c r="A41" s="44" t="s">
        <v>34</v>
      </c>
      <c r="B41" s="45" t="s">
        <v>32</v>
      </c>
      <c r="C41" s="45"/>
      <c r="D41" s="106">
        <v>2346</v>
      </c>
      <c r="E41" s="139">
        <f t="shared" si="3"/>
        <v>1558.7055555555557</v>
      </c>
      <c r="F41" s="45"/>
      <c r="G41" s="75">
        <v>100</v>
      </c>
      <c r="H41" s="48"/>
      <c r="I41" s="76">
        <f>D41-G41</f>
        <v>2246</v>
      </c>
      <c r="J41" s="100">
        <f>(5/9*(I41-32))+273.15</f>
        <v>1503.15</v>
      </c>
      <c r="K41" s="77">
        <f>D41+G41</f>
        <v>2446</v>
      </c>
      <c r="L41" s="73">
        <f>(5/9*(K41-32))+273.15</f>
        <v>1614.2611111111109</v>
      </c>
    </row>
    <row r="42" spans="1:19">
      <c r="A42" s="52" t="s">
        <v>35</v>
      </c>
      <c r="B42" s="53" t="s">
        <v>32</v>
      </c>
      <c r="C42" s="53"/>
      <c r="D42" s="107">
        <v>2371</v>
      </c>
      <c r="E42" s="139">
        <f t="shared" si="3"/>
        <v>1572.5944444444444</v>
      </c>
      <c r="F42" s="53"/>
      <c r="G42" s="80">
        <v>150</v>
      </c>
      <c r="H42" s="56"/>
      <c r="I42" s="81">
        <f>D42-G42</f>
        <v>2221</v>
      </c>
      <c r="J42" s="101">
        <f>(5/9*(I42-32))+273.15</f>
        <v>1489.2611111111109</v>
      </c>
      <c r="K42" s="82">
        <f>D42+G42</f>
        <v>2521</v>
      </c>
      <c r="L42" s="73">
        <f>(5/9*(K42-32))+273.15</f>
        <v>1655.9277777777779</v>
      </c>
    </row>
    <row r="43" spans="1:19">
      <c r="A43" s="22"/>
      <c r="B43" s="23"/>
      <c r="C43" s="23"/>
      <c r="D43" s="34"/>
      <c r="E43" s="136"/>
      <c r="F43" s="23"/>
      <c r="G43" s="32"/>
      <c r="H43" s="25"/>
      <c r="I43" s="36"/>
      <c r="J43" s="96"/>
      <c r="K43" s="24"/>
      <c r="L43" s="26"/>
    </row>
    <row r="44" spans="1:19">
      <c r="A44" s="22" t="s">
        <v>42</v>
      </c>
      <c r="B44" s="23"/>
      <c r="C44" s="23"/>
      <c r="D44" s="34"/>
      <c r="E44" s="136"/>
      <c r="F44" s="23"/>
      <c r="G44" s="32"/>
      <c r="H44" s="25"/>
      <c r="I44" s="36"/>
      <c r="J44" s="96"/>
      <c r="K44" s="24"/>
      <c r="L44" s="26"/>
    </row>
    <row r="45" spans="1:19">
      <c r="A45" s="37" t="s">
        <v>41</v>
      </c>
      <c r="B45" s="38"/>
      <c r="C45" s="38"/>
      <c r="D45" s="60">
        <v>0.51392011066920285</v>
      </c>
      <c r="E45" s="40"/>
      <c r="F45" s="38"/>
      <c r="G45" s="40"/>
      <c r="H45" s="61"/>
      <c r="I45" s="42">
        <f>SUM(I26:I30)/SUM(I22:I24)</f>
        <v>0.45921165624291133</v>
      </c>
      <c r="J45" s="93"/>
      <c r="K45" s="41">
        <f>SUM(K26:K30)/SUM(K22:K24)</f>
        <v>0.55467099943275766</v>
      </c>
      <c r="L45" s="43"/>
    </row>
    <row r="46" spans="1:19">
      <c r="A46" s="44" t="s">
        <v>40</v>
      </c>
      <c r="B46" s="45"/>
      <c r="C46" s="45"/>
      <c r="D46" s="46" t="s">
        <v>59</v>
      </c>
      <c r="E46" s="47"/>
      <c r="F46" s="45"/>
      <c r="G46" s="47"/>
      <c r="H46" s="48"/>
      <c r="I46" s="49" t="str">
        <f>IF(I30+I29&gt;I28,"Lignitic","Bituminous")</f>
        <v>Lignitic</v>
      </c>
      <c r="J46" s="94"/>
      <c r="K46" s="50" t="str">
        <f>IF(K30+K29&gt;K28,"Lignitic","Bituminous")</f>
        <v>Lignitic</v>
      </c>
      <c r="L46" s="51"/>
    </row>
    <row r="47" spans="1:19">
      <c r="A47" s="44" t="s">
        <v>38</v>
      </c>
      <c r="B47" s="45"/>
      <c r="C47" s="45"/>
      <c r="D47" s="46">
        <v>0.18501123984091303</v>
      </c>
      <c r="E47" s="47"/>
      <c r="F47" s="45"/>
      <c r="G47" s="47"/>
      <c r="H47" s="48"/>
      <c r="I47" s="49">
        <f>I45*I13</f>
        <v>0.11939503062315694</v>
      </c>
      <c r="J47" s="94"/>
      <c r="K47" s="50">
        <f>K45*K13</f>
        <v>0.25514865973906853</v>
      </c>
      <c r="L47" s="51"/>
    </row>
    <row r="48" spans="1:19">
      <c r="A48" s="44" t="s">
        <v>39</v>
      </c>
      <c r="B48" s="45"/>
      <c r="C48" s="45"/>
      <c r="D48" s="46">
        <v>3.09</v>
      </c>
      <c r="E48" s="47"/>
      <c r="F48" s="45"/>
      <c r="G48" s="47"/>
      <c r="H48" s="48"/>
      <c r="I48" s="49">
        <f>I26</f>
        <v>2.4646999999999997</v>
      </c>
      <c r="J48" s="94"/>
      <c r="K48" s="50">
        <f>K26</f>
        <v>3.7153</v>
      </c>
      <c r="L48" s="51"/>
    </row>
    <row r="49" spans="1:12" ht="14.5" customHeight="1">
      <c r="A49" s="121" t="s">
        <v>45</v>
      </c>
      <c r="B49" s="45" t="s">
        <v>43</v>
      </c>
      <c r="C49" s="45"/>
      <c r="D49" s="106">
        <v>2301.5</v>
      </c>
      <c r="E49" s="75"/>
      <c r="F49" s="45"/>
      <c r="G49" s="47"/>
      <c r="H49" s="48"/>
      <c r="I49" s="76">
        <f>(I40+I42)/2</f>
        <v>2176.5</v>
      </c>
      <c r="J49" s="100"/>
      <c r="K49" s="77">
        <f>(K40+K42)/2</f>
        <v>2426.5</v>
      </c>
      <c r="L49" s="78"/>
    </row>
    <row r="50" spans="1:12">
      <c r="A50" s="122"/>
      <c r="B50" s="45" t="s">
        <v>44</v>
      </c>
      <c r="C50" s="45"/>
      <c r="D50" s="106">
        <v>1260.8333333333333</v>
      </c>
      <c r="E50" s="75"/>
      <c r="F50" s="45"/>
      <c r="G50" s="47"/>
      <c r="H50" s="48"/>
      <c r="I50" s="76">
        <f>(I49-32)/1.8</f>
        <v>1191.3888888888889</v>
      </c>
      <c r="J50" s="102"/>
      <c r="K50" s="77">
        <f>(K49-32)/1.8</f>
        <v>1330.2777777777778</v>
      </c>
      <c r="L50" s="51"/>
    </row>
    <row r="51" spans="1:12" ht="16" thickBot="1">
      <c r="A51" s="123"/>
      <c r="B51" s="85" t="s">
        <v>57</v>
      </c>
      <c r="C51" s="86"/>
      <c r="D51" s="108">
        <f>D50+273.15</f>
        <v>1533.9833333333331</v>
      </c>
      <c r="E51" s="140"/>
      <c r="F51" s="86"/>
      <c r="G51" s="88"/>
      <c r="H51" s="89"/>
      <c r="I51" s="90">
        <f>(5/9*(I49-32)+273.15)</f>
        <v>1464.5388888888888</v>
      </c>
      <c r="J51" s="103"/>
      <c r="K51" s="91">
        <f>(5/9*(K49-32)+273.15)</f>
        <v>1603.4277777777779</v>
      </c>
      <c r="L51" s="92"/>
    </row>
    <row r="52" spans="1:12">
      <c r="D52" s="3"/>
      <c r="E52" s="3"/>
    </row>
  </sheetData>
  <mergeCells count="6">
    <mergeCell ref="A49:A51"/>
    <mergeCell ref="A1:C2"/>
    <mergeCell ref="D1:L1"/>
    <mergeCell ref="I2:L2"/>
    <mergeCell ref="I3:J3"/>
    <mergeCell ref="K3:L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B9CB7-C543-2046-AA98-2D980597F99A}">
  <dimension ref="A1:M53"/>
  <sheetViews>
    <sheetView tabSelected="1" topLeftCell="A5" workbookViewId="0">
      <selection activeCell="J36" sqref="J36"/>
    </sheetView>
  </sheetViews>
  <sheetFormatPr baseColWidth="10" defaultRowHeight="15"/>
  <cols>
    <col min="1" max="1" width="12.5" customWidth="1"/>
    <col min="6" max="6" width="4" customWidth="1"/>
  </cols>
  <sheetData>
    <row r="1" spans="1:13" ht="17" thickBot="1">
      <c r="A1" s="124" t="s">
        <v>1</v>
      </c>
      <c r="B1" s="125"/>
      <c r="C1" s="126"/>
      <c r="D1" s="111" t="s">
        <v>61</v>
      </c>
      <c r="E1" s="112"/>
      <c r="F1" s="112"/>
      <c r="G1" s="112"/>
      <c r="H1" s="112"/>
      <c r="I1" s="112"/>
      <c r="J1" s="112"/>
      <c r="K1" s="112"/>
      <c r="L1" s="112"/>
      <c r="M1" t="s">
        <v>70</v>
      </c>
    </row>
    <row r="2" spans="1:13" ht="16" thickBot="1">
      <c r="A2" s="127"/>
      <c r="B2" s="128"/>
      <c r="C2" s="129"/>
      <c r="D2" s="33" t="s">
        <v>67</v>
      </c>
      <c r="E2" s="135"/>
      <c r="F2" s="160"/>
      <c r="G2" s="176" t="s">
        <v>68</v>
      </c>
      <c r="H2" s="135"/>
      <c r="I2" s="29"/>
      <c r="J2" s="31"/>
      <c r="K2" s="30"/>
      <c r="L2" s="166"/>
    </row>
    <row r="3" spans="1:13">
      <c r="A3" s="22" t="s">
        <v>3</v>
      </c>
      <c r="B3" s="23"/>
      <c r="C3" s="23"/>
      <c r="D3" s="34"/>
      <c r="E3" s="136"/>
      <c r="F3" s="168"/>
      <c r="G3" s="177"/>
      <c r="H3" s="136"/>
      <c r="I3" s="23"/>
      <c r="J3" s="32"/>
      <c r="K3" s="25"/>
      <c r="L3" s="167"/>
    </row>
    <row r="4" spans="1:13">
      <c r="A4" s="37" t="s">
        <v>4</v>
      </c>
      <c r="B4" s="38"/>
      <c r="C4" s="38"/>
      <c r="D4" s="39">
        <v>6.53</v>
      </c>
      <c r="E4" s="137"/>
      <c r="F4" s="161"/>
      <c r="G4" s="150">
        <v>4.1500000000000004</v>
      </c>
      <c r="H4" s="137"/>
      <c r="I4" s="38"/>
      <c r="J4" s="40"/>
      <c r="K4" s="41"/>
      <c r="L4" s="132"/>
    </row>
    <row r="5" spans="1:13">
      <c r="A5" s="44" t="s">
        <v>5</v>
      </c>
      <c r="B5" s="45"/>
      <c r="C5" s="45"/>
      <c r="D5" s="46">
        <v>38.25</v>
      </c>
      <c r="E5" s="47"/>
      <c r="F5" s="94"/>
      <c r="G5" s="50" t="s">
        <v>69</v>
      </c>
      <c r="H5" s="47"/>
      <c r="I5" s="45"/>
      <c r="J5" s="47"/>
      <c r="K5" s="48"/>
      <c r="L5" s="130"/>
    </row>
    <row r="6" spans="1:13">
      <c r="A6" s="44" t="s">
        <v>6</v>
      </c>
      <c r="B6" s="45"/>
      <c r="C6" s="45"/>
      <c r="D6" s="46">
        <v>12.76</v>
      </c>
      <c r="E6" s="47"/>
      <c r="F6" s="96"/>
      <c r="G6" s="50" t="s">
        <v>69</v>
      </c>
      <c r="H6" s="47"/>
      <c r="I6" s="45"/>
      <c r="J6" s="47"/>
      <c r="K6" s="48"/>
      <c r="L6" s="130"/>
    </row>
    <row r="7" spans="1:13">
      <c r="A7" s="52" t="s">
        <v>7</v>
      </c>
      <c r="B7" s="53"/>
      <c r="C7" s="53"/>
      <c r="D7" s="54">
        <v>42.46</v>
      </c>
      <c r="E7" s="55"/>
      <c r="F7" s="55"/>
      <c r="G7" s="58" t="s">
        <v>69</v>
      </c>
      <c r="H7" s="55"/>
      <c r="I7" s="154"/>
      <c r="J7" s="95"/>
      <c r="K7" s="56"/>
      <c r="L7" s="131"/>
    </row>
    <row r="8" spans="1:13">
      <c r="A8" s="22"/>
      <c r="B8" s="23"/>
      <c r="C8" s="23"/>
      <c r="D8" s="34"/>
      <c r="E8" s="136"/>
      <c r="F8" s="136"/>
      <c r="G8" s="25"/>
      <c r="H8" s="136"/>
      <c r="I8" s="23"/>
      <c r="J8" s="32"/>
      <c r="K8" s="25"/>
      <c r="L8" s="134"/>
    </row>
    <row r="9" spans="1:13">
      <c r="A9" s="22" t="s">
        <v>8</v>
      </c>
      <c r="B9" s="23"/>
      <c r="C9" s="23"/>
      <c r="D9" s="34" t="s">
        <v>65</v>
      </c>
      <c r="E9" s="136" t="s">
        <v>66</v>
      </c>
      <c r="F9" s="136"/>
      <c r="G9" s="25" t="s">
        <v>65</v>
      </c>
      <c r="H9" s="136" t="s">
        <v>66</v>
      </c>
      <c r="I9" s="23"/>
      <c r="J9" s="32"/>
      <c r="K9" s="25"/>
      <c r="L9" s="134"/>
    </row>
    <row r="10" spans="1:13">
      <c r="A10" s="37" t="s">
        <v>9</v>
      </c>
      <c r="B10" s="38"/>
      <c r="C10" s="38"/>
      <c r="D10" s="145">
        <v>63.14</v>
      </c>
      <c r="E10" s="40">
        <f>D10/(1-D$4/100)</f>
        <v>67.551085909917617</v>
      </c>
      <c r="F10" s="40"/>
      <c r="G10" s="41">
        <v>61.48</v>
      </c>
      <c r="H10" s="40">
        <f>G10/(1-G$4/100)</f>
        <v>64.141888367240469</v>
      </c>
      <c r="I10" s="152"/>
      <c r="J10" s="40"/>
      <c r="K10" s="61"/>
      <c r="L10" s="132"/>
    </row>
    <row r="11" spans="1:13">
      <c r="A11" s="44" t="s">
        <v>10</v>
      </c>
      <c r="B11" s="45"/>
      <c r="C11" s="45"/>
      <c r="D11" s="147">
        <v>4.3600000000000003</v>
      </c>
      <c r="E11" s="47">
        <f t="shared" ref="E11:E16" si="0">D11/(1-D$4/100)</f>
        <v>4.6645982668235799</v>
      </c>
      <c r="F11" s="148"/>
      <c r="G11" s="150">
        <v>4.47</v>
      </c>
      <c r="H11" s="148">
        <f t="shared" ref="H11:H16" si="1">G11/(1-G$4/100)</f>
        <v>4.6635367762128324</v>
      </c>
      <c r="I11" s="153"/>
      <c r="J11" s="47"/>
      <c r="K11" s="48"/>
      <c r="L11" s="130"/>
    </row>
    <row r="12" spans="1:13">
      <c r="A12" s="44" t="s">
        <v>11</v>
      </c>
      <c r="B12" s="45"/>
      <c r="C12" s="45"/>
      <c r="D12" s="46">
        <v>1.1299999999999999</v>
      </c>
      <c r="E12" s="47">
        <f t="shared" si="0"/>
        <v>1.2089440462180379</v>
      </c>
      <c r="F12" s="148"/>
      <c r="G12" s="150">
        <v>0.91</v>
      </c>
      <c r="H12" s="148">
        <f t="shared" si="1"/>
        <v>0.9494001043296818</v>
      </c>
      <c r="I12" s="153"/>
      <c r="J12" s="47"/>
      <c r="K12" s="48"/>
      <c r="L12" s="130"/>
    </row>
    <row r="13" spans="1:13">
      <c r="A13" s="44" t="s">
        <v>12</v>
      </c>
      <c r="B13" s="45"/>
      <c r="C13" s="45"/>
      <c r="D13" s="46">
        <v>0.45</v>
      </c>
      <c r="E13" s="47">
        <f t="shared" si="0"/>
        <v>0.48143789451160801</v>
      </c>
      <c r="F13" s="148"/>
      <c r="G13" s="150">
        <v>0.57999999999999996</v>
      </c>
      <c r="H13" s="148">
        <f t="shared" si="1"/>
        <v>0.60511215440792898</v>
      </c>
      <c r="I13" s="153"/>
      <c r="J13" s="47"/>
      <c r="K13" s="48"/>
      <c r="L13" s="130"/>
    </row>
    <row r="14" spans="1:13">
      <c r="A14" s="44" t="s">
        <v>13</v>
      </c>
      <c r="B14" s="45"/>
      <c r="C14" s="45"/>
      <c r="D14" s="46">
        <v>11.63</v>
      </c>
      <c r="E14" s="47">
        <f t="shared" si="0"/>
        <v>12.442494918155559</v>
      </c>
      <c r="F14" s="148"/>
      <c r="G14" s="150">
        <v>12.21</v>
      </c>
      <c r="H14" s="148">
        <f t="shared" si="1"/>
        <v>12.738654147104851</v>
      </c>
      <c r="I14" s="153"/>
      <c r="J14" s="47"/>
      <c r="K14" s="48"/>
      <c r="L14" s="130"/>
    </row>
    <row r="15" spans="1:13">
      <c r="A15" s="44" t="s">
        <v>14</v>
      </c>
      <c r="B15" s="45"/>
      <c r="C15" s="45"/>
      <c r="D15" s="46"/>
      <c r="E15" s="47">
        <v>0</v>
      </c>
      <c r="F15" s="148"/>
      <c r="G15" s="150"/>
      <c r="H15" s="148">
        <f t="shared" si="1"/>
        <v>0</v>
      </c>
      <c r="I15" s="153"/>
      <c r="J15" s="47"/>
      <c r="K15" s="48"/>
      <c r="L15" s="130"/>
    </row>
    <row r="16" spans="1:13">
      <c r="A16" s="52" t="s">
        <v>6</v>
      </c>
      <c r="B16" s="53"/>
      <c r="C16" s="53"/>
      <c r="D16" s="54">
        <v>12.76</v>
      </c>
      <c r="E16" s="55">
        <f t="shared" si="0"/>
        <v>13.651438964373597</v>
      </c>
      <c r="F16" s="55"/>
      <c r="G16" s="58">
        <v>16.2</v>
      </c>
      <c r="H16" s="55">
        <f t="shared" si="1"/>
        <v>16.901408450704224</v>
      </c>
      <c r="I16" s="151"/>
      <c r="J16" s="55"/>
      <c r="K16" s="56"/>
      <c r="L16" s="164"/>
    </row>
    <row r="17" spans="1:12">
      <c r="A17" s="22"/>
      <c r="B17" s="23"/>
      <c r="C17" s="23"/>
      <c r="D17" s="141"/>
      <c r="E17" s="148"/>
      <c r="F17" s="32"/>
      <c r="G17" s="24"/>
      <c r="H17" s="32"/>
      <c r="I17" s="23"/>
      <c r="J17" s="32"/>
      <c r="K17" s="25"/>
      <c r="L17" s="134"/>
    </row>
    <row r="18" spans="1:12">
      <c r="A18" s="22" t="s">
        <v>15</v>
      </c>
      <c r="B18" s="23"/>
      <c r="C18" s="23"/>
      <c r="D18" s="34"/>
      <c r="E18" s="144"/>
      <c r="F18" s="136"/>
      <c r="G18" s="25"/>
      <c r="H18" s="136"/>
      <c r="I18" s="23"/>
      <c r="J18" s="32"/>
      <c r="K18" s="25"/>
      <c r="L18" s="134"/>
    </row>
    <row r="19" spans="1:12">
      <c r="A19" s="62" t="s">
        <v>16</v>
      </c>
      <c r="B19" s="63"/>
      <c r="C19" s="63"/>
      <c r="D19" s="64">
        <v>11168</v>
      </c>
      <c r="E19" s="65">
        <f>2.326*D19</f>
        <v>25976.768</v>
      </c>
      <c r="F19" s="65"/>
      <c r="G19" s="66">
        <v>10551</v>
      </c>
      <c r="H19" s="65">
        <f>2.326*G19</f>
        <v>24541.626</v>
      </c>
      <c r="I19" s="63"/>
      <c r="J19" s="65"/>
      <c r="K19" s="66"/>
      <c r="L19" s="133"/>
    </row>
    <row r="20" spans="1:12" ht="16" thickBot="1">
      <c r="A20" s="156"/>
      <c r="B20" s="23"/>
      <c r="C20" s="23"/>
      <c r="D20" s="157"/>
      <c r="E20" s="158"/>
      <c r="F20" s="158"/>
      <c r="G20" s="159"/>
      <c r="H20" s="158"/>
      <c r="I20" s="23"/>
      <c r="J20" s="158"/>
      <c r="K20" s="159"/>
      <c r="L20" s="165"/>
    </row>
    <row r="21" spans="1:12" ht="16" thickBot="1">
      <c r="A21" s="22"/>
      <c r="B21" s="23"/>
      <c r="C21" s="23"/>
      <c r="D21" s="35"/>
      <c r="E21" s="32"/>
      <c r="F21" s="36"/>
      <c r="G21" s="192" t="s">
        <v>50</v>
      </c>
      <c r="H21" s="175"/>
      <c r="I21" s="115" t="s">
        <v>51</v>
      </c>
      <c r="J21" s="115"/>
      <c r="K21" s="115"/>
      <c r="L21" s="116"/>
    </row>
    <row r="22" spans="1:12">
      <c r="A22" s="22" t="s">
        <v>17</v>
      </c>
      <c r="B22" s="23"/>
      <c r="C22" s="23"/>
      <c r="D22" s="35"/>
      <c r="E22" s="32"/>
      <c r="F22" s="32"/>
      <c r="G22" s="109"/>
      <c r="H22" s="179"/>
      <c r="I22" s="119" t="s">
        <v>52</v>
      </c>
      <c r="J22" s="118"/>
      <c r="K22" s="119" t="s">
        <v>53</v>
      </c>
      <c r="L22" s="120"/>
    </row>
    <row r="23" spans="1:12">
      <c r="A23" s="37" t="s">
        <v>18</v>
      </c>
      <c r="B23" s="38"/>
      <c r="C23" s="38"/>
      <c r="D23" s="60">
        <v>8.34</v>
      </c>
      <c r="E23" s="40"/>
      <c r="F23" s="40"/>
      <c r="G23" s="41">
        <f>0.86+0.07*D23</f>
        <v>1.4438</v>
      </c>
      <c r="H23" s="137"/>
      <c r="I23" s="41">
        <f>D23-G23</f>
        <v>6.8962000000000003</v>
      </c>
      <c r="J23" s="40"/>
      <c r="K23" s="40">
        <f>D23+G23</f>
        <v>9.7837999999999994</v>
      </c>
      <c r="L23" s="169"/>
    </row>
    <row r="24" spans="1:12">
      <c r="A24" s="44" t="s">
        <v>19</v>
      </c>
      <c r="B24" s="45"/>
      <c r="C24" s="45"/>
      <c r="D24" s="46">
        <v>48.85</v>
      </c>
      <c r="E24" s="47"/>
      <c r="F24" s="47"/>
      <c r="G24" s="50">
        <f>2+0.1*D24</f>
        <v>6.8850000000000007</v>
      </c>
      <c r="H24" s="172"/>
      <c r="I24" s="50">
        <f>D24-G24</f>
        <v>41.965000000000003</v>
      </c>
      <c r="J24" s="47"/>
      <c r="K24" s="47">
        <f>D24+G24</f>
        <v>55.734999999999999</v>
      </c>
      <c r="L24" s="170"/>
    </row>
    <row r="25" spans="1:12">
      <c r="A25" s="44" t="s">
        <v>20</v>
      </c>
      <c r="B25" s="45"/>
      <c r="C25" s="45"/>
      <c r="D25" s="46">
        <v>0.64</v>
      </c>
      <c r="E25" s="47"/>
      <c r="F25" s="47"/>
      <c r="G25" s="50">
        <f>0.05+0.12*D25</f>
        <v>0.1268</v>
      </c>
      <c r="H25" s="172"/>
      <c r="I25" s="50">
        <f>D25-G25</f>
        <v>0.51319999999999999</v>
      </c>
      <c r="J25" s="47"/>
      <c r="K25" s="47">
        <f>D25+G25</f>
        <v>0.76680000000000004</v>
      </c>
      <c r="L25" s="170"/>
    </row>
    <row r="26" spans="1:12">
      <c r="A26" s="44"/>
      <c r="B26" s="45"/>
      <c r="C26" s="45"/>
      <c r="D26" s="46"/>
      <c r="E26" s="47"/>
      <c r="F26" s="47"/>
      <c r="G26" s="50"/>
      <c r="H26" s="172"/>
      <c r="I26" s="50"/>
      <c r="J26" s="47"/>
      <c r="K26" s="47"/>
      <c r="L26" s="170"/>
    </row>
    <row r="27" spans="1:12">
      <c r="A27" s="44" t="s">
        <v>21</v>
      </c>
      <c r="B27" s="45"/>
      <c r="C27" s="45"/>
      <c r="D27" s="46">
        <v>3.09</v>
      </c>
      <c r="E27" s="47"/>
      <c r="F27" s="47"/>
      <c r="G27" s="50">
        <f>0.1+0.17*D27</f>
        <v>0.62529999999999997</v>
      </c>
      <c r="H27" s="172"/>
      <c r="I27" s="50">
        <f>D27-G27</f>
        <v>2.4646999999999997</v>
      </c>
      <c r="J27" s="47"/>
      <c r="K27" s="47">
        <f>D27+G27</f>
        <v>3.7153</v>
      </c>
      <c r="L27" s="170"/>
    </row>
    <row r="28" spans="1:12">
      <c r="A28" s="44" t="s">
        <v>22</v>
      </c>
      <c r="B28" s="45"/>
      <c r="C28" s="45"/>
      <c r="D28" s="46">
        <v>0.33</v>
      </c>
      <c r="E28" s="47"/>
      <c r="F28" s="47"/>
      <c r="G28" s="50">
        <f>0.14+0.3*D28</f>
        <v>0.23900000000000002</v>
      </c>
      <c r="H28" s="172"/>
      <c r="I28" s="50">
        <f>D28-G28</f>
        <v>9.0999999999999998E-2</v>
      </c>
      <c r="J28" s="47"/>
      <c r="K28" s="47">
        <f>D28+G28</f>
        <v>0.56900000000000006</v>
      </c>
      <c r="L28" s="170"/>
    </row>
    <row r="29" spans="1:12">
      <c r="A29" s="44" t="s">
        <v>23</v>
      </c>
      <c r="B29" s="45"/>
      <c r="C29" s="45"/>
      <c r="D29" s="46">
        <v>5.25</v>
      </c>
      <c r="E29" s="47"/>
      <c r="F29" s="47"/>
      <c r="G29" s="50">
        <f>0.23*D29</f>
        <v>1.2075</v>
      </c>
      <c r="H29" s="172"/>
      <c r="I29" s="50">
        <f>D29-G29</f>
        <v>4.0425000000000004</v>
      </c>
      <c r="J29" s="47"/>
      <c r="K29" s="47">
        <f>D29+G29</f>
        <v>6.4574999999999996</v>
      </c>
      <c r="L29" s="170"/>
    </row>
    <row r="30" spans="1:12">
      <c r="A30" s="44" t="s">
        <v>24</v>
      </c>
      <c r="B30" s="45"/>
      <c r="C30" s="45"/>
      <c r="D30" s="46">
        <v>2.84</v>
      </c>
      <c r="E30" s="47"/>
      <c r="F30" s="47"/>
      <c r="G30" s="50">
        <f>0.11+0.11*D30</f>
        <v>0.4224</v>
      </c>
      <c r="H30" s="172"/>
      <c r="I30" s="50">
        <f>D30-G30</f>
        <v>2.4175999999999997</v>
      </c>
      <c r="J30" s="47"/>
      <c r="K30" s="47">
        <f>D30+G30</f>
        <v>3.2624</v>
      </c>
      <c r="L30" s="170"/>
    </row>
    <row r="31" spans="1:12">
      <c r="A31" s="44" t="s">
        <v>25</v>
      </c>
      <c r="B31" s="45"/>
      <c r="C31" s="45"/>
      <c r="D31" s="46">
        <v>18.21</v>
      </c>
      <c r="E31" s="47"/>
      <c r="F31" s="47"/>
      <c r="G31" s="50">
        <f>0.25*D31</f>
        <v>4.5525000000000002</v>
      </c>
      <c r="H31" s="172"/>
      <c r="I31" s="50">
        <f>D31-G31</f>
        <v>13.657500000000001</v>
      </c>
      <c r="J31" s="47"/>
      <c r="K31" s="47">
        <f>D31+G31</f>
        <v>22.762500000000003</v>
      </c>
      <c r="L31" s="170"/>
    </row>
    <row r="32" spans="1:12">
      <c r="A32" s="44"/>
      <c r="B32" s="45"/>
      <c r="C32" s="45"/>
      <c r="D32" s="46"/>
      <c r="E32" s="47"/>
      <c r="F32" s="47"/>
      <c r="G32" s="50"/>
      <c r="H32" s="172"/>
      <c r="I32" s="50"/>
      <c r="J32" s="47"/>
      <c r="K32" s="47"/>
      <c r="L32" s="170"/>
    </row>
    <row r="33" spans="1:12">
      <c r="A33" s="44" t="s">
        <v>26</v>
      </c>
      <c r="B33" s="45"/>
      <c r="C33" s="45"/>
      <c r="D33" s="46">
        <v>5.96</v>
      </c>
      <c r="E33" s="47"/>
      <c r="F33" s="47"/>
      <c r="G33" s="50">
        <f>0.08*D33+0.06</f>
        <v>0.53679999999999994</v>
      </c>
      <c r="H33" s="172"/>
      <c r="I33" s="50">
        <f>D33-G33</f>
        <v>5.4231999999999996</v>
      </c>
      <c r="J33" s="47"/>
      <c r="K33" s="47">
        <f>D33+G33</f>
        <v>6.4968000000000004</v>
      </c>
      <c r="L33" s="170"/>
    </row>
    <row r="34" spans="1:12">
      <c r="A34" s="44" t="s">
        <v>27</v>
      </c>
      <c r="B34" s="45"/>
      <c r="C34" s="45"/>
      <c r="D34" s="46">
        <v>0.01</v>
      </c>
      <c r="E34" s="47"/>
      <c r="F34" s="47"/>
      <c r="G34" s="50">
        <f>0.11+0.31*D34</f>
        <v>0.11310000000000001</v>
      </c>
      <c r="H34" s="172"/>
      <c r="I34" s="50">
        <f>D34-G34</f>
        <v>-0.10310000000000001</v>
      </c>
      <c r="J34" s="47"/>
      <c r="K34" s="47">
        <f>D34+G34</f>
        <v>0.1231</v>
      </c>
      <c r="L34" s="170"/>
    </row>
    <row r="35" spans="1:12">
      <c r="A35" s="44" t="s">
        <v>28</v>
      </c>
      <c r="B35" s="45"/>
      <c r="C35" s="45"/>
      <c r="D35" s="46">
        <v>6.4799999999999898</v>
      </c>
      <c r="E35" s="47"/>
      <c r="F35" s="47"/>
      <c r="G35" s="50"/>
      <c r="H35" s="172"/>
      <c r="I35" s="50">
        <f>100-SUM(I23:I34)</f>
        <v>22.632199999999997</v>
      </c>
      <c r="J35" s="47"/>
      <c r="K35" s="47">
        <f>100-SUM(K23:K34)</f>
        <v>-9.6722000000000037</v>
      </c>
      <c r="L35" s="170"/>
    </row>
    <row r="36" spans="1:12">
      <c r="A36" s="69"/>
      <c r="B36" s="45"/>
      <c r="C36" s="45"/>
      <c r="D36" s="46"/>
      <c r="E36" s="47"/>
      <c r="F36" s="47"/>
      <c r="G36" s="50"/>
      <c r="H36" s="172"/>
      <c r="I36" s="50"/>
      <c r="J36" s="47"/>
      <c r="K36" s="47"/>
      <c r="L36" s="170"/>
    </row>
    <row r="37" spans="1:12">
      <c r="A37" s="52" t="s">
        <v>29</v>
      </c>
      <c r="B37" s="53"/>
      <c r="C37" s="53"/>
      <c r="D37" s="54">
        <v>100</v>
      </c>
      <c r="E37" s="55"/>
      <c r="F37" s="55"/>
      <c r="G37" s="58"/>
      <c r="H37" s="178"/>
      <c r="I37" s="58">
        <f>SUM(I23:I35)</f>
        <v>100</v>
      </c>
      <c r="J37" s="47"/>
      <c r="K37" s="47">
        <f>SUM(K23:K35)</f>
        <v>100</v>
      </c>
      <c r="L37" s="170"/>
    </row>
    <row r="38" spans="1:12">
      <c r="A38" s="22"/>
      <c r="B38" s="23"/>
      <c r="C38" s="23"/>
      <c r="D38" s="34"/>
      <c r="E38" s="136"/>
      <c r="F38" s="136"/>
      <c r="G38" s="25"/>
      <c r="H38" s="136"/>
      <c r="I38" s="23"/>
      <c r="J38" s="47"/>
      <c r="K38" s="172"/>
      <c r="L38" s="171"/>
    </row>
    <row r="39" spans="1:12">
      <c r="A39" s="22" t="s">
        <v>30</v>
      </c>
      <c r="B39" s="23"/>
      <c r="C39" s="23"/>
      <c r="D39" s="34"/>
      <c r="E39" s="138" t="s">
        <v>57</v>
      </c>
      <c r="F39" s="138"/>
      <c r="G39" s="183"/>
      <c r="H39" s="146"/>
      <c r="I39" s="149"/>
      <c r="J39" s="184" t="s">
        <v>57</v>
      </c>
      <c r="K39" s="55"/>
      <c r="L39" s="185" t="s">
        <v>57</v>
      </c>
    </row>
    <row r="40" spans="1:12">
      <c r="A40" s="37" t="s">
        <v>31</v>
      </c>
      <c r="B40" s="38" t="s">
        <v>32</v>
      </c>
      <c r="C40" s="38"/>
      <c r="D40" s="105">
        <v>2175</v>
      </c>
      <c r="E40" s="139">
        <f>(5/9*(D40-32))+273.15</f>
        <v>1463.7055555555557</v>
      </c>
      <c r="F40" s="139"/>
      <c r="G40" s="180">
        <v>125</v>
      </c>
      <c r="H40" s="143"/>
      <c r="I40" s="180">
        <f>D40-G40</f>
        <v>2050</v>
      </c>
      <c r="J40" s="162">
        <f>(5/9*(I40-32))+273.15</f>
        <v>1394.2611111111109</v>
      </c>
      <c r="K40" s="181">
        <f>D40+G40</f>
        <v>2300</v>
      </c>
      <c r="L40" s="182">
        <f>(5/9*(K40-32))+273.15</f>
        <v>1533.15</v>
      </c>
    </row>
    <row r="41" spans="1:12">
      <c r="A41" s="44" t="s">
        <v>33</v>
      </c>
      <c r="B41" s="45" t="s">
        <v>32</v>
      </c>
      <c r="C41" s="45"/>
      <c r="D41" s="106">
        <v>2232</v>
      </c>
      <c r="E41" s="139">
        <f t="shared" ref="E41:E43" si="2">(5/9*(D41-32))+273.15</f>
        <v>1495.3722222222223</v>
      </c>
      <c r="F41" s="162"/>
      <c r="G41" s="77">
        <v>100</v>
      </c>
      <c r="H41" s="143"/>
      <c r="I41" s="72">
        <f>D41-G41</f>
        <v>2132</v>
      </c>
      <c r="J41" s="173">
        <f>(5/9*(I41-32))+273.15</f>
        <v>1439.8166666666666</v>
      </c>
      <c r="K41" s="75">
        <f>D41+G41</f>
        <v>2332</v>
      </c>
      <c r="L41" s="78">
        <f>(5/9*(K41-32))+273.15</f>
        <v>1550.9277777777779</v>
      </c>
    </row>
    <row r="42" spans="1:12">
      <c r="A42" s="44" t="s">
        <v>34</v>
      </c>
      <c r="B42" s="45" t="s">
        <v>32</v>
      </c>
      <c r="C42" s="45"/>
      <c r="D42" s="106">
        <v>2346</v>
      </c>
      <c r="E42" s="139">
        <f t="shared" si="2"/>
        <v>1558.7055555555557</v>
      </c>
      <c r="F42" s="162"/>
      <c r="G42" s="77">
        <v>100</v>
      </c>
      <c r="H42" s="143"/>
      <c r="I42" s="72">
        <f>D42-G42</f>
        <v>2246</v>
      </c>
      <c r="J42" s="173">
        <f>(5/9*(I42-32))+273.15</f>
        <v>1503.15</v>
      </c>
      <c r="K42" s="75">
        <f>D42+G42</f>
        <v>2446</v>
      </c>
      <c r="L42" s="78">
        <f>(5/9*(K42-32))+273.15</f>
        <v>1614.2611111111109</v>
      </c>
    </row>
    <row r="43" spans="1:12">
      <c r="A43" s="52" t="s">
        <v>35</v>
      </c>
      <c r="B43" s="53" t="s">
        <v>32</v>
      </c>
      <c r="C43" s="53"/>
      <c r="D43" s="107">
        <v>2371</v>
      </c>
      <c r="E43" s="155">
        <f t="shared" si="2"/>
        <v>1572.5944444444444</v>
      </c>
      <c r="F43" s="163"/>
      <c r="G43" s="81">
        <v>150</v>
      </c>
      <c r="H43" s="146"/>
      <c r="I43" s="187">
        <f>D43-G43</f>
        <v>2221</v>
      </c>
      <c r="J43" s="188">
        <f>(5/9*(I43-32))+273.15</f>
        <v>1489.2611111111109</v>
      </c>
      <c r="K43" s="80">
        <f>D43+G43</f>
        <v>2521</v>
      </c>
      <c r="L43" s="83">
        <f>(5/9*(K43-32))+273.15</f>
        <v>1655.9277777777779</v>
      </c>
    </row>
    <row r="44" spans="1:12">
      <c r="A44" s="22"/>
      <c r="B44" s="23"/>
      <c r="C44" s="23"/>
      <c r="D44" s="34"/>
      <c r="E44" s="136"/>
      <c r="F44" s="136"/>
      <c r="G44" s="25"/>
      <c r="H44" s="136"/>
      <c r="I44" s="23"/>
      <c r="J44" s="148"/>
      <c r="K44" s="142"/>
      <c r="L44" s="186"/>
    </row>
    <row r="45" spans="1:12">
      <c r="A45" s="22" t="s">
        <v>42</v>
      </c>
      <c r="B45" s="23"/>
      <c r="C45" s="23"/>
      <c r="D45" s="34"/>
      <c r="E45" s="136"/>
      <c r="F45" s="136"/>
      <c r="G45" s="25"/>
      <c r="H45" s="136"/>
      <c r="I45" s="190"/>
      <c r="J45" s="55"/>
      <c r="K45" s="178"/>
      <c r="L45" s="191"/>
    </row>
    <row r="46" spans="1:12">
      <c r="A46" s="37" t="s">
        <v>41</v>
      </c>
      <c r="B46" s="38"/>
      <c r="C46" s="38"/>
      <c r="D46" s="60">
        <v>0.51392011066920285</v>
      </c>
      <c r="E46" s="40"/>
      <c r="F46" s="40"/>
      <c r="G46" s="41"/>
      <c r="H46" s="40"/>
      <c r="I46" s="150">
        <f>SUM(I27:I31)/SUM(I23:I25)</f>
        <v>0.45921165624291133</v>
      </c>
      <c r="J46" s="148"/>
      <c r="K46" s="148">
        <f>SUM(K27:K31)/SUM(K23:K25)</f>
        <v>0.55467099943275766</v>
      </c>
      <c r="L46" s="189"/>
    </row>
    <row r="47" spans="1:12">
      <c r="A47" s="44" t="s">
        <v>40</v>
      </c>
      <c r="B47" s="45"/>
      <c r="C47" s="45"/>
      <c r="D47" s="46" t="s">
        <v>59</v>
      </c>
      <c r="E47" s="47"/>
      <c r="F47" s="47"/>
      <c r="G47" s="50"/>
      <c r="H47" s="47"/>
      <c r="I47" s="50" t="str">
        <f>IF(I31+I30&gt;I29,"Lignitic","Bituminous")</f>
        <v>Lignitic</v>
      </c>
      <c r="J47" s="47"/>
      <c r="K47" s="47" t="str">
        <f>IF(K31+K30&gt;K29,"Lignitic","Bituminous")</f>
        <v>Lignitic</v>
      </c>
      <c r="L47" s="51"/>
    </row>
    <row r="48" spans="1:12">
      <c r="A48" s="44" t="s">
        <v>38</v>
      </c>
      <c r="B48" s="45"/>
      <c r="C48" s="45"/>
      <c r="D48" s="46">
        <v>0.18501123984091303</v>
      </c>
      <c r="E48" s="47"/>
      <c r="F48" s="47"/>
      <c r="G48" s="50"/>
      <c r="H48" s="47"/>
      <c r="I48" s="50">
        <f>I46*I14</f>
        <v>0</v>
      </c>
      <c r="J48" s="47"/>
      <c r="K48" s="47">
        <f>K46*K14</f>
        <v>0</v>
      </c>
      <c r="L48" s="51"/>
    </row>
    <row r="49" spans="1:12">
      <c r="A49" s="44" t="s">
        <v>39</v>
      </c>
      <c r="B49" s="45"/>
      <c r="C49" s="45"/>
      <c r="D49" s="46">
        <v>3.09</v>
      </c>
      <c r="E49" s="47"/>
      <c r="F49" s="47"/>
      <c r="G49" s="50"/>
      <c r="H49" s="47"/>
      <c r="I49" s="50">
        <f>I27</f>
        <v>2.4646999999999997</v>
      </c>
      <c r="J49" s="47"/>
      <c r="K49" s="47">
        <f>K27</f>
        <v>3.7153</v>
      </c>
      <c r="L49" s="51"/>
    </row>
    <row r="50" spans="1:12" ht="15" customHeight="1">
      <c r="A50" s="121" t="s">
        <v>45</v>
      </c>
      <c r="B50" s="45" t="s">
        <v>43</v>
      </c>
      <c r="C50" s="45"/>
      <c r="D50" s="106">
        <v>2301.5</v>
      </c>
      <c r="E50" s="75"/>
      <c r="F50" s="75"/>
      <c r="G50" s="77"/>
      <c r="H50" s="75"/>
      <c r="I50" s="77">
        <f>(I41+I43)/2</f>
        <v>2176.5</v>
      </c>
      <c r="J50" s="173"/>
      <c r="K50" s="75">
        <f>(K41+K43)/2</f>
        <v>2426.5</v>
      </c>
      <c r="L50" s="78"/>
    </row>
    <row r="51" spans="1:12">
      <c r="A51" s="122"/>
      <c r="B51" s="45" t="s">
        <v>44</v>
      </c>
      <c r="C51" s="45"/>
      <c r="D51" s="106">
        <v>1260.8333333333333</v>
      </c>
      <c r="E51" s="75"/>
      <c r="F51" s="75"/>
      <c r="G51" s="77"/>
      <c r="H51" s="75"/>
      <c r="I51" s="77">
        <f>(I50-32)/1.8</f>
        <v>1191.3888888888889</v>
      </c>
      <c r="J51" s="174"/>
      <c r="K51" s="75">
        <f>(K50-32)/1.8</f>
        <v>1330.2777777777778</v>
      </c>
      <c r="L51" s="51"/>
    </row>
    <row r="52" spans="1:12" ht="16" thickBot="1">
      <c r="A52" s="123"/>
      <c r="B52" s="85" t="s">
        <v>57</v>
      </c>
      <c r="C52" s="86"/>
      <c r="D52" s="108">
        <f>D51+273.15</f>
        <v>1533.9833333333331</v>
      </c>
      <c r="E52" s="140"/>
      <c r="F52" s="140"/>
      <c r="G52" s="91"/>
      <c r="H52" s="140"/>
      <c r="I52" s="91">
        <f>(5/9*(I50-32)+273.15)</f>
        <v>1464.5388888888888</v>
      </c>
      <c r="J52" s="88"/>
      <c r="K52" s="140">
        <f>(5/9*(K50-32)+273.15)</f>
        <v>1603.4277777777779</v>
      </c>
      <c r="L52" s="92"/>
    </row>
    <row r="53" spans="1:12">
      <c r="D53" s="3"/>
      <c r="E53" s="3"/>
      <c r="F53" s="3"/>
      <c r="G53" s="3"/>
      <c r="H53" s="3"/>
      <c r="J53" s="3"/>
      <c r="K53" s="4"/>
      <c r="L53" s="3"/>
    </row>
  </sheetData>
  <mergeCells count="6">
    <mergeCell ref="I22:J22"/>
    <mergeCell ref="K22:L22"/>
    <mergeCell ref="D1:L1"/>
    <mergeCell ref="I21:L21"/>
    <mergeCell ref="A1:C2"/>
    <mergeCell ref="A50:A5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2"/>
  <sheetViews>
    <sheetView workbookViewId="0">
      <selection activeCell="E54" sqref="E54"/>
    </sheetView>
  </sheetViews>
  <sheetFormatPr baseColWidth="10" defaultColWidth="8.83203125" defaultRowHeight="15"/>
  <cols>
    <col min="1" max="1" width="18.5" customWidth="1"/>
    <col min="2" max="3" width="5.5" customWidth="1"/>
    <col min="4" max="4" width="14.6640625" style="4" customWidth="1"/>
    <col min="5" max="5" width="10.1640625" style="4" customWidth="1"/>
    <col min="6" max="6" width="3.1640625" customWidth="1"/>
    <col min="7" max="7" width="10.83203125" style="3" customWidth="1"/>
    <col min="8" max="8" width="3.1640625" style="4" customWidth="1"/>
    <col min="9" max="9" width="10" style="3" customWidth="1"/>
    <col min="10" max="10" width="9.1640625" style="3" customWidth="1"/>
    <col min="11" max="11" width="10" style="3" customWidth="1"/>
    <col min="12" max="12" width="8.83203125" style="4"/>
  </cols>
  <sheetData>
    <row r="1" spans="1:14" ht="17" thickBot="1">
      <c r="A1" s="124" t="s">
        <v>1</v>
      </c>
      <c r="B1" s="125"/>
      <c r="C1" s="126"/>
      <c r="D1" s="111" t="s">
        <v>63</v>
      </c>
      <c r="E1" s="112"/>
      <c r="F1" s="112"/>
      <c r="G1" s="112"/>
      <c r="H1" s="112"/>
      <c r="I1" s="112"/>
      <c r="J1" s="112"/>
      <c r="K1" s="112"/>
      <c r="L1" s="113"/>
    </row>
    <row r="2" spans="1:14" ht="16" thickBot="1">
      <c r="A2" s="127"/>
      <c r="B2" s="128"/>
      <c r="C2" s="129"/>
      <c r="D2" s="33" t="s">
        <v>55</v>
      </c>
      <c r="E2" s="135"/>
      <c r="F2" s="29"/>
      <c r="G2" s="31" t="s">
        <v>50</v>
      </c>
      <c r="H2" s="30"/>
      <c r="I2" s="114" t="s">
        <v>51</v>
      </c>
      <c r="J2" s="115"/>
      <c r="K2" s="115"/>
      <c r="L2" s="116"/>
    </row>
    <row r="3" spans="1:14">
      <c r="A3" s="22" t="s">
        <v>3</v>
      </c>
      <c r="B3" s="23"/>
      <c r="C3" s="23"/>
      <c r="D3" s="34"/>
      <c r="E3" s="136"/>
      <c r="F3" s="23"/>
      <c r="G3" s="32"/>
      <c r="H3" s="25"/>
      <c r="I3" s="117" t="s">
        <v>52</v>
      </c>
      <c r="J3" s="118"/>
      <c r="K3" s="119" t="s">
        <v>53</v>
      </c>
      <c r="L3" s="120"/>
    </row>
    <row r="4" spans="1:14">
      <c r="A4" s="37" t="s">
        <v>4</v>
      </c>
      <c r="B4" s="38"/>
      <c r="C4" s="38"/>
      <c r="D4" s="39">
        <v>12.14</v>
      </c>
      <c r="E4" s="137"/>
      <c r="F4" s="38"/>
      <c r="G4" s="40">
        <f>0.23+0.02*D4</f>
        <v>0.4728</v>
      </c>
      <c r="H4" s="41"/>
      <c r="I4" s="42">
        <f>D4-G4</f>
        <v>11.667200000000001</v>
      </c>
      <c r="J4" s="93"/>
      <c r="K4" s="41">
        <f>D4+G4</f>
        <v>12.6128</v>
      </c>
      <c r="L4" s="43"/>
    </row>
    <row r="5" spans="1:14">
      <c r="A5" s="44" t="s">
        <v>5</v>
      </c>
      <c r="B5" s="45"/>
      <c r="C5" s="45"/>
      <c r="D5" s="46">
        <v>36.15</v>
      </c>
      <c r="E5" s="47"/>
      <c r="F5" s="45"/>
      <c r="G5" s="47">
        <v>1</v>
      </c>
      <c r="H5" s="48"/>
      <c r="I5" s="49">
        <f>D5-G5</f>
        <v>35.15</v>
      </c>
      <c r="J5" s="94"/>
      <c r="K5" s="50">
        <f>D5+G5</f>
        <v>37.15</v>
      </c>
      <c r="L5" s="51"/>
    </row>
    <row r="6" spans="1:14">
      <c r="A6" s="44" t="s">
        <v>6</v>
      </c>
      <c r="B6" s="45"/>
      <c r="C6" s="45"/>
      <c r="D6" s="46">
        <v>7.86</v>
      </c>
      <c r="E6" s="47"/>
      <c r="F6" s="45"/>
      <c r="G6" s="47">
        <v>0.49</v>
      </c>
      <c r="H6" s="48"/>
      <c r="I6" s="49">
        <f>D6-G6</f>
        <v>7.37</v>
      </c>
      <c r="J6" s="94"/>
      <c r="K6" s="50">
        <f>D6+G6</f>
        <v>8.35</v>
      </c>
      <c r="L6" s="51"/>
    </row>
    <row r="7" spans="1:14">
      <c r="A7" s="52" t="s">
        <v>7</v>
      </c>
      <c r="B7" s="53"/>
      <c r="C7" s="53"/>
      <c r="D7" s="54">
        <v>43.85</v>
      </c>
      <c r="E7" s="55"/>
      <c r="F7" s="53"/>
      <c r="G7" s="55">
        <f>SUM(G4:G6)</f>
        <v>1.9627999999999999</v>
      </c>
      <c r="H7" s="56"/>
      <c r="I7" s="57">
        <f>D7-G7</f>
        <v>41.8872</v>
      </c>
      <c r="J7" s="95"/>
      <c r="K7" s="58">
        <f>D7+G7</f>
        <v>45.812800000000003</v>
      </c>
      <c r="L7" s="59"/>
      <c r="M7" s="21"/>
      <c r="N7" s="21"/>
    </row>
    <row r="8" spans="1:14">
      <c r="A8" s="22"/>
      <c r="B8" s="23"/>
      <c r="C8" s="23"/>
      <c r="D8" s="34"/>
      <c r="E8" s="136"/>
      <c r="F8" s="23"/>
      <c r="G8" s="32"/>
      <c r="H8" s="25"/>
      <c r="I8" s="36"/>
      <c r="J8" s="96"/>
      <c r="K8" s="24"/>
      <c r="L8" s="26"/>
    </row>
    <row r="9" spans="1:14">
      <c r="A9" s="22" t="s">
        <v>8</v>
      </c>
      <c r="B9" s="23"/>
      <c r="C9" s="23"/>
      <c r="D9" s="34"/>
      <c r="E9" s="136"/>
      <c r="F9" s="23"/>
      <c r="G9" s="32"/>
      <c r="H9" s="25"/>
      <c r="I9" s="36"/>
      <c r="J9" s="96"/>
      <c r="K9" s="24"/>
      <c r="L9" s="26"/>
    </row>
    <row r="10" spans="1:14">
      <c r="A10" s="37" t="s">
        <v>9</v>
      </c>
      <c r="B10" s="38"/>
      <c r="C10" s="38"/>
      <c r="D10" s="60">
        <v>71.67</v>
      </c>
      <c r="E10" s="40"/>
      <c r="F10" s="38"/>
      <c r="G10" s="40">
        <v>1</v>
      </c>
      <c r="H10" s="61"/>
      <c r="I10" s="42">
        <f t="shared" ref="I10:I16" si="0">D10-G10</f>
        <v>70.67</v>
      </c>
      <c r="J10" s="93"/>
      <c r="K10" s="41">
        <f t="shared" ref="K10:K16" si="1">D10+G10</f>
        <v>72.67</v>
      </c>
      <c r="L10" s="43"/>
    </row>
    <row r="11" spans="1:14">
      <c r="A11" s="44" t="s">
        <v>10</v>
      </c>
      <c r="B11" s="45"/>
      <c r="C11" s="45"/>
      <c r="D11" s="46">
        <v>5.01</v>
      </c>
      <c r="E11" s="47"/>
      <c r="F11" s="45"/>
      <c r="G11" s="47">
        <v>0.25</v>
      </c>
      <c r="H11" s="48"/>
      <c r="I11" s="49">
        <f t="shared" si="0"/>
        <v>4.76</v>
      </c>
      <c r="J11" s="94"/>
      <c r="K11" s="50">
        <f t="shared" si="1"/>
        <v>5.26</v>
      </c>
      <c r="L11" s="51"/>
    </row>
    <row r="12" spans="1:14">
      <c r="A12" s="44" t="s">
        <v>11</v>
      </c>
      <c r="B12" s="45"/>
      <c r="C12" s="45"/>
      <c r="D12" s="46">
        <v>1.54</v>
      </c>
      <c r="E12" s="47"/>
      <c r="F12" s="45"/>
      <c r="G12" s="47">
        <v>0.15</v>
      </c>
      <c r="H12" s="48"/>
      <c r="I12" s="49">
        <f t="shared" si="0"/>
        <v>1.3900000000000001</v>
      </c>
      <c r="J12" s="94"/>
      <c r="K12" s="50">
        <f t="shared" si="1"/>
        <v>1.69</v>
      </c>
      <c r="L12" s="51"/>
    </row>
    <row r="13" spans="1:14">
      <c r="A13" s="44" t="s">
        <v>12</v>
      </c>
      <c r="B13" s="45"/>
      <c r="C13" s="45"/>
      <c r="D13" s="46">
        <v>3.41</v>
      </c>
      <c r="E13" s="47"/>
      <c r="F13" s="45"/>
      <c r="G13" s="47">
        <v>0.2</v>
      </c>
      <c r="H13" s="48"/>
      <c r="I13" s="49">
        <f t="shared" si="0"/>
        <v>3.21</v>
      </c>
      <c r="J13" s="94"/>
      <c r="K13" s="50">
        <f t="shared" si="1"/>
        <v>3.6100000000000003</v>
      </c>
      <c r="L13" s="51"/>
    </row>
    <row r="14" spans="1:14">
      <c r="A14" s="44" t="s">
        <v>13</v>
      </c>
      <c r="B14" s="45"/>
      <c r="C14" s="45"/>
      <c r="D14" s="46">
        <v>9.4239494650580475</v>
      </c>
      <c r="E14" s="47"/>
      <c r="F14" s="45"/>
      <c r="G14" s="47">
        <f>SUM(G10:G13,G16)</f>
        <v>2.0699999999999998</v>
      </c>
      <c r="H14" s="48"/>
      <c r="I14" s="49">
        <f t="shared" si="0"/>
        <v>7.3539494650580473</v>
      </c>
      <c r="J14" s="94"/>
      <c r="K14" s="50">
        <f t="shared" si="1"/>
        <v>11.493949465058048</v>
      </c>
      <c r="L14" s="51"/>
    </row>
    <row r="15" spans="1:14">
      <c r="A15" s="44" t="s">
        <v>14</v>
      </c>
      <c r="B15" s="45"/>
      <c r="C15" s="45"/>
      <c r="D15" s="46">
        <v>0</v>
      </c>
      <c r="E15" s="47"/>
      <c r="F15" s="45"/>
      <c r="G15" s="47">
        <v>0</v>
      </c>
      <c r="H15" s="48"/>
      <c r="I15" s="49">
        <f t="shared" si="0"/>
        <v>0</v>
      </c>
      <c r="J15" s="94"/>
      <c r="K15" s="50">
        <f t="shared" si="1"/>
        <v>0</v>
      </c>
      <c r="L15" s="51"/>
    </row>
    <row r="16" spans="1:14">
      <c r="A16" s="52" t="s">
        <v>6</v>
      </c>
      <c r="B16" s="53"/>
      <c r="C16" s="53"/>
      <c r="D16" s="54">
        <v>8.9460505349419535</v>
      </c>
      <c r="E16" s="55"/>
      <c r="F16" s="53"/>
      <c r="G16" s="55">
        <v>0.47</v>
      </c>
      <c r="H16" s="56"/>
      <c r="I16" s="57">
        <f t="shared" si="0"/>
        <v>8.4760505349419528</v>
      </c>
      <c r="J16" s="95"/>
      <c r="K16" s="58">
        <f t="shared" si="1"/>
        <v>9.4160505349419541</v>
      </c>
      <c r="L16" s="59"/>
    </row>
    <row r="17" spans="1:12">
      <c r="A17" s="22"/>
      <c r="B17" s="23"/>
      <c r="C17" s="23"/>
      <c r="D17" s="34"/>
      <c r="E17" s="136"/>
      <c r="F17" s="23"/>
      <c r="G17" s="32"/>
      <c r="H17" s="25"/>
      <c r="I17" s="36"/>
      <c r="J17" s="96"/>
      <c r="K17" s="24"/>
      <c r="L17" s="26"/>
    </row>
    <row r="18" spans="1:12">
      <c r="A18" s="22" t="s">
        <v>15</v>
      </c>
      <c r="B18" s="23"/>
      <c r="C18" s="23"/>
      <c r="D18" s="34"/>
      <c r="E18" s="136"/>
      <c r="F18" s="23"/>
      <c r="G18" s="32"/>
      <c r="H18" s="25"/>
      <c r="I18" s="36"/>
      <c r="J18" s="97" t="s">
        <v>56</v>
      </c>
      <c r="K18" s="24"/>
      <c r="L18" s="27" t="s">
        <v>56</v>
      </c>
    </row>
    <row r="19" spans="1:12">
      <c r="A19" s="62" t="s">
        <v>16</v>
      </c>
      <c r="B19" s="63"/>
      <c r="C19" s="63"/>
      <c r="D19" s="64">
        <v>11496</v>
      </c>
      <c r="E19" s="65"/>
      <c r="F19" s="63"/>
      <c r="G19" s="65">
        <v>110</v>
      </c>
      <c r="H19" s="66"/>
      <c r="I19" s="67">
        <f>D19-G19</f>
        <v>11386</v>
      </c>
      <c r="J19" s="98">
        <f>2.326*I19</f>
        <v>26483.835999999999</v>
      </c>
      <c r="K19" s="66">
        <f>D19+G19</f>
        <v>11606</v>
      </c>
      <c r="L19" s="68">
        <f>2.326*K19</f>
        <v>26995.556</v>
      </c>
    </row>
    <row r="20" spans="1:12">
      <c r="A20" s="22"/>
      <c r="B20" s="23"/>
      <c r="C20" s="23"/>
      <c r="D20" s="35"/>
      <c r="E20" s="32"/>
      <c r="F20" s="23"/>
      <c r="G20" s="32"/>
      <c r="H20" s="25"/>
      <c r="I20" s="36"/>
      <c r="J20" s="96"/>
      <c r="K20" s="24"/>
      <c r="L20" s="26"/>
    </row>
    <row r="21" spans="1:12">
      <c r="A21" s="22" t="s">
        <v>17</v>
      </c>
      <c r="B21" s="23"/>
      <c r="C21" s="23"/>
      <c r="D21" s="35"/>
      <c r="E21" s="32"/>
      <c r="F21" s="23"/>
      <c r="G21" s="32"/>
      <c r="H21" s="25"/>
      <c r="I21" s="36"/>
      <c r="J21" s="96"/>
      <c r="K21" s="24"/>
      <c r="L21" s="26"/>
    </row>
    <row r="22" spans="1:12">
      <c r="A22" s="37" t="s">
        <v>18</v>
      </c>
      <c r="B22" s="38"/>
      <c r="C22" s="38"/>
      <c r="D22" s="60">
        <v>17.59</v>
      </c>
      <c r="E22" s="40"/>
      <c r="F22" s="38"/>
      <c r="G22" s="40">
        <f>0.86+0.07*D22</f>
        <v>2.0912999999999999</v>
      </c>
      <c r="H22" s="61"/>
      <c r="I22" s="42">
        <f t="shared" ref="I22:I33" si="2">D22-G22</f>
        <v>15.498699999999999</v>
      </c>
      <c r="J22" s="93"/>
      <c r="K22" s="41">
        <f>D22+G22</f>
        <v>19.6813</v>
      </c>
      <c r="L22" s="43"/>
    </row>
    <row r="23" spans="1:12">
      <c r="A23" s="44" t="s">
        <v>19</v>
      </c>
      <c r="B23" s="45"/>
      <c r="C23" s="45"/>
      <c r="D23" s="46">
        <v>45.56</v>
      </c>
      <c r="E23" s="47"/>
      <c r="F23" s="45"/>
      <c r="G23" s="47">
        <f>2+0.1*D23</f>
        <v>6.556</v>
      </c>
      <c r="H23" s="48"/>
      <c r="I23" s="49">
        <f t="shared" si="2"/>
        <v>39.004000000000005</v>
      </c>
      <c r="J23" s="94"/>
      <c r="K23" s="50">
        <f>D23+G23</f>
        <v>52.116</v>
      </c>
      <c r="L23" s="51"/>
    </row>
    <row r="24" spans="1:12">
      <c r="A24" s="44" t="s">
        <v>20</v>
      </c>
      <c r="B24" s="45"/>
      <c r="C24" s="45"/>
      <c r="D24" s="46">
        <v>1.08</v>
      </c>
      <c r="E24" s="47"/>
      <c r="F24" s="45"/>
      <c r="G24" s="47">
        <f>0.05+0.12*D24</f>
        <v>0.17959999999999998</v>
      </c>
      <c r="H24" s="48"/>
      <c r="I24" s="49">
        <f t="shared" si="2"/>
        <v>0.90040000000000009</v>
      </c>
      <c r="J24" s="94"/>
      <c r="K24" s="50">
        <f>D24+G24</f>
        <v>1.2596000000000001</v>
      </c>
      <c r="L24" s="51"/>
    </row>
    <row r="25" spans="1:12">
      <c r="A25" s="44"/>
      <c r="B25" s="45"/>
      <c r="C25" s="45"/>
      <c r="D25" s="46"/>
      <c r="E25" s="47"/>
      <c r="F25" s="45"/>
      <c r="G25" s="47"/>
      <c r="H25" s="48"/>
      <c r="I25" s="49"/>
      <c r="J25" s="94"/>
      <c r="K25" s="50"/>
      <c r="L25" s="51"/>
    </row>
    <row r="26" spans="1:12">
      <c r="A26" s="44" t="s">
        <v>21</v>
      </c>
      <c r="B26" s="45"/>
      <c r="C26" s="45"/>
      <c r="D26" s="46">
        <v>0.6</v>
      </c>
      <c r="E26" s="47"/>
      <c r="F26" s="45"/>
      <c r="G26" s="47">
        <f>0.1+0.17*D26</f>
        <v>0.20200000000000001</v>
      </c>
      <c r="H26" s="48"/>
      <c r="I26" s="49">
        <f t="shared" si="2"/>
        <v>0.39799999999999996</v>
      </c>
      <c r="J26" s="94"/>
      <c r="K26" s="50">
        <f>D26+G26</f>
        <v>0.80200000000000005</v>
      </c>
      <c r="L26" s="51"/>
    </row>
    <row r="27" spans="1:12">
      <c r="A27" s="44" t="s">
        <v>22</v>
      </c>
      <c r="B27" s="45"/>
      <c r="C27" s="45"/>
      <c r="D27" s="46">
        <v>2.25</v>
      </c>
      <c r="E27" s="47"/>
      <c r="F27" s="45"/>
      <c r="G27" s="47">
        <f>0.14+0.3*D27</f>
        <v>0.81499999999999995</v>
      </c>
      <c r="H27" s="48"/>
      <c r="I27" s="49">
        <f t="shared" si="2"/>
        <v>1.4350000000000001</v>
      </c>
      <c r="J27" s="94"/>
      <c r="K27" s="50">
        <f>D27+G27</f>
        <v>3.0649999999999999</v>
      </c>
      <c r="L27" s="51"/>
    </row>
    <row r="28" spans="1:12">
      <c r="A28" s="44" t="s">
        <v>23</v>
      </c>
      <c r="B28" s="45"/>
      <c r="C28" s="45"/>
      <c r="D28" s="46">
        <v>20.68</v>
      </c>
      <c r="E28" s="47"/>
      <c r="F28" s="45"/>
      <c r="G28" s="47">
        <f>0.23*D28</f>
        <v>4.7564000000000002</v>
      </c>
      <c r="H28" s="48"/>
      <c r="I28" s="49">
        <f t="shared" si="2"/>
        <v>15.9236</v>
      </c>
      <c r="J28" s="94"/>
      <c r="K28" s="50">
        <f>D28+G28</f>
        <v>25.436399999999999</v>
      </c>
      <c r="L28" s="51"/>
    </row>
    <row r="29" spans="1:12">
      <c r="A29" s="44" t="s">
        <v>24</v>
      </c>
      <c r="B29" s="45"/>
      <c r="C29" s="45"/>
      <c r="D29" s="46">
        <v>0.81</v>
      </c>
      <c r="E29" s="47"/>
      <c r="F29" s="45"/>
      <c r="G29" s="47">
        <f>0.11+0.11*D29</f>
        <v>0.1991</v>
      </c>
      <c r="H29" s="48"/>
      <c r="I29" s="49">
        <f t="shared" si="2"/>
        <v>0.6109</v>
      </c>
      <c r="J29" s="94"/>
      <c r="K29" s="50">
        <f>D29+G29</f>
        <v>1.0091000000000001</v>
      </c>
      <c r="L29" s="51"/>
    </row>
    <row r="30" spans="1:12">
      <c r="A30" s="44" t="s">
        <v>25</v>
      </c>
      <c r="B30" s="45"/>
      <c r="C30" s="45"/>
      <c r="D30" s="46">
        <v>4.9000000000000004</v>
      </c>
      <c r="E30" s="47"/>
      <c r="F30" s="45"/>
      <c r="G30" s="47">
        <f>0.25*D30</f>
        <v>1.2250000000000001</v>
      </c>
      <c r="H30" s="48"/>
      <c r="I30" s="49">
        <f t="shared" si="2"/>
        <v>3.6750000000000003</v>
      </c>
      <c r="J30" s="94"/>
      <c r="K30" s="50">
        <f>D30+G30</f>
        <v>6.125</v>
      </c>
      <c r="L30" s="51"/>
    </row>
    <row r="31" spans="1:12">
      <c r="A31" s="44"/>
      <c r="B31" s="45"/>
      <c r="C31" s="45"/>
      <c r="D31" s="46"/>
      <c r="E31" s="47"/>
      <c r="F31" s="45"/>
      <c r="G31" s="47"/>
      <c r="H31" s="48"/>
      <c r="I31" s="49"/>
      <c r="J31" s="94"/>
      <c r="K31" s="50"/>
      <c r="L31" s="51"/>
    </row>
    <row r="32" spans="1:12">
      <c r="A32" s="44" t="s">
        <v>26</v>
      </c>
      <c r="B32" s="45"/>
      <c r="C32" s="45"/>
      <c r="D32" s="46">
        <v>2.4500000000000002</v>
      </c>
      <c r="E32" s="47"/>
      <c r="F32" s="45"/>
      <c r="G32" s="47">
        <f>0.08*D32+0.06</f>
        <v>0.25600000000000001</v>
      </c>
      <c r="H32" s="48"/>
      <c r="I32" s="49">
        <f t="shared" si="2"/>
        <v>2.194</v>
      </c>
      <c r="J32" s="94"/>
      <c r="K32" s="50">
        <f>D32+G32</f>
        <v>2.7060000000000004</v>
      </c>
      <c r="L32" s="51"/>
    </row>
    <row r="33" spans="1:19">
      <c r="A33" s="44" t="s">
        <v>27</v>
      </c>
      <c r="B33" s="45"/>
      <c r="C33" s="45"/>
      <c r="D33" s="46">
        <v>0.19</v>
      </c>
      <c r="E33" s="47"/>
      <c r="F33" s="45"/>
      <c r="G33" s="47">
        <f>0.11+0.31*D33</f>
        <v>0.16889999999999999</v>
      </c>
      <c r="H33" s="48"/>
      <c r="I33" s="49">
        <f t="shared" si="2"/>
        <v>2.1100000000000008E-2</v>
      </c>
      <c r="J33" s="94"/>
      <c r="K33" s="50">
        <f>D33+G33</f>
        <v>0.3589</v>
      </c>
      <c r="L33" s="51"/>
    </row>
    <row r="34" spans="1:19">
      <c r="A34" s="44" t="s">
        <v>28</v>
      </c>
      <c r="B34" s="45"/>
      <c r="C34" s="45"/>
      <c r="D34" s="46">
        <v>3.8900000000000006</v>
      </c>
      <c r="E34" s="47"/>
      <c r="F34" s="45"/>
      <c r="G34" s="47"/>
      <c r="H34" s="48"/>
      <c r="I34" s="49">
        <f>100-SUM(I22:I33)</f>
        <v>20.33929999999998</v>
      </c>
      <c r="J34" s="94"/>
      <c r="K34" s="50">
        <f>100-SUM(K22:K33)</f>
        <v>-12.559300000000036</v>
      </c>
      <c r="L34" s="51"/>
    </row>
    <row r="35" spans="1:19">
      <c r="A35" s="69"/>
      <c r="B35" s="45"/>
      <c r="C35" s="45"/>
      <c r="D35" s="46"/>
      <c r="E35" s="47"/>
      <c r="F35" s="45"/>
      <c r="G35" s="47"/>
      <c r="H35" s="48"/>
      <c r="I35" s="49"/>
      <c r="J35" s="94"/>
      <c r="K35" s="50"/>
      <c r="L35" s="51"/>
    </row>
    <row r="36" spans="1:19">
      <c r="A36" s="52" t="s">
        <v>29</v>
      </c>
      <c r="B36" s="53"/>
      <c r="C36" s="53"/>
      <c r="D36" s="54">
        <v>100</v>
      </c>
      <c r="E36" s="55"/>
      <c r="F36" s="53"/>
      <c r="G36" s="55"/>
      <c r="H36" s="56"/>
      <c r="I36" s="57">
        <f>SUM(I22:I34)</f>
        <v>100</v>
      </c>
      <c r="J36" s="95"/>
      <c r="K36" s="58">
        <f>SUM(K22:K34)</f>
        <v>100</v>
      </c>
      <c r="L36" s="59"/>
    </row>
    <row r="37" spans="1:19">
      <c r="A37" s="22"/>
      <c r="B37" s="23"/>
      <c r="C37" s="23"/>
      <c r="D37" s="34"/>
      <c r="E37" s="136"/>
      <c r="F37" s="23"/>
      <c r="G37" s="32"/>
      <c r="H37" s="25"/>
      <c r="I37" s="36"/>
      <c r="J37" s="96"/>
      <c r="K37" s="24"/>
      <c r="L37" s="26"/>
    </row>
    <row r="38" spans="1:19">
      <c r="A38" s="22" t="s">
        <v>30</v>
      </c>
      <c r="B38" s="23"/>
      <c r="C38" s="23"/>
      <c r="D38" s="34"/>
      <c r="E38" s="138" t="s">
        <v>57</v>
      </c>
      <c r="F38" s="23"/>
      <c r="G38" s="32"/>
      <c r="H38" s="25"/>
      <c r="I38" s="36"/>
      <c r="J38" s="97" t="s">
        <v>57</v>
      </c>
      <c r="K38" s="24"/>
      <c r="L38" s="28" t="s">
        <v>57</v>
      </c>
    </row>
    <row r="39" spans="1:19">
      <c r="A39" s="37" t="s">
        <v>31</v>
      </c>
      <c r="B39" s="38" t="s">
        <v>32</v>
      </c>
      <c r="C39" s="38"/>
      <c r="D39" s="105">
        <v>1950</v>
      </c>
      <c r="E39" s="139">
        <f>(5/9*(D39-32))+273.15</f>
        <v>1338.7055555555557</v>
      </c>
      <c r="F39" s="38"/>
      <c r="G39" s="70">
        <v>125</v>
      </c>
      <c r="H39" s="61"/>
      <c r="I39" s="71">
        <f>D39-G39</f>
        <v>1825</v>
      </c>
      <c r="J39" s="99">
        <f>(5/9*(I39-32))+273.15</f>
        <v>1269.2611111111112</v>
      </c>
      <c r="K39" s="72">
        <f>D39+G39</f>
        <v>2075</v>
      </c>
      <c r="L39" s="73">
        <f>(5/9*(K39-32))+273.15</f>
        <v>1408.15</v>
      </c>
      <c r="S39" s="104"/>
    </row>
    <row r="40" spans="1:19">
      <c r="A40" s="44" t="s">
        <v>33</v>
      </c>
      <c r="B40" s="45" t="s">
        <v>32</v>
      </c>
      <c r="C40" s="45"/>
      <c r="D40" s="106">
        <v>2000</v>
      </c>
      <c r="E40" s="139">
        <f>(5/9*(D40-32))+273.15</f>
        <v>1366.4833333333336</v>
      </c>
      <c r="F40" s="45"/>
      <c r="G40" s="75">
        <v>100</v>
      </c>
      <c r="H40" s="48"/>
      <c r="I40" s="76">
        <f>D40-G40</f>
        <v>1900</v>
      </c>
      <c r="J40" s="100">
        <f>(5/9*(I40-32))+273.15</f>
        <v>1310.9277777777779</v>
      </c>
      <c r="K40" s="77">
        <f>D40+G40</f>
        <v>2100</v>
      </c>
      <c r="L40" s="78">
        <f>(5/9*(K40-32))+273.15</f>
        <v>1422.0388888888888</v>
      </c>
    </row>
    <row r="41" spans="1:19">
      <c r="A41" s="44" t="s">
        <v>34</v>
      </c>
      <c r="B41" s="45" t="s">
        <v>32</v>
      </c>
      <c r="C41" s="45"/>
      <c r="D41" s="106">
        <v>2075</v>
      </c>
      <c r="E41" s="139">
        <f>(5/9*(D41-32))+273.15</f>
        <v>1408.15</v>
      </c>
      <c r="F41" s="45"/>
      <c r="G41" s="75">
        <v>100</v>
      </c>
      <c r="H41" s="48"/>
      <c r="I41" s="76">
        <f>D41-G41</f>
        <v>1975</v>
      </c>
      <c r="J41" s="100">
        <f>(5/9*(I41-32))+273.15</f>
        <v>1352.5944444444444</v>
      </c>
      <c r="K41" s="77">
        <f>D41+G41</f>
        <v>2175</v>
      </c>
      <c r="L41" s="78">
        <f>(5/9*(K41-32))+273.15</f>
        <v>1463.7055555555557</v>
      </c>
    </row>
    <row r="42" spans="1:19">
      <c r="A42" s="52" t="s">
        <v>35</v>
      </c>
      <c r="B42" s="53" t="s">
        <v>32</v>
      </c>
      <c r="C42" s="53"/>
      <c r="D42" s="107">
        <v>2210</v>
      </c>
      <c r="E42" s="139">
        <f>(5/9*(D42-32))+273.15</f>
        <v>1483.15</v>
      </c>
      <c r="F42" s="53"/>
      <c r="G42" s="80">
        <v>150</v>
      </c>
      <c r="H42" s="56"/>
      <c r="I42" s="81">
        <f>D42-G42</f>
        <v>2060</v>
      </c>
      <c r="J42" s="101">
        <f>(5/9*(I42-32))+273.15</f>
        <v>1399.8166666666666</v>
      </c>
      <c r="K42" s="82">
        <f>D42+G42</f>
        <v>2360</v>
      </c>
      <c r="L42" s="83">
        <f>(5/9*(K42-32))+273.15</f>
        <v>1566.4833333333336</v>
      </c>
    </row>
    <row r="43" spans="1:19">
      <c r="A43" s="22"/>
      <c r="B43" s="23"/>
      <c r="C43" s="23"/>
      <c r="D43" s="34"/>
      <c r="E43" s="136"/>
      <c r="F43" s="23"/>
      <c r="G43" s="32"/>
      <c r="H43" s="25"/>
      <c r="I43" s="36"/>
      <c r="J43" s="96"/>
      <c r="K43" s="24"/>
      <c r="L43" s="26"/>
    </row>
    <row r="44" spans="1:19">
      <c r="A44" s="22" t="s">
        <v>42</v>
      </c>
      <c r="B44" s="23"/>
      <c r="C44" s="23"/>
      <c r="D44" s="34"/>
      <c r="E44" s="136"/>
      <c r="F44" s="23"/>
      <c r="G44" s="32"/>
      <c r="H44" s="25"/>
      <c r="I44" s="36"/>
      <c r="J44" s="96"/>
      <c r="K44" s="24"/>
      <c r="L44" s="26"/>
    </row>
    <row r="45" spans="1:19">
      <c r="A45" s="37" t="s">
        <v>41</v>
      </c>
      <c r="B45" s="38"/>
      <c r="C45" s="38"/>
      <c r="D45" s="60">
        <v>0.45523898489802272</v>
      </c>
      <c r="E45" s="40"/>
      <c r="F45" s="38"/>
      <c r="G45" s="40"/>
      <c r="H45" s="61"/>
      <c r="I45" s="42">
        <f>SUM(I26:I30)/SUM(I22:I24)</f>
        <v>0.39785679862679163</v>
      </c>
      <c r="J45" s="93"/>
      <c r="K45" s="41">
        <f>SUM(K26:K30)/SUM(K22:K24)</f>
        <v>0.49875507994453627</v>
      </c>
      <c r="L45" s="43"/>
    </row>
    <row r="46" spans="1:19">
      <c r="A46" s="44" t="s">
        <v>40</v>
      </c>
      <c r="B46" s="45"/>
      <c r="C46" s="45"/>
      <c r="D46" s="46" t="s">
        <v>64</v>
      </c>
      <c r="E46" s="47"/>
      <c r="F46" s="45"/>
      <c r="G46" s="47"/>
      <c r="H46" s="48"/>
      <c r="I46" s="49" t="str">
        <f>IF(I30+I29&gt;I28,"Lignitic","Bituminous")</f>
        <v>Bituminous</v>
      </c>
      <c r="J46" s="94"/>
      <c r="K46" s="50" t="str">
        <f>IF(K30+K29&gt;K28,"Lignitic","Bituminous")</f>
        <v>Bituminous</v>
      </c>
      <c r="L46" s="51"/>
    </row>
    <row r="47" spans="1:19">
      <c r="A47" s="44" t="s">
        <v>38</v>
      </c>
      <c r="B47" s="45"/>
      <c r="C47" s="45"/>
      <c r="D47" s="46">
        <v>1.5523649385022575</v>
      </c>
      <c r="E47" s="47"/>
      <c r="F47" s="45"/>
      <c r="G47" s="47"/>
      <c r="H47" s="48"/>
      <c r="I47" s="49">
        <f>I45*I13</f>
        <v>1.2771203235920012</v>
      </c>
      <c r="J47" s="94"/>
      <c r="K47" s="50">
        <f>K45*K13</f>
        <v>1.8005058385997761</v>
      </c>
      <c r="L47" s="51"/>
    </row>
    <row r="48" spans="1:19">
      <c r="A48" s="44" t="s">
        <v>39</v>
      </c>
      <c r="B48" s="45"/>
      <c r="C48" s="45"/>
      <c r="D48" s="46">
        <v>0.6</v>
      </c>
      <c r="E48" s="47"/>
      <c r="F48" s="45"/>
      <c r="G48" s="47"/>
      <c r="H48" s="48"/>
      <c r="I48" s="49">
        <f>I26</f>
        <v>0.39799999999999996</v>
      </c>
      <c r="J48" s="94"/>
      <c r="K48" s="50">
        <f>K26</f>
        <v>0.80200000000000005</v>
      </c>
      <c r="L48" s="51"/>
    </row>
    <row r="49" spans="1:12" ht="14.5" customHeight="1">
      <c r="A49" s="121" t="s">
        <v>45</v>
      </c>
      <c r="B49" s="45" t="s">
        <v>43</v>
      </c>
      <c r="C49" s="45"/>
      <c r="D49" s="106">
        <v>2105</v>
      </c>
      <c r="E49" s="75"/>
      <c r="F49" s="45"/>
      <c r="G49" s="47"/>
      <c r="H49" s="48"/>
      <c r="I49" s="76">
        <f>(I40+I42)/2</f>
        <v>1980</v>
      </c>
      <c r="J49" s="100"/>
      <c r="K49" s="77">
        <f>(K40+K42)/2</f>
        <v>2230</v>
      </c>
      <c r="L49" s="78"/>
    </row>
    <row r="50" spans="1:12">
      <c r="A50" s="122"/>
      <c r="B50" s="45" t="s">
        <v>44</v>
      </c>
      <c r="C50" s="45"/>
      <c r="D50" s="106">
        <v>1151.6666666666667</v>
      </c>
      <c r="E50" s="75"/>
      <c r="F50" s="45"/>
      <c r="G50" s="47"/>
      <c r="H50" s="48"/>
      <c r="I50" s="76">
        <f>(I49-32)/1.8</f>
        <v>1082.2222222222222</v>
      </c>
      <c r="J50" s="102"/>
      <c r="K50" s="77">
        <f>(K49-32)/1.8</f>
        <v>1221.1111111111111</v>
      </c>
      <c r="L50" s="51"/>
    </row>
    <row r="51" spans="1:12" ht="16" thickBot="1">
      <c r="A51" s="123"/>
      <c r="B51" s="85" t="s">
        <v>57</v>
      </c>
      <c r="C51" s="86"/>
      <c r="D51" s="108">
        <f>D50+273.15</f>
        <v>1424.8166666666666</v>
      </c>
      <c r="E51" s="140"/>
      <c r="F51" s="86"/>
      <c r="G51" s="88"/>
      <c r="H51" s="89"/>
      <c r="I51" s="90">
        <f>(5/9*(I49-32)+273.15)</f>
        <v>1355.3722222222223</v>
      </c>
      <c r="J51" s="103"/>
      <c r="K51" s="91">
        <f>(5/9*(K49-32)+273.15)</f>
        <v>1494.2611111111109</v>
      </c>
      <c r="L51" s="92"/>
    </row>
    <row r="52" spans="1:12">
      <c r="D52" s="3"/>
      <c r="E52" s="3"/>
    </row>
  </sheetData>
  <mergeCells count="6">
    <mergeCell ref="A49:A51"/>
    <mergeCell ref="A1:C2"/>
    <mergeCell ref="D1:L1"/>
    <mergeCell ref="I2:L2"/>
    <mergeCell ref="I3:J3"/>
    <mergeCell ref="K3:L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2"/>
  <sheetViews>
    <sheetView workbookViewId="0">
      <selection activeCell="M51" sqref="M51"/>
    </sheetView>
  </sheetViews>
  <sheetFormatPr baseColWidth="10" defaultColWidth="8.83203125" defaultRowHeight="15"/>
  <cols>
    <col min="1" max="1" width="18.5" customWidth="1"/>
    <col min="2" max="3" width="5.5" customWidth="1"/>
    <col min="4" max="4" width="14.6640625" style="4" customWidth="1"/>
    <col min="5" max="5" width="3.1640625" customWidth="1"/>
    <col min="6" max="6" width="10.83203125" style="3" customWidth="1"/>
    <col min="7" max="7" width="3.1640625" style="4" customWidth="1"/>
    <col min="8" max="8" width="9.1640625" style="3" bestFit="1" customWidth="1"/>
    <col min="9" max="9" width="9.1640625" style="3" customWidth="1"/>
    <col min="10" max="10" width="9.1640625" style="3" bestFit="1" customWidth="1"/>
    <col min="11" max="11" width="8.83203125" style="4"/>
  </cols>
  <sheetData>
    <row r="1" spans="1:13" ht="17" thickBot="1">
      <c r="A1" s="124" t="s">
        <v>1</v>
      </c>
      <c r="B1" s="125"/>
      <c r="C1" s="126"/>
      <c r="D1" s="111" t="s">
        <v>62</v>
      </c>
      <c r="E1" s="112"/>
      <c r="F1" s="112"/>
      <c r="G1" s="112"/>
      <c r="H1" s="112"/>
      <c r="I1" s="112"/>
      <c r="J1" s="112"/>
      <c r="K1" s="113"/>
    </row>
    <row r="2" spans="1:13" ht="16" thickBot="1">
      <c r="A2" s="127"/>
      <c r="B2" s="128"/>
      <c r="C2" s="129"/>
      <c r="D2" s="33" t="s">
        <v>55</v>
      </c>
      <c r="E2" s="29"/>
      <c r="F2" s="31" t="s">
        <v>50</v>
      </c>
      <c r="G2" s="30"/>
      <c r="H2" s="114" t="s">
        <v>51</v>
      </c>
      <c r="I2" s="115"/>
      <c r="J2" s="115"/>
      <c r="K2" s="116"/>
    </row>
    <row r="3" spans="1:13">
      <c r="A3" s="22" t="s">
        <v>3</v>
      </c>
      <c r="B3" s="23"/>
      <c r="C3" s="23"/>
      <c r="D3" s="34"/>
      <c r="E3" s="23"/>
      <c r="F3" s="32"/>
      <c r="G3" s="25"/>
      <c r="H3" s="117" t="s">
        <v>52</v>
      </c>
      <c r="I3" s="118"/>
      <c r="J3" s="119" t="s">
        <v>53</v>
      </c>
      <c r="K3" s="120"/>
    </row>
    <row r="4" spans="1:13">
      <c r="A4" s="37" t="s">
        <v>4</v>
      </c>
      <c r="B4" s="38"/>
      <c r="C4" s="38"/>
      <c r="D4" s="39">
        <v>26.68</v>
      </c>
      <c r="E4" s="38"/>
      <c r="F4" s="40">
        <f>0.23+0.02*D4</f>
        <v>0.76359999999999995</v>
      </c>
      <c r="G4" s="41"/>
      <c r="H4" s="42">
        <f>D4-F4</f>
        <v>25.916399999999999</v>
      </c>
      <c r="I4" s="93"/>
      <c r="J4" s="41">
        <f>D4+F4</f>
        <v>27.4436</v>
      </c>
      <c r="K4" s="43"/>
    </row>
    <row r="5" spans="1:13">
      <c r="A5" s="44" t="s">
        <v>5</v>
      </c>
      <c r="B5" s="45"/>
      <c r="C5" s="45"/>
      <c r="D5" s="46">
        <v>30.66</v>
      </c>
      <c r="E5" s="45"/>
      <c r="F5" s="47">
        <v>2</v>
      </c>
      <c r="G5" s="48"/>
      <c r="H5" s="49">
        <f>D5-F5</f>
        <v>28.66</v>
      </c>
      <c r="I5" s="94"/>
      <c r="J5" s="50">
        <f>D5+F5</f>
        <v>32.659999999999997</v>
      </c>
      <c r="K5" s="51"/>
    </row>
    <row r="6" spans="1:13">
      <c r="A6" s="44" t="s">
        <v>6</v>
      </c>
      <c r="B6" s="45"/>
      <c r="C6" s="45"/>
      <c r="D6" s="46">
        <v>10.07</v>
      </c>
      <c r="E6" s="45"/>
      <c r="F6" s="47">
        <v>0.47</v>
      </c>
      <c r="G6" s="48"/>
      <c r="H6" s="49">
        <f>D6-F6</f>
        <v>9.6</v>
      </c>
      <c r="I6" s="94"/>
      <c r="J6" s="50">
        <f>D6+F6</f>
        <v>10.540000000000001</v>
      </c>
      <c r="K6" s="51"/>
    </row>
    <row r="7" spans="1:13">
      <c r="A7" s="52" t="s">
        <v>7</v>
      </c>
      <c r="B7" s="53"/>
      <c r="C7" s="53"/>
      <c r="D7" s="54">
        <v>32.590000000000003</v>
      </c>
      <c r="E7" s="53"/>
      <c r="F7" s="55">
        <f>SUM(F4:F6)</f>
        <v>3.2336</v>
      </c>
      <c r="G7" s="56"/>
      <c r="H7" s="57">
        <f>D7-F7</f>
        <v>29.356400000000004</v>
      </c>
      <c r="I7" s="95"/>
      <c r="J7" s="58">
        <f>D7+F7</f>
        <v>35.823600000000006</v>
      </c>
      <c r="K7" s="59"/>
      <c r="L7" s="21"/>
      <c r="M7" s="21"/>
    </row>
    <row r="8" spans="1:13">
      <c r="A8" s="22"/>
      <c r="B8" s="23"/>
      <c r="C8" s="23"/>
      <c r="D8" s="34"/>
      <c r="E8" s="23"/>
      <c r="F8" s="32"/>
      <c r="G8" s="25"/>
      <c r="H8" s="36"/>
      <c r="I8" s="96"/>
      <c r="J8" s="24"/>
      <c r="K8" s="26"/>
    </row>
    <row r="9" spans="1:13">
      <c r="A9" s="22" t="s">
        <v>8</v>
      </c>
      <c r="B9" s="23"/>
      <c r="C9" s="23"/>
      <c r="D9" s="34"/>
      <c r="E9" s="23"/>
      <c r="F9" s="32"/>
      <c r="G9" s="25"/>
      <c r="H9" s="36"/>
      <c r="I9" s="96"/>
      <c r="J9" s="24"/>
      <c r="K9" s="26"/>
    </row>
    <row r="10" spans="1:13">
      <c r="A10" s="37" t="s">
        <v>9</v>
      </c>
      <c r="B10" s="38"/>
      <c r="C10" s="38"/>
      <c r="D10" s="60">
        <v>62.42</v>
      </c>
      <c r="E10" s="38"/>
      <c r="F10" s="40">
        <v>1</v>
      </c>
      <c r="G10" s="61"/>
      <c r="H10" s="42">
        <f t="shared" ref="H10:H16" si="0">D10-F10</f>
        <v>61.42</v>
      </c>
      <c r="I10" s="93"/>
      <c r="J10" s="41">
        <f t="shared" ref="J10:J16" si="1">D10+F10</f>
        <v>63.42</v>
      </c>
      <c r="K10" s="43"/>
    </row>
    <row r="11" spans="1:13">
      <c r="A11" s="44" t="s">
        <v>10</v>
      </c>
      <c r="B11" s="45"/>
      <c r="C11" s="45"/>
      <c r="D11" s="46">
        <v>3.99</v>
      </c>
      <c r="E11" s="45"/>
      <c r="F11" s="47">
        <v>0.25</v>
      </c>
      <c r="G11" s="48"/>
      <c r="H11" s="49">
        <f t="shared" si="0"/>
        <v>3.74</v>
      </c>
      <c r="I11" s="94"/>
      <c r="J11" s="50">
        <f t="shared" si="1"/>
        <v>4.24</v>
      </c>
      <c r="K11" s="51"/>
    </row>
    <row r="12" spans="1:13">
      <c r="A12" s="44" t="s">
        <v>11</v>
      </c>
      <c r="B12" s="45"/>
      <c r="C12" s="45"/>
      <c r="D12" s="46">
        <v>1</v>
      </c>
      <c r="E12" s="45"/>
      <c r="F12" s="47">
        <v>0.15</v>
      </c>
      <c r="G12" s="48"/>
      <c r="H12" s="49">
        <f t="shared" si="0"/>
        <v>0.85</v>
      </c>
      <c r="I12" s="94"/>
      <c r="J12" s="50">
        <f t="shared" si="1"/>
        <v>1.1499999999999999</v>
      </c>
      <c r="K12" s="51"/>
    </row>
    <row r="13" spans="1:13">
      <c r="A13" s="44" t="s">
        <v>12</v>
      </c>
      <c r="B13" s="45"/>
      <c r="C13" s="45"/>
      <c r="D13" s="46">
        <v>1.07</v>
      </c>
      <c r="E13" s="45"/>
      <c r="F13" s="47">
        <v>0.1</v>
      </c>
      <c r="G13" s="48"/>
      <c r="H13" s="49">
        <f t="shared" si="0"/>
        <v>0.97000000000000008</v>
      </c>
      <c r="I13" s="94"/>
      <c r="J13" s="50">
        <f t="shared" si="1"/>
        <v>1.1700000000000002</v>
      </c>
      <c r="K13" s="51"/>
    </row>
    <row r="14" spans="1:13">
      <c r="A14" s="44" t="s">
        <v>13</v>
      </c>
      <c r="B14" s="45"/>
      <c r="C14" s="45"/>
      <c r="D14" s="46">
        <v>17.765684669939986</v>
      </c>
      <c r="E14" s="45"/>
      <c r="F14" s="47">
        <f>SUM(F10:F13,F16)</f>
        <v>1.97</v>
      </c>
      <c r="G14" s="48"/>
      <c r="H14" s="49">
        <f t="shared" si="0"/>
        <v>15.795684669939986</v>
      </c>
      <c r="I14" s="94"/>
      <c r="J14" s="50">
        <f t="shared" si="1"/>
        <v>19.735684669939985</v>
      </c>
      <c r="K14" s="51"/>
    </row>
    <row r="15" spans="1:13">
      <c r="A15" s="44" t="s">
        <v>14</v>
      </c>
      <c r="B15" s="45"/>
      <c r="C15" s="45"/>
      <c r="D15" s="46">
        <v>0.02</v>
      </c>
      <c r="E15" s="45"/>
      <c r="F15" s="47">
        <v>0</v>
      </c>
      <c r="G15" s="48"/>
      <c r="H15" s="49">
        <f t="shared" si="0"/>
        <v>0.02</v>
      </c>
      <c r="I15" s="94"/>
      <c r="J15" s="50">
        <f t="shared" si="1"/>
        <v>0.02</v>
      </c>
      <c r="K15" s="51"/>
    </row>
    <row r="16" spans="1:13">
      <c r="A16" s="52" t="s">
        <v>6</v>
      </c>
      <c r="B16" s="53"/>
      <c r="C16" s="53"/>
      <c r="D16" s="54">
        <v>13.73431533006001</v>
      </c>
      <c r="E16" s="53"/>
      <c r="F16" s="55">
        <v>0.47</v>
      </c>
      <c r="G16" s="56"/>
      <c r="H16" s="57">
        <f t="shared" si="0"/>
        <v>13.264315330060009</v>
      </c>
      <c r="I16" s="95"/>
      <c r="J16" s="58">
        <f t="shared" si="1"/>
        <v>14.204315330060011</v>
      </c>
      <c r="K16" s="59"/>
    </row>
    <row r="17" spans="1:11">
      <c r="A17" s="22"/>
      <c r="B17" s="23"/>
      <c r="C17" s="23"/>
      <c r="D17" s="34"/>
      <c r="E17" s="23"/>
      <c r="F17" s="32"/>
      <c r="G17" s="25"/>
      <c r="H17" s="36"/>
      <c r="I17" s="96"/>
      <c r="J17" s="24"/>
      <c r="K17" s="26"/>
    </row>
    <row r="18" spans="1:11">
      <c r="A18" s="22" t="s">
        <v>15</v>
      </c>
      <c r="B18" s="23"/>
      <c r="C18" s="23"/>
      <c r="D18" s="34"/>
      <c r="E18" s="23"/>
      <c r="F18" s="32"/>
      <c r="G18" s="25"/>
      <c r="H18" s="36"/>
      <c r="I18" s="97" t="s">
        <v>56</v>
      </c>
      <c r="J18" s="24"/>
      <c r="K18" s="27" t="s">
        <v>56</v>
      </c>
    </row>
    <row r="19" spans="1:11">
      <c r="A19" s="62" t="s">
        <v>16</v>
      </c>
      <c r="B19" s="63"/>
      <c r="C19" s="63"/>
      <c r="D19" s="64">
        <v>7671</v>
      </c>
      <c r="E19" s="63"/>
      <c r="F19" s="65">
        <v>164</v>
      </c>
      <c r="G19" s="66"/>
      <c r="H19" s="67">
        <f>D19-F19</f>
        <v>7507</v>
      </c>
      <c r="I19" s="98">
        <f>2.326*H19</f>
        <v>17461.281999999999</v>
      </c>
      <c r="J19" s="66">
        <f>D19+F19</f>
        <v>7835</v>
      </c>
      <c r="K19" s="68">
        <f>2.326*J19</f>
        <v>18224.21</v>
      </c>
    </row>
    <row r="20" spans="1:11">
      <c r="A20" s="22"/>
      <c r="B20" s="23"/>
      <c r="C20" s="23"/>
      <c r="D20" s="35"/>
      <c r="E20" s="23"/>
      <c r="F20" s="32"/>
      <c r="G20" s="25"/>
      <c r="H20" s="36"/>
      <c r="I20" s="96"/>
      <c r="J20" s="24"/>
      <c r="K20" s="26"/>
    </row>
    <row r="21" spans="1:11">
      <c r="A21" s="22" t="s">
        <v>17</v>
      </c>
      <c r="B21" s="23"/>
      <c r="C21" s="23"/>
      <c r="D21" s="35"/>
      <c r="E21" s="23"/>
      <c r="F21" s="32"/>
      <c r="G21" s="25"/>
      <c r="H21" s="36"/>
      <c r="I21" s="96"/>
      <c r="J21" s="24"/>
      <c r="K21" s="26"/>
    </row>
    <row r="22" spans="1:11">
      <c r="A22" s="37" t="s">
        <v>18</v>
      </c>
      <c r="B22" s="38"/>
      <c r="C22" s="38"/>
      <c r="D22" s="60">
        <v>11.35</v>
      </c>
      <c r="E22" s="38"/>
      <c r="F22" s="40">
        <f>0.86+0.07*D22</f>
        <v>1.6545000000000001</v>
      </c>
      <c r="G22" s="61"/>
      <c r="H22" s="42">
        <f t="shared" ref="H22:H33" si="2">D22-F22</f>
        <v>9.6954999999999991</v>
      </c>
      <c r="I22" s="93"/>
      <c r="J22" s="41">
        <f>D22+F22</f>
        <v>13.0045</v>
      </c>
      <c r="K22" s="43"/>
    </row>
    <row r="23" spans="1:11">
      <c r="A23" s="44" t="s">
        <v>19</v>
      </c>
      <c r="B23" s="45"/>
      <c r="C23" s="45"/>
      <c r="D23" s="46">
        <v>36.25</v>
      </c>
      <c r="E23" s="45"/>
      <c r="F23" s="47">
        <f>2+0.1*D23</f>
        <v>5.625</v>
      </c>
      <c r="G23" s="48"/>
      <c r="H23" s="49">
        <f t="shared" si="2"/>
        <v>30.625</v>
      </c>
      <c r="I23" s="94"/>
      <c r="J23" s="50">
        <f>D23+F23</f>
        <v>41.875</v>
      </c>
      <c r="K23" s="51"/>
    </row>
    <row r="24" spans="1:11">
      <c r="A24" s="44" t="s">
        <v>20</v>
      </c>
      <c r="B24" s="45"/>
      <c r="C24" s="45"/>
      <c r="D24" s="46">
        <v>0.44</v>
      </c>
      <c r="E24" s="45"/>
      <c r="F24" s="47">
        <f>0.05+0.12*D24</f>
        <v>0.1028</v>
      </c>
      <c r="G24" s="48"/>
      <c r="H24" s="49">
        <f t="shared" si="2"/>
        <v>0.3372</v>
      </c>
      <c r="I24" s="94"/>
      <c r="J24" s="50">
        <f>D24+F24</f>
        <v>0.54279999999999995</v>
      </c>
      <c r="K24" s="51"/>
    </row>
    <row r="25" spans="1:11">
      <c r="A25" s="44"/>
      <c r="B25" s="45"/>
      <c r="C25" s="45"/>
      <c r="D25" s="46"/>
      <c r="E25" s="45"/>
      <c r="F25" s="47"/>
      <c r="G25" s="48"/>
      <c r="H25" s="49"/>
      <c r="I25" s="94"/>
      <c r="J25" s="50"/>
      <c r="K25" s="51"/>
    </row>
    <row r="26" spans="1:11">
      <c r="A26" s="44" t="s">
        <v>21</v>
      </c>
      <c r="B26" s="45"/>
      <c r="C26" s="45"/>
      <c r="D26" s="46">
        <v>5.9</v>
      </c>
      <c r="E26" s="45"/>
      <c r="F26" s="47">
        <f>0.1+0.17*D26</f>
        <v>1.1030000000000002</v>
      </c>
      <c r="G26" s="48"/>
      <c r="H26" s="49">
        <f t="shared" si="2"/>
        <v>4.7970000000000006</v>
      </c>
      <c r="I26" s="94"/>
      <c r="J26" s="50">
        <f>D26+F26</f>
        <v>7.0030000000000001</v>
      </c>
      <c r="K26" s="51"/>
    </row>
    <row r="27" spans="1:11">
      <c r="A27" s="44" t="s">
        <v>22</v>
      </c>
      <c r="B27" s="45"/>
      <c r="C27" s="45"/>
      <c r="D27" s="46">
        <v>1.24</v>
      </c>
      <c r="E27" s="45"/>
      <c r="F27" s="47">
        <f>0.14+0.3*D27</f>
        <v>0.51200000000000001</v>
      </c>
      <c r="G27" s="48"/>
      <c r="H27" s="49">
        <f t="shared" si="2"/>
        <v>0.72799999999999998</v>
      </c>
      <c r="I27" s="94"/>
      <c r="J27" s="50">
        <f>D27+F27</f>
        <v>1.752</v>
      </c>
      <c r="K27" s="51"/>
    </row>
    <row r="28" spans="1:11">
      <c r="A28" s="44" t="s">
        <v>23</v>
      </c>
      <c r="B28" s="45"/>
      <c r="C28" s="45"/>
      <c r="D28" s="46">
        <v>7.85</v>
      </c>
      <c r="E28" s="45"/>
      <c r="F28" s="47">
        <f>0.23*D28</f>
        <v>1.8055000000000001</v>
      </c>
      <c r="G28" s="48"/>
      <c r="H28" s="49">
        <f t="shared" si="2"/>
        <v>6.0444999999999993</v>
      </c>
      <c r="I28" s="94"/>
      <c r="J28" s="50">
        <f>D28+F28</f>
        <v>9.6555</v>
      </c>
      <c r="K28" s="51"/>
    </row>
    <row r="29" spans="1:11">
      <c r="A29" s="44" t="s">
        <v>24</v>
      </c>
      <c r="B29" s="45"/>
      <c r="C29" s="45"/>
      <c r="D29" s="46">
        <v>4.4000000000000004</v>
      </c>
      <c r="E29" s="45"/>
      <c r="F29" s="47">
        <f>0.11+0.11*D29</f>
        <v>0.59400000000000008</v>
      </c>
      <c r="G29" s="48"/>
      <c r="H29" s="49">
        <f t="shared" si="2"/>
        <v>3.806</v>
      </c>
      <c r="I29" s="94"/>
      <c r="J29" s="50">
        <f>D29+F29</f>
        <v>4.9940000000000007</v>
      </c>
      <c r="K29" s="51"/>
    </row>
    <row r="30" spans="1:11">
      <c r="A30" s="44" t="s">
        <v>25</v>
      </c>
      <c r="B30" s="45"/>
      <c r="C30" s="45"/>
      <c r="D30" s="46">
        <v>14.35</v>
      </c>
      <c r="E30" s="45"/>
      <c r="F30" s="47">
        <f>0.25*D30</f>
        <v>3.5874999999999999</v>
      </c>
      <c r="G30" s="48"/>
      <c r="H30" s="49">
        <f t="shared" si="2"/>
        <v>10.762499999999999</v>
      </c>
      <c r="I30" s="94"/>
      <c r="J30" s="50">
        <f>D30+F30</f>
        <v>17.9375</v>
      </c>
      <c r="K30" s="51"/>
    </row>
    <row r="31" spans="1:11">
      <c r="A31" s="44"/>
      <c r="B31" s="45"/>
      <c r="C31" s="45"/>
      <c r="D31" s="46"/>
      <c r="E31" s="45"/>
      <c r="F31" s="47"/>
      <c r="G31" s="48"/>
      <c r="H31" s="49"/>
      <c r="I31" s="94"/>
      <c r="J31" s="50"/>
      <c r="K31" s="51"/>
    </row>
    <row r="32" spans="1:11">
      <c r="A32" s="44" t="s">
        <v>26</v>
      </c>
      <c r="B32" s="45"/>
      <c r="C32" s="45"/>
      <c r="D32" s="46">
        <v>17.329999999999998</v>
      </c>
      <c r="E32" s="45"/>
      <c r="F32" s="47">
        <f>0.08*D32+0.06</f>
        <v>1.4463999999999999</v>
      </c>
      <c r="G32" s="48"/>
      <c r="H32" s="49">
        <f t="shared" si="2"/>
        <v>15.883599999999998</v>
      </c>
      <c r="I32" s="94"/>
      <c r="J32" s="50">
        <f>D32+F32</f>
        <v>18.776399999999999</v>
      </c>
      <c r="K32" s="51"/>
    </row>
    <row r="33" spans="1:18">
      <c r="A33" s="44" t="s">
        <v>27</v>
      </c>
      <c r="B33" s="45"/>
      <c r="C33" s="45"/>
      <c r="D33" s="46">
        <v>0.12</v>
      </c>
      <c r="E33" s="45"/>
      <c r="F33" s="47">
        <f>0.11+0.31*D33</f>
        <v>0.1472</v>
      </c>
      <c r="G33" s="48"/>
      <c r="H33" s="49">
        <f t="shared" si="2"/>
        <v>-2.7200000000000002E-2</v>
      </c>
      <c r="I33" s="94"/>
      <c r="J33" s="50">
        <f>D33+F33</f>
        <v>0.26719999999999999</v>
      </c>
      <c r="K33" s="51"/>
    </row>
    <row r="34" spans="1:18">
      <c r="A34" s="44" t="s">
        <v>28</v>
      </c>
      <c r="B34" s="45"/>
      <c r="C34" s="45"/>
      <c r="D34" s="46">
        <v>0.76999999999999602</v>
      </c>
      <c r="E34" s="45"/>
      <c r="F34" s="47"/>
      <c r="G34" s="48"/>
      <c r="H34" s="49">
        <f>100-SUM(H22:H33)</f>
        <v>17.347899999999996</v>
      </c>
      <c r="I34" s="94"/>
      <c r="J34" s="50">
        <f>100-SUM(J22:J33)</f>
        <v>-15.807900000000004</v>
      </c>
      <c r="K34" s="51"/>
    </row>
    <row r="35" spans="1:18">
      <c r="A35" s="69"/>
      <c r="B35" s="45"/>
      <c r="C35" s="45"/>
      <c r="D35" s="46"/>
      <c r="E35" s="45"/>
      <c r="F35" s="47"/>
      <c r="G35" s="48"/>
      <c r="H35" s="49"/>
      <c r="I35" s="94"/>
      <c r="J35" s="50"/>
      <c r="K35" s="51"/>
    </row>
    <row r="36" spans="1:18">
      <c r="A36" s="52" t="s">
        <v>29</v>
      </c>
      <c r="B36" s="53"/>
      <c r="C36" s="53"/>
      <c r="D36" s="54">
        <v>100</v>
      </c>
      <c r="E36" s="53"/>
      <c r="F36" s="55"/>
      <c r="G36" s="56"/>
      <c r="H36" s="57">
        <f>SUM(H22:H34)</f>
        <v>100</v>
      </c>
      <c r="I36" s="95"/>
      <c r="J36" s="58">
        <f>SUM(J22:J34)</f>
        <v>100</v>
      </c>
      <c r="K36" s="59"/>
    </row>
    <row r="37" spans="1:18">
      <c r="A37" s="22"/>
      <c r="B37" s="23"/>
      <c r="C37" s="23"/>
      <c r="D37" s="34"/>
      <c r="E37" s="23"/>
      <c r="F37" s="32"/>
      <c r="G37" s="25"/>
      <c r="H37" s="36"/>
      <c r="I37" s="96"/>
      <c r="J37" s="24"/>
      <c r="K37" s="26"/>
    </row>
    <row r="38" spans="1:18">
      <c r="A38" s="22" t="s">
        <v>30</v>
      </c>
      <c r="B38" s="23"/>
      <c r="C38" s="23"/>
      <c r="D38" s="34"/>
      <c r="E38" s="23"/>
      <c r="F38" s="32"/>
      <c r="G38" s="25"/>
      <c r="H38" s="36"/>
      <c r="I38" s="97" t="s">
        <v>57</v>
      </c>
      <c r="J38" s="24"/>
      <c r="K38" s="28" t="s">
        <v>57</v>
      </c>
    </row>
    <row r="39" spans="1:18">
      <c r="A39" s="37" t="s">
        <v>31</v>
      </c>
      <c r="B39" s="38" t="s">
        <v>32</v>
      </c>
      <c r="C39" s="38"/>
      <c r="D39" s="105">
        <v>2027</v>
      </c>
      <c r="E39" s="38"/>
      <c r="F39" s="70">
        <v>125</v>
      </c>
      <c r="G39" s="61"/>
      <c r="H39" s="71">
        <f>D39-F39</f>
        <v>1902</v>
      </c>
      <c r="I39" s="99">
        <f>(5/9*(H39-32))+273.15</f>
        <v>1312.0388888888888</v>
      </c>
      <c r="J39" s="72">
        <f>D39+F39</f>
        <v>2152</v>
      </c>
      <c r="K39" s="73">
        <f>(5/9*(J39-32))+273.15</f>
        <v>1450.9277777777779</v>
      </c>
      <c r="R39" s="104"/>
    </row>
    <row r="40" spans="1:18">
      <c r="A40" s="44" t="s">
        <v>33</v>
      </c>
      <c r="B40" s="45" t="s">
        <v>32</v>
      </c>
      <c r="C40" s="45"/>
      <c r="D40" s="106">
        <v>2094</v>
      </c>
      <c r="E40" s="45"/>
      <c r="F40" s="75">
        <v>100</v>
      </c>
      <c r="G40" s="48"/>
      <c r="H40" s="76">
        <f>D40-F40</f>
        <v>1994</v>
      </c>
      <c r="I40" s="100">
        <f>(5/9*(H40-32))+273.15</f>
        <v>1363.15</v>
      </c>
      <c r="J40" s="77">
        <f>D40+F40</f>
        <v>2194</v>
      </c>
      <c r="K40" s="78">
        <f>(5/9*(J40-32))+273.15</f>
        <v>1474.2611111111109</v>
      </c>
    </row>
    <row r="41" spans="1:18">
      <c r="A41" s="44" t="s">
        <v>34</v>
      </c>
      <c r="B41" s="45" t="s">
        <v>32</v>
      </c>
      <c r="C41" s="45"/>
      <c r="D41" s="106">
        <v>2119</v>
      </c>
      <c r="E41" s="45"/>
      <c r="F41" s="75">
        <v>100</v>
      </c>
      <c r="G41" s="48"/>
      <c r="H41" s="76">
        <f>D41-F41</f>
        <v>2019</v>
      </c>
      <c r="I41" s="100">
        <f>(5/9*(H41-32))+273.15</f>
        <v>1377.0388888888888</v>
      </c>
      <c r="J41" s="77">
        <f>D41+F41</f>
        <v>2219</v>
      </c>
      <c r="K41" s="78">
        <f>(5/9*(J41-32))+273.15</f>
        <v>1488.15</v>
      </c>
    </row>
    <row r="42" spans="1:18">
      <c r="A42" s="52" t="s">
        <v>35</v>
      </c>
      <c r="B42" s="53" t="s">
        <v>32</v>
      </c>
      <c r="C42" s="53"/>
      <c r="D42" s="107">
        <v>2148</v>
      </c>
      <c r="E42" s="53"/>
      <c r="F42" s="80">
        <v>150</v>
      </c>
      <c r="G42" s="56"/>
      <c r="H42" s="81">
        <f>D42-F42</f>
        <v>1998</v>
      </c>
      <c r="I42" s="101">
        <f>(5/9*(H42-32))+273.15</f>
        <v>1365.3722222222223</v>
      </c>
      <c r="J42" s="82">
        <f>D42+F42</f>
        <v>2298</v>
      </c>
      <c r="K42" s="83">
        <f>(5/9*(J42-32))+273.15</f>
        <v>1532.0388888888888</v>
      </c>
    </row>
    <row r="43" spans="1:18">
      <c r="A43" s="22"/>
      <c r="B43" s="23"/>
      <c r="C43" s="23"/>
      <c r="D43" s="34"/>
      <c r="E43" s="23"/>
      <c r="F43" s="32"/>
      <c r="G43" s="25"/>
      <c r="H43" s="36"/>
      <c r="I43" s="96"/>
      <c r="J43" s="24"/>
      <c r="K43" s="26"/>
    </row>
    <row r="44" spans="1:18">
      <c r="A44" s="22" t="s">
        <v>42</v>
      </c>
      <c r="B44" s="23"/>
      <c r="C44" s="23"/>
      <c r="D44" s="34"/>
      <c r="E44" s="23"/>
      <c r="F44" s="32"/>
      <c r="G44" s="25"/>
      <c r="H44" s="36"/>
      <c r="I44" s="96"/>
      <c r="J44" s="24"/>
      <c r="K44" s="26"/>
    </row>
    <row r="45" spans="1:18">
      <c r="A45" s="37" t="s">
        <v>41</v>
      </c>
      <c r="B45" s="38"/>
      <c r="C45" s="38"/>
      <c r="D45" s="60">
        <v>0.70233139050791016</v>
      </c>
      <c r="E45" s="38"/>
      <c r="F45" s="40"/>
      <c r="G45" s="61"/>
      <c r="H45" s="42">
        <f>SUM(H26:H30)/SUM(H22:H24)</f>
        <v>0.64287945456826134</v>
      </c>
      <c r="I45" s="93"/>
      <c r="J45" s="41">
        <f>SUM(J26:J30)/SUM(J22:J24)</f>
        <v>0.74594522421480158</v>
      </c>
      <c r="K45" s="43"/>
    </row>
    <row r="46" spans="1:18">
      <c r="A46" s="44" t="s">
        <v>40</v>
      </c>
      <c r="B46" s="45"/>
      <c r="C46" s="45"/>
      <c r="D46" s="46" t="s">
        <v>59</v>
      </c>
      <c r="E46" s="45"/>
      <c r="F46" s="47"/>
      <c r="G46" s="48"/>
      <c r="H46" s="49" t="str">
        <f>IF(H30+H29&gt;H28,"Lignitic","Bituminous")</f>
        <v>Lignitic</v>
      </c>
      <c r="I46" s="94"/>
      <c r="J46" s="50" t="str">
        <f>IF(J30+J29&gt;J28,"Lignitic","Bituminous")</f>
        <v>Lignitic</v>
      </c>
      <c r="K46" s="51"/>
    </row>
    <row r="47" spans="1:18">
      <c r="A47" s="44" t="s">
        <v>38</v>
      </c>
      <c r="B47" s="45"/>
      <c r="C47" s="45"/>
      <c r="D47" s="46">
        <v>0.7514945878434639</v>
      </c>
      <c r="E47" s="45"/>
      <c r="F47" s="47"/>
      <c r="G47" s="48"/>
      <c r="H47" s="49">
        <f>H45*H13</f>
        <v>0.62359307093121352</v>
      </c>
      <c r="I47" s="94"/>
      <c r="J47" s="50">
        <f>J45*J13</f>
        <v>0.872755912331318</v>
      </c>
      <c r="K47" s="51"/>
    </row>
    <row r="48" spans="1:18">
      <c r="A48" s="44" t="s">
        <v>39</v>
      </c>
      <c r="B48" s="45"/>
      <c r="C48" s="45"/>
      <c r="D48" s="46">
        <v>5.9</v>
      </c>
      <c r="E48" s="45"/>
      <c r="F48" s="47"/>
      <c r="G48" s="48"/>
      <c r="H48" s="49">
        <f>H26</f>
        <v>4.7970000000000006</v>
      </c>
      <c r="I48" s="94"/>
      <c r="J48" s="50">
        <f>J26</f>
        <v>7.0030000000000001</v>
      </c>
      <c r="K48" s="51"/>
    </row>
    <row r="49" spans="1:11" ht="14.5" customHeight="1">
      <c r="A49" s="121" t="s">
        <v>45</v>
      </c>
      <c r="B49" s="45" t="s">
        <v>43</v>
      </c>
      <c r="C49" s="45"/>
      <c r="D49" s="106">
        <v>2121</v>
      </c>
      <c r="E49" s="45"/>
      <c r="F49" s="47"/>
      <c r="G49" s="48"/>
      <c r="H49" s="76">
        <f>(H40+H42)/2</f>
        <v>1996</v>
      </c>
      <c r="I49" s="100"/>
      <c r="J49" s="77">
        <f>(J40+J42)/2</f>
        <v>2246</v>
      </c>
      <c r="K49" s="78"/>
    </row>
    <row r="50" spans="1:11">
      <c r="A50" s="122"/>
      <c r="B50" s="45" t="s">
        <v>44</v>
      </c>
      <c r="C50" s="45"/>
      <c r="D50" s="106">
        <v>1160.5555555555554</v>
      </c>
      <c r="E50" s="45"/>
      <c r="F50" s="47"/>
      <c r="G50" s="48"/>
      <c r="H50" s="76">
        <f>(H49-32)/1.8</f>
        <v>1091.1111111111111</v>
      </c>
      <c r="I50" s="102"/>
      <c r="J50" s="77">
        <f>(J49-32)/1.8</f>
        <v>1230</v>
      </c>
      <c r="K50" s="51"/>
    </row>
    <row r="51" spans="1:11" ht="16" thickBot="1">
      <c r="A51" s="123"/>
      <c r="B51" s="85" t="s">
        <v>57</v>
      </c>
      <c r="C51" s="86"/>
      <c r="D51" s="108">
        <f>D50+273.15</f>
        <v>1433.7055555555553</v>
      </c>
      <c r="E51" s="86"/>
      <c r="F51" s="88"/>
      <c r="G51" s="89"/>
      <c r="H51" s="90">
        <f>(5/9*(H49-32)+273.15)</f>
        <v>1364.2611111111109</v>
      </c>
      <c r="I51" s="103"/>
      <c r="J51" s="91">
        <f>(5/9*(J49-32)+273.15)</f>
        <v>1503.15</v>
      </c>
      <c r="K51" s="92"/>
    </row>
    <row r="52" spans="1:11">
      <c r="D52" s="3"/>
    </row>
  </sheetData>
  <mergeCells count="6">
    <mergeCell ref="A49:A51"/>
    <mergeCell ref="A1:C2"/>
    <mergeCell ref="D1:K1"/>
    <mergeCell ref="H2:K2"/>
    <mergeCell ref="H3:I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Analyses</vt:lpstr>
      <vt:lpstr>Black Thunder</vt:lpstr>
      <vt:lpstr>Black Thunder (15%)</vt:lpstr>
      <vt:lpstr>Indonesian</vt:lpstr>
      <vt:lpstr>Sufco</vt:lpstr>
      <vt:lpstr>Sufco_Nov2018</vt:lpstr>
      <vt:lpstr>Riverview Ill. 6</vt:lpstr>
      <vt:lpstr>No. Dakota Lignite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</dc:creator>
  <cp:lastModifiedBy>Jennifer Spinti</cp:lastModifiedBy>
  <cp:lastPrinted>2017-12-28T18:18:57Z</cp:lastPrinted>
  <dcterms:created xsi:type="dcterms:W3CDTF">2017-01-27T17:25:47Z</dcterms:created>
  <dcterms:modified xsi:type="dcterms:W3CDTF">2019-05-28T22:45:11Z</dcterms:modified>
</cp:coreProperties>
</file>