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quoct\Desktop\"/>
    </mc:Choice>
  </mc:AlternateContent>
  <xr:revisionPtr revIDLastSave="0" documentId="13_ncr:1_{28D7C083-C1CF-4A84-9CA8-746B9B4D1FC0}" xr6:coauthVersionLast="47" xr6:coauthVersionMax="47" xr10:uidLastSave="{00000000-0000-0000-0000-000000000000}"/>
  <bookViews>
    <workbookView xWindow="-108" yWindow="-108" windowWidth="23256" windowHeight="12576" tabRatio="926" activeTab="3" xr2:uid="{00000000-000D-0000-FFFF-FFFF00000000}"/>
  </bookViews>
  <sheets>
    <sheet name="Instructions" sheetId="7" r:id="rId1"/>
    <sheet name="Project data &amp; personnel " sheetId="2" r:id="rId2"/>
    <sheet name="Non-personnel costs" sheetId="18" r:id="rId3"/>
    <sheet name="HE Application Form A3 - Budget" sheetId="20" r:id="rId4"/>
    <sheet name="HE Section C - Resources" sheetId="24" r:id="rId5"/>
    <sheet name="Internal NTNU budget" sheetId="23" r:id="rId6"/>
    <sheet name="Hovedtall pr. org'enhet" sheetId="22" r:id="rId7"/>
    <sheet name="Overføringer BOA-BFV" sheetId="14" r:id="rId8"/>
    <sheet name="Beregning OH-sats BOA" sheetId="13" state="hidden" r:id="rId9"/>
    <sheet name="Salary scale &amp; Incentives" sheetId="4" r:id="rId10"/>
    <sheet name="Org'enheter" sheetId="12" r:id="rId11"/>
    <sheet name="Categories" sheetId="17" state="hidden" r:id="rId12"/>
  </sheets>
  <definedNames>
    <definedName name="_xlnm._FilterDatabase" localSheetId="2" hidden="1">'Non-personnel costs'!$A$13:$N$151</definedName>
    <definedName name="_xlnm._FilterDatabase" localSheetId="1" hidden="1">'Project data &amp; personnel '!$A$38:$Q$64</definedName>
    <definedName name="_xlnm.Print_Titles" localSheetId="10">'Org''enheter'!#REF!</definedName>
    <definedName name="_xlnm.Print_Titles" localSheetId="9">'Salary scale &amp; Incentives'!$13:$13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8" i="23" l="1"/>
  <c r="Q28" i="23"/>
  <c r="P28" i="23"/>
  <c r="O28" i="23"/>
  <c r="N28" i="23"/>
  <c r="M28" i="23"/>
  <c r="L28" i="23"/>
  <c r="K28" i="23"/>
  <c r="J28" i="23"/>
  <c r="I28" i="23"/>
  <c r="H28" i="23"/>
  <c r="G28" i="23"/>
  <c r="F28" i="23"/>
  <c r="E28" i="23"/>
  <c r="R38" i="23"/>
  <c r="Q38" i="23"/>
  <c r="P38" i="23"/>
  <c r="O38" i="23"/>
  <c r="N38" i="23"/>
  <c r="M38" i="23"/>
  <c r="L38" i="23"/>
  <c r="K38" i="23"/>
  <c r="J38" i="23"/>
  <c r="I38" i="23"/>
  <c r="H38" i="23"/>
  <c r="G38" i="23"/>
  <c r="F38" i="23"/>
  <c r="E38" i="23"/>
  <c r="B39" i="2" l="1"/>
  <c r="B40" i="2"/>
  <c r="B41" i="2"/>
  <c r="B42" i="2"/>
  <c r="B43" i="2"/>
  <c r="B45" i="2"/>
  <c r="B46" i="2"/>
  <c r="B47" i="2"/>
  <c r="B48" i="2"/>
  <c r="B49" i="2"/>
  <c r="B50" i="2"/>
  <c r="B51" i="2"/>
  <c r="B52" i="2"/>
  <c r="B53" i="2"/>
  <c r="B54" i="2"/>
  <c r="B55" i="2"/>
  <c r="B56" i="2"/>
  <c r="B57" i="2"/>
  <c r="B58" i="2"/>
  <c r="B59" i="2"/>
  <c r="B60" i="2"/>
  <c r="A14" i="23"/>
  <c r="A15" i="23"/>
  <c r="A16" i="23"/>
  <c r="A17" i="23"/>
  <c r="A18" i="23"/>
  <c r="A22" i="23"/>
  <c r="H44" i="18"/>
  <c r="I44" i="18" s="1"/>
  <c r="N44" i="18" s="1"/>
  <c r="H45" i="18"/>
  <c r="I45" i="18" s="1"/>
  <c r="N45" i="18" s="1"/>
  <c r="H46" i="18"/>
  <c r="I46" i="18" s="1"/>
  <c r="N46" i="18" s="1"/>
  <c r="H47" i="18"/>
  <c r="I47" i="18" s="1"/>
  <c r="H48" i="18"/>
  <c r="I48" i="18"/>
  <c r="H49" i="18"/>
  <c r="I49" i="18"/>
  <c r="H50" i="18"/>
  <c r="I50" i="18" s="1"/>
  <c r="H51" i="18"/>
  <c r="I51" i="18" s="1"/>
  <c r="H52" i="18"/>
  <c r="I52" i="18" s="1"/>
  <c r="N52" i="18" s="1"/>
  <c r="H53" i="18"/>
  <c r="I53" i="18"/>
  <c r="N53" i="18" s="1"/>
  <c r="H54" i="18"/>
  <c r="I54" i="18" s="1"/>
  <c r="N54" i="18" s="1"/>
  <c r="H55" i="18"/>
  <c r="I55" i="18" s="1"/>
  <c r="H56" i="18"/>
  <c r="I56" i="18"/>
  <c r="H57" i="18"/>
  <c r="I57" i="18"/>
  <c r="H58" i="18"/>
  <c r="I58" i="18" s="1"/>
  <c r="N58" i="18" s="1"/>
  <c r="H59" i="18"/>
  <c r="I59" i="18" s="1"/>
  <c r="H60" i="18"/>
  <c r="I60" i="18"/>
  <c r="H61" i="18"/>
  <c r="I61" i="18"/>
  <c r="N61" i="18" s="1"/>
  <c r="H62" i="18"/>
  <c r="I62" i="18" s="1"/>
  <c r="H63" i="18"/>
  <c r="I63" i="18" s="1"/>
  <c r="H64" i="18"/>
  <c r="I64" i="18"/>
  <c r="H65" i="18"/>
  <c r="I65" i="18"/>
  <c r="H66" i="18"/>
  <c r="I66" i="18" s="1"/>
  <c r="N66" i="18" s="1"/>
  <c r="H67" i="18"/>
  <c r="I67" i="18" s="1"/>
  <c r="H68" i="18"/>
  <c r="I68" i="18"/>
  <c r="H69" i="18"/>
  <c r="I69" i="18"/>
  <c r="N69" i="18" s="1"/>
  <c r="H70" i="18"/>
  <c r="I70" i="18" s="1"/>
  <c r="N70" i="18" s="1"/>
  <c r="H71" i="18"/>
  <c r="I71" i="18" s="1"/>
  <c r="H72" i="18"/>
  <c r="I72" i="18" s="1"/>
  <c r="N72" i="18" s="1"/>
  <c r="H73" i="18"/>
  <c r="I73" i="18"/>
  <c r="H74" i="18"/>
  <c r="I74" i="18" s="1"/>
  <c r="N74" i="18" s="1"/>
  <c r="H75" i="18"/>
  <c r="I75" i="18" s="1"/>
  <c r="H76" i="18"/>
  <c r="I76" i="18"/>
  <c r="H77" i="18"/>
  <c r="I77" i="18" s="1"/>
  <c r="N77" i="18" s="1"/>
  <c r="H78" i="18"/>
  <c r="I78" i="18" s="1"/>
  <c r="N78" i="18" s="1"/>
  <c r="H79" i="18"/>
  <c r="I79" i="18" s="1"/>
  <c r="H80" i="18"/>
  <c r="I80" i="18"/>
  <c r="H81" i="18"/>
  <c r="I81" i="18"/>
  <c r="H82" i="18"/>
  <c r="I82" i="18" s="1"/>
  <c r="N82" i="18" s="1"/>
  <c r="H83" i="18"/>
  <c r="I83" i="18" s="1"/>
  <c r="H84" i="18"/>
  <c r="I84" i="18" s="1"/>
  <c r="N84" i="18" s="1"/>
  <c r="H85" i="18"/>
  <c r="I85" i="18"/>
  <c r="N85" i="18" s="1"/>
  <c r="H86" i="18"/>
  <c r="I86" i="18" s="1"/>
  <c r="N86" i="18" s="1"/>
  <c r="H87" i="18"/>
  <c r="I87" i="18" s="1"/>
  <c r="H88" i="18"/>
  <c r="I88" i="18" s="1"/>
  <c r="N88" i="18" s="1"/>
  <c r="H89" i="18"/>
  <c r="I89" i="18" s="1"/>
  <c r="N89" i="18" s="1"/>
  <c r="H90" i="18"/>
  <c r="I90" i="18" s="1"/>
  <c r="N90" i="18" s="1"/>
  <c r="H91" i="18"/>
  <c r="I91" i="18" s="1"/>
  <c r="H92" i="18"/>
  <c r="I92" i="18" s="1"/>
  <c r="N92" i="18" s="1"/>
  <c r="H93" i="18"/>
  <c r="I93" i="18" s="1"/>
  <c r="N93" i="18" s="1"/>
  <c r="H94" i="18"/>
  <c r="I94" i="18" s="1"/>
  <c r="N94" i="18" s="1"/>
  <c r="H95" i="18"/>
  <c r="I95" i="18" s="1"/>
  <c r="H96" i="18"/>
  <c r="I96" i="18"/>
  <c r="H97" i="18"/>
  <c r="I97" i="18"/>
  <c r="H98" i="18"/>
  <c r="I98" i="18" s="1"/>
  <c r="N98" i="18" s="1"/>
  <c r="H99" i="18"/>
  <c r="I99" i="18" s="1"/>
  <c r="H100" i="18"/>
  <c r="I100" i="18" s="1"/>
  <c r="N100" i="18" s="1"/>
  <c r="H101" i="18"/>
  <c r="I101" i="18"/>
  <c r="N101" i="18" s="1"/>
  <c r="H102" i="18"/>
  <c r="I102" i="18" s="1"/>
  <c r="N102" i="18" s="1"/>
  <c r="H103" i="18"/>
  <c r="I103" i="18" s="1"/>
  <c r="H104" i="18"/>
  <c r="I104" i="18" s="1"/>
  <c r="N104" i="18" s="1"/>
  <c r="H105" i="18"/>
  <c r="I105" i="18" s="1"/>
  <c r="N105" i="18" s="1"/>
  <c r="H106" i="18"/>
  <c r="I106" i="18" s="1"/>
  <c r="N106" i="18" s="1"/>
  <c r="H107" i="18"/>
  <c r="I107" i="18" s="1"/>
  <c r="H108" i="18"/>
  <c r="I108" i="18" s="1"/>
  <c r="N108" i="18" s="1"/>
  <c r="H109" i="18"/>
  <c r="I109" i="18" s="1"/>
  <c r="H110" i="18"/>
  <c r="I110" i="18" s="1"/>
  <c r="N110" i="18" s="1"/>
  <c r="H111" i="18"/>
  <c r="I111" i="18" s="1"/>
  <c r="J111" i="18" s="1"/>
  <c r="H112" i="18"/>
  <c r="I112" i="18" s="1"/>
  <c r="N112" i="18" s="1"/>
  <c r="H113" i="18"/>
  <c r="I113" i="18" s="1"/>
  <c r="N113" i="18" s="1"/>
  <c r="H114" i="18"/>
  <c r="I114" i="18" s="1"/>
  <c r="N114" i="18" s="1"/>
  <c r="H115" i="18"/>
  <c r="I115" i="18" s="1"/>
  <c r="H116" i="18"/>
  <c r="I116" i="18" s="1"/>
  <c r="N116" i="18" s="1"/>
  <c r="H117" i="18"/>
  <c r="I117" i="18"/>
  <c r="H118" i="18"/>
  <c r="I118" i="18" s="1"/>
  <c r="N118" i="18" s="1"/>
  <c r="H119" i="18"/>
  <c r="I119" i="18" s="1"/>
  <c r="H120" i="18"/>
  <c r="I120" i="18" s="1"/>
  <c r="H121" i="18"/>
  <c r="I121" i="18"/>
  <c r="H122" i="18"/>
  <c r="I122" i="18" s="1"/>
  <c r="N122" i="18" s="1"/>
  <c r="H123" i="18"/>
  <c r="I123" i="18" s="1"/>
  <c r="H124" i="18"/>
  <c r="I124" i="18" s="1"/>
  <c r="N124" i="18" s="1"/>
  <c r="H125" i="18"/>
  <c r="I125" i="18" s="1"/>
  <c r="H126" i="18"/>
  <c r="I126" i="18" s="1"/>
  <c r="N126" i="18" s="1"/>
  <c r="H127" i="18"/>
  <c r="I127" i="18" s="1"/>
  <c r="H128" i="18"/>
  <c r="I128" i="18" s="1"/>
  <c r="N128" i="18" s="1"/>
  <c r="H129" i="18"/>
  <c r="I129" i="18"/>
  <c r="H130" i="18"/>
  <c r="I130" i="18" s="1"/>
  <c r="N130" i="18" s="1"/>
  <c r="H131" i="18"/>
  <c r="I131" i="18" s="1"/>
  <c r="J131" i="18" s="1"/>
  <c r="H132" i="18"/>
  <c r="I132" i="18" s="1"/>
  <c r="N132" i="18" s="1"/>
  <c r="H133" i="18"/>
  <c r="I133" i="18" s="1"/>
  <c r="H134" i="18"/>
  <c r="I134" i="18" s="1"/>
  <c r="N134" i="18" s="1"/>
  <c r="H135" i="18"/>
  <c r="I135" i="18" s="1"/>
  <c r="H136" i="18"/>
  <c r="I136" i="18" s="1"/>
  <c r="N136" i="18" s="1"/>
  <c r="H137" i="18"/>
  <c r="I137" i="18" s="1"/>
  <c r="N137" i="18" s="1"/>
  <c r="H138" i="18"/>
  <c r="I138" i="18" s="1"/>
  <c r="N138" i="18" s="1"/>
  <c r="H139" i="18"/>
  <c r="I139" i="18" s="1"/>
  <c r="H140" i="18"/>
  <c r="I140" i="18" s="1"/>
  <c r="N140" i="18" s="1"/>
  <c r="H141" i="18"/>
  <c r="I141" i="18" s="1"/>
  <c r="H142" i="18"/>
  <c r="I142" i="18" s="1"/>
  <c r="N142" i="18" s="1"/>
  <c r="H143" i="18"/>
  <c r="I143" i="18" s="1"/>
  <c r="H144" i="18"/>
  <c r="I144" i="18" s="1"/>
  <c r="N144" i="18" s="1"/>
  <c r="H145" i="18"/>
  <c r="I145" i="18"/>
  <c r="H146" i="18"/>
  <c r="I146" i="18" s="1"/>
  <c r="N146" i="18" s="1"/>
  <c r="H147" i="18"/>
  <c r="I147" i="18" s="1"/>
  <c r="H148" i="18"/>
  <c r="I148" i="18" s="1"/>
  <c r="N148" i="18" s="1"/>
  <c r="H149" i="18"/>
  <c r="I149" i="18"/>
  <c r="H150" i="18"/>
  <c r="I150" i="18" s="1"/>
  <c r="N150" i="18" s="1"/>
  <c r="H14" i="18"/>
  <c r="I14" i="18" s="1"/>
  <c r="H15" i="18"/>
  <c r="H16" i="18"/>
  <c r="I16" i="18" s="1"/>
  <c r="N16" i="18" s="1"/>
  <c r="H17" i="18"/>
  <c r="H18" i="18"/>
  <c r="I18" i="18" s="1"/>
  <c r="A23" i="23"/>
  <c r="A24" i="23"/>
  <c r="A25" i="23"/>
  <c r="A26" i="23"/>
  <c r="A30" i="23"/>
  <c r="A31" i="23"/>
  <c r="N48" i="18"/>
  <c r="N49" i="18"/>
  <c r="N56" i="18"/>
  <c r="N57" i="18"/>
  <c r="N60" i="18"/>
  <c r="N64" i="18"/>
  <c r="N65" i="18"/>
  <c r="N68" i="18"/>
  <c r="N73" i="18"/>
  <c r="N76" i="18"/>
  <c r="N80" i="18"/>
  <c r="N81" i="18"/>
  <c r="N96" i="18"/>
  <c r="N97" i="18"/>
  <c r="N121" i="18"/>
  <c r="N129" i="18"/>
  <c r="N145" i="18"/>
  <c r="E26" i="2"/>
  <c r="E10" i="2" s="1"/>
  <c r="D11" i="2"/>
  <c r="J39" i="2" s="1"/>
  <c r="C8" i="20"/>
  <c r="C15" i="20" s="1"/>
  <c r="E4" i="13"/>
  <c r="E5" i="13"/>
  <c r="F42" i="2"/>
  <c r="F43" i="2"/>
  <c r="E7" i="13" s="1"/>
  <c r="F45" i="2"/>
  <c r="E9" i="13" s="1"/>
  <c r="F44" i="2"/>
  <c r="E8" i="13" s="1"/>
  <c r="H12" i="20"/>
  <c r="I12" i="20"/>
  <c r="K12" i="20"/>
  <c r="L12" i="20"/>
  <c r="P12" i="20"/>
  <c r="C12" i="20"/>
  <c r="F12" i="20"/>
  <c r="A35" i="23"/>
  <c r="H27" i="18"/>
  <c r="H28" i="18"/>
  <c r="H29" i="18"/>
  <c r="H30" i="18"/>
  <c r="I30" i="18" s="1"/>
  <c r="H31" i="18"/>
  <c r="I31" i="18" s="1"/>
  <c r="H32" i="18"/>
  <c r="I32" i="18" s="1"/>
  <c r="H33" i="18"/>
  <c r="I33" i="18" s="1"/>
  <c r="H34" i="18"/>
  <c r="I34" i="18" s="1"/>
  <c r="H35" i="18"/>
  <c r="I35" i="18" s="1"/>
  <c r="H36" i="18"/>
  <c r="I36" i="18" s="1"/>
  <c r="H37" i="18"/>
  <c r="I37" i="18" s="1"/>
  <c r="H38" i="18"/>
  <c r="I38" i="18" s="1"/>
  <c r="H39" i="18"/>
  <c r="I39" i="18" s="1"/>
  <c r="H40" i="18"/>
  <c r="H41" i="18"/>
  <c r="I41" i="18" s="1"/>
  <c r="N41" i="18" s="1"/>
  <c r="H42" i="18"/>
  <c r="H43" i="18"/>
  <c r="I43" i="18" s="1"/>
  <c r="H151" i="18"/>
  <c r="M50" i="2"/>
  <c r="N50" i="2" s="1"/>
  <c r="M51" i="2"/>
  <c r="N51" i="2" s="1"/>
  <c r="M52" i="2"/>
  <c r="N52" i="2" s="1"/>
  <c r="M53" i="2"/>
  <c r="N53" i="2" s="1"/>
  <c r="M54" i="2"/>
  <c r="N54" i="2" s="1"/>
  <c r="M55" i="2"/>
  <c r="N55" i="2" s="1"/>
  <c r="M56" i="2"/>
  <c r="N56" i="2" s="1"/>
  <c r="M57" i="2"/>
  <c r="N57" i="2" s="1"/>
  <c r="M58" i="2"/>
  <c r="N58" i="2" s="1"/>
  <c r="M59" i="2"/>
  <c r="N59" i="2" s="1"/>
  <c r="M60" i="2"/>
  <c r="N60" i="2" s="1"/>
  <c r="A29" i="23"/>
  <c r="A27" i="23"/>
  <c r="R20" i="23"/>
  <c r="Q20" i="23"/>
  <c r="P20" i="23"/>
  <c r="O20" i="23"/>
  <c r="N20" i="23"/>
  <c r="M20" i="23"/>
  <c r="L20" i="23"/>
  <c r="K20" i="23"/>
  <c r="J20" i="23"/>
  <c r="I20" i="23"/>
  <c r="H20" i="23"/>
  <c r="G20" i="23"/>
  <c r="F20" i="23"/>
  <c r="E20" i="23"/>
  <c r="N62" i="2"/>
  <c r="M62" i="2"/>
  <c r="L62" i="2"/>
  <c r="L61" i="2"/>
  <c r="L63" i="2"/>
  <c r="A14" i="20"/>
  <c r="F11" i="20"/>
  <c r="E11" i="20"/>
  <c r="D11" i="20"/>
  <c r="C11" i="20"/>
  <c r="B11" i="20"/>
  <c r="P11" i="20"/>
  <c r="M11" i="20"/>
  <c r="L11" i="20"/>
  <c r="K11" i="20"/>
  <c r="I11" i="20"/>
  <c r="H11" i="20"/>
  <c r="S12" i="20"/>
  <c r="H155" i="18"/>
  <c r="K152" i="18"/>
  <c r="A11" i="17"/>
  <c r="A10" i="17"/>
  <c r="A9" i="17"/>
  <c r="A8" i="17"/>
  <c r="A7" i="17"/>
  <c r="A6" i="17"/>
  <c r="A5" i="17"/>
  <c r="J64" i="18"/>
  <c r="J76" i="18"/>
  <c r="Q25" i="14"/>
  <c r="P25" i="14"/>
  <c r="O25" i="14"/>
  <c r="N25" i="14"/>
  <c r="M25" i="14"/>
  <c r="L25" i="14"/>
  <c r="K25" i="14"/>
  <c r="J25" i="14"/>
  <c r="I25" i="14"/>
  <c r="H25" i="14"/>
  <c r="G25" i="14"/>
  <c r="F25" i="14"/>
  <c r="E25" i="14"/>
  <c r="D25" i="14"/>
  <c r="C25" i="14"/>
  <c r="Q24" i="14"/>
  <c r="P24" i="14"/>
  <c r="O24" i="14"/>
  <c r="N24" i="14"/>
  <c r="M24" i="14"/>
  <c r="L24" i="14"/>
  <c r="K24" i="14"/>
  <c r="J24" i="14"/>
  <c r="I24" i="14"/>
  <c r="H24" i="14"/>
  <c r="G24" i="14"/>
  <c r="F24" i="14"/>
  <c r="E24" i="14"/>
  <c r="D24" i="14"/>
  <c r="C24" i="14"/>
  <c r="Q8" i="14"/>
  <c r="P8" i="14"/>
  <c r="O8" i="14"/>
  <c r="N8" i="14"/>
  <c r="M8" i="14"/>
  <c r="L8" i="14"/>
  <c r="K8" i="14"/>
  <c r="J8" i="14"/>
  <c r="I8" i="14"/>
  <c r="H8" i="14"/>
  <c r="G8" i="14"/>
  <c r="F8" i="14"/>
  <c r="E8" i="14"/>
  <c r="D8" i="14"/>
  <c r="C8" i="14"/>
  <c r="Q7" i="14"/>
  <c r="P7" i="14"/>
  <c r="O7" i="14"/>
  <c r="N7" i="14"/>
  <c r="M7" i="14"/>
  <c r="L7" i="14"/>
  <c r="K7" i="14"/>
  <c r="J7" i="14"/>
  <c r="I7" i="14"/>
  <c r="H7" i="14"/>
  <c r="G7" i="14"/>
  <c r="F7" i="14"/>
  <c r="E7" i="14"/>
  <c r="D7" i="14"/>
  <c r="C7" i="14"/>
  <c r="R10" i="22"/>
  <c r="Q10" i="22"/>
  <c r="P10" i="22"/>
  <c r="O10" i="22"/>
  <c r="N10" i="22"/>
  <c r="M10" i="22"/>
  <c r="L10" i="22"/>
  <c r="K10" i="22"/>
  <c r="J10" i="22"/>
  <c r="I10" i="22"/>
  <c r="H10" i="22"/>
  <c r="G10" i="22"/>
  <c r="F10" i="22"/>
  <c r="E10" i="22"/>
  <c r="D10" i="22"/>
  <c r="R9" i="22"/>
  <c r="R30" i="22" s="1"/>
  <c r="Q9" i="22"/>
  <c r="Q30" i="22" s="1"/>
  <c r="P9" i="22"/>
  <c r="P30" i="22" s="1"/>
  <c r="O9" i="22"/>
  <c r="O31" i="22" s="1"/>
  <c r="N9" i="22"/>
  <c r="N30" i="22" s="1"/>
  <c r="M9" i="22"/>
  <c r="M30" i="22" s="1"/>
  <c r="L9" i="22"/>
  <c r="L31" i="22" s="1"/>
  <c r="K9" i="22"/>
  <c r="K30" i="22" s="1"/>
  <c r="J9" i="22"/>
  <c r="J31" i="22" s="1"/>
  <c r="I9" i="22"/>
  <c r="I31" i="22" s="1"/>
  <c r="H9" i="22"/>
  <c r="H30" i="22" s="1"/>
  <c r="G9" i="22"/>
  <c r="G30" i="22" s="1"/>
  <c r="F9" i="22"/>
  <c r="F31" i="22" s="1"/>
  <c r="E9" i="22"/>
  <c r="D9" i="22"/>
  <c r="O30" i="22"/>
  <c r="C3" i="22"/>
  <c r="S64" i="23" a="1"/>
  <c r="S64" i="23" s="1"/>
  <c r="T64" i="23" s="1"/>
  <c r="U64" i="23" s="1"/>
  <c r="R60" i="23"/>
  <c r="Q60" i="23"/>
  <c r="P60" i="23"/>
  <c r="O60" i="23"/>
  <c r="N60" i="23"/>
  <c r="M60" i="23"/>
  <c r="L60" i="23"/>
  <c r="K60" i="23"/>
  <c r="J60" i="23"/>
  <c r="I60" i="23"/>
  <c r="H60" i="23"/>
  <c r="G60" i="23"/>
  <c r="F60" i="23"/>
  <c r="E60" i="23"/>
  <c r="D60" i="23"/>
  <c r="C60" i="23"/>
  <c r="R59" i="23"/>
  <c r="Q59" i="23"/>
  <c r="P59" i="23"/>
  <c r="O59" i="23"/>
  <c r="N59" i="23"/>
  <c r="M59" i="23"/>
  <c r="L59" i="23"/>
  <c r="K59" i="23"/>
  <c r="J59" i="23"/>
  <c r="I59" i="23"/>
  <c r="H59" i="23"/>
  <c r="G59" i="23"/>
  <c r="F59" i="23"/>
  <c r="E59" i="23"/>
  <c r="D59" i="23"/>
  <c r="R46" i="23"/>
  <c r="Q46" i="23"/>
  <c r="P46" i="23"/>
  <c r="O46" i="23"/>
  <c r="N46" i="23"/>
  <c r="M46" i="23"/>
  <c r="L46" i="23"/>
  <c r="K46" i="23"/>
  <c r="J46" i="23"/>
  <c r="I46" i="23"/>
  <c r="H46" i="23"/>
  <c r="G46" i="23"/>
  <c r="F46" i="23"/>
  <c r="E46" i="23"/>
  <c r="D46" i="23"/>
  <c r="C46" i="23"/>
  <c r="R45" i="23"/>
  <c r="Q45" i="23"/>
  <c r="P45" i="23"/>
  <c r="O45" i="23"/>
  <c r="N45" i="23"/>
  <c r="M45" i="23"/>
  <c r="L45" i="23"/>
  <c r="K45" i="23"/>
  <c r="J45" i="23"/>
  <c r="I45" i="23"/>
  <c r="H45" i="23"/>
  <c r="G45" i="23"/>
  <c r="F45" i="23"/>
  <c r="E45" i="23"/>
  <c r="D45" i="23"/>
  <c r="C4" i="23"/>
  <c r="J30" i="22"/>
  <c r="S24" i="22" a="1"/>
  <c r="S28" i="22" a="1"/>
  <c r="S16" i="22" a="1"/>
  <c r="G24" i="13"/>
  <c r="J24" i="13" s="1"/>
  <c r="D24" i="13"/>
  <c r="C24" i="13"/>
  <c r="A24" i="13"/>
  <c r="B24" i="13"/>
  <c r="L24" i="13" s="1"/>
  <c r="G23" i="13"/>
  <c r="J23" i="13" s="1"/>
  <c r="D23" i="13"/>
  <c r="C23" i="13"/>
  <c r="A23" i="13"/>
  <c r="B23" i="13" s="1"/>
  <c r="L23" i="13" s="1"/>
  <c r="G22" i="13"/>
  <c r="J22" i="13" s="1"/>
  <c r="D22" i="13"/>
  <c r="C22" i="13"/>
  <c r="A22" i="13"/>
  <c r="B22" i="13" s="1"/>
  <c r="G21" i="13"/>
  <c r="J21" i="13" s="1"/>
  <c r="D21" i="13"/>
  <c r="C21" i="13"/>
  <c r="A21" i="13"/>
  <c r="B21" i="13" s="1"/>
  <c r="L21" i="13" s="1"/>
  <c r="G20" i="13"/>
  <c r="J20" i="13"/>
  <c r="D20" i="13"/>
  <c r="C20" i="13"/>
  <c r="A20" i="13"/>
  <c r="B20" i="13" s="1"/>
  <c r="M20" i="13" s="1"/>
  <c r="G19" i="13"/>
  <c r="J19" i="13" s="1"/>
  <c r="D19" i="13"/>
  <c r="C19" i="13"/>
  <c r="A19" i="13"/>
  <c r="B19" i="13" s="1"/>
  <c r="M19" i="13" s="1"/>
  <c r="G18" i="13"/>
  <c r="J18" i="13"/>
  <c r="D18" i="13"/>
  <c r="C18" i="13"/>
  <c r="A18" i="13"/>
  <c r="B18" i="13" s="1"/>
  <c r="G17" i="13"/>
  <c r="J17" i="13" s="1"/>
  <c r="D17" i="13"/>
  <c r="C17" i="13"/>
  <c r="A17" i="13"/>
  <c r="B17" i="13" s="1"/>
  <c r="M17" i="13" s="1"/>
  <c r="G16" i="13"/>
  <c r="J16" i="13" s="1"/>
  <c r="D16" i="13"/>
  <c r="C16" i="13"/>
  <c r="A16" i="13"/>
  <c r="B16" i="13" s="1"/>
  <c r="L16" i="13" s="1"/>
  <c r="G15" i="13"/>
  <c r="J15" i="13" s="1"/>
  <c r="D15" i="13"/>
  <c r="C15" i="13"/>
  <c r="A15" i="13"/>
  <c r="B15" i="13" s="1"/>
  <c r="L15" i="13" s="1"/>
  <c r="G14" i="13"/>
  <c r="J14" i="13" s="1"/>
  <c r="D14" i="13"/>
  <c r="C14" i="13"/>
  <c r="A14" i="13"/>
  <c r="B14" i="13"/>
  <c r="M14" i="13" s="1"/>
  <c r="G13" i="13"/>
  <c r="J13" i="13" s="1"/>
  <c r="D13" i="13"/>
  <c r="C13" i="13"/>
  <c r="A13" i="13"/>
  <c r="B13" i="13" s="1"/>
  <c r="L13" i="13" s="1"/>
  <c r="G12" i="13"/>
  <c r="J12" i="13" s="1"/>
  <c r="D12" i="13"/>
  <c r="C12" i="13"/>
  <c r="A12" i="13"/>
  <c r="B12" i="13" s="1"/>
  <c r="L12" i="13" s="1"/>
  <c r="L17" i="13"/>
  <c r="H26" i="18"/>
  <c r="H25" i="18"/>
  <c r="I25" i="18" s="1"/>
  <c r="I154" i="18" s="1"/>
  <c r="H24" i="18"/>
  <c r="H23" i="18"/>
  <c r="E24" i="2"/>
  <c r="F46" i="2"/>
  <c r="E10" i="13" s="1"/>
  <c r="H10" i="13" s="1"/>
  <c r="F47" i="2"/>
  <c r="K47" i="2" s="1"/>
  <c r="M47" i="2" s="1"/>
  <c r="N47" i="2" s="1"/>
  <c r="F48" i="2"/>
  <c r="E12" i="13" s="1"/>
  <c r="H12" i="13" s="1"/>
  <c r="F49" i="2"/>
  <c r="E13" i="13" s="1"/>
  <c r="H13" i="13" s="1"/>
  <c r="F50" i="2"/>
  <c r="E14" i="13" s="1"/>
  <c r="H14" i="13" s="1"/>
  <c r="F51" i="2"/>
  <c r="E15" i="13" s="1"/>
  <c r="H15" i="13" s="1"/>
  <c r="F52" i="2"/>
  <c r="K52" i="2" s="1"/>
  <c r="F53" i="2"/>
  <c r="J53" i="2" s="1"/>
  <c r="F54" i="2"/>
  <c r="E18" i="13" s="1"/>
  <c r="H18" i="13" s="1"/>
  <c r="F55" i="2"/>
  <c r="K55" i="2" s="1"/>
  <c r="F56" i="2"/>
  <c r="E20" i="13" s="1"/>
  <c r="H20" i="13" s="1"/>
  <c r="F57" i="2"/>
  <c r="K57" i="2" s="1"/>
  <c r="F58" i="2"/>
  <c r="F59" i="2"/>
  <c r="K59" i="2" s="1"/>
  <c r="F60" i="2"/>
  <c r="E24" i="13" s="1"/>
  <c r="H24" i="13" s="1"/>
  <c r="B4" i="18"/>
  <c r="G48" i="2"/>
  <c r="G49" i="2"/>
  <c r="G50" i="2"/>
  <c r="G51" i="2"/>
  <c r="G52" i="2"/>
  <c r="G53" i="2"/>
  <c r="G54" i="2"/>
  <c r="G55" i="2"/>
  <c r="G56" i="2"/>
  <c r="G57" i="2"/>
  <c r="G58" i="2"/>
  <c r="G59" i="2"/>
  <c r="G60" i="2"/>
  <c r="G40" i="2"/>
  <c r="G41" i="2"/>
  <c r="G42" i="2"/>
  <c r="G43" i="2"/>
  <c r="G44" i="2"/>
  <c r="G45" i="2"/>
  <c r="G46" i="2"/>
  <c r="G47" i="2"/>
  <c r="H22" i="18"/>
  <c r="I22" i="18" s="1"/>
  <c r="H21" i="18"/>
  <c r="I21" i="18" s="1"/>
  <c r="H20" i="18"/>
  <c r="I20" i="18" s="1"/>
  <c r="H19" i="18"/>
  <c r="I19" i="18" s="1"/>
  <c r="B12" i="14"/>
  <c r="B4" i="14"/>
  <c r="S18" i="14" a="1"/>
  <c r="G11" i="13"/>
  <c r="J11" i="13" s="1"/>
  <c r="G10" i="13"/>
  <c r="J10" i="13" s="1"/>
  <c r="G9" i="13"/>
  <c r="J9" i="13" s="1"/>
  <c r="G8" i="13"/>
  <c r="J8" i="13" s="1"/>
  <c r="G7" i="13"/>
  <c r="J7" i="13" s="1"/>
  <c r="G6" i="13"/>
  <c r="J6" i="13" s="1"/>
  <c r="G5" i="13"/>
  <c r="J5" i="13" s="1"/>
  <c r="G4" i="13"/>
  <c r="J4" i="13" s="1"/>
  <c r="E3" i="13"/>
  <c r="D11" i="13"/>
  <c r="C11" i="13"/>
  <c r="D10" i="13"/>
  <c r="C10" i="13"/>
  <c r="D9" i="13"/>
  <c r="C9" i="13"/>
  <c r="D8" i="13"/>
  <c r="C8" i="13"/>
  <c r="D7" i="13"/>
  <c r="C7" i="13"/>
  <c r="D6" i="13"/>
  <c r="C6" i="13"/>
  <c r="D5" i="13"/>
  <c r="C5" i="13"/>
  <c r="D4" i="13"/>
  <c r="C4" i="13"/>
  <c r="D3" i="13"/>
  <c r="C3" i="13"/>
  <c r="A11" i="13"/>
  <c r="B11" i="13" s="1"/>
  <c r="A10" i="13"/>
  <c r="B10" i="13" s="1"/>
  <c r="L10" i="13" s="1"/>
  <c r="A9" i="13"/>
  <c r="B9" i="13" s="1"/>
  <c r="M9" i="13" s="1"/>
  <c r="A8" i="13"/>
  <c r="B8" i="13" s="1"/>
  <c r="L8" i="13" s="1"/>
  <c r="A7" i="13"/>
  <c r="B7" i="13" s="1"/>
  <c r="A6" i="13"/>
  <c r="B6" i="13" s="1"/>
  <c r="M6" i="13" s="1"/>
  <c r="A5" i="13"/>
  <c r="B5" i="13" s="1"/>
  <c r="A4" i="13"/>
  <c r="B4" i="13"/>
  <c r="M4" i="13" s="1"/>
  <c r="A3" i="13"/>
  <c r="B3" i="13" s="1"/>
  <c r="L3" i="13" s="1"/>
  <c r="G39" i="2"/>
  <c r="G3" i="13"/>
  <c r="J3" i="13" s="1"/>
  <c r="C114" i="4"/>
  <c r="D114" i="4" s="1"/>
  <c r="C113" i="4"/>
  <c r="D113" i="4" s="1"/>
  <c r="C112" i="4"/>
  <c r="D112" i="4" s="1"/>
  <c r="C111" i="4"/>
  <c r="D111" i="4" s="1"/>
  <c r="C110" i="4"/>
  <c r="D110" i="4" s="1"/>
  <c r="C109" i="4"/>
  <c r="D109" i="4" s="1"/>
  <c r="C108" i="4"/>
  <c r="D108" i="4" s="1"/>
  <c r="C107" i="4"/>
  <c r="D107" i="4" s="1"/>
  <c r="C106" i="4"/>
  <c r="D106" i="4" s="1"/>
  <c r="C105" i="4"/>
  <c r="D105" i="4" s="1"/>
  <c r="C104" i="4"/>
  <c r="D104" i="4" s="1"/>
  <c r="C103" i="4"/>
  <c r="D103" i="4" s="1"/>
  <c r="C102" i="4"/>
  <c r="D102" i="4" s="1"/>
  <c r="C101" i="4"/>
  <c r="D101" i="4" s="1"/>
  <c r="C100" i="4"/>
  <c r="D100" i="4" s="1"/>
  <c r="C99" i="4"/>
  <c r="D99" i="4" s="1"/>
  <c r="C98" i="4"/>
  <c r="D98" i="4" s="1"/>
  <c r="C97" i="4"/>
  <c r="D97" i="4" s="1"/>
  <c r="C96" i="4"/>
  <c r="D96" i="4" s="1"/>
  <c r="C95" i="4"/>
  <c r="D95" i="4" s="1"/>
  <c r="C94" i="4"/>
  <c r="D94" i="4" s="1"/>
  <c r="C93" i="4"/>
  <c r="D93" i="4" s="1"/>
  <c r="C92" i="4"/>
  <c r="C91" i="4"/>
  <c r="D91" i="4" s="1"/>
  <c r="C90" i="4"/>
  <c r="D90" i="4" s="1"/>
  <c r="C89" i="4"/>
  <c r="D89" i="4" s="1"/>
  <c r="C88" i="4"/>
  <c r="D88" i="4" s="1"/>
  <c r="C87" i="4"/>
  <c r="D87" i="4" s="1"/>
  <c r="C86" i="4"/>
  <c r="D86" i="4" s="1"/>
  <c r="C85" i="4"/>
  <c r="D85" i="4" s="1"/>
  <c r="C84" i="4"/>
  <c r="D84" i="4" s="1"/>
  <c r="C83" i="4"/>
  <c r="C82" i="4"/>
  <c r="D82" i="4" s="1"/>
  <c r="C81" i="4"/>
  <c r="D81" i="4" s="1"/>
  <c r="C80" i="4"/>
  <c r="D80" i="4" s="1"/>
  <c r="C79" i="4"/>
  <c r="D79" i="4" s="1"/>
  <c r="C78" i="4"/>
  <c r="D78" i="4" s="1"/>
  <c r="C77" i="4"/>
  <c r="D77" i="4" s="1"/>
  <c r="C76" i="4"/>
  <c r="D76" i="4" s="1"/>
  <c r="C75" i="4"/>
  <c r="C74" i="4"/>
  <c r="D74" i="4" s="1"/>
  <c r="C73" i="4"/>
  <c r="D73" i="4" s="1"/>
  <c r="C72" i="4"/>
  <c r="D72" i="4" s="1"/>
  <c r="C71" i="4"/>
  <c r="D71" i="4" s="1"/>
  <c r="C70" i="4"/>
  <c r="C69" i="4"/>
  <c r="D69" i="4" s="1"/>
  <c r="C68" i="4"/>
  <c r="D68" i="4" s="1"/>
  <c r="C67" i="4"/>
  <c r="D67" i="4" s="1"/>
  <c r="C66" i="4"/>
  <c r="D66" i="4" s="1"/>
  <c r="C65" i="4"/>
  <c r="D65" i="4" s="1"/>
  <c r="C64" i="4"/>
  <c r="D64" i="4" s="1"/>
  <c r="C63" i="4"/>
  <c r="D63" i="4" s="1"/>
  <c r="C62" i="4"/>
  <c r="D62" i="4" s="1"/>
  <c r="C61" i="4"/>
  <c r="D61" i="4" s="1"/>
  <c r="C60" i="4"/>
  <c r="D60" i="4" s="1"/>
  <c r="C59" i="4"/>
  <c r="C58" i="4"/>
  <c r="D58" i="4" s="1"/>
  <c r="C57" i="4"/>
  <c r="D57" i="4" s="1"/>
  <c r="C56" i="4"/>
  <c r="D56" i="4" s="1"/>
  <c r="C55" i="4"/>
  <c r="D55" i="4" s="1"/>
  <c r="C54" i="4"/>
  <c r="D54" i="4" s="1"/>
  <c r="C53" i="4"/>
  <c r="D53" i="4" s="1"/>
  <c r="C52" i="4"/>
  <c r="D52" i="4" s="1"/>
  <c r="C51" i="4"/>
  <c r="D51" i="4" s="1"/>
  <c r="C50" i="4"/>
  <c r="D50" i="4" s="1"/>
  <c r="C49" i="4"/>
  <c r="D49" i="4" s="1"/>
  <c r="C48" i="4"/>
  <c r="D48" i="4" s="1"/>
  <c r="C47" i="4"/>
  <c r="D47" i="4" s="1"/>
  <c r="C46" i="4"/>
  <c r="D46" i="4" s="1"/>
  <c r="C45" i="4"/>
  <c r="D45" i="4" s="1"/>
  <c r="C44" i="4"/>
  <c r="D44" i="4" s="1"/>
  <c r="C43" i="4"/>
  <c r="D43" i="4" s="1"/>
  <c r="C42" i="4"/>
  <c r="D42" i="4" s="1"/>
  <c r="C41" i="4"/>
  <c r="D41" i="4" s="1"/>
  <c r="C40" i="4"/>
  <c r="D40" i="4" s="1"/>
  <c r="C39" i="4"/>
  <c r="D39" i="4" s="1"/>
  <c r="C38" i="4"/>
  <c r="D38" i="4" s="1"/>
  <c r="C37" i="4"/>
  <c r="D37" i="4" s="1"/>
  <c r="C36" i="4"/>
  <c r="D36" i="4" s="1"/>
  <c r="C35" i="4"/>
  <c r="D35" i="4" s="1"/>
  <c r="C34" i="4"/>
  <c r="D34" i="4" s="1"/>
  <c r="C33" i="4"/>
  <c r="D33" i="4" s="1"/>
  <c r="C32" i="4"/>
  <c r="D32" i="4" s="1"/>
  <c r="C31" i="4"/>
  <c r="D31" i="4" s="1"/>
  <c r="C30" i="4"/>
  <c r="D30" i="4" s="1"/>
  <c r="C29" i="4"/>
  <c r="D29" i="4" s="1"/>
  <c r="C28" i="4"/>
  <c r="D28" i="4" s="1"/>
  <c r="C27" i="4"/>
  <c r="D27" i="4" s="1"/>
  <c r="C26" i="4"/>
  <c r="D26" i="4" s="1"/>
  <c r="C25" i="4"/>
  <c r="D25" i="4" s="1"/>
  <c r="C24" i="4"/>
  <c r="D24" i="4" s="1"/>
  <c r="C23" i="4"/>
  <c r="D23" i="4" s="1"/>
  <c r="C22" i="4"/>
  <c r="D22" i="4" s="1"/>
  <c r="C21" i="4"/>
  <c r="D21" i="4" s="1"/>
  <c r="C20" i="4"/>
  <c r="D20" i="4" s="1"/>
  <c r="C19" i="4"/>
  <c r="D19" i="4" s="1"/>
  <c r="C18" i="4"/>
  <c r="D18" i="4" s="1"/>
  <c r="C17" i="4"/>
  <c r="D17" i="4" s="1"/>
  <c r="C16" i="4"/>
  <c r="D16" i="4" s="1"/>
  <c r="C15" i="4"/>
  <c r="D15" i="4" s="1"/>
  <c r="C14" i="4"/>
  <c r="D14" i="4" s="1"/>
  <c r="D83" i="4"/>
  <c r="D92" i="4"/>
  <c r="L64" i="2"/>
  <c r="O64" i="2"/>
  <c r="N149" i="18" l="1"/>
  <c r="N117" i="18"/>
  <c r="N141" i="18"/>
  <c r="N109" i="18"/>
  <c r="I42" i="18"/>
  <c r="N42" i="18" s="1"/>
  <c r="N133" i="18"/>
  <c r="N125" i="18"/>
  <c r="J50" i="18"/>
  <c r="N50" i="18"/>
  <c r="N120" i="18"/>
  <c r="J120" i="18"/>
  <c r="N62" i="18"/>
  <c r="J62" i="18"/>
  <c r="I151" i="18"/>
  <c r="N151" i="18" s="1"/>
  <c r="N147" i="18"/>
  <c r="N139" i="18"/>
  <c r="N131" i="18"/>
  <c r="N123" i="18"/>
  <c r="N115" i="18"/>
  <c r="N107" i="18"/>
  <c r="N99" i="18"/>
  <c r="N91" i="18"/>
  <c r="N83" i="18"/>
  <c r="N75" i="18"/>
  <c r="N67" i="18"/>
  <c r="N59" i="18"/>
  <c r="N51" i="18"/>
  <c r="N43" i="18"/>
  <c r="I40" i="18"/>
  <c r="N40" i="18" s="1"/>
  <c r="N34" i="18"/>
  <c r="I26" i="18"/>
  <c r="N26" i="18" s="1"/>
  <c r="J69" i="18"/>
  <c r="N143" i="18"/>
  <c r="N135" i="18"/>
  <c r="N127" i="18"/>
  <c r="N119" i="18"/>
  <c r="N111" i="18"/>
  <c r="N103" i="18"/>
  <c r="N95" i="18"/>
  <c r="N87" i="18"/>
  <c r="N79" i="18"/>
  <c r="N71" i="18"/>
  <c r="N63" i="18"/>
  <c r="N55" i="18"/>
  <c r="N47" i="18"/>
  <c r="J103" i="18"/>
  <c r="N21" i="18"/>
  <c r="J35" i="18"/>
  <c r="N35" i="18"/>
  <c r="N33" i="18"/>
  <c r="N32" i="18"/>
  <c r="N39" i="18"/>
  <c r="N31" i="18"/>
  <c r="N38" i="18"/>
  <c r="N30" i="18"/>
  <c r="N37" i="18"/>
  <c r="N36" i="18"/>
  <c r="J11" i="20"/>
  <c r="O11" i="20" s="1"/>
  <c r="H154" i="18"/>
  <c r="I24" i="18"/>
  <c r="J12" i="20" s="1"/>
  <c r="D28" i="23"/>
  <c r="I15" i="18"/>
  <c r="J15" i="18" s="1"/>
  <c r="I17" i="18"/>
  <c r="N17" i="18" s="1"/>
  <c r="N14" i="18"/>
  <c r="K18" i="13"/>
  <c r="O12" i="14"/>
  <c r="O30" i="14" s="1"/>
  <c r="J142" i="18"/>
  <c r="J44" i="18"/>
  <c r="J53" i="18"/>
  <c r="J138" i="18"/>
  <c r="J73" i="18"/>
  <c r="J112" i="18"/>
  <c r="J105" i="18"/>
  <c r="J144" i="18"/>
  <c r="K15" i="13"/>
  <c r="J118" i="18"/>
  <c r="J148" i="18"/>
  <c r="J133" i="18"/>
  <c r="J68" i="18"/>
  <c r="J75" i="18"/>
  <c r="J98" i="18"/>
  <c r="J136" i="18"/>
  <c r="J48" i="18"/>
  <c r="J145" i="18"/>
  <c r="J57" i="18"/>
  <c r="N12" i="14"/>
  <c r="N30" i="14" s="1"/>
  <c r="J60" i="18"/>
  <c r="J14" i="18"/>
  <c r="J146" i="18"/>
  <c r="J135" i="18"/>
  <c r="J31" i="18"/>
  <c r="J39" i="18"/>
  <c r="J25" i="18"/>
  <c r="J94" i="18"/>
  <c r="J124" i="18"/>
  <c r="J93" i="18"/>
  <c r="J51" i="18"/>
  <c r="J74" i="18"/>
  <c r="J49" i="18"/>
  <c r="J128" i="18"/>
  <c r="J81" i="18"/>
  <c r="J34" i="18"/>
  <c r="J80" i="18"/>
  <c r="G12" i="14"/>
  <c r="G30" i="14" s="1"/>
  <c r="J46" i="18"/>
  <c r="J107" i="18"/>
  <c r="J110" i="18"/>
  <c r="J132" i="18"/>
  <c r="J125" i="18"/>
  <c r="J36" i="18"/>
  <c r="J67" i="18"/>
  <c r="J82" i="18"/>
  <c r="J95" i="18"/>
  <c r="J32" i="18"/>
  <c r="J127" i="18"/>
  <c r="J150" i="18"/>
  <c r="J21" i="18"/>
  <c r="E12" i="14"/>
  <c r="E30" i="14" s="1"/>
  <c r="J86" i="18"/>
  <c r="J92" i="18"/>
  <c r="J85" i="18"/>
  <c r="J147" i="18"/>
  <c r="J43" i="18"/>
  <c r="J66" i="18"/>
  <c r="J151" i="18"/>
  <c r="J129" i="18"/>
  <c r="J63" i="18"/>
  <c r="J137" i="18"/>
  <c r="F12" i="14"/>
  <c r="F30" i="14" s="1"/>
  <c r="J54" i="18"/>
  <c r="J61" i="18"/>
  <c r="J115" i="18"/>
  <c r="K24" i="13"/>
  <c r="J126" i="18"/>
  <c r="J30" i="18"/>
  <c r="J149" i="18"/>
  <c r="J37" i="18"/>
  <c r="J83" i="18"/>
  <c r="J106" i="18"/>
  <c r="J55" i="18"/>
  <c r="J89" i="18"/>
  <c r="J79" i="18"/>
  <c r="K50" i="2"/>
  <c r="J50" i="2"/>
  <c r="L14" i="13"/>
  <c r="N14" i="13" s="1"/>
  <c r="O14" i="13" s="1"/>
  <c r="K60" i="2"/>
  <c r="H4" i="13"/>
  <c r="K4" i="13" s="1"/>
  <c r="M15" i="13"/>
  <c r="N15" i="13" s="1"/>
  <c r="E23" i="13"/>
  <c r="H23" i="13" s="1"/>
  <c r="K23" i="13" s="1"/>
  <c r="E16" i="13"/>
  <c r="H16" i="13" s="1"/>
  <c r="K16" i="13" s="1"/>
  <c r="N17" i="13"/>
  <c r="O17" i="13" s="1"/>
  <c r="H3" i="13"/>
  <c r="K3" i="13" s="1"/>
  <c r="K53" i="2"/>
  <c r="M24" i="13"/>
  <c r="N24" i="13" s="1"/>
  <c r="O24" i="13" s="1"/>
  <c r="H7" i="13"/>
  <c r="K7" i="13" s="1"/>
  <c r="K56" i="2"/>
  <c r="J60" i="2"/>
  <c r="L4" i="13"/>
  <c r="N4" i="13" s="1"/>
  <c r="O4" i="13" s="1"/>
  <c r="J52" i="2"/>
  <c r="L20" i="13"/>
  <c r="N20" i="13" s="1"/>
  <c r="O20" i="13" s="1"/>
  <c r="J56" i="2"/>
  <c r="J49" i="2"/>
  <c r="K49" i="2"/>
  <c r="M49" i="2" s="1"/>
  <c r="N49" i="2" s="1"/>
  <c r="N31" i="22"/>
  <c r="H12" i="14"/>
  <c r="H30" i="14" s="1"/>
  <c r="P12" i="14"/>
  <c r="P30" i="14" s="1"/>
  <c r="R31" i="22"/>
  <c r="P31" i="22"/>
  <c r="G31" i="22"/>
  <c r="L12" i="14"/>
  <c r="L30" i="14" s="1"/>
  <c r="H31" i="22"/>
  <c r="I12" i="14"/>
  <c r="I30" i="14" s="1"/>
  <c r="Q12" i="14"/>
  <c r="Q30" i="14" s="1"/>
  <c r="J12" i="14"/>
  <c r="J30" i="14" s="1"/>
  <c r="F30" i="22"/>
  <c r="M31" i="22"/>
  <c r="K12" i="14"/>
  <c r="K30" i="14" s="1"/>
  <c r="M12" i="14"/>
  <c r="M30" i="14" s="1"/>
  <c r="K13" i="13"/>
  <c r="N27" i="18"/>
  <c r="I29" i="18"/>
  <c r="J29" i="18" s="1"/>
  <c r="I28" i="18"/>
  <c r="J28" i="18" s="1"/>
  <c r="I27" i="18"/>
  <c r="I8" i="20" s="1"/>
  <c r="I15" i="20" s="1"/>
  <c r="D12" i="14"/>
  <c r="D30" i="14" s="1"/>
  <c r="K12" i="13"/>
  <c r="K48" i="2"/>
  <c r="M48" i="2" s="1"/>
  <c r="N48" i="2" s="1"/>
  <c r="J48" i="2"/>
  <c r="O15" i="13"/>
  <c r="P15" i="13" s="1"/>
  <c r="E23" i="2"/>
  <c r="E25" i="2" s="1"/>
  <c r="I155" i="18"/>
  <c r="M12" i="20"/>
  <c r="N12" i="20" s="1"/>
  <c r="C28" i="23"/>
  <c r="C12" i="14"/>
  <c r="C30" i="14" s="1"/>
  <c r="K10" i="13"/>
  <c r="M10" i="13"/>
  <c r="N10" i="13" s="1"/>
  <c r="O10" i="13" s="1"/>
  <c r="H5" i="13"/>
  <c r="K5" i="13" s="1"/>
  <c r="J45" i="2"/>
  <c r="J19" i="18"/>
  <c r="K8" i="20"/>
  <c r="K15" i="20" s="1"/>
  <c r="J24" i="18"/>
  <c r="J8" i="20"/>
  <c r="J15" i="20" s="1"/>
  <c r="L8" i="20"/>
  <c r="L15" i="20" s="1"/>
  <c r="N18" i="18"/>
  <c r="J18" i="18"/>
  <c r="O23" i="23" a="1"/>
  <c r="O23" i="23" s="1"/>
  <c r="P23" i="23" a="1"/>
  <c r="P23" i="23" s="1"/>
  <c r="I23" i="18"/>
  <c r="N23" i="18" s="1"/>
  <c r="N25" i="18"/>
  <c r="N24" i="18"/>
  <c r="N22" i="18"/>
  <c r="H153" i="18"/>
  <c r="H152" i="18"/>
  <c r="N20" i="18"/>
  <c r="N19" i="18"/>
  <c r="J22" i="18"/>
  <c r="J41" i="2"/>
  <c r="J40" i="2"/>
  <c r="N11" i="20"/>
  <c r="J43" i="2"/>
  <c r="J44" i="2"/>
  <c r="M11" i="13"/>
  <c r="L11" i="13"/>
  <c r="L18" i="13"/>
  <c r="M18" i="13"/>
  <c r="M22" i="13"/>
  <c r="L22" i="13"/>
  <c r="L7" i="13"/>
  <c r="M7" i="13"/>
  <c r="L5" i="13"/>
  <c r="M5" i="13"/>
  <c r="J47" i="2"/>
  <c r="J59" i="2"/>
  <c r="M16" i="13"/>
  <c r="N16" i="13" s="1"/>
  <c r="O16" i="13" s="1"/>
  <c r="S28" i="22"/>
  <c r="J17" i="18"/>
  <c r="J101" i="18"/>
  <c r="J139" i="18"/>
  <c r="J114" i="18"/>
  <c r="J72" i="18"/>
  <c r="J47" i="18"/>
  <c r="J51" i="2"/>
  <c r="K58" i="2"/>
  <c r="E22" i="13"/>
  <c r="H22" i="13" s="1"/>
  <c r="K22" i="13" s="1"/>
  <c r="M12" i="13"/>
  <c r="N12" i="13" s="1"/>
  <c r="O12" i="13" s="1"/>
  <c r="I30" i="22"/>
  <c r="J25" i="13"/>
  <c r="G25" i="13" s="1"/>
  <c r="J58" i="2"/>
  <c r="K54" i="2"/>
  <c r="J54" i="2"/>
  <c r="M21" i="13"/>
  <c r="N21" i="13" s="1"/>
  <c r="O21" i="13" s="1"/>
  <c r="M8" i="13"/>
  <c r="N8" i="13" s="1"/>
  <c r="O8" i="13" s="1"/>
  <c r="E21" i="13"/>
  <c r="H21" i="13" s="1"/>
  <c r="K21" i="13" s="1"/>
  <c r="J57" i="2"/>
  <c r="M13" i="13"/>
  <c r="N13" i="13" s="1"/>
  <c r="O13" i="13" s="1"/>
  <c r="J143" i="18"/>
  <c r="J41" i="18"/>
  <c r="J88" i="18"/>
  <c r="J26" i="18"/>
  <c r="J119" i="18"/>
  <c r="J130" i="18"/>
  <c r="J99" i="18"/>
  <c r="J16" i="18"/>
  <c r="J117" i="18"/>
  <c r="J116" i="18"/>
  <c r="J78" i="18"/>
  <c r="J40" i="18"/>
  <c r="J104" i="18"/>
  <c r="J87" i="18"/>
  <c r="J33" i="18"/>
  <c r="J58" i="18"/>
  <c r="J27" i="18"/>
  <c r="J123" i="18"/>
  <c r="J45" i="18"/>
  <c r="J141" i="18"/>
  <c r="J140" i="18"/>
  <c r="J102" i="18"/>
  <c r="E6" i="13"/>
  <c r="H6" i="13" s="1"/>
  <c r="K6" i="13" s="1"/>
  <c r="J42" i="2"/>
  <c r="J55" i="2"/>
  <c r="E19" i="13"/>
  <c r="H19" i="13" s="1"/>
  <c r="K19" i="13" s="1"/>
  <c r="S18" i="14"/>
  <c r="J46" i="2"/>
  <c r="L6" i="13"/>
  <c r="N6" i="13" s="1"/>
  <c r="O6" i="13" s="1"/>
  <c r="B30" i="14"/>
  <c r="E17" i="13"/>
  <c r="H17" i="13" s="1"/>
  <c r="K17" i="13" s="1"/>
  <c r="Q31" i="22"/>
  <c r="K46" i="2"/>
  <c r="M46" i="2" s="1"/>
  <c r="N46" i="2" s="1"/>
  <c r="L19" i="13"/>
  <c r="N19" i="13" s="1"/>
  <c r="O19" i="13" s="1"/>
  <c r="K14" i="13"/>
  <c r="M3" i="13"/>
  <c r="N3" i="13" s="1"/>
  <c r="O3" i="13" s="1"/>
  <c r="K20" i="13"/>
  <c r="M23" i="13"/>
  <c r="N23" i="13" s="1"/>
  <c r="O23" i="13" s="1"/>
  <c r="H9" i="13"/>
  <c r="K9" i="13" s="1"/>
  <c r="L9" i="13"/>
  <c r="N9" i="13" s="1"/>
  <c r="O9" i="13" s="1"/>
  <c r="K31" i="22"/>
  <c r="E11" i="13"/>
  <c r="H11" i="13" s="1"/>
  <c r="K11" i="13" s="1"/>
  <c r="K51" i="2"/>
  <c r="L30" i="22"/>
  <c r="S24" i="22"/>
  <c r="S16" i="22"/>
  <c r="K39" i="2"/>
  <c r="M39" i="2" s="1"/>
  <c r="N39" i="2" s="1"/>
  <c r="R31" i="23" a="1"/>
  <c r="R31" i="23" s="1"/>
  <c r="J70" i="18"/>
  <c r="J108" i="18"/>
  <c r="J109" i="18"/>
  <c r="J100" i="18"/>
  <c r="J91" i="18"/>
  <c r="J122" i="18"/>
  <c r="J96" i="18"/>
  <c r="J56" i="18"/>
  <c r="J65" i="18"/>
  <c r="J20" i="18"/>
  <c r="M152" i="18" s="1"/>
  <c r="J97" i="18"/>
  <c r="L30" i="23" a="1"/>
  <c r="L30" i="23" s="1"/>
  <c r="O30" i="23" a="1"/>
  <c r="O30" i="23" s="1"/>
  <c r="R30" i="23" a="1"/>
  <c r="R30" i="23" s="1"/>
  <c r="J134" i="18"/>
  <c r="J38" i="18"/>
  <c r="J52" i="18"/>
  <c r="J77" i="18"/>
  <c r="J84" i="18"/>
  <c r="J59" i="18"/>
  <c r="J90" i="18"/>
  <c r="J113" i="18"/>
  <c r="J71" i="18"/>
  <c r="J42" i="18"/>
  <c r="J121" i="18"/>
  <c r="D59" i="4"/>
  <c r="K44" i="2" s="1"/>
  <c r="M44" i="2" s="1"/>
  <c r="H8" i="13"/>
  <c r="K8" i="13" s="1"/>
  <c r="D70" i="4"/>
  <c r="D75" i="4"/>
  <c r="G11" i="20"/>
  <c r="Q30" i="23" l="1" a="1"/>
  <c r="Q30" i="23" s="1"/>
  <c r="I30" i="23" a="1"/>
  <c r="I30" i="23" s="1"/>
  <c r="J30" i="23" a="1"/>
  <c r="J30" i="23" s="1"/>
  <c r="P30" i="23" a="1"/>
  <c r="P30" i="23" s="1"/>
  <c r="M30" i="23" a="1"/>
  <c r="M30" i="23" s="1"/>
  <c r="P8" i="20"/>
  <c r="P15" i="20" s="1"/>
  <c r="G30" i="23" a="1"/>
  <c r="G30" i="23" s="1"/>
  <c r="K26" i="23" a="1"/>
  <c r="K26" i="23" s="1"/>
  <c r="G25" i="23" a="1"/>
  <c r="G25" i="23" s="1"/>
  <c r="I25" i="23" a="1"/>
  <c r="I25" i="23" s="1"/>
  <c r="L31" i="23" a="1"/>
  <c r="L31" i="23" s="1"/>
  <c r="R22" i="23" a="1"/>
  <c r="R22" i="23" s="1"/>
  <c r="H24" i="23" a="1"/>
  <c r="H24" i="23" s="1"/>
  <c r="L23" i="23" a="1"/>
  <c r="L23" i="23" s="1"/>
  <c r="O25" i="23" a="1"/>
  <c r="O25" i="23" s="1"/>
  <c r="M8" i="20"/>
  <c r="M15" i="20" s="1"/>
  <c r="H156" i="18"/>
  <c r="N15" i="18"/>
  <c r="C23" i="23" a="1"/>
  <c r="C23" i="23" s="1"/>
  <c r="C25" i="23" a="1"/>
  <c r="C25" i="23" s="1"/>
  <c r="C30" i="23" a="1"/>
  <c r="C30" i="23" s="1"/>
  <c r="C31" i="23" a="1"/>
  <c r="C31" i="23" s="1"/>
  <c r="C26" i="23" a="1"/>
  <c r="C26" i="23" s="1"/>
  <c r="C24" i="23" a="1"/>
  <c r="C24" i="23" s="1"/>
  <c r="C22" i="23" a="1"/>
  <c r="C22" i="23" s="1"/>
  <c r="S28" i="23" a="1"/>
  <c r="S28" i="23" s="1"/>
  <c r="T28" i="23" s="1"/>
  <c r="U28" i="23" s="1"/>
  <c r="N31" i="23" a="1"/>
  <c r="N31" i="23" s="1"/>
  <c r="H25" i="23" a="1"/>
  <c r="H25" i="23" s="1"/>
  <c r="L152" i="18"/>
  <c r="J154" i="18"/>
  <c r="P24" i="13"/>
  <c r="P23" i="13"/>
  <c r="P17" i="13"/>
  <c r="P14" i="13"/>
  <c r="P13" i="13"/>
  <c r="P20" i="13"/>
  <c r="N22" i="13"/>
  <c r="O22" i="13" s="1"/>
  <c r="P22" i="13" s="1"/>
  <c r="P12" i="13"/>
  <c r="P4" i="13"/>
  <c r="N28" i="18"/>
  <c r="N29" i="18"/>
  <c r="O12" i="20"/>
  <c r="J155" i="18"/>
  <c r="P9" i="13"/>
  <c r="P10" i="13"/>
  <c r="N5" i="13"/>
  <c r="O5" i="13" s="1"/>
  <c r="P5" i="13" s="1"/>
  <c r="H22" i="23" a="1"/>
  <c r="H22" i="23" s="1"/>
  <c r="Q31" i="23" a="1"/>
  <c r="Q31" i="23" s="1"/>
  <c r="E25" i="23" a="1"/>
  <c r="E25" i="23" s="1"/>
  <c r="J23" i="23" a="1"/>
  <c r="J23" i="23" s="1"/>
  <c r="M25" i="23" a="1"/>
  <c r="M25" i="23" s="1"/>
  <c r="D24" i="23" a="1"/>
  <c r="D24" i="23" s="1"/>
  <c r="H26" i="23" a="1"/>
  <c r="H26" i="23" s="1"/>
  <c r="J31" i="23" a="1"/>
  <c r="J31" i="23" s="1"/>
  <c r="K25" i="23" a="1"/>
  <c r="K25" i="23" s="1"/>
  <c r="F30" i="23" a="1"/>
  <c r="F30" i="23" s="1"/>
  <c r="F23" i="23" a="1"/>
  <c r="F23" i="23" s="1"/>
  <c r="M26" i="23" a="1"/>
  <c r="M26" i="23" s="1"/>
  <c r="N23" i="23" a="1"/>
  <c r="N23" i="23" s="1"/>
  <c r="E22" i="23" a="1"/>
  <c r="E22" i="23" s="1"/>
  <c r="L25" i="23" a="1"/>
  <c r="L25" i="23" s="1"/>
  <c r="K30" i="23" a="1"/>
  <c r="K30" i="23" s="1"/>
  <c r="N30" i="23" a="1"/>
  <c r="N30" i="23" s="1"/>
  <c r="D30" i="23" a="1"/>
  <c r="D30" i="23" s="1"/>
  <c r="G22" i="23" a="1"/>
  <c r="G22" i="23" s="1"/>
  <c r="N24" i="23" a="1"/>
  <c r="N24" i="23" s="1"/>
  <c r="Q24" i="23" a="1"/>
  <c r="Q24" i="23" s="1"/>
  <c r="H30" i="23" a="1"/>
  <c r="H30" i="23" s="1"/>
  <c r="M22" i="23" a="1"/>
  <c r="M22" i="23" s="1"/>
  <c r="L24" i="23" a="1"/>
  <c r="L24" i="23" s="1"/>
  <c r="O24" i="23" a="1"/>
  <c r="O24" i="23" s="1"/>
  <c r="E26" i="23" a="1"/>
  <c r="E26" i="23" s="1"/>
  <c r="I26" i="23" a="1"/>
  <c r="I26" i="23" s="1"/>
  <c r="P31" i="23" a="1"/>
  <c r="P31" i="23" s="1"/>
  <c r="G26" i="23" a="1"/>
  <c r="G26" i="23" s="1"/>
  <c r="I22" i="23" a="1"/>
  <c r="I22" i="23" s="1"/>
  <c r="O31" i="23" a="1"/>
  <c r="O31" i="23" s="1"/>
  <c r="P24" i="23" a="1"/>
  <c r="P24" i="23" s="1"/>
  <c r="O26" i="23" a="1"/>
  <c r="O26" i="23" s="1"/>
  <c r="P22" i="23" a="1"/>
  <c r="P22" i="23" s="1"/>
  <c r="F24" i="23" a="1"/>
  <c r="F24" i="23" s="1"/>
  <c r="J24" i="23" a="1"/>
  <c r="J24" i="23" s="1"/>
  <c r="Q25" i="23" a="1"/>
  <c r="Q25" i="23" s="1"/>
  <c r="K31" i="23" a="1"/>
  <c r="K31" i="23" s="1"/>
  <c r="P25" i="23" a="1"/>
  <c r="P25" i="23" s="1"/>
  <c r="R25" i="23" a="1"/>
  <c r="R25" i="23" s="1"/>
  <c r="E30" i="23" a="1"/>
  <c r="E30" i="23" s="1"/>
  <c r="G23" i="23" a="1"/>
  <c r="G23" i="23" s="1"/>
  <c r="K22" i="23" a="1"/>
  <c r="K22" i="23" s="1"/>
  <c r="L22" i="23" a="1"/>
  <c r="L22" i="23" s="1"/>
  <c r="D25" i="23" a="1"/>
  <c r="D25" i="23" s="1"/>
  <c r="L26" i="23" a="1"/>
  <c r="L26" i="23" s="1"/>
  <c r="R26" i="23" a="1"/>
  <c r="R26" i="23" s="1"/>
  <c r="R24" i="23" a="1"/>
  <c r="R24" i="23" s="1"/>
  <c r="F25" i="23" a="1"/>
  <c r="F25" i="23" s="1"/>
  <c r="I31" i="23" a="1"/>
  <c r="I31" i="23" s="1"/>
  <c r="N25" i="23" a="1"/>
  <c r="N25" i="23" s="1"/>
  <c r="D26" i="23" a="1"/>
  <c r="D26" i="23" s="1"/>
  <c r="G31" i="23" a="1"/>
  <c r="G31" i="23" s="1"/>
  <c r="M23" i="23" a="1"/>
  <c r="M23" i="23" s="1"/>
  <c r="E31" i="23" a="1"/>
  <c r="E31" i="23" s="1"/>
  <c r="G24" i="23" a="1"/>
  <c r="G24" i="23" s="1"/>
  <c r="J25" i="23" a="1"/>
  <c r="J25" i="23" s="1"/>
  <c r="Q26" i="23" a="1"/>
  <c r="Q26" i="23" s="1"/>
  <c r="E23" i="23" a="1"/>
  <c r="E23" i="23" s="1"/>
  <c r="I23" i="23" a="1"/>
  <c r="I23" i="23" s="1"/>
  <c r="P26" i="23" a="1"/>
  <c r="P26" i="23" s="1"/>
  <c r="I152" i="18"/>
  <c r="R23" i="23" a="1"/>
  <c r="R23" i="23" s="1"/>
  <c r="J26" i="23" a="1"/>
  <c r="J26" i="23" s="1"/>
  <c r="K23" i="23" a="1"/>
  <c r="K23" i="23" s="1"/>
  <c r="H23" i="23" a="1"/>
  <c r="H23" i="23" s="1"/>
  <c r="H31" i="23" a="1"/>
  <c r="H31" i="23" s="1"/>
  <c r="M24" i="23" a="1"/>
  <c r="M24" i="23" s="1"/>
  <c r="Q22" i="23" a="1"/>
  <c r="Q22" i="23" s="1"/>
  <c r="D31" i="23" a="1"/>
  <c r="D31" i="23" s="1"/>
  <c r="K24" i="23" a="1"/>
  <c r="K24" i="23" s="1"/>
  <c r="N26" i="23" a="1"/>
  <c r="N26" i="23" s="1"/>
  <c r="E24" i="23" a="1"/>
  <c r="E24" i="23" s="1"/>
  <c r="I24" i="23" a="1"/>
  <c r="I24" i="23" s="1"/>
  <c r="N22" i="23" a="1"/>
  <c r="N22" i="23" s="1"/>
  <c r="I153" i="18"/>
  <c r="I156" i="18" s="1"/>
  <c r="D22" i="23" a="1"/>
  <c r="D22" i="23" s="1"/>
  <c r="H8" i="20"/>
  <c r="H15" i="20" s="1"/>
  <c r="J23" i="18"/>
  <c r="J153" i="18" s="1"/>
  <c r="F26" i="23" a="1"/>
  <c r="F26" i="23" s="1"/>
  <c r="M31" i="23" a="1"/>
  <c r="M31" i="23" s="1"/>
  <c r="O22" i="23" a="1"/>
  <c r="O22" i="23" s="1"/>
  <c r="F22" i="23" a="1"/>
  <c r="F22" i="23" s="1"/>
  <c r="J22" i="23" a="1"/>
  <c r="J22" i="23" s="1"/>
  <c r="Q23" i="23" a="1"/>
  <c r="Q23" i="23" s="1"/>
  <c r="D23" i="23" a="1"/>
  <c r="D23" i="23" s="1"/>
  <c r="F31" i="23" a="1"/>
  <c r="F31" i="23" s="1"/>
  <c r="N7" i="13"/>
  <c r="O7" i="13" s="1"/>
  <c r="P7" i="13" s="1"/>
  <c r="P3" i="13"/>
  <c r="P16" i="13"/>
  <c r="T18" i="14"/>
  <c r="U18" i="14" s="1"/>
  <c r="N18" i="13"/>
  <c r="O18" i="13" s="1"/>
  <c r="P18" i="13" s="1"/>
  <c r="P19" i="13"/>
  <c r="T16" i="22"/>
  <c r="U16" i="22" s="1"/>
  <c r="T24" i="22"/>
  <c r="U24" i="22" s="1"/>
  <c r="P6" i="13"/>
  <c r="N11" i="13"/>
  <c r="O11" i="13" s="1"/>
  <c r="T28" i="22"/>
  <c r="U28" i="22" s="1"/>
  <c r="P21" i="13"/>
  <c r="Q11" i="20"/>
  <c r="R11" i="20" s="1"/>
  <c r="P8" i="13"/>
  <c r="K25" i="13"/>
  <c r="K41" i="2"/>
  <c r="M41" i="2" s="1"/>
  <c r="N41" i="2" s="1"/>
  <c r="K40" i="2"/>
  <c r="M40" i="2" s="1"/>
  <c r="F8" i="20"/>
  <c r="F15" i="20" s="1"/>
  <c r="N44" i="2"/>
  <c r="K42" i="2"/>
  <c r="M42" i="2" s="1"/>
  <c r="D12" i="20" s="1"/>
  <c r="K43" i="2"/>
  <c r="M43" i="2" s="1"/>
  <c r="N43" i="2" s="1"/>
  <c r="D38" i="23" s="1"/>
  <c r="K45" i="2"/>
  <c r="M45" i="2" s="1"/>
  <c r="N152" i="18" l="1"/>
  <c r="O8" i="20"/>
  <c r="O15" i="20" s="1"/>
  <c r="C27" i="23"/>
  <c r="N8" i="20"/>
  <c r="N15" i="20" s="1"/>
  <c r="C14" i="23" a="1"/>
  <c r="B12" i="20"/>
  <c r="J156" i="18"/>
  <c r="J152" i="18"/>
  <c r="C17" i="23" a="1"/>
  <c r="C17" i="23" s="1"/>
  <c r="C18" i="23" a="1"/>
  <c r="C18" i="23" s="1"/>
  <c r="C15" i="23" a="1"/>
  <c r="S30" i="23" a="1"/>
  <c r="S23" i="23" a="1"/>
  <c r="S23" i="23" s="1"/>
  <c r="S31" i="23" a="1"/>
  <c r="S31" i="23" s="1"/>
  <c r="T31" i="23" s="1"/>
  <c r="U31" i="23" s="1"/>
  <c r="S22" i="23" a="1"/>
  <c r="S24" i="23" a="1"/>
  <c r="S25" i="23" a="1"/>
  <c r="S26" i="23" a="1"/>
  <c r="S26" i="23" s="1"/>
  <c r="T26" i="23" s="1"/>
  <c r="U26" i="23" s="1"/>
  <c r="B8" i="20"/>
  <c r="B15" i="20" s="1"/>
  <c r="S30" i="23"/>
  <c r="T30" i="23" s="1"/>
  <c r="U30" i="23" s="1"/>
  <c r="R27" i="23"/>
  <c r="F27" i="23"/>
  <c r="F20" i="22" s="1"/>
  <c r="O27" i="23"/>
  <c r="O13" i="22" s="1"/>
  <c r="Q27" i="23"/>
  <c r="N27" i="23"/>
  <c r="G27" i="23"/>
  <c r="J27" i="23"/>
  <c r="I27" i="23"/>
  <c r="E27" i="23"/>
  <c r="H27" i="23"/>
  <c r="D27" i="23"/>
  <c r="S22" i="23"/>
  <c r="T22" i="23" s="1"/>
  <c r="U22" i="23" s="1"/>
  <c r="S25" i="23"/>
  <c r="L27" i="23"/>
  <c r="P27" i="23"/>
  <c r="M27" i="23"/>
  <c r="K27" i="23"/>
  <c r="S24" i="23"/>
  <c r="T24" i="23" s="1"/>
  <c r="U24" i="23" s="1"/>
  <c r="O25" i="13"/>
  <c r="C16" i="23" a="1"/>
  <c r="C16" i="23" s="1"/>
  <c r="P11" i="13"/>
  <c r="H28" i="13" s="1"/>
  <c r="E8" i="20"/>
  <c r="E15" i="20" s="1"/>
  <c r="N42" i="2"/>
  <c r="N45" i="2"/>
  <c r="E12" i="20"/>
  <c r="C20" i="23"/>
  <c r="D20" i="23"/>
  <c r="M63" i="2"/>
  <c r="D8" i="20"/>
  <c r="N40" i="2"/>
  <c r="M64" i="2"/>
  <c r="C14" i="23"/>
  <c r="C15" i="23"/>
  <c r="R14" i="23" a="1"/>
  <c r="R14" i="23" s="1"/>
  <c r="H18" i="23" a="1"/>
  <c r="H18" i="23" s="1"/>
  <c r="N16" i="23" a="1"/>
  <c r="N16" i="23" s="1"/>
  <c r="Q16" i="23" a="1"/>
  <c r="Q16" i="23" s="1"/>
  <c r="M14" i="23" a="1"/>
  <c r="M14" i="23" s="1"/>
  <c r="J17" i="23" a="1"/>
  <c r="J17" i="23" s="1"/>
  <c r="G18" i="23" a="1"/>
  <c r="G18" i="23" s="1"/>
  <c r="R15" i="23" a="1"/>
  <c r="R15" i="23" s="1"/>
  <c r="P16" i="23" a="1"/>
  <c r="P16" i="23" s="1"/>
  <c r="L14" i="23" a="1"/>
  <c r="L14" i="23" s="1"/>
  <c r="I17" i="23" a="1"/>
  <c r="I17" i="23" s="1"/>
  <c r="F18" i="23" a="1"/>
  <c r="F18" i="23" s="1"/>
  <c r="I15" i="23" a="1"/>
  <c r="I15" i="23" s="1"/>
  <c r="P17" i="23" a="1"/>
  <c r="P17" i="23" s="1"/>
  <c r="G17" i="23" a="1"/>
  <c r="G17" i="23" s="1"/>
  <c r="N14" i="23" a="1"/>
  <c r="N14" i="23" s="1"/>
  <c r="I18" i="23" a="1"/>
  <c r="I18" i="23" s="1"/>
  <c r="O16" i="23" a="1"/>
  <c r="O16" i="23" s="1"/>
  <c r="Q18" i="23" a="1"/>
  <c r="Q18" i="23" s="1"/>
  <c r="M61" i="2"/>
  <c r="J14" i="23" a="1"/>
  <c r="J14" i="23" s="1"/>
  <c r="P18" i="23" a="1"/>
  <c r="P18" i="23" s="1"/>
  <c r="O15" i="23" a="1"/>
  <c r="O15" i="23" s="1"/>
  <c r="M16" i="23" a="1"/>
  <c r="M16" i="23" s="1"/>
  <c r="I14" i="23" a="1"/>
  <c r="I14" i="23" s="1"/>
  <c r="F17" i="23" a="1"/>
  <c r="F17" i="23" s="1"/>
  <c r="R18" i="23" a="1"/>
  <c r="R18" i="23" s="1"/>
  <c r="N15" i="23" a="1"/>
  <c r="N15" i="23" s="1"/>
  <c r="L16" i="23" a="1"/>
  <c r="L16" i="23" s="1"/>
  <c r="H14" i="23" a="1"/>
  <c r="H14" i="23" s="1"/>
  <c r="E17" i="23" a="1"/>
  <c r="E17" i="23" s="1"/>
  <c r="E18" i="23" a="1"/>
  <c r="E18" i="23" s="1"/>
  <c r="K16" i="23" a="1"/>
  <c r="K16" i="23" s="1"/>
  <c r="Q15" i="23" a="1"/>
  <c r="Q15" i="23" s="1"/>
  <c r="H15" i="23" a="1"/>
  <c r="H15" i="23" s="1"/>
  <c r="O17" i="23" a="1"/>
  <c r="O17" i="23" s="1"/>
  <c r="D17" i="23" a="1"/>
  <c r="D17" i="23" s="1"/>
  <c r="K14" i="23" a="1"/>
  <c r="K14" i="23" s="1"/>
  <c r="L17" i="23" a="1"/>
  <c r="L17" i="23" s="1"/>
  <c r="D15" i="23" a="1"/>
  <c r="D15" i="23" s="1"/>
  <c r="K17" i="23" a="1"/>
  <c r="K17" i="23" s="1"/>
  <c r="R17" i="23" a="1"/>
  <c r="R17" i="23" s="1"/>
  <c r="O18" i="23" a="1"/>
  <c r="O18" i="23" s="1"/>
  <c r="K15" i="23" a="1"/>
  <c r="K15" i="23" s="1"/>
  <c r="I16" i="23" a="1"/>
  <c r="I16" i="23" s="1"/>
  <c r="E14" i="23" a="1"/>
  <c r="E14" i="23" s="1"/>
  <c r="Q17" i="23" a="1"/>
  <c r="Q17" i="23" s="1"/>
  <c r="N18" i="23" a="1"/>
  <c r="N18" i="23" s="1"/>
  <c r="J15" i="23" a="1"/>
  <c r="J15" i="23" s="1"/>
  <c r="H16" i="23" a="1"/>
  <c r="H16" i="23" s="1"/>
  <c r="D14" i="23" a="1"/>
  <c r="D14" i="23" s="1"/>
  <c r="G14" i="23" a="1"/>
  <c r="G14" i="23" s="1"/>
  <c r="M18" i="23" a="1"/>
  <c r="M18" i="23" s="1"/>
  <c r="D18" i="23" a="1"/>
  <c r="D18" i="23" s="1"/>
  <c r="J16" i="23" a="1"/>
  <c r="J16" i="23" s="1"/>
  <c r="P15" i="23" a="1"/>
  <c r="P15" i="23" s="1"/>
  <c r="F16" i="23" a="1"/>
  <c r="F16" i="23" s="1"/>
  <c r="L15" i="23" a="1"/>
  <c r="L15" i="23" s="1"/>
  <c r="Q14" i="23" a="1"/>
  <c r="Q14" i="23" s="1"/>
  <c r="N17" i="23" a="1"/>
  <c r="N17" i="23" s="1"/>
  <c r="K18" i="23" a="1"/>
  <c r="K18" i="23" s="1"/>
  <c r="G15" i="23" a="1"/>
  <c r="G15" i="23" s="1"/>
  <c r="E16" i="23" a="1"/>
  <c r="E16" i="23" s="1"/>
  <c r="P14" i="23" a="1"/>
  <c r="P14" i="23" s="1"/>
  <c r="M17" i="23" a="1"/>
  <c r="M17" i="23" s="1"/>
  <c r="J18" i="23" a="1"/>
  <c r="J18" i="23" s="1"/>
  <c r="F15" i="23" a="1"/>
  <c r="F15" i="23" s="1"/>
  <c r="D16" i="23" a="1"/>
  <c r="D16" i="23" s="1"/>
  <c r="H17" i="23" a="1"/>
  <c r="H17" i="23" s="1"/>
  <c r="O14" i="23" a="1"/>
  <c r="O14" i="23" s="1"/>
  <c r="F14" i="23" a="1"/>
  <c r="F14" i="23" s="1"/>
  <c r="L18" i="23" a="1"/>
  <c r="L18" i="23" s="1"/>
  <c r="R16" i="23" a="1"/>
  <c r="R16" i="23" s="1"/>
  <c r="G16" i="23" a="1"/>
  <c r="G16" i="23" s="1"/>
  <c r="M15" i="23" a="1"/>
  <c r="M15" i="23" s="1"/>
  <c r="E15" i="23" a="1"/>
  <c r="E15" i="23" s="1"/>
  <c r="C20" i="22" l="1"/>
  <c r="C13" i="22"/>
  <c r="G12" i="20"/>
  <c r="Q12" i="20" s="1"/>
  <c r="R12" i="20" s="1"/>
  <c r="C34" i="23"/>
  <c r="S27" i="23" a="1"/>
  <c r="S27" i="23" s="1"/>
  <c r="T27" i="23" s="1"/>
  <c r="U27" i="23" s="1"/>
  <c r="S18" i="23" a="1"/>
  <c r="S17" i="23" a="1"/>
  <c r="S16" i="23" a="1"/>
  <c r="S14" i="23" a="1"/>
  <c r="S15" i="23" a="1"/>
  <c r="O20" i="22"/>
  <c r="R13" i="22"/>
  <c r="R20" i="22"/>
  <c r="F13" i="22"/>
  <c r="N13" i="22"/>
  <c r="N20" i="22"/>
  <c r="Q13" i="22"/>
  <c r="Q20" i="22"/>
  <c r="L20" i="22"/>
  <c r="L13" i="22"/>
  <c r="T25" i="23"/>
  <c r="U25" i="23" s="1"/>
  <c r="D20" i="22"/>
  <c r="D13" i="22"/>
  <c r="H20" i="22"/>
  <c r="H13" i="22"/>
  <c r="G20" i="22"/>
  <c r="G13" i="22"/>
  <c r="K13" i="22"/>
  <c r="K20" i="22"/>
  <c r="M13" i="22"/>
  <c r="M20" i="22"/>
  <c r="E20" i="22"/>
  <c r="E13" i="22"/>
  <c r="I20" i="22"/>
  <c r="I13" i="22"/>
  <c r="P20" i="22"/>
  <c r="P13" i="22"/>
  <c r="J20" i="22"/>
  <c r="J13" i="22"/>
  <c r="T23" i="23"/>
  <c r="U23" i="23" s="1"/>
  <c r="K19" i="23"/>
  <c r="I3" i="13"/>
  <c r="I14" i="13"/>
  <c r="Q14" i="13" s="1"/>
  <c r="I22" i="13"/>
  <c r="Q22" i="13" s="1"/>
  <c r="I7" i="13"/>
  <c r="Q7" i="13" s="1"/>
  <c r="I12" i="13"/>
  <c r="Q12" i="13" s="1"/>
  <c r="I8" i="13"/>
  <c r="Q8" i="13" s="1"/>
  <c r="I18" i="13"/>
  <c r="Q18" i="13" s="1"/>
  <c r="I24" i="13"/>
  <c r="Q24" i="13" s="1"/>
  <c r="I15" i="13"/>
  <c r="Q15" i="13" s="1"/>
  <c r="I10" i="13"/>
  <c r="Q10" i="13" s="1"/>
  <c r="I5" i="13"/>
  <c r="Q5" i="13" s="1"/>
  <c r="I23" i="13"/>
  <c r="Q23" i="13" s="1"/>
  <c r="I6" i="13"/>
  <c r="Q6" i="13" s="1"/>
  <c r="I17" i="13"/>
  <c r="Q17" i="13" s="1"/>
  <c r="I19" i="13"/>
  <c r="Q19" i="13" s="1"/>
  <c r="I21" i="13"/>
  <c r="Q21" i="13" s="1"/>
  <c r="I4" i="13"/>
  <c r="Q4" i="13" s="1"/>
  <c r="E31" i="2"/>
  <c r="I13" i="13"/>
  <c r="Q13" i="13" s="1"/>
  <c r="I16" i="13"/>
  <c r="Q16" i="13" s="1"/>
  <c r="I9" i="13"/>
  <c r="Q9" i="13" s="1"/>
  <c r="I11" i="13"/>
  <c r="Q11" i="13" s="1"/>
  <c r="I20" i="13"/>
  <c r="Q20" i="13" s="1"/>
  <c r="E19" i="23"/>
  <c r="O19" i="23"/>
  <c r="P19" i="23"/>
  <c r="L19" i="23"/>
  <c r="N61" i="2"/>
  <c r="N64" i="2"/>
  <c r="H19" i="23"/>
  <c r="S17" i="23"/>
  <c r="T17" i="23" s="1"/>
  <c r="I19" i="23"/>
  <c r="J19" i="23"/>
  <c r="M19" i="23"/>
  <c r="R19" i="23"/>
  <c r="D15" i="20"/>
  <c r="G8" i="20"/>
  <c r="G19" i="23"/>
  <c r="S15" i="23"/>
  <c r="N19" i="23"/>
  <c r="C19" i="23"/>
  <c r="C38" i="23"/>
  <c r="N63" i="2"/>
  <c r="S38" i="23"/>
  <c r="S18" i="23"/>
  <c r="S16" i="23"/>
  <c r="T16" i="23" s="1"/>
  <c r="F19" i="23"/>
  <c r="Q19" i="23"/>
  <c r="D19" i="23"/>
  <c r="S14" i="23"/>
  <c r="O29" i="23" l="1"/>
  <c r="O32" i="23" s="1"/>
  <c r="P19" i="22"/>
  <c r="P26" i="22" s="1"/>
  <c r="E29" i="23"/>
  <c r="E32" i="23" s="1"/>
  <c r="K19" i="22"/>
  <c r="K26" i="22" s="1"/>
  <c r="S19" i="23" a="1"/>
  <c r="S19" i="23" s="1"/>
  <c r="P12" i="22"/>
  <c r="O19" i="14" s="1"/>
  <c r="K51" i="23"/>
  <c r="K65" i="23" s="1"/>
  <c r="P29" i="23"/>
  <c r="P32" i="23" s="1"/>
  <c r="K12" i="22"/>
  <c r="J19" i="14" s="1"/>
  <c r="K29" i="23"/>
  <c r="K32" i="23" s="1"/>
  <c r="P51" i="23"/>
  <c r="P65" i="23" s="1"/>
  <c r="I25" i="13"/>
  <c r="Q3" i="13"/>
  <c r="Q25" i="13" s="1"/>
  <c r="E12" i="22"/>
  <c r="D19" i="14" s="1"/>
  <c r="E19" i="22"/>
  <c r="E26" i="22" s="1"/>
  <c r="O51" i="23"/>
  <c r="O65" i="23" s="1"/>
  <c r="O12" i="22"/>
  <c r="N19" i="14" s="1"/>
  <c r="E51" i="23"/>
  <c r="O19" i="22"/>
  <c r="O26" i="22" s="1"/>
  <c r="Q29" i="23"/>
  <c r="Q32" i="23" s="1"/>
  <c r="Q51" i="23"/>
  <c r="Q19" i="22"/>
  <c r="Q12" i="22"/>
  <c r="C12" i="22"/>
  <c r="C51" i="23"/>
  <c r="C29" i="23"/>
  <c r="C19" i="22"/>
  <c r="Q8" i="20"/>
  <c r="Q15" i="20" s="1"/>
  <c r="G15" i="20"/>
  <c r="M29" i="23"/>
  <c r="M32" i="23" s="1"/>
  <c r="M12" i="22"/>
  <c r="M51" i="23"/>
  <c r="M19" i="22"/>
  <c r="H29" i="23"/>
  <c r="H32" i="23" s="1"/>
  <c r="H51" i="23"/>
  <c r="H19" i="22"/>
  <c r="H12" i="22"/>
  <c r="U16" i="23"/>
  <c r="N29" i="23"/>
  <c r="N32" i="23" s="1"/>
  <c r="N12" i="22"/>
  <c r="N19" i="22"/>
  <c r="N51" i="23"/>
  <c r="J29" i="23"/>
  <c r="J32" i="23" s="1"/>
  <c r="J19" i="22"/>
  <c r="J51" i="23"/>
  <c r="J12" i="22"/>
  <c r="R29" i="23"/>
  <c r="R32" i="23" s="1"/>
  <c r="R19" i="22"/>
  <c r="R51" i="23"/>
  <c r="R12" i="22"/>
  <c r="L29" i="23"/>
  <c r="L32" i="23" s="1"/>
  <c r="L19" i="22"/>
  <c r="L12" i="22"/>
  <c r="L51" i="23"/>
  <c r="F29" i="23"/>
  <c r="F32" i="23" s="1"/>
  <c r="F51" i="23"/>
  <c r="F12" i="22"/>
  <c r="F19" i="22"/>
  <c r="T38" i="23"/>
  <c r="U38" i="23" s="1"/>
  <c r="D29" i="23"/>
  <c r="D32" i="23" s="1"/>
  <c r="D12" i="22"/>
  <c r="D19" i="22"/>
  <c r="D51" i="23"/>
  <c r="T14" i="23"/>
  <c r="U14" i="23" s="1"/>
  <c r="T18" i="23"/>
  <c r="U18" i="23" s="1"/>
  <c r="I29" i="23"/>
  <c r="I32" i="23" s="1"/>
  <c r="I51" i="23"/>
  <c r="I19" i="22"/>
  <c r="I12" i="22"/>
  <c r="T15" i="23"/>
  <c r="U15" i="23" s="1"/>
  <c r="G29" i="23"/>
  <c r="G32" i="23" s="1"/>
  <c r="G12" i="22"/>
  <c r="G51" i="23"/>
  <c r="G19" i="22"/>
  <c r="U17" i="23"/>
  <c r="E14" i="22" l="1"/>
  <c r="E15" i="22" s="1"/>
  <c r="O52" i="23"/>
  <c r="O54" i="23" s="1"/>
  <c r="O14" i="22"/>
  <c r="O15" i="22" s="1"/>
  <c r="E52" i="23"/>
  <c r="E66" i="23" s="1"/>
  <c r="C32" i="23"/>
  <c r="C40" i="23" s="1"/>
  <c r="Q40" i="23" s="1"/>
  <c r="S29" i="23" a="1"/>
  <c r="S51" i="23" a="1"/>
  <c r="P14" i="22"/>
  <c r="P15" i="22" s="1"/>
  <c r="P52" i="23"/>
  <c r="P54" i="23" s="1"/>
  <c r="K14" i="22"/>
  <c r="K15" i="22" s="1"/>
  <c r="K52" i="23"/>
  <c r="K54" i="23" s="1"/>
  <c r="E65" i="23"/>
  <c r="E21" i="22" s="1"/>
  <c r="G52" i="23"/>
  <c r="G54" i="23" s="1"/>
  <c r="G14" i="22"/>
  <c r="G15" i="22" s="1"/>
  <c r="I14" i="22"/>
  <c r="I15" i="22" s="1"/>
  <c r="I52" i="23"/>
  <c r="F65" i="23"/>
  <c r="K19" i="14"/>
  <c r="Q19" i="14"/>
  <c r="R52" i="23"/>
  <c r="R14" i="22"/>
  <c r="R15" i="22" s="1"/>
  <c r="J65" i="23"/>
  <c r="N65" i="23"/>
  <c r="N14" i="22"/>
  <c r="N15" i="22" s="1"/>
  <c r="N52" i="23"/>
  <c r="N54" i="23" s="1"/>
  <c r="D13" i="14"/>
  <c r="D29" i="14" s="1"/>
  <c r="G19" i="14"/>
  <c r="H52" i="23"/>
  <c r="H54" i="23" s="1"/>
  <c r="H14" i="22"/>
  <c r="H15" i="22" s="1"/>
  <c r="M14" i="22"/>
  <c r="M15" i="22" s="1"/>
  <c r="M52" i="23"/>
  <c r="M54" i="23" s="1"/>
  <c r="R8" i="20"/>
  <c r="C26" i="22"/>
  <c r="P19" i="14"/>
  <c r="J13" i="14"/>
  <c r="J29" i="14" s="1"/>
  <c r="J20" i="14"/>
  <c r="J21" i="14"/>
  <c r="C19" i="14"/>
  <c r="L14" i="22"/>
  <c r="L15" i="22" s="1"/>
  <c r="L52" i="23"/>
  <c r="F19" i="14"/>
  <c r="H19" i="14"/>
  <c r="O13" i="14"/>
  <c r="O29" i="14" s="1"/>
  <c r="O20" i="14"/>
  <c r="O21" i="14"/>
  <c r="I26" i="22"/>
  <c r="S51" i="23"/>
  <c r="D65" i="23"/>
  <c r="L26" i="22"/>
  <c r="R65" i="23"/>
  <c r="J26" i="22"/>
  <c r="N26" i="22"/>
  <c r="H26" i="22"/>
  <c r="M26" i="22"/>
  <c r="C52" i="23"/>
  <c r="C54" i="23" s="1"/>
  <c r="C14" i="22"/>
  <c r="C15" i="22" s="1"/>
  <c r="Q26" i="22"/>
  <c r="G26" i="22"/>
  <c r="I65" i="23"/>
  <c r="N20" i="14"/>
  <c r="N13" i="14"/>
  <c r="N29" i="14" s="1"/>
  <c r="N21" i="14"/>
  <c r="D26" i="22"/>
  <c r="D52" i="23"/>
  <c r="S29" i="23"/>
  <c r="T29" i="23" s="1"/>
  <c r="D14" i="22"/>
  <c r="F26" i="22"/>
  <c r="F52" i="23"/>
  <c r="F14" i="22"/>
  <c r="F15" i="22" s="1"/>
  <c r="R26" i="22"/>
  <c r="K21" i="22"/>
  <c r="O21" i="22"/>
  <c r="M19" i="14"/>
  <c r="H65" i="23"/>
  <c r="M65" i="23"/>
  <c r="T19" i="23"/>
  <c r="U19" i="23" s="1"/>
  <c r="C65" i="23"/>
  <c r="Q65" i="23"/>
  <c r="P21" i="22"/>
  <c r="Q21" i="22"/>
  <c r="G65" i="23"/>
  <c r="E19" i="14"/>
  <c r="L65" i="23"/>
  <c r="I19" i="14"/>
  <c r="J52" i="23"/>
  <c r="J54" i="23" s="1"/>
  <c r="J14" i="22"/>
  <c r="J15" i="22" s="1"/>
  <c r="L19" i="14"/>
  <c r="B19" i="14"/>
  <c r="Q14" i="22"/>
  <c r="Q15" i="22" s="1"/>
  <c r="Q52" i="23"/>
  <c r="Q54" i="23" s="1"/>
  <c r="S65" i="23" l="1" a="1"/>
  <c r="E55" i="23"/>
  <c r="O55" i="23"/>
  <c r="O66" i="23"/>
  <c r="O69" i="23" s="1"/>
  <c r="E54" i="23"/>
  <c r="R34" i="23"/>
  <c r="D54" i="23"/>
  <c r="S52" i="23" a="1"/>
  <c r="S32" i="23" a="1"/>
  <c r="S32" i="23" s="1"/>
  <c r="P55" i="23"/>
  <c r="K55" i="23"/>
  <c r="K66" i="23"/>
  <c r="K69" i="23" s="1"/>
  <c r="P66" i="23"/>
  <c r="P69" i="23" s="1"/>
  <c r="E69" i="23"/>
  <c r="Q48" i="23"/>
  <c r="G21" i="22"/>
  <c r="C21" i="22"/>
  <c r="J9" i="14"/>
  <c r="K22" i="22"/>
  <c r="M66" i="23"/>
  <c r="M69" i="23" s="1"/>
  <c r="M55" i="23"/>
  <c r="G13" i="14"/>
  <c r="G29" i="14" s="1"/>
  <c r="G20" i="14"/>
  <c r="G21" i="14"/>
  <c r="N21" i="22"/>
  <c r="R55" i="23"/>
  <c r="R66" i="23"/>
  <c r="R69" i="23" s="1"/>
  <c r="K21" i="14"/>
  <c r="K13" i="14"/>
  <c r="K29" i="14" s="1"/>
  <c r="K20" i="14"/>
  <c r="I55" i="23"/>
  <c r="I66" i="23"/>
  <c r="I69" i="23" s="1"/>
  <c r="D40" i="23"/>
  <c r="H40" i="23"/>
  <c r="I20" i="14"/>
  <c r="I21" i="14"/>
  <c r="I13" i="14"/>
  <c r="I29" i="14" s="1"/>
  <c r="E13" i="14"/>
  <c r="E29" i="14" s="1"/>
  <c r="E21" i="14"/>
  <c r="E20" i="14"/>
  <c r="R21" i="22"/>
  <c r="H21" i="22"/>
  <c r="U29" i="23"/>
  <c r="I54" i="23"/>
  <c r="E40" i="23"/>
  <c r="G40" i="23"/>
  <c r="H13" i="14"/>
  <c r="H29" i="14" s="1"/>
  <c r="H20" i="14"/>
  <c r="H21" i="14"/>
  <c r="N66" i="23"/>
  <c r="N69" i="23" s="1"/>
  <c r="N55" i="23"/>
  <c r="Q13" i="14"/>
  <c r="Q29" i="14" s="1"/>
  <c r="Q20" i="14"/>
  <c r="Q21" i="14"/>
  <c r="F21" i="22"/>
  <c r="G66" i="23"/>
  <c r="G69" i="23" s="1"/>
  <c r="G55" i="23"/>
  <c r="F40" i="23"/>
  <c r="N40" i="23"/>
  <c r="R40" i="23"/>
  <c r="P9" i="14"/>
  <c r="N9" i="14"/>
  <c r="O22" i="22"/>
  <c r="F55" i="23"/>
  <c r="F66" i="23"/>
  <c r="F69" i="23" s="1"/>
  <c r="Q55" i="23"/>
  <c r="Q66" i="23"/>
  <c r="Q69" i="23" s="1"/>
  <c r="B13" i="14"/>
  <c r="L13" i="14"/>
  <c r="L29" i="14" s="1"/>
  <c r="L20" i="14"/>
  <c r="L21" i="14"/>
  <c r="O40" i="23"/>
  <c r="D55" i="23"/>
  <c r="D66" i="23"/>
  <c r="S52" i="23"/>
  <c r="T52" i="23" s="1"/>
  <c r="I21" i="22"/>
  <c r="Q22" i="22"/>
  <c r="C66" i="23"/>
  <c r="C55" i="23"/>
  <c r="M40" i="23"/>
  <c r="C13" i="14"/>
  <c r="P13" i="14"/>
  <c r="P29" i="14" s="1"/>
  <c r="P20" i="14"/>
  <c r="P21" i="14"/>
  <c r="J21" i="22"/>
  <c r="F54" i="23"/>
  <c r="E68" i="23"/>
  <c r="L21" i="22"/>
  <c r="L55" i="23"/>
  <c r="L66" i="23"/>
  <c r="L69" i="23" s="1"/>
  <c r="C48" i="23"/>
  <c r="P40" i="23"/>
  <c r="K40" i="23"/>
  <c r="J66" i="23"/>
  <c r="J69" i="23" s="1"/>
  <c r="J55" i="23"/>
  <c r="L54" i="23"/>
  <c r="O9" i="14"/>
  <c r="P22" i="22"/>
  <c r="T51" i="23"/>
  <c r="U51" i="23" s="1"/>
  <c r="M21" i="22"/>
  <c r="M21" i="14"/>
  <c r="M13" i="14"/>
  <c r="M29" i="14" s="1"/>
  <c r="M20" i="14"/>
  <c r="L40" i="23"/>
  <c r="R54" i="23"/>
  <c r="D21" i="22"/>
  <c r="S65" i="23"/>
  <c r="T65" i="23" s="1"/>
  <c r="I40" i="23"/>
  <c r="F13" i="14"/>
  <c r="F29" i="14" s="1"/>
  <c r="F21" i="14"/>
  <c r="F20" i="14"/>
  <c r="D15" i="22"/>
  <c r="R15" i="20"/>
  <c r="H66" i="23"/>
  <c r="H69" i="23" s="1"/>
  <c r="H55" i="23"/>
  <c r="D9" i="14"/>
  <c r="D20" i="14" s="1"/>
  <c r="E22" i="22"/>
  <c r="J40" i="23"/>
  <c r="O68" i="23" l="1"/>
  <c r="F34" i="23"/>
  <c r="L34" i="23"/>
  <c r="J34" i="23"/>
  <c r="I34" i="23"/>
  <c r="N34" i="23"/>
  <c r="M34" i="23"/>
  <c r="H34" i="23"/>
  <c r="C35" i="23"/>
  <c r="P34" i="23"/>
  <c r="G34" i="23"/>
  <c r="O34" i="23"/>
  <c r="Q34" i="23"/>
  <c r="K34" i="23"/>
  <c r="S34" i="23" a="1"/>
  <c r="D68" i="23"/>
  <c r="S66" i="23" a="1"/>
  <c r="S40" i="23" a="1"/>
  <c r="S55" i="23" a="1"/>
  <c r="S55" i="23" s="1"/>
  <c r="T55" i="23" s="1"/>
  <c r="S54" i="23" a="1"/>
  <c r="S54" i="23" s="1"/>
  <c r="T54" i="23" s="1"/>
  <c r="U54" i="23" s="1"/>
  <c r="K68" i="23"/>
  <c r="P68" i="23"/>
  <c r="I68" i="23"/>
  <c r="M68" i="23"/>
  <c r="Q68" i="23"/>
  <c r="R68" i="23"/>
  <c r="J68" i="23"/>
  <c r="L48" i="23"/>
  <c r="C29" i="14"/>
  <c r="M48" i="23"/>
  <c r="C69" i="23"/>
  <c r="H9" i="14"/>
  <c r="I22" i="22"/>
  <c r="Q9" i="14"/>
  <c r="R22" i="22"/>
  <c r="C68" i="23"/>
  <c r="G68" i="23"/>
  <c r="P26" i="14"/>
  <c r="M9" i="14"/>
  <c r="N22" i="22"/>
  <c r="J26" i="14"/>
  <c r="F9" i="14"/>
  <c r="G22" i="22"/>
  <c r="P48" i="23"/>
  <c r="L9" i="14"/>
  <c r="M22" i="22"/>
  <c r="O26" i="14"/>
  <c r="C49" i="23"/>
  <c r="C62" i="23"/>
  <c r="U52" i="23"/>
  <c r="O48" i="23"/>
  <c r="R48" i="23"/>
  <c r="E9" i="14"/>
  <c r="F22" i="22"/>
  <c r="G48" i="23"/>
  <c r="E48" i="23"/>
  <c r="H68" i="23"/>
  <c r="Q62" i="23"/>
  <c r="Q49" i="23"/>
  <c r="Q63" i="23" s="1"/>
  <c r="I48" i="23"/>
  <c r="C9" i="14"/>
  <c r="D22" i="22"/>
  <c r="K48" i="23"/>
  <c r="K9" i="14"/>
  <c r="L22" i="22"/>
  <c r="H48" i="23"/>
  <c r="J48" i="23"/>
  <c r="D26" i="14"/>
  <c r="U65" i="23"/>
  <c r="L68" i="23"/>
  <c r="T32" i="23"/>
  <c r="U32" i="23" s="1"/>
  <c r="I9" i="14"/>
  <c r="J22" i="22"/>
  <c r="D69" i="23"/>
  <c r="S66" i="23"/>
  <c r="T66" i="23" s="1"/>
  <c r="B29" i="14"/>
  <c r="N26" i="14"/>
  <c r="N48" i="23"/>
  <c r="F48" i="23"/>
  <c r="F68" i="23"/>
  <c r="G9" i="14"/>
  <c r="H22" i="22"/>
  <c r="D48" i="23"/>
  <c r="S40" i="23"/>
  <c r="N68" i="23"/>
  <c r="B9" i="14"/>
  <c r="C22" i="22"/>
  <c r="D35" i="23" l="1"/>
  <c r="D39" i="23" s="1"/>
  <c r="Q35" i="23"/>
  <c r="E35" i="23"/>
  <c r="E17" i="22" s="1"/>
  <c r="E30" i="22" s="1"/>
  <c r="G35" i="23"/>
  <c r="M35" i="23"/>
  <c r="J35" i="23"/>
  <c r="N35" i="23"/>
  <c r="R35" i="23"/>
  <c r="O35" i="23"/>
  <c r="H35" i="23"/>
  <c r="P35" i="23"/>
  <c r="K35" i="23"/>
  <c r="F35" i="23"/>
  <c r="L35" i="23"/>
  <c r="I35" i="23"/>
  <c r="S11" i="20"/>
  <c r="C39" i="23"/>
  <c r="C17" i="22"/>
  <c r="B10" i="14" s="1"/>
  <c r="B11" i="14" s="1"/>
  <c r="S8" i="20"/>
  <c r="S15" i="20" s="1"/>
  <c r="S34" i="23"/>
  <c r="T34" i="23" s="1"/>
  <c r="U34" i="23" s="1"/>
  <c r="S48" i="23" a="1"/>
  <c r="S69" i="23" a="1"/>
  <c r="S69" i="23" s="1"/>
  <c r="T69" i="23" s="1"/>
  <c r="U69" i="23" s="1"/>
  <c r="S35" i="23" a="1"/>
  <c r="S68" i="23" a="1"/>
  <c r="S68" i="23" s="1"/>
  <c r="T68" i="23" s="1"/>
  <c r="U68" i="23" s="1"/>
  <c r="H26" i="14"/>
  <c r="B26" i="14"/>
  <c r="B20" i="14"/>
  <c r="K26" i="14"/>
  <c r="L26" i="14"/>
  <c r="C63" i="23"/>
  <c r="D49" i="23"/>
  <c r="D62" i="23"/>
  <c r="S48" i="23"/>
  <c r="I49" i="23"/>
  <c r="I63" i="23" s="1"/>
  <c r="I62" i="23"/>
  <c r="N49" i="23"/>
  <c r="N63" i="23" s="1"/>
  <c r="N62" i="23"/>
  <c r="J62" i="23"/>
  <c r="J49" i="23"/>
  <c r="J63" i="23" s="1"/>
  <c r="K62" i="23"/>
  <c r="K49" i="23"/>
  <c r="K63" i="23" s="1"/>
  <c r="E49" i="23"/>
  <c r="E63" i="23" s="1"/>
  <c r="E62" i="23"/>
  <c r="E26" i="14"/>
  <c r="R62" i="23"/>
  <c r="R49" i="23"/>
  <c r="R63" i="23" s="1"/>
  <c r="P62" i="23"/>
  <c r="P49" i="23"/>
  <c r="P63" i="23" s="1"/>
  <c r="F26" i="14"/>
  <c r="M26" i="14"/>
  <c r="U55" i="23"/>
  <c r="Q26" i="14"/>
  <c r="L62" i="23"/>
  <c r="L49" i="23"/>
  <c r="L63" i="23" s="1"/>
  <c r="T40" i="23"/>
  <c r="U40" i="23" s="1"/>
  <c r="I26" i="14"/>
  <c r="H62" i="23"/>
  <c r="H49" i="23"/>
  <c r="H63" i="23" s="1"/>
  <c r="O49" i="23"/>
  <c r="O63" i="23" s="1"/>
  <c r="O62" i="23"/>
  <c r="G26" i="14"/>
  <c r="F49" i="23"/>
  <c r="F63" i="23" s="1"/>
  <c r="F62" i="23"/>
  <c r="U66" i="23"/>
  <c r="C26" i="14"/>
  <c r="C20" i="14"/>
  <c r="G49" i="23"/>
  <c r="G63" i="23" s="1"/>
  <c r="G62" i="23"/>
  <c r="M62" i="23"/>
  <c r="M49" i="23"/>
  <c r="M63" i="23" s="1"/>
  <c r="D17" i="22" l="1"/>
  <c r="C15" i="14" s="1"/>
  <c r="S35" i="23"/>
  <c r="T35" i="23" s="1"/>
  <c r="U35" i="23" s="1"/>
  <c r="C30" i="22"/>
  <c r="C25" i="22"/>
  <c r="C27" i="22" s="1"/>
  <c r="E39" i="23"/>
  <c r="D10" i="14"/>
  <c r="D27" i="14" s="1"/>
  <c r="D28" i="14" s="1"/>
  <c r="D31" i="14" s="1"/>
  <c r="D15" i="14"/>
  <c r="D32" i="14" s="1"/>
  <c r="N17" i="22"/>
  <c r="N39" i="23"/>
  <c r="I17" i="22"/>
  <c r="H15" i="14" s="1"/>
  <c r="H32" i="14" s="1"/>
  <c r="I39" i="23"/>
  <c r="B16" i="14"/>
  <c r="B33" i="14" s="1"/>
  <c r="Q17" i="22"/>
  <c r="Q39" i="23"/>
  <c r="M17" i="22"/>
  <c r="M23" i="22" s="1"/>
  <c r="M39" i="23"/>
  <c r="B27" i="14"/>
  <c r="B28" i="14" s="1"/>
  <c r="K17" i="22"/>
  <c r="J10" i="14" s="1"/>
  <c r="J27" i="14" s="1"/>
  <c r="J28" i="14" s="1"/>
  <c r="J31" i="14" s="1"/>
  <c r="K39" i="23"/>
  <c r="R17" i="22"/>
  <c r="R29" i="22" s="1"/>
  <c r="R39" i="23"/>
  <c r="H17" i="22"/>
  <c r="H23" i="22" s="1"/>
  <c r="H39" i="23"/>
  <c r="J17" i="22"/>
  <c r="J25" i="22" s="1"/>
  <c r="J27" i="22" s="1"/>
  <c r="J39" i="23"/>
  <c r="G17" i="22"/>
  <c r="G25" i="22" s="1"/>
  <c r="G27" i="22" s="1"/>
  <c r="G39" i="23"/>
  <c r="R14" i="20"/>
  <c r="R13" i="20" s="1"/>
  <c r="C23" i="22"/>
  <c r="L17" i="22"/>
  <c r="L39" i="23"/>
  <c r="O17" i="22"/>
  <c r="O23" i="22" s="1"/>
  <c r="O39" i="23"/>
  <c r="B15" i="14"/>
  <c r="B32" i="14" s="1"/>
  <c r="C29" i="22"/>
  <c r="C31" i="22" s="1"/>
  <c r="F17" i="22"/>
  <c r="F39" i="23"/>
  <c r="P17" i="22"/>
  <c r="P39" i="23"/>
  <c r="D16" i="14"/>
  <c r="D33" i="14" s="1"/>
  <c r="E25" i="22"/>
  <c r="E27" i="22" s="1"/>
  <c r="E23" i="22"/>
  <c r="E29" i="22"/>
  <c r="E31" i="22" s="1"/>
  <c r="S62" i="23" a="1"/>
  <c r="S62" i="23" s="1"/>
  <c r="S49" i="23" a="1"/>
  <c r="T48" i="23"/>
  <c r="U48" i="23" s="1"/>
  <c r="S49" i="23"/>
  <c r="D63" i="23"/>
  <c r="B14" i="14"/>
  <c r="B21" i="14"/>
  <c r="C10" i="14" l="1"/>
  <c r="C27" i="14" s="1"/>
  <c r="C16" i="14"/>
  <c r="C33" i="14" s="1"/>
  <c r="D25" i="22"/>
  <c r="D27" i="22" s="1"/>
  <c r="D23" i="22"/>
  <c r="D30" i="22"/>
  <c r="S30" i="22" s="1"/>
  <c r="I23" i="22"/>
  <c r="D29" i="22"/>
  <c r="D11" i="14"/>
  <c r="D14" i="14" s="1"/>
  <c r="D17" i="14" s="1"/>
  <c r="I25" i="22"/>
  <c r="I27" i="22" s="1"/>
  <c r="G29" i="22"/>
  <c r="J15" i="14"/>
  <c r="J32" i="14" s="1"/>
  <c r="G23" i="22"/>
  <c r="F15" i="14"/>
  <c r="F32" i="14" s="1"/>
  <c r="H16" i="14"/>
  <c r="H33" i="14" s="1"/>
  <c r="H10" i="14"/>
  <c r="H27" i="14" s="1"/>
  <c r="H28" i="14" s="1"/>
  <c r="H31" i="14" s="1"/>
  <c r="I29" i="22"/>
  <c r="Q16" i="14"/>
  <c r="Q33" i="14" s="1"/>
  <c r="J11" i="14"/>
  <c r="J14" i="14" s="1"/>
  <c r="S39" i="23"/>
  <c r="T39" i="23" s="1"/>
  <c r="U39" i="23" s="1"/>
  <c r="M29" i="22"/>
  <c r="L15" i="14"/>
  <c r="L32" i="14" s="1"/>
  <c r="K15" i="14"/>
  <c r="K32" i="14" s="1"/>
  <c r="L25" i="22"/>
  <c r="L27" i="22" s="1"/>
  <c r="G10" i="14"/>
  <c r="H25" i="22"/>
  <c r="H27" i="22" s="1"/>
  <c r="H29" i="22"/>
  <c r="E15" i="14"/>
  <c r="E32" i="14" s="1"/>
  <c r="F29" i="22"/>
  <c r="F23" i="22"/>
  <c r="F25" i="22"/>
  <c r="F27" i="22" s="1"/>
  <c r="E10" i="14"/>
  <c r="E16" i="14"/>
  <c r="E33" i="14" s="1"/>
  <c r="Q10" i="14"/>
  <c r="R23" i="22"/>
  <c r="R25" i="22"/>
  <c r="R27" i="22" s="1"/>
  <c r="Q15" i="14"/>
  <c r="Q32" i="14" s="1"/>
  <c r="F10" i="14"/>
  <c r="F16" i="14"/>
  <c r="F33" i="14" s="1"/>
  <c r="K25" i="22"/>
  <c r="K27" i="22" s="1"/>
  <c r="K23" i="22"/>
  <c r="J16" i="14"/>
  <c r="J33" i="14" s="1"/>
  <c r="Q23" i="22"/>
  <c r="Q25" i="22"/>
  <c r="Q27" i="22" s="1"/>
  <c r="P16" i="14"/>
  <c r="P33" i="14" s="1"/>
  <c r="Q29" i="22"/>
  <c r="P15" i="14"/>
  <c r="P32" i="14" s="1"/>
  <c r="P10" i="14"/>
  <c r="G16" i="14"/>
  <c r="G33" i="14" s="1"/>
  <c r="K29" i="22"/>
  <c r="K16" i="14"/>
  <c r="K33" i="14" s="1"/>
  <c r="L29" i="22"/>
  <c r="L23" i="22"/>
  <c r="N15" i="14"/>
  <c r="N32" i="14" s="1"/>
  <c r="O25" i="22"/>
  <c r="O27" i="22" s="1"/>
  <c r="O29" i="22"/>
  <c r="N16" i="14"/>
  <c r="N33" i="14" s="1"/>
  <c r="N10" i="14"/>
  <c r="I10" i="14"/>
  <c r="J23" i="22"/>
  <c r="I16" i="14"/>
  <c r="I33" i="14" s="1"/>
  <c r="I15" i="14"/>
  <c r="I32" i="14" s="1"/>
  <c r="J29" i="22"/>
  <c r="N23" i="22"/>
  <c r="M15" i="14"/>
  <c r="M32" i="14" s="1"/>
  <c r="N25" i="22"/>
  <c r="N27" i="22" s="1"/>
  <c r="M10" i="14"/>
  <c r="N29" i="22"/>
  <c r="M16" i="14"/>
  <c r="M33" i="14" s="1"/>
  <c r="G15" i="14"/>
  <c r="G32" i="14" s="1"/>
  <c r="K10" i="14"/>
  <c r="P25" i="22"/>
  <c r="P27" i="22" s="1"/>
  <c r="P23" i="22"/>
  <c r="P29" i="22"/>
  <c r="O16" i="14"/>
  <c r="O33" i="14" s="1"/>
  <c r="O15" i="14"/>
  <c r="O32" i="14" s="1"/>
  <c r="O10" i="14"/>
  <c r="L10" i="14"/>
  <c r="M25" i="22"/>
  <c r="M27" i="22" s="1"/>
  <c r="L16" i="14"/>
  <c r="L33" i="14" s="1"/>
  <c r="D34" i="14"/>
  <c r="S63" i="23" a="1"/>
  <c r="S63" i="23" s="1"/>
  <c r="T63" i="23" s="1"/>
  <c r="U63" i="23" s="1"/>
  <c r="D21" i="14"/>
  <c r="T49" i="23"/>
  <c r="U49" i="23" s="1"/>
  <c r="C32" i="14"/>
  <c r="B17" i="14"/>
  <c r="T62" i="23"/>
  <c r="U62" i="23" s="1"/>
  <c r="B31" i="14"/>
  <c r="C11" i="14" l="1"/>
  <c r="C21" i="14" s="1"/>
  <c r="H34" i="14"/>
  <c r="D31" i="22"/>
  <c r="S31" i="22" s="1"/>
  <c r="T31" i="22" s="1"/>
  <c r="U31" i="22" s="1"/>
  <c r="H11" i="14"/>
  <c r="H14" i="14" s="1"/>
  <c r="H17" i="14" s="1"/>
  <c r="J34" i="14"/>
  <c r="Q27" i="14"/>
  <c r="Q28" i="14" s="1"/>
  <c r="Q31" i="14" s="1"/>
  <c r="Q34" i="14" s="1"/>
  <c r="Q11" i="14"/>
  <c r="Q14" i="14" s="1"/>
  <c r="Q17" i="14" s="1"/>
  <c r="K27" i="14"/>
  <c r="K28" i="14" s="1"/>
  <c r="K31" i="14" s="1"/>
  <c r="K34" i="14" s="1"/>
  <c r="K11" i="14"/>
  <c r="K14" i="14" s="1"/>
  <c r="K17" i="14" s="1"/>
  <c r="J17" i="14"/>
  <c r="M27" i="14"/>
  <c r="M28" i="14" s="1"/>
  <c r="M31" i="14" s="1"/>
  <c r="M34" i="14" s="1"/>
  <c r="M11" i="14"/>
  <c r="M14" i="14" s="1"/>
  <c r="M17" i="14" s="1"/>
  <c r="L27" i="14"/>
  <c r="L28" i="14" s="1"/>
  <c r="L31" i="14" s="1"/>
  <c r="L34" i="14" s="1"/>
  <c r="L11" i="14"/>
  <c r="L14" i="14" s="1"/>
  <c r="L17" i="14" s="1"/>
  <c r="P11" i="14"/>
  <c r="P14" i="14" s="1"/>
  <c r="P17" i="14" s="1"/>
  <c r="P27" i="14"/>
  <c r="P28" i="14" s="1"/>
  <c r="P31" i="14" s="1"/>
  <c r="P34" i="14" s="1"/>
  <c r="G27" i="14"/>
  <c r="G28" i="14" s="1"/>
  <c r="G31" i="14" s="1"/>
  <c r="G34" i="14" s="1"/>
  <c r="G11" i="14"/>
  <c r="G14" i="14" s="1"/>
  <c r="G17" i="14" s="1"/>
  <c r="I27" i="14"/>
  <c r="I28" i="14" s="1"/>
  <c r="I31" i="14" s="1"/>
  <c r="I34" i="14" s="1"/>
  <c r="I11" i="14"/>
  <c r="I14" i="14" s="1"/>
  <c r="I17" i="14" s="1"/>
  <c r="O27" i="14"/>
  <c r="O28" i="14" s="1"/>
  <c r="O31" i="14" s="1"/>
  <c r="O34" i="14" s="1"/>
  <c r="O11" i="14"/>
  <c r="O14" i="14" s="1"/>
  <c r="O17" i="14" s="1"/>
  <c r="E27" i="14"/>
  <c r="E28" i="14" s="1"/>
  <c r="E31" i="14" s="1"/>
  <c r="E34" i="14" s="1"/>
  <c r="E11" i="14"/>
  <c r="E14" i="14" s="1"/>
  <c r="E17" i="14" s="1"/>
  <c r="N27" i="14"/>
  <c r="N28" i="14" s="1"/>
  <c r="N31" i="14" s="1"/>
  <c r="N34" i="14" s="1"/>
  <c r="N11" i="14"/>
  <c r="N14" i="14" s="1"/>
  <c r="N17" i="14" s="1"/>
  <c r="F27" i="14"/>
  <c r="F28" i="14" s="1"/>
  <c r="F31" i="14" s="1"/>
  <c r="F34" i="14" s="1"/>
  <c r="F11" i="14"/>
  <c r="F14" i="14" s="1"/>
  <c r="F17" i="14" s="1"/>
  <c r="T30" i="22"/>
  <c r="U30" i="22" s="1"/>
  <c r="B34" i="14"/>
  <c r="C28" i="14"/>
  <c r="C14" i="14" l="1"/>
  <c r="C31" i="14"/>
  <c r="C17" i="14" l="1"/>
  <c r="C34" i="14"/>
  <c r="S29" i="22" a="1"/>
  <c r="S13" i="22" a="1"/>
  <c r="S15" i="22" a="1"/>
  <c r="S17" i="22" a="1"/>
  <c r="S20" i="22" a="1"/>
  <c r="S26" i="22" a="1"/>
  <c r="S14" i="22" a="1"/>
  <c r="S25" i="22" a="1"/>
  <c r="S27" i="22" a="1"/>
  <c r="S22" i="22" a="1"/>
  <c r="S30" i="14" a="1"/>
  <c r="S12" i="14" a="1"/>
  <c r="S10" i="14" a="1"/>
  <c r="S16" i="14" a="1"/>
  <c r="S32" i="14" a="1"/>
  <c r="S15" i="14" a="1"/>
  <c r="S28" i="14" a="1"/>
  <c r="S33" i="14" a="1"/>
  <c r="S27" i="14" a="1"/>
  <c r="S11" i="14" a="1"/>
  <c r="S14" i="14" a="1"/>
  <c r="S17" i="14" a="1"/>
  <c r="S34" i="14" a="1"/>
  <c r="S31" i="14" a="1"/>
  <c r="S23" i="22" a="1"/>
  <c r="S30" i="14"/>
  <c r="T30" i="14" s="1"/>
  <c r="S12" i="14"/>
  <c r="T12" i="14" s="1"/>
  <c r="S13" i="22"/>
  <c r="T13" i="22" s="1"/>
  <c r="U13" i="22" s="1"/>
  <c r="S20" i="22"/>
  <c r="T20" i="22" s="1"/>
  <c r="S26" i="22"/>
  <c r="T26" i="22" s="1"/>
  <c r="S14" i="22"/>
  <c r="T14" i="22" s="1"/>
  <c r="S15" i="22"/>
  <c r="T15" i="22" s="1"/>
  <c r="U15" i="22" s="1"/>
  <c r="S22" i="22"/>
  <c r="T22" i="22" s="1"/>
  <c r="S17" i="22"/>
  <c r="T17" i="22" s="1"/>
  <c r="S23" i="22"/>
  <c r="S33" i="14"/>
  <c r="T33" i="14" s="1"/>
  <c r="S25" i="22"/>
  <c r="T25" i="22" s="1"/>
  <c r="S27" i="22"/>
  <c r="T27" i="22" s="1"/>
  <c r="S29" i="22"/>
  <c r="T29" i="22" s="1"/>
  <c r="S10" i="14"/>
  <c r="T10" i="14" s="1"/>
  <c r="S32" i="14"/>
  <c r="S15" i="14"/>
  <c r="T15" i="14" s="1"/>
  <c r="S16" i="14"/>
  <c r="T16" i="14" s="1"/>
  <c r="S14" i="14"/>
  <c r="T14" i="14" s="1"/>
  <c r="S11" i="14"/>
  <c r="T11" i="14" s="1"/>
  <c r="U11" i="14" s="1"/>
  <c r="S27" i="14"/>
  <c r="T27" i="14" s="1"/>
  <c r="U27" i="14" s="1"/>
  <c r="S28" i="14"/>
  <c r="T28" i="14" s="1"/>
  <c r="S31" i="14"/>
  <c r="T31" i="14" s="1"/>
  <c r="S12" i="22" a="1"/>
  <c r="S19" i="22" a="1"/>
  <c r="S21" i="22" a="1"/>
  <c r="S19" i="14" a="1"/>
  <c r="S13" i="14" a="1"/>
  <c r="S29" i="14" a="1"/>
  <c r="S9" i="14" a="1"/>
  <c r="S26" i="14" a="1"/>
  <c r="S12" i="22"/>
  <c r="T12" i="22" s="1"/>
  <c r="S19" i="22"/>
  <c r="T19" i="22" s="1"/>
  <c r="S19" i="14"/>
  <c r="T19" i="14" s="1"/>
  <c r="S29" i="14"/>
  <c r="S13" i="14"/>
  <c r="T13" i="14" s="1"/>
  <c r="U13" i="14" s="1"/>
  <c r="S21" i="22"/>
  <c r="S9" i="14"/>
  <c r="T9" i="14" s="1"/>
  <c r="S26" i="14"/>
  <c r="T26" i="14" s="1"/>
  <c r="S34" i="14" l="1"/>
  <c r="T34" i="14" s="1"/>
  <c r="U34" i="14" s="1"/>
  <c r="S17" i="14"/>
  <c r="T17" i="14" s="1"/>
  <c r="U17" i="14" s="1"/>
  <c r="U12" i="14"/>
  <c r="U26" i="14"/>
  <c r="U9" i="14"/>
  <c r="T29" i="14"/>
  <c r="U29" i="14" s="1"/>
  <c r="U19" i="22"/>
  <c r="U19" i="14"/>
  <c r="T21" i="22"/>
  <c r="U21" i="22" s="1"/>
  <c r="U12" i="22"/>
  <c r="T32" i="14"/>
  <c r="U32" i="14" s="1"/>
  <c r="T23" i="22"/>
  <c r="U23" i="22" s="1"/>
  <c r="U14" i="22"/>
  <c r="U27" i="22"/>
  <c r="U22" i="22"/>
  <c r="U26" i="22"/>
  <c r="U28" i="14"/>
  <c r="U31" i="14"/>
  <c r="U14" i="14"/>
  <c r="U16" i="14"/>
  <c r="U10" i="14"/>
  <c r="U25" i="22"/>
  <c r="U17" i="22"/>
  <c r="U20" i="22"/>
  <c r="U30" i="14"/>
  <c r="U15" i="14"/>
  <c r="U29" i="22"/>
  <c r="U33" i="14"/>
</calcChain>
</file>

<file path=xl/sharedStrings.xml><?xml version="1.0" encoding="utf-8"?>
<sst xmlns="http://schemas.openxmlformats.org/spreadsheetml/2006/main" count="761" uniqueCount="524">
  <si>
    <t>Horizon Europe</t>
  </si>
  <si>
    <t>ERC Grants</t>
  </si>
  <si>
    <t>Cost calculation and budgeting template</t>
  </si>
  <si>
    <t>This workbook is a tool for calculation the costs and developing a budget for ERC Starting, Consolidator and Advanced Grants.</t>
  </si>
  <si>
    <t>It is designed for grants for which NTNU is the hosting institution.</t>
  </si>
  <si>
    <r>
      <t xml:space="preserve">For ERC </t>
    </r>
    <r>
      <rPr>
        <u/>
        <sz val="10"/>
        <rFont val="Calibri"/>
        <family val="2"/>
        <scheme val="minor"/>
      </rPr>
      <t>Synergy Grants</t>
    </r>
    <r>
      <rPr>
        <sz val="10"/>
        <rFont val="Calibri"/>
        <family val="2"/>
        <scheme val="minor"/>
      </rPr>
      <t>, this template is only inteded for NTNU's part of the budget, not the whole consortium's budget.</t>
    </r>
  </si>
  <si>
    <t>Costs are calculated based on rates that apply to NTNU.</t>
  </si>
  <si>
    <t>If other legal entities are to participate in the same proposal (grant), some adaptions may be required.</t>
  </si>
  <si>
    <t>Navigate to a spreadsheet by clicking the appropriate tab at the bottom of the Excel window.</t>
  </si>
  <si>
    <t>Only cells marked with yellow background colour are intended for entering data.</t>
  </si>
  <si>
    <t>How to use this template</t>
  </si>
  <si>
    <t>The recommended calculation procedure consists of the following steps in the following order:</t>
  </si>
  <si>
    <t>1.</t>
  </si>
  <si>
    <t>Start by calculating personnel costs in the spreadsheet "Project data &amp; personnel".</t>
  </si>
  <si>
    <t>2.</t>
  </si>
  <si>
    <t>Calculate all other costs in the spredsheet "Non-personnel costs".</t>
  </si>
  <si>
    <t>3.</t>
  </si>
  <si>
    <t>It is possible to reduce the "Requested EU contribution" below the amount that is calculated bye the formunlas.</t>
  </si>
  <si>
    <t>This is done by manually editing the amount int the yellow cell C38 in the spreadsheet (tab name) "Internal NTNU budget".</t>
  </si>
  <si>
    <t>4.</t>
  </si>
  <si>
    <t>Include an electronic copy or printout of the following spreadsheets along with the</t>
  </si>
  <si>
    <t>proposal documents for approval by the Head of the department (Instituttleder)</t>
  </si>
  <si>
    <t xml:space="preserve">before submitting the final proposal to the Coordinator or the EU. </t>
  </si>
  <si>
    <t>"Internal NTNU budget"</t>
  </si>
  <si>
    <t>"Hovedtall pr. org'enhet"</t>
  </si>
  <si>
    <t>"Overføringer BOA-BFV"</t>
  </si>
  <si>
    <t>5.</t>
  </si>
  <si>
    <t>Enter data from the spreadsheet "HE Application Form A3 - Budget" into the grant application Form A3</t>
  </si>
  <si>
    <t xml:space="preserve"> in accordance with the instructions in the guide for applicants.</t>
  </si>
  <si>
    <t>Key financial considerations pertaining to ERC Grants</t>
  </si>
  <si>
    <t>Funding scheme</t>
  </si>
  <si>
    <t>Max. duration (months)</t>
  </si>
  <si>
    <t>Max. grant (€):</t>
  </si>
  <si>
    <t>Max additional funding*</t>
  </si>
  <si>
    <t>Min % of PI time on project**</t>
  </si>
  <si>
    <t>Starting Grant (StG)</t>
  </si>
  <si>
    <t>Consolidator Grant (CoG)</t>
  </si>
  <si>
    <t>Advanced Grant (AdG)</t>
  </si>
  <si>
    <t>Synergy Grant***</t>
  </si>
  <si>
    <t>Proof of Concept (PoC)</t>
  </si>
  <si>
    <t>N/A</t>
  </si>
  <si>
    <t>*</t>
  </si>
  <si>
    <t>Additional funding not exceding the indicated maximum amounts can be requested in the proposal to cover the following eligible costs when these are necessary to carry out the proposed work:</t>
  </si>
  <si>
    <t>(a)</t>
  </si>
  <si>
    <t>eligible "start-up" costs for Principal Investigators moving to the EU or an Associated Country</t>
  </si>
  <si>
    <t xml:space="preserve">from elsewhere as a consequence of receiving the ERC grant </t>
  </si>
  <si>
    <t>(b)</t>
  </si>
  <si>
    <t>and/or the purchase of major equipment and/or</t>
  </si>
  <si>
    <t>(c)</t>
  </si>
  <si>
    <t>access to large facilities.</t>
  </si>
  <si>
    <t>(d)</t>
  </si>
  <si>
    <t>other major experimental and field work costs, excluding personnel costs.</t>
  </si>
  <si>
    <t>**</t>
  </si>
  <si>
    <t>This is the minimum percentage of his/her working time that the Principal Investogator (PI) should devote to the project.</t>
  </si>
  <si>
    <t xml:space="preserve">The direct personnel costs for the working time that the PI spends on the project should be included in the budget. </t>
  </si>
  <si>
    <t>***</t>
  </si>
  <si>
    <t>For Synergy Grants, the Max Grant and Mac Top-up Grant amounts apply to the total amount for the Consortium.</t>
  </si>
  <si>
    <t>The grant may cover up to 100% of eligible direct costs, bearing in mind the above max. grant amount.</t>
  </si>
  <si>
    <t>For projects of shorter duration than what is defined as the maximum duration, the max grant is reduced pro rata.</t>
  </si>
  <si>
    <t>If "Additonal funding" is granted, it is not subject to a pro rata reduction in porportion to the project duration.</t>
  </si>
  <si>
    <t>Direct costs - representative categories of costs foreseen by the ERC:</t>
  </si>
  <si>
    <t>Personnel costs</t>
  </si>
  <si>
    <t>Travel</t>
  </si>
  <si>
    <t>Equipment - including major equipment</t>
  </si>
  <si>
    <t>Consumables incl. Fieldwork and animal costs</t>
  </si>
  <si>
    <t>Publications (incl. Open Access fees) and dissemination</t>
  </si>
  <si>
    <t>Other additional direct costs</t>
  </si>
  <si>
    <t>Internally invoiced goods and services</t>
  </si>
  <si>
    <t>Subcontracting costs</t>
  </si>
  <si>
    <t>Costs of in kind contributions not used on the beneficiary's premises</t>
  </si>
  <si>
    <t>Indirect costs - ERC reimbursement rate:</t>
  </si>
  <si>
    <t>25% of all eligible direct costs, except subcontracting</t>
  </si>
  <si>
    <t>Payment of ERC Grants</t>
  </si>
  <si>
    <t>An advance payment (pre-financing) is made shortly after the contract has been signed.</t>
  </si>
  <si>
    <t>Subsequently, actual costs are reimbursed based on periodic financial reports.</t>
  </si>
  <si>
    <t>Contents and structure of the template</t>
  </si>
  <si>
    <t>The workbook contains the following visible spreadsheets:</t>
  </si>
  <si>
    <t>Tab ID</t>
  </si>
  <si>
    <t>Despription</t>
  </si>
  <si>
    <t>Instructions</t>
  </si>
  <si>
    <t>This page.</t>
  </si>
  <si>
    <t>Categories</t>
  </si>
  <si>
    <t xml:space="preserve">Overview of cost categories </t>
  </si>
  <si>
    <t>Project data &amp; personnel</t>
  </si>
  <si>
    <t>For input of personnel effort and calculation of personnel costs.</t>
  </si>
  <si>
    <t>Non-personnel costs</t>
  </si>
  <si>
    <t>For input and calculation of direct non-personnel costs.</t>
  </si>
  <si>
    <t>Internal NTNU budget</t>
  </si>
  <si>
    <t>Complete budget - for NTNU and by organisational entity</t>
  </si>
  <si>
    <t>HE Application Form A3 - Budget</t>
  </si>
  <si>
    <t>For use as input into grant application Form A3.</t>
  </si>
  <si>
    <t>HE Section C - Resources</t>
  </si>
  <si>
    <t>ERC guidance and instructions for the justification and explanation of the budget.</t>
  </si>
  <si>
    <t>Hovedtall pr. org'enhet</t>
  </si>
  <si>
    <t>To be submitted to the Department Head, for internal approval</t>
  </si>
  <si>
    <t>Overføringer BOA-BFV</t>
  </si>
  <si>
    <t>Org'enheter</t>
  </si>
  <si>
    <t>Lookup table of organisationel entities.</t>
  </si>
  <si>
    <t>EU Horizon Europe - ERC Grants</t>
  </si>
  <si>
    <t>Calculation of personnel costs (including social charges)</t>
  </si>
  <si>
    <t>Only cells marked with yellow are intended for entering data.</t>
  </si>
  <si>
    <t>The calculated rates and costs include all social charges that are applicable to employees with full social security and pension benefits.</t>
  </si>
  <si>
    <t>Project / Proposal:</t>
  </si>
  <si>
    <t>Acronym</t>
  </si>
  <si>
    <t>Expectet project start date:</t>
  </si>
  <si>
    <t>Total duration in months</t>
  </si>
  <si>
    <t>Expectet project end date:</t>
  </si>
  <si>
    <t>Select the relevant ERC funding scheme:</t>
  </si>
  <si>
    <t>Do you intend to apply for additional funding?*</t>
  </si>
  <si>
    <t>No</t>
  </si>
  <si>
    <t>* Only available for the following specific circumstances:</t>
  </si>
  <si>
    <t xml:space="preserve">(a) </t>
  </si>
  <si>
    <t>"start-up" costs for PIs moving to the EU or an AC from elsewhere as a consequence of receiving the ERC grant</t>
  </si>
  <si>
    <t xml:space="preserve">(b) </t>
  </si>
  <si>
    <t>the purchase of major equipment</t>
  </si>
  <si>
    <t xml:space="preserve">(c) </t>
  </si>
  <si>
    <t>Max. grant without additional funding (EUR):</t>
  </si>
  <si>
    <t>Max. additional funding (EUR):</t>
  </si>
  <si>
    <t>Max. ERC grant (EUR):</t>
  </si>
  <si>
    <t>Max. project duration</t>
  </si>
  <si>
    <t>Expected annnaul salary increase:</t>
  </si>
  <si>
    <t>Exchange rate (NOK/EUR):</t>
  </si>
  <si>
    <t>Participant role in consortium:</t>
  </si>
  <si>
    <t>PA</t>
  </si>
  <si>
    <r>
      <t xml:space="preserve">Select "CO" for Coordinator, "PA" for partner.  </t>
    </r>
    <r>
      <rPr>
        <b/>
        <sz val="10"/>
        <rFont val="Arial"/>
        <family val="2"/>
      </rPr>
      <t>For mono-partner projects, always select "PA" for partner!</t>
    </r>
  </si>
  <si>
    <t>ERC reimbursement rate for indirect costs:</t>
  </si>
  <si>
    <t>(of all eligible direct costs, except subcontracting)</t>
  </si>
  <si>
    <t>Indirect cost rate NTNU:</t>
  </si>
  <si>
    <t>(of personnel costs)</t>
  </si>
  <si>
    <t>Cells marked with this colour contain formulas, but may be overwritten:</t>
  </si>
  <si>
    <t>Personnel costs calulated in terms of person months</t>
  </si>
  <si>
    <t>Yes / No options</t>
  </si>
  <si>
    <t>Name</t>
  </si>
  <si>
    <t>Position</t>
  </si>
  <si>
    <t>Personnel category</t>
  </si>
  <si>
    <t>Salary level</t>
  </si>
  <si>
    <t>Scientific?</t>
  </si>
  <si>
    <t>Faculty</t>
  </si>
  <si>
    <t>Department</t>
  </si>
  <si>
    <t>Annual salary (€)</t>
  </si>
  <si>
    <t>Monthly rate (€)</t>
  </si>
  <si>
    <t>Person months</t>
  </si>
  <si>
    <t>Direct costs</t>
  </si>
  <si>
    <t>Incl. indirect costs</t>
  </si>
  <si>
    <t>Additional funding</t>
  </si>
  <si>
    <t>Own funding</t>
  </si>
  <si>
    <t>Comments</t>
  </si>
  <si>
    <t>PI</t>
  </si>
  <si>
    <t>Associate Professor</t>
  </si>
  <si>
    <t>Pl</t>
  </si>
  <si>
    <t>IV</t>
  </si>
  <si>
    <t>IBM</t>
  </si>
  <si>
    <t>Post doc 1</t>
  </si>
  <si>
    <t>Post doc</t>
  </si>
  <si>
    <t>Postdocs</t>
  </si>
  <si>
    <t>Post doc 2</t>
  </si>
  <si>
    <t>PhD candidate</t>
  </si>
  <si>
    <t>Students</t>
  </si>
  <si>
    <t>Eligible costs, excl. of Additional funding</t>
  </si>
  <si>
    <t>Eligible costs for Additional funding</t>
  </si>
  <si>
    <t>Resources comitted for own funding included in eligible costs excl. of Additional funding</t>
  </si>
  <si>
    <t>Total</t>
  </si>
  <si>
    <t>Estimate of direct non-personnel costs by work package</t>
  </si>
  <si>
    <t>All costs must be:</t>
  </si>
  <si>
    <t>NB1: Sheet is unprotected to allow for filtering</t>
  </si>
  <si>
    <t>1. Exclusive of indirect costs</t>
  </si>
  <si>
    <t>NB2: If need, unhide additional lines</t>
  </si>
  <si>
    <t>2. In EURO</t>
  </si>
  <si>
    <t>DIRECT NON-PERSONNEL COSTS (EUR)</t>
  </si>
  <si>
    <t>Description of costs</t>
  </si>
  <si>
    <t>Justification</t>
  </si>
  <si>
    <t>Cost type</t>
  </si>
  <si>
    <t>Units</t>
  </si>
  <si>
    <t>EUR per unit</t>
  </si>
  <si>
    <t>Direct cost NTNU</t>
  </si>
  <si>
    <t>Eligible direct costs</t>
  </si>
  <si>
    <t>Eligible, incl. indir. costs</t>
  </si>
  <si>
    <t>Leiested</t>
  </si>
  <si>
    <t>Own Funding</t>
  </si>
  <si>
    <t>Non-eligible direct costs</t>
  </si>
  <si>
    <t>Conferences</t>
  </si>
  <si>
    <t xml:space="preserve">Per travel: 750 euro for transport, 6 nights @ 250 per diem </t>
  </si>
  <si>
    <t>Travel and subsistence</t>
  </si>
  <si>
    <t>Publications (incl. Open Access fees) and dissemniation</t>
  </si>
  <si>
    <t>End of table</t>
  </si>
  <si>
    <t>Budget data for Application Form A3</t>
  </si>
  <si>
    <t>All costs in EUR (€)</t>
  </si>
  <si>
    <t>Beneficiary short name</t>
  </si>
  <si>
    <t>Senior Staff</t>
  </si>
  <si>
    <t xml:space="preserve">Other personnel costs </t>
  </si>
  <si>
    <t>Total direct costs for personnel</t>
  </si>
  <si>
    <t>Total other goods, works and services</t>
  </si>
  <si>
    <t>Total Purchase costs</t>
  </si>
  <si>
    <t>Indirect Costs</t>
  </si>
  <si>
    <t>Total Eligible Costs</t>
  </si>
  <si>
    <t>Requested EU contribution</t>
  </si>
  <si>
    <t>NTNU</t>
  </si>
  <si>
    <t>Supplementary information</t>
  </si>
  <si>
    <t>Of which additional funding</t>
  </si>
  <si>
    <t>Resources comitted for own funding</t>
  </si>
  <si>
    <t>Other own funding</t>
  </si>
  <si>
    <t>Budget ToolTip from the EU F&amp;T Portal</t>
  </si>
  <si>
    <t>Please indicate the costs for each cost category as accurate as possible using only Euro integers.</t>
  </si>
  <si>
    <t xml:space="preserve">The 'Total eligible costs' of the project will be automatically calculated based on the figures inserted in the individual columns. </t>
  </si>
  <si>
    <t xml:space="preserve"> The 'Requested EU contribution' has to be filled in manually. Please make sure to update the 'Requested EU contribution' if updates are made in any of the cost categories. </t>
  </si>
  <si>
    <r>
      <rPr>
        <b/>
        <sz val="11"/>
        <rFont val="Calibri"/>
        <family val="2"/>
        <scheme val="minor"/>
      </rPr>
      <t xml:space="preserve">PI: </t>
    </r>
    <r>
      <rPr>
        <sz val="11"/>
        <rFont val="Calibri"/>
        <family val="2"/>
        <scheme val="minor"/>
      </rPr>
      <t xml:space="preserve">When calculating the salary, please take into account the percentage of your working time dedicated to the ERC project. </t>
    </r>
  </si>
  <si>
    <t>Other personnel costs and Other additional direct costs:</t>
  </si>
  <si>
    <t xml:space="preserve">If applicable, please specify this cost category in the Resources section (textbox below). </t>
  </si>
  <si>
    <t>Internally invoiced goods and services:</t>
  </si>
  <si>
    <t>Costs for host institution invoices and invoices for other entities should be included here; e.g. access to large facilities, access to other services that are charged as unit costs.</t>
  </si>
  <si>
    <t xml:space="preserve"> For more details on the budget table, please consult the ERC Information for Applicants document applicable to the call and year. </t>
  </si>
  <si>
    <t>Please note that the budget table and the description of resources below will be made available to the experts evaluating the proposal at Step 2.</t>
  </si>
  <si>
    <t>Section C. Resources (Maximum 8000 characters allowed)</t>
  </si>
  <si>
    <t>Information for Applicants to the Starting and Consolidator Grant Calls</t>
  </si>
  <si>
    <t>Version 1.0, 25 February 2021</t>
  </si>
  <si>
    <t>To facilitate the assessment of resources by the panels:</t>
  </si>
  <si>
    <r>
      <t xml:space="preserve">State the amount of funding considered necessary to fulfil the research objectives. The project cost estimation should be as accurate as possible. The requested budget should be fully justified and in proportion to the actual needs. Describe all the cost categories considered necessary for the project. The evaluation panels assess the estimated costs carefully; </t>
    </r>
    <r>
      <rPr>
        <b/>
        <sz val="10"/>
        <rFont val="Arial"/>
        <family val="2"/>
      </rPr>
      <t>unjustified budgets will be reduced.</t>
    </r>
  </si>
  <si>
    <t>Describe the size and nature of the team, indicating, where appropriate, the key team members and their roles. The participation of team members engaged by other host institutions should be justified and in relation to the additional financial cost this may impose. When estimating your personnel costs take into account the dedicated working time to run the project.</t>
  </si>
  <si>
    <t>Explain and describe in detail any additional requested funding requested for the project (the requested additional funding should be included in the budget table). Please also indicate under which of the above-mentioned four cost categories the request falls within.</t>
  </si>
  <si>
    <t>Include a short technical description of any requested equipment, why you need it and how much you plan to use it for the project.</t>
  </si>
  <si>
    <t>Include a realistic estimation of the costs for Open Access to project outputs. Costs for providing immediate Open Access to publications (article processing charges/book processing charges) are eligible if they are incurred during the lifetime of the project.</t>
  </si>
  <si>
    <t>6.</t>
  </si>
  <si>
    <t>Describe any existing resources not requiring EU funding that will be used for the project, such as infrastructure and equipment.</t>
  </si>
  <si>
    <t>7.</t>
  </si>
  <si>
    <t>If applicable, specify the cost items covered by your 'Other personnel costs' category and the cost items covered by your 'Other additional direct costs' category.</t>
  </si>
  <si>
    <t>Instructions provided in the EU F&amp;T Portal:</t>
  </si>
  <si>
    <t>This section and the budget table will be made available to the experts evaluating the proposal at Step 2. Important: your description of resources will be truncated once it exceeds the maximum allowed characters. Please make sure that your description is complete before submitting.</t>
  </si>
  <si>
    <t xml:space="preserve">State and fully justify the amount of funding considered necessary to fulfil the objectives for the duration of the project. The project cost estimation should be as accurate as possible. The evaluation panels assess the estimated costs carefully; unjustified budgets will be consequently reduced. </t>
  </si>
  <si>
    <t>Please specify if you will use third parties giving in-kind contributions to the action.</t>
  </si>
  <si>
    <t>If applicable, please specify the cost items covered by your 'Other personnel costs' category and the cost items covered by your 'Other additional direct costs' category.</t>
  </si>
  <si>
    <t>Request for additional funding if applicable (All items MUST be included in the overall budget table above): (Cost in EUR)</t>
  </si>
  <si>
    <t>Budget data for use in proposal and for internal approval</t>
  </si>
  <si>
    <t>Select the relevant faculty or department in order to display the budget for this organisational entity</t>
  </si>
  <si>
    <t>Budget, in EUR</t>
  </si>
  <si>
    <t>Allocated to selected departments</t>
  </si>
  <si>
    <t>Difference</t>
  </si>
  <si>
    <t>Project total</t>
  </si>
  <si>
    <t>EPT</t>
  </si>
  <si>
    <t>Personnel</t>
  </si>
  <si>
    <t>Total personnel costs</t>
  </si>
  <si>
    <t>Of which personnel committred as own funding</t>
  </si>
  <si>
    <t>Of which non-personnel resources/costs committred as own funding</t>
  </si>
  <si>
    <t>Eligible costs</t>
  </si>
  <si>
    <t>Max grant</t>
  </si>
  <si>
    <t>Summary of own funding</t>
  </si>
  <si>
    <r>
      <t xml:space="preserve">Resources committed as own funding, </t>
    </r>
    <r>
      <rPr>
        <b/>
        <sz val="9"/>
        <rFont val="Arial"/>
        <family val="2"/>
      </rPr>
      <t>including EU indirect costs</t>
    </r>
  </si>
  <si>
    <t>Excess costs (above max. funding)</t>
  </si>
  <si>
    <t>For internal use by NTNU:</t>
  </si>
  <si>
    <t>Costs and funding in EUR:</t>
  </si>
  <si>
    <t>Own funding / Supplemental funding</t>
  </si>
  <si>
    <t>Eligible costs in excess of max. ERC funding</t>
  </si>
  <si>
    <t>Own funding of direct costs (sub-total)</t>
  </si>
  <si>
    <t>Indirect cost analysis</t>
  </si>
  <si>
    <t>Indirect costs calculated by NTNU</t>
  </si>
  <si>
    <t>Indirect costs reimbursed by the ERC</t>
  </si>
  <si>
    <t>Net effect, funding of indirect costs</t>
  </si>
  <si>
    <t>Indirect costs calculated by the NTNU, but not reimbursed by the ERC</t>
  </si>
  <si>
    <t>Indirect reimbursed by the ERC, exceding NTNU calculation</t>
  </si>
  <si>
    <t>Costs and funding in NOK:</t>
  </si>
  <si>
    <t>Hovedtall budsjett-prosjekt</t>
  </si>
  <si>
    <t>Forventet intern-uttelling til fakultet i IFM (basert på historiske data)</t>
  </si>
  <si>
    <t>Budsjett i NOK</t>
  </si>
  <si>
    <t>Fakultet</t>
  </si>
  <si>
    <t>Fordelt på institutt</t>
  </si>
  <si>
    <t>Ikke fordelt</t>
  </si>
  <si>
    <t>Institutt</t>
  </si>
  <si>
    <t>Gyldige kostnader</t>
  </si>
  <si>
    <t>Personalkostnader</t>
  </si>
  <si>
    <t>Øvrige kostnader (driftsmidler, reise mv)</t>
  </si>
  <si>
    <t>Indirekte kostnader,</t>
  </si>
  <si>
    <t>Sum prosjektkostnader, EU</t>
  </si>
  <si>
    <t>EU-finansiering</t>
  </si>
  <si>
    <t>NTNU-kostnader</t>
  </si>
  <si>
    <t>Indirekte kostnader, NTNU</t>
  </si>
  <si>
    <t>Sum prosjektkostnader, NTNU</t>
  </si>
  <si>
    <t>Egenfinansiering (av direkte og indirekte kostnader)</t>
  </si>
  <si>
    <t>Sum direkte kostnader</t>
  </si>
  <si>
    <t>Instituttets netto bidrag til dekning av indirekte kostnader ("Cash-flow")</t>
  </si>
  <si>
    <t>Insentivmidler til prosjektleder</t>
  </si>
  <si>
    <t>Godskrevet fakultet i IFM (2 år på etterskudd)</t>
  </si>
  <si>
    <t>Netto godskrift i IFM til fakultet (fratrukket tidl. overførte incentivmidler)</t>
  </si>
  <si>
    <t>Denne stipendiaten vil medføre en årlig netto forpliktelse på ca. xx.xxx for instituttet, og en forpliktelse på yyy.yyy for fakultetet.</t>
  </si>
  <si>
    <t>Føringer mellom BOA og BFV</t>
  </si>
  <si>
    <t>BOA</t>
  </si>
  <si>
    <t>Overheadkostnader</t>
  </si>
  <si>
    <t>Egenandel overhead</t>
  </si>
  <si>
    <t>Netto overhead</t>
  </si>
  <si>
    <t>Leiestedskostander</t>
  </si>
  <si>
    <t>Lønnsoverføring til BFV *</t>
  </si>
  <si>
    <t>Brutto overføringer fra BOA</t>
  </si>
  <si>
    <t>Egeninnsats fakultet/institutt</t>
  </si>
  <si>
    <t>Incentivmidler **</t>
  </si>
  <si>
    <t>Netto overføringer fra BOA</t>
  </si>
  <si>
    <t>Lønnskostnader grunnlag for overhead</t>
  </si>
  <si>
    <t>Brutto overheadsats</t>
  </si>
  <si>
    <t>Netto overheadsats</t>
  </si>
  <si>
    <t>BFV</t>
  </si>
  <si>
    <t>Overheadinntekt BOA</t>
  </si>
  <si>
    <t>Egenandel overhead BOA</t>
  </si>
  <si>
    <t>Netto overheadinntekt</t>
  </si>
  <si>
    <t>Lønnsoverføring fra BOA *</t>
  </si>
  <si>
    <t>Leiestedsinntekt fra BOA</t>
  </si>
  <si>
    <t>* Denne forutsetter at alle prosjektdeltakere er ansatt på "ramma"</t>
  </si>
  <si>
    <t>** Forutsatt at inventivmidler fordeles mellom enhetene proporsjonalt med EU-inntekten.</t>
  </si>
  <si>
    <t>Beregnede felt</t>
  </si>
  <si>
    <t>TDI-satser</t>
  </si>
  <si>
    <t>Beregnet felt</t>
  </si>
  <si>
    <t>Parameterverdier</t>
  </si>
  <si>
    <t>Scientific staff?</t>
  </si>
  <si>
    <t>Lønnstrinn</t>
  </si>
  <si>
    <t>Budsjett-enhet</t>
  </si>
  <si>
    <t>Forventet innsats 
- i valgt enhet</t>
  </si>
  <si>
    <t>Årsverkkost
inkl sos -
 År 1</t>
  </si>
  <si>
    <t>Vektet indirekte kostnad per person</t>
  </si>
  <si>
    <t>Antall årsverk</t>
  </si>
  <si>
    <t>Budsjett lønn i prosjektet</t>
  </si>
  <si>
    <t>Arbeidsplassats</t>
  </si>
  <si>
    <t>Forskningssats</t>
  </si>
  <si>
    <t>Tot indirekte kostnader</t>
  </si>
  <si>
    <t>IK-sats TDI</t>
  </si>
  <si>
    <t>IK-sats per person</t>
  </si>
  <si>
    <t>Tot lønnskost på prosjekt</t>
  </si>
  <si>
    <t>Timer pr. årsverk</t>
  </si>
  <si>
    <t>Faktor sosiale kostnader</t>
  </si>
  <si>
    <t>Månedsverk</t>
  </si>
  <si>
    <t>SUM årsverk budsjettert:</t>
  </si>
  <si>
    <t>Sats for indirekte kostnader til bruk i prosjektet:</t>
  </si>
  <si>
    <t>Salary scale and personnle categories</t>
  </si>
  <si>
    <t>Salary scale effective from:</t>
  </si>
  <si>
    <t>Social security contribution factor (including pension contribution):</t>
  </si>
  <si>
    <t>This template is distributed with the salary scale for national public sector employees in Norway.</t>
  </si>
  <si>
    <t>Other participant organisations should delete the values in the yellow cells</t>
  </si>
  <si>
    <t>and incert their own scale, starting with the upper left yellow cell.</t>
  </si>
  <si>
    <t>Additionally, the values in the blue cells should be adjusted to reflect the reality of each country or organisation.</t>
  </si>
  <si>
    <t>The values in column 3 and 4 in the table below will be calculated automatically.</t>
  </si>
  <si>
    <t>All amounts on this page are denominated in the participant's base (national) currency</t>
  </si>
  <si>
    <t>Gross salary pr year</t>
  </si>
  <si>
    <t>Personnel costs per year, including social security and pension contributions</t>
  </si>
  <si>
    <t>Personnel costs per month, adjusted for vacation pay contribution</t>
  </si>
  <si>
    <t>Personnel catagories</t>
  </si>
  <si>
    <t>Default salary code</t>
  </si>
  <si>
    <t>Old default salary code</t>
  </si>
  <si>
    <t>"Stillingskategori"</t>
  </si>
  <si>
    <t>Professor</t>
  </si>
  <si>
    <t>Yes</t>
  </si>
  <si>
    <t>Førsteamanuensis</t>
  </si>
  <si>
    <t>Postdoktor</t>
  </si>
  <si>
    <t>Stipendiat</t>
  </si>
  <si>
    <t>Researcher</t>
  </si>
  <si>
    <t>Forsker</t>
  </si>
  <si>
    <t>Research Assistant</t>
  </si>
  <si>
    <t>Vitenskapelig assistent</t>
  </si>
  <si>
    <t>Technician /Engineer</t>
  </si>
  <si>
    <t>Ingeniør</t>
  </si>
  <si>
    <t>Project Administrator</t>
  </si>
  <si>
    <t>Rådgiver</t>
  </si>
  <si>
    <t>Administrative assistant</t>
  </si>
  <si>
    <t>Førstekonsulent</t>
  </si>
  <si>
    <t>Incentive funding rates</t>
  </si>
  <si>
    <t>Role</t>
  </si>
  <si>
    <t>Rate</t>
  </si>
  <si>
    <t>CO</t>
  </si>
  <si>
    <t>Fak. navn</t>
  </si>
  <si>
    <t>Instituttnavn</t>
  </si>
  <si>
    <t>Kortnavn fak.</t>
  </si>
  <si>
    <t>Kortnavn inst.</t>
  </si>
  <si>
    <t>Validering fak.</t>
  </si>
  <si>
    <t>Validering inst.</t>
  </si>
  <si>
    <t>AD</t>
  </si>
  <si>
    <t>KIT</t>
  </si>
  <si>
    <t>Ukjent fakultet</t>
  </si>
  <si>
    <t>Ukjent</t>
  </si>
  <si>
    <t>HF</t>
  </si>
  <si>
    <t>ID</t>
  </si>
  <si>
    <t>Ukjent institutt</t>
  </si>
  <si>
    <t>IE</t>
  </si>
  <si>
    <t>IAT</t>
  </si>
  <si>
    <t>Fakultet for Arkitektur og design (AD)</t>
  </si>
  <si>
    <t>IAP</t>
  </si>
  <si>
    <t>Kunstakademiet i Trondheim</t>
  </si>
  <si>
    <t>MH</t>
  </si>
  <si>
    <t>IFR</t>
  </si>
  <si>
    <t>Institutt for design</t>
  </si>
  <si>
    <t>NV</t>
  </si>
  <si>
    <t>IHK</t>
  </si>
  <si>
    <t>Institutt for arkitektur og teknologi</t>
  </si>
  <si>
    <t>SU</t>
  </si>
  <si>
    <t>IKM</t>
  </si>
  <si>
    <t>Institutt for arkitektur og planlegging</t>
  </si>
  <si>
    <t>ØK</t>
  </si>
  <si>
    <t>IMS</t>
  </si>
  <si>
    <t>Det humanistiske fakultet (HF)</t>
  </si>
  <si>
    <t>VM</t>
  </si>
  <si>
    <t>IMU</t>
  </si>
  <si>
    <t xml:space="preserve">    Institutt for filosofi og religionsvitenskap</t>
  </si>
  <si>
    <t>FA</t>
  </si>
  <si>
    <t>ISL</t>
  </si>
  <si>
    <t xml:space="preserve">    Institutt for historiske og klassiske studier</t>
  </si>
  <si>
    <t>KULT</t>
  </si>
  <si>
    <t xml:space="preserve">    Institutt for kunst- og medievitenskap</t>
  </si>
  <si>
    <t>IDI</t>
  </si>
  <si>
    <t xml:space="preserve">    Institutt for moderne samfunnshistorie</t>
  </si>
  <si>
    <t>IES</t>
  </si>
  <si>
    <t xml:space="preserve">    Institutt for musikk</t>
  </si>
  <si>
    <t>IEL</t>
  </si>
  <si>
    <t xml:space="preserve">    Institutt for språk og litteratur</t>
  </si>
  <si>
    <t>IIR</t>
  </si>
  <si>
    <t xml:space="preserve">    Institutt for tverrfaglige kulturstudier</t>
  </si>
  <si>
    <t>IIK</t>
  </si>
  <si>
    <t>Fakultet for informasjonsteknologi og elektroteknikk (IE)</t>
  </si>
  <si>
    <t>IMF</t>
  </si>
  <si>
    <t>Institutt for datateknologi og informatikk</t>
  </si>
  <si>
    <t>ITK</t>
  </si>
  <si>
    <t>Institutt for elektroniske systemer</t>
  </si>
  <si>
    <t>Institutt for elkraftteknikk</t>
  </si>
  <si>
    <t>IMT</t>
  </si>
  <si>
    <t>Institutt for IKT og realfag</t>
  </si>
  <si>
    <t>IGP</t>
  </si>
  <si>
    <t>Institutt for informasjonssikkerhet og kommunikasjonsteknologi</t>
  </si>
  <si>
    <t>Institutt for matematiske fag</t>
  </si>
  <si>
    <t>KT</t>
  </si>
  <si>
    <t>Institutt for teknisk kybernetikk</t>
  </si>
  <si>
    <t>MTP</t>
  </si>
  <si>
    <t>Fakultet for ingeniørvitenskap (IV)</t>
  </si>
  <si>
    <t>IHB</t>
  </si>
  <si>
    <t>Institutt for energi- og prosessteknikk</t>
  </si>
  <si>
    <t>IVB</t>
  </si>
  <si>
    <t>Institutt for marin teknikk</t>
  </si>
  <si>
    <t>IHG</t>
  </si>
  <si>
    <t>Institutt for geovitenskap og petroleum</t>
  </si>
  <si>
    <t>IHA</t>
  </si>
  <si>
    <t>Institutt for bygg- og miljøteknikk</t>
  </si>
  <si>
    <t>KAVLI</t>
  </si>
  <si>
    <t>Institutt for konstruksjonsteknikk</t>
  </si>
  <si>
    <t>IKOM</t>
  </si>
  <si>
    <t>Institutt for maskinteknikk og produksjon</t>
  </si>
  <si>
    <t>INB</t>
  </si>
  <si>
    <t>Institutt for havromsoperasjoner og byggteknikk</t>
  </si>
  <si>
    <t>IPH</t>
  </si>
  <si>
    <t>Institutt for vareproduksjon og byggteknikk</t>
  </si>
  <si>
    <t>ISM</t>
  </si>
  <si>
    <t>Fakultet for medisin og helsevitenskap (MH)</t>
  </si>
  <si>
    <t>ISB</t>
  </si>
  <si>
    <t>Institutt for helsevitenskap i Gjøvik</t>
  </si>
  <si>
    <t>IBI</t>
  </si>
  <si>
    <t>Institutt for helsevitenskap i Ålesund</t>
  </si>
  <si>
    <t>IBA</t>
  </si>
  <si>
    <t>Kavliinstitutt for nevrovitenskap</t>
  </si>
  <si>
    <t>IBT</t>
  </si>
  <si>
    <t>Institutt for klinisk og molekylær medisin</t>
  </si>
  <si>
    <t>IBF</t>
  </si>
  <si>
    <t>Institutt for nevromedisin og bevegelsesvitenskap</t>
  </si>
  <si>
    <t>IFY</t>
  </si>
  <si>
    <t>Institutt for psykisk helse</t>
  </si>
  <si>
    <t>IKJ</t>
  </si>
  <si>
    <t>Institutt for samfunnsmedisin og sykepleie</t>
  </si>
  <si>
    <t>IKP</t>
  </si>
  <si>
    <t>Institutt for sirkulasjon og bildediagnostikk</t>
  </si>
  <si>
    <t>IMA</t>
  </si>
  <si>
    <t>Fakultet for naturvitenskap (NV)</t>
  </si>
  <si>
    <t>IGE</t>
  </si>
  <si>
    <t>Institutt for biologi</t>
  </si>
  <si>
    <t>ILU</t>
  </si>
  <si>
    <t>Institutt for biologiske fag Ålesund</t>
  </si>
  <si>
    <t>IPL</t>
  </si>
  <si>
    <t>Institutt for bioteknologi og matvitenskap</t>
  </si>
  <si>
    <t>ISA</t>
  </si>
  <si>
    <t>Institutt for bioingeniørfag</t>
  </si>
  <si>
    <t>ISS</t>
  </si>
  <si>
    <t>Institutt for fysikk</t>
  </si>
  <si>
    <t>IPS</t>
  </si>
  <si>
    <t>Institutt for kjemi</t>
  </si>
  <si>
    <t>SA</t>
  </si>
  <si>
    <t>Institutt for kjemisk prosessteknologi</t>
  </si>
  <si>
    <t>HHS</t>
  </si>
  <si>
    <t>Institutt for materialteknologi</t>
  </si>
  <si>
    <t>IIF</t>
  </si>
  <si>
    <t>Nanolab</t>
  </si>
  <si>
    <t>Nano</t>
  </si>
  <si>
    <t>Fakultet for samfunns- og utdanningsvitenskap (SU)</t>
  </si>
  <si>
    <t>IØT</t>
  </si>
  <si>
    <t>Institutt for geografi</t>
  </si>
  <si>
    <t>ECON</t>
  </si>
  <si>
    <t>Institutt for lærerutdanning</t>
  </si>
  <si>
    <t>INH</t>
  </si>
  <si>
    <t>Institutt for pedagogikk og livslang læring</t>
  </si>
  <si>
    <t>IAK</t>
  </si>
  <si>
    <t>Institutt for sosialt arbeid</t>
  </si>
  <si>
    <t>Institutt for sosiologi og statsvitenskap</t>
  </si>
  <si>
    <t>Institutt for psykologi</t>
  </si>
  <si>
    <t>Institutt for sosialantropologi</t>
  </si>
  <si>
    <t>Fakultet for økonomi (ØK)</t>
  </si>
  <si>
    <t>NTNU Handelshøyskolen</t>
  </si>
  <si>
    <t>Institutt for internasjonal forretningsdrift</t>
  </si>
  <si>
    <t>Institutt for industriell økonomi og teknologiledelse</t>
  </si>
  <si>
    <t>Institutt for samfunnsøkonomi</t>
  </si>
  <si>
    <t>NTNU Vitenskapsmuseet (VM)</t>
  </si>
  <si>
    <t>Institutt for naturhistorie</t>
  </si>
  <si>
    <t>Institutt for arkeologi og kulturhistorie</t>
  </si>
  <si>
    <t>Fellesadmininstrasjonen</t>
  </si>
  <si>
    <t>Avdeling for utdanningskvalitet</t>
  </si>
  <si>
    <t>Avdeling for studieadministrasjon</t>
  </si>
  <si>
    <t>Avdeling for studenttjenester</t>
  </si>
  <si>
    <t>HR og HMS-avdelingen</t>
  </si>
  <si>
    <t>Kommunikasjonsavdelingen</t>
  </si>
  <si>
    <t>Avdeling for dokumentasjonsforvaltning</t>
  </si>
  <si>
    <t>IT-avdelingen</t>
  </si>
  <si>
    <t>Avdeling for virksomhetsstyring</t>
  </si>
  <si>
    <t>Økonomiavdelingen</t>
  </si>
  <si>
    <t>Avdeling for campusservice</t>
  </si>
  <si>
    <t>Eiendomsavdelingen</t>
  </si>
  <si>
    <t>Rektors stab</t>
  </si>
  <si>
    <t>Universitetsbiblioteket</t>
  </si>
  <si>
    <t>Application Form A3 category</t>
  </si>
  <si>
    <t>Costs of in kind contributions not used on the beneficiary's premises???</t>
  </si>
  <si>
    <t>Not a cost category in the ERC Budget table for 2021!</t>
  </si>
  <si>
    <t>Post docs</t>
  </si>
  <si>
    <t>Other personnel costs</t>
  </si>
  <si>
    <t>Eligibility criteria for additional funding</t>
  </si>
  <si>
    <t>PhD 1</t>
  </si>
  <si>
    <t>PhD 2</t>
  </si>
  <si>
    <t>Funded by NTNU</t>
  </si>
  <si>
    <t>Uninett Sigmanett 2</t>
  </si>
  <si>
    <t>cost for high performance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</si>
</sst>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_(* \(#,##0.00\);_(* &quot;-&quot;??_);_(@_)"/>
    <numFmt numFmtId="164" formatCode="_ * #,##0_ ;_ * \-#,##0_ ;_ * &quot;-&quot;_ ;_ @_ "/>
    <numFmt numFmtId="165" formatCode="_ * #,##0.00_ ;_ * \-#,##0.00_ ;_ * &quot;-&quot;??_ ;_ @_ "/>
    <numFmt numFmtId="166" formatCode="#,##0.0"/>
    <numFmt numFmtId="167" formatCode="0.0\ %"/>
    <numFmt numFmtId="168" formatCode="#,###;[Red]\(#,###\)"/>
    <numFmt numFmtId="169" formatCode="0.0"/>
    <numFmt numFmtId="170" formatCode="_(* #,##0_);_(* \(#,##0\);_(* &quot;&quot;??_);_(@_)"/>
    <numFmt numFmtId="171" formatCode="_(* #,##0_);[Red]* \(\-\)#,##0;_(* &quot;&quot;??_);_(@_)"/>
    <numFmt numFmtId="172" formatCode="dd/mm/yyyy;@"/>
    <numFmt numFmtId="173" formatCode="_(* #,##0_);[Red]* \-#,##0;_(* \-&quot;-&quot;??_);_(@_)"/>
    <numFmt numFmtId="174" formatCode="_(* #,##0.0_);[Red]* \(\-\)#,##0.0;_(* &quot;-&quot;??_);_(@_)"/>
    <numFmt numFmtId="175" formatCode="_ * #,##0_ ;_ * \-#,##0_ ;_ * &quot;-&quot;??_ ;_ @_ "/>
    <numFmt numFmtId="176" formatCode="_(* #,##0_);[Red]* \(\-\)#,##0;_(* &quot;-&quot;??_);_(@_)"/>
    <numFmt numFmtId="177" formatCode="_(* #,##0_);[Red]* \-#,##0;_(* \-&quot;&quot;??_);_(@_)"/>
    <numFmt numFmtId="178" formatCode="_(* #,##0\ %_);[Red]* \-#,##0\ %;_(* &quot;-&quot;??_);_(@_)"/>
    <numFmt numFmtId="179" formatCode="_(* #,##0_);[Red]* \-#,##0;_(* &quot;-&quot;??_);_(@_)"/>
    <numFmt numFmtId="180" formatCode="_(* #,##0.0_);[Red]* \-#,##0.0;_(* &quot;-&quot;??_);_(@_)"/>
    <numFmt numFmtId="181" formatCode="_(* #,##0.00_);[Red]* \-#,##0.00;_(* &quot;-&quot;??_);_(@_)"/>
    <numFmt numFmtId="182" formatCode="#,##0_ ;[Red]\-#,##0\ "/>
    <numFmt numFmtId="183" formatCode="#,###.00;[Red]\(#,###.00\)"/>
  </numFmts>
  <fonts count="36" x14ac:knownFonts="1">
    <font>
      <sz val="10"/>
      <name val="Arial"/>
      <family val="2"/>
    </font>
    <font>
      <sz val="11"/>
      <color theme="1"/>
      <name val="Calibri"/>
      <family val="2"/>
      <scheme val="minor"/>
    </font>
    <font>
      <sz val="10"/>
      <name val="MS Sans Serif"/>
      <family val="2"/>
    </font>
    <font>
      <sz val="8"/>
      <name val="Microsoft Sans Serif"/>
      <family val="2"/>
    </font>
    <font>
      <b/>
      <sz val="10"/>
      <name val="Arial"/>
      <family val="2"/>
    </font>
    <font>
      <sz val="10"/>
      <name val="Arial"/>
      <family val="2"/>
    </font>
    <font>
      <b/>
      <sz val="8"/>
      <name val="Arial"/>
      <family val="2"/>
    </font>
    <font>
      <sz val="8"/>
      <name val="Arial"/>
      <family val="2"/>
    </font>
    <font>
      <b/>
      <sz val="16"/>
      <name val="Arial"/>
      <family val="2"/>
    </font>
    <font>
      <sz val="16"/>
      <name val="Arial"/>
      <family val="2"/>
    </font>
    <font>
      <b/>
      <sz val="14"/>
      <name val="Arial"/>
      <family val="2"/>
    </font>
    <font>
      <b/>
      <sz val="12"/>
      <name val="Arial"/>
      <family val="2"/>
    </font>
    <font>
      <b/>
      <sz val="9"/>
      <name val="Arial"/>
      <family val="2"/>
    </font>
    <font>
      <sz val="9"/>
      <name val="Arial"/>
      <family val="2"/>
    </font>
    <font>
      <b/>
      <i/>
      <sz val="10"/>
      <name val="Arial"/>
      <family val="2"/>
    </font>
    <font>
      <i/>
      <sz val="10"/>
      <name val="Arial"/>
      <family val="2"/>
    </font>
    <font>
      <i/>
      <sz val="9"/>
      <name val="Arial"/>
      <family val="2"/>
    </font>
    <font>
      <b/>
      <i/>
      <sz val="9"/>
      <name val="Arial"/>
      <family val="2"/>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6"/>
      <color theme="1"/>
      <name val="Calibri"/>
      <family val="2"/>
      <scheme val="minor"/>
    </font>
    <font>
      <sz val="10"/>
      <name val="Tahoma"/>
      <family val="2"/>
    </font>
    <font>
      <b/>
      <sz val="10"/>
      <name val="Calibri"/>
      <family val="2"/>
      <scheme val="minor"/>
    </font>
    <font>
      <sz val="10"/>
      <name val="Calibri"/>
      <family val="2"/>
      <scheme val="minor"/>
    </font>
    <font>
      <b/>
      <sz val="8"/>
      <name val="Calibri"/>
      <family val="2"/>
      <scheme val="minor"/>
    </font>
    <font>
      <sz val="8"/>
      <name val="Calibri"/>
      <family val="2"/>
      <scheme val="minor"/>
    </font>
    <font>
      <b/>
      <sz val="16"/>
      <name val="Calibri"/>
      <family val="2"/>
      <scheme val="minor"/>
    </font>
    <font>
      <sz val="16"/>
      <name val="Calibri"/>
      <family val="2"/>
      <scheme val="minor"/>
    </font>
    <font>
      <b/>
      <sz val="11"/>
      <name val="Calibri"/>
      <family val="2"/>
      <scheme val="minor"/>
    </font>
    <font>
      <b/>
      <sz val="10"/>
      <color rgb="FFFF0000"/>
      <name val="Arial"/>
      <family val="2"/>
    </font>
    <font>
      <b/>
      <sz val="11"/>
      <name val="Arial"/>
      <family val="2"/>
    </font>
    <font>
      <sz val="11"/>
      <name val="Calibri"/>
      <family val="2"/>
      <scheme val="minor"/>
    </font>
    <font>
      <b/>
      <sz val="12"/>
      <name val="Calibri"/>
      <family val="2"/>
      <scheme val="minor"/>
    </font>
    <font>
      <u/>
      <sz val="10"/>
      <name val="Calibri"/>
      <family val="2"/>
      <scheme val="minor"/>
    </font>
  </fonts>
  <fills count="20">
    <fill>
      <patternFill patternType="none"/>
    </fill>
    <fill>
      <patternFill patternType="gray125"/>
    </fill>
    <fill>
      <patternFill patternType="solid">
        <fgColor indexed="31"/>
        <bgColor indexed="64"/>
      </patternFill>
    </fill>
    <fill>
      <patternFill patternType="solid">
        <fgColor indexed="43"/>
        <bgColor indexed="64"/>
      </patternFill>
    </fill>
    <fill>
      <patternFill patternType="solid">
        <fgColor indexed="22"/>
        <bgColor indexed="64"/>
      </patternFill>
    </fill>
    <fill>
      <patternFill patternType="solid">
        <fgColor rgb="FFFFFF99"/>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59996337778862885"/>
        <bgColor indexed="64"/>
      </patternFill>
    </fill>
    <fill>
      <patternFill patternType="solid">
        <fgColor theme="0" tint="-0.14999847407452621"/>
        <bgColor indexed="64"/>
      </patternFill>
    </fill>
    <fill>
      <patternFill patternType="solid">
        <fgColor theme="0"/>
        <bgColor indexed="64"/>
      </patternFill>
    </fill>
    <fill>
      <patternFill patternType="solid">
        <fgColor rgb="FFFFFFCC"/>
        <bgColor indexed="64"/>
      </patternFill>
    </fill>
    <fill>
      <patternFill patternType="solid">
        <fgColor theme="0" tint="-0.149967955565050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tint="-0.24994659260841701"/>
        <bgColor indexed="64"/>
      </patternFill>
    </fill>
    <fill>
      <patternFill patternType="solid">
        <fgColor theme="9" tint="0.59996337778862885"/>
        <bgColor indexed="64"/>
      </patternFill>
    </fill>
    <fill>
      <patternFill patternType="solid">
        <fgColor theme="9" tint="0.39997558519241921"/>
        <bgColor indexed="64"/>
      </patternFill>
    </fill>
  </fills>
  <borders count="83">
    <border>
      <left/>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top/>
      <bottom style="thin">
        <color indexed="64"/>
      </bottom>
      <diagonal/>
    </border>
    <border>
      <left style="medium">
        <color indexed="64"/>
      </left>
      <right/>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diagonal/>
    </border>
    <border>
      <left style="medium">
        <color auto="1"/>
      </left>
      <right style="thin">
        <color indexed="64"/>
      </right>
      <top style="thin">
        <color auto="1"/>
      </top>
      <bottom style="double">
        <color auto="1"/>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style="medium">
        <color indexed="64"/>
      </top>
      <bottom/>
      <diagonal/>
    </border>
    <border>
      <left style="thin">
        <color indexed="64"/>
      </left>
      <right style="medium">
        <color indexed="64"/>
      </right>
      <top/>
      <bottom style="double">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double">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auto="1"/>
      </top>
      <bottom style="double">
        <color auto="1"/>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s>
  <cellStyleXfs count="11">
    <xf numFmtId="0" fontId="0" fillId="0" borderId="0"/>
    <xf numFmtId="0" fontId="2" fillId="0" borderId="0"/>
    <xf numFmtId="165" fontId="5" fillId="0" borderId="0" applyFont="0" applyFill="0" applyBorder="0" applyAlignment="0" applyProtection="0"/>
    <xf numFmtId="0" fontId="7"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165" fontId="7" fillId="0" borderId="0" applyFont="0" applyFill="0" applyBorder="0" applyAlignment="0" applyProtection="0"/>
    <xf numFmtId="0" fontId="5" fillId="0" borderId="0"/>
    <xf numFmtId="43" fontId="23" fillId="0" borderId="0" applyFont="0" applyFill="0" applyBorder="0" applyAlignment="0" applyProtection="0"/>
    <xf numFmtId="9" fontId="23" fillId="0" borderId="0" applyFont="0" applyFill="0" applyBorder="0" applyAlignment="0" applyProtection="0"/>
  </cellStyleXfs>
  <cellXfs count="653">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3" fontId="5" fillId="0" borderId="0" xfId="1" applyNumberFormat="1" applyFont="1"/>
    <xf numFmtId="0" fontId="5" fillId="0" borderId="0" xfId="1" applyFont="1"/>
    <xf numFmtId="0" fontId="4" fillId="0" borderId="0" xfId="1" applyFont="1"/>
    <xf numFmtId="3" fontId="9" fillId="0" borderId="0" xfId="0" applyNumberFormat="1" applyFont="1"/>
    <xf numFmtId="166" fontId="9" fillId="0" borderId="0" xfId="0" applyNumberFormat="1" applyFont="1"/>
    <xf numFmtId="0" fontId="11" fillId="0" borderId="0" xfId="0" applyFont="1"/>
    <xf numFmtId="0" fontId="13" fillId="0" borderId="0" xfId="0" applyFont="1"/>
    <xf numFmtId="168" fontId="13" fillId="0" borderId="24" xfId="0" applyNumberFormat="1" applyFont="1" applyBorder="1"/>
    <xf numFmtId="168" fontId="13" fillId="0" borderId="31" xfId="0" applyNumberFormat="1" applyFont="1" applyBorder="1"/>
    <xf numFmtId="168" fontId="13" fillId="0" borderId="21" xfId="0" applyNumberFormat="1" applyFont="1" applyBorder="1"/>
    <xf numFmtId="168" fontId="13" fillId="0" borderId="16" xfId="0" applyNumberFormat="1" applyFont="1" applyBorder="1"/>
    <xf numFmtId="168" fontId="12" fillId="0" borderId="10" xfId="0" applyNumberFormat="1" applyFont="1" applyBorder="1"/>
    <xf numFmtId="168" fontId="12" fillId="0" borderId="35" xfId="0" applyNumberFormat="1" applyFont="1" applyBorder="1"/>
    <xf numFmtId="168" fontId="13" fillId="0" borderId="0" xfId="0" applyNumberFormat="1" applyFont="1"/>
    <xf numFmtId="168" fontId="13" fillId="0" borderId="38" xfId="0" applyNumberFormat="1" applyFont="1" applyBorder="1"/>
    <xf numFmtId="168" fontId="13" fillId="0" borderId="39" xfId="0" applyNumberFormat="1" applyFont="1" applyBorder="1"/>
    <xf numFmtId="168" fontId="13" fillId="0" borderId="25" xfId="0" applyNumberFormat="1" applyFont="1" applyBorder="1"/>
    <xf numFmtId="168" fontId="12" fillId="0" borderId="41" xfId="0" applyNumberFormat="1" applyFont="1" applyBorder="1"/>
    <xf numFmtId="168" fontId="13" fillId="0" borderId="42" xfId="0" applyNumberFormat="1" applyFont="1" applyBorder="1"/>
    <xf numFmtId="168" fontId="12" fillId="4" borderId="22" xfId="0" applyNumberFormat="1" applyFont="1" applyFill="1" applyBorder="1"/>
    <xf numFmtId="168" fontId="12" fillId="4" borderId="20" xfId="0" applyNumberFormat="1" applyFont="1" applyFill="1" applyBorder="1"/>
    <xf numFmtId="168" fontId="11" fillId="0" borderId="0" xfId="0" applyNumberFormat="1" applyFont="1"/>
    <xf numFmtId="168" fontId="12" fillId="0" borderId="33" xfId="0" applyNumberFormat="1" applyFont="1" applyBorder="1"/>
    <xf numFmtId="168" fontId="12" fillId="0" borderId="7" xfId="0" applyNumberFormat="1" applyFont="1" applyBorder="1"/>
    <xf numFmtId="0" fontId="15" fillId="0" borderId="0" xfId="0" applyFont="1"/>
    <xf numFmtId="168" fontId="12" fillId="0" borderId="42" xfId="0" applyNumberFormat="1" applyFont="1" applyBorder="1"/>
    <xf numFmtId="2" fontId="10" fillId="0" borderId="0" xfId="1" applyNumberFormat="1" applyFont="1" applyAlignment="1">
      <alignment horizontal="left"/>
    </xf>
    <xf numFmtId="3" fontId="7" fillId="0" borderId="0" xfId="1" applyNumberFormat="1" applyFont="1"/>
    <xf numFmtId="2" fontId="6" fillId="0" borderId="0" xfId="1" applyNumberFormat="1" applyFont="1" applyAlignment="1" applyProtection="1">
      <alignment horizontal="left"/>
      <protection locked="0"/>
    </xf>
    <xf numFmtId="0" fontId="11" fillId="0" borderId="0" xfId="3" applyFont="1"/>
    <xf numFmtId="0" fontId="12" fillId="0" borderId="0" xfId="3" applyFont="1"/>
    <xf numFmtId="0" fontId="13" fillId="0" borderId="0" xfId="3" applyFont="1"/>
    <xf numFmtId="3" fontId="0" fillId="0" borderId="0" xfId="0" applyNumberFormat="1"/>
    <xf numFmtId="166" fontId="0" fillId="0" borderId="0" xfId="0" applyNumberFormat="1"/>
    <xf numFmtId="0" fontId="0" fillId="0" borderId="0" xfId="0" applyAlignment="1">
      <alignment wrapText="1"/>
    </xf>
    <xf numFmtId="172" fontId="4" fillId="0" borderId="0" xfId="0" applyNumberFormat="1" applyFont="1" applyAlignment="1" applyProtection="1">
      <alignment wrapText="1"/>
      <protection locked="0"/>
    </xf>
    <xf numFmtId="172" fontId="4" fillId="0" borderId="0" xfId="0" applyNumberFormat="1" applyFont="1" applyProtection="1">
      <protection locked="0"/>
    </xf>
    <xf numFmtId="164" fontId="4" fillId="0" borderId="0" xfId="2" applyNumberFormat="1" applyFont="1" applyFill="1" applyBorder="1" applyAlignment="1" applyProtection="1">
      <protection locked="0"/>
    </xf>
    <xf numFmtId="168" fontId="0" fillId="0" borderId="23" xfId="0" applyNumberFormat="1" applyBorder="1" applyAlignment="1">
      <alignment horizontal="center"/>
    </xf>
    <xf numFmtId="168" fontId="0" fillId="0" borderId="15" xfId="0" applyNumberFormat="1" applyBorder="1" applyAlignment="1">
      <alignment horizontal="center"/>
    </xf>
    <xf numFmtId="0" fontId="18" fillId="0" borderId="0" xfId="4" applyFont="1"/>
    <xf numFmtId="0" fontId="18" fillId="0" borderId="51" xfId="4" applyFont="1" applyBorder="1"/>
    <xf numFmtId="0" fontId="18" fillId="0" borderId="47" xfId="4" applyFont="1" applyBorder="1" applyAlignment="1">
      <alignment wrapText="1"/>
    </xf>
    <xf numFmtId="0" fontId="18" fillId="6" borderId="47" xfId="4" applyFont="1" applyFill="1" applyBorder="1" applyAlignment="1">
      <alignment wrapText="1"/>
    </xf>
    <xf numFmtId="0" fontId="18" fillId="7" borderId="47" xfId="4" applyFont="1" applyFill="1" applyBorder="1" applyAlignment="1">
      <alignment wrapText="1"/>
    </xf>
    <xf numFmtId="0" fontId="1" fillId="0" borderId="0" xfId="4"/>
    <xf numFmtId="173" fontId="1" fillId="0" borderId="0" xfId="4" applyNumberFormat="1"/>
    <xf numFmtId="174" fontId="1" fillId="0" borderId="0" xfId="4" applyNumberFormat="1"/>
    <xf numFmtId="175" fontId="0" fillId="6" borderId="0" xfId="5" applyNumberFormat="1" applyFont="1" applyFill="1"/>
    <xf numFmtId="175" fontId="0" fillId="0" borderId="0" xfId="5" applyNumberFormat="1" applyFont="1"/>
    <xf numFmtId="175" fontId="1" fillId="6" borderId="0" xfId="4" applyNumberFormat="1" applyFill="1"/>
    <xf numFmtId="175" fontId="0" fillId="7" borderId="0" xfId="5" applyNumberFormat="1" applyFont="1" applyFill="1"/>
    <xf numFmtId="175" fontId="1" fillId="7" borderId="0" xfId="4" applyNumberFormat="1" applyFill="1"/>
    <xf numFmtId="175" fontId="1" fillId="0" borderId="0" xfId="4" applyNumberFormat="1"/>
    <xf numFmtId="165" fontId="1" fillId="0" borderId="0" xfId="4" applyNumberFormat="1"/>
    <xf numFmtId="9" fontId="0" fillId="7" borderId="0" xfId="6" applyFont="1" applyFill="1"/>
    <xf numFmtId="0" fontId="18" fillId="0" borderId="12" xfId="4" applyFont="1" applyBorder="1"/>
    <xf numFmtId="165" fontId="18" fillId="0" borderId="12" xfId="4" applyNumberFormat="1" applyFont="1" applyBorder="1"/>
    <xf numFmtId="175" fontId="18" fillId="0" borderId="12" xfId="5" applyNumberFormat="1" applyFont="1" applyBorder="1"/>
    <xf numFmtId="0" fontId="19" fillId="6" borderId="0" xfId="4" applyFont="1" applyFill="1"/>
    <xf numFmtId="9" fontId="19" fillId="6" borderId="0" xfId="6" applyFont="1" applyFill="1"/>
    <xf numFmtId="9" fontId="19" fillId="0" borderId="0" xfId="6" applyFont="1" applyFill="1"/>
    <xf numFmtId="0" fontId="20" fillId="0" borderId="0" xfId="4" applyFont="1"/>
    <xf numFmtId="0" fontId="10" fillId="0" borderId="0" xfId="3" applyFont="1"/>
    <xf numFmtId="175" fontId="10" fillId="0" borderId="0" xfId="7" applyNumberFormat="1" applyFont="1"/>
    <xf numFmtId="176" fontId="10" fillId="0" borderId="0" xfId="3" applyNumberFormat="1" applyFont="1"/>
    <xf numFmtId="0" fontId="5" fillId="0" borderId="0" xfId="3" applyFont="1"/>
    <xf numFmtId="175" fontId="5" fillId="0" borderId="0" xfId="7" applyNumberFormat="1" applyFont="1"/>
    <xf numFmtId="176" fontId="5" fillId="0" borderId="0" xfId="3" applyNumberFormat="1" applyFont="1"/>
    <xf numFmtId="0" fontId="5" fillId="0" borderId="0" xfId="3" applyFont="1" applyAlignment="1">
      <alignment wrapText="1"/>
    </xf>
    <xf numFmtId="0" fontId="4" fillId="0" borderId="0" xfId="3" applyFont="1" applyAlignment="1">
      <alignment wrapText="1"/>
    </xf>
    <xf numFmtId="9" fontId="4" fillId="0" borderId="0" xfId="7" applyNumberFormat="1" applyFont="1"/>
    <xf numFmtId="176" fontId="4" fillId="0" borderId="0" xfId="3" applyNumberFormat="1" applyFont="1"/>
    <xf numFmtId="0" fontId="13" fillId="0" borderId="48" xfId="3" applyFont="1" applyBorder="1" applyAlignment="1">
      <alignment horizontal="left" indent="1"/>
    </xf>
    <xf numFmtId="173" fontId="13" fillId="0" borderId="57" xfId="7" applyNumberFormat="1" applyFont="1" applyFill="1" applyBorder="1" applyAlignment="1">
      <alignment vertical="center"/>
    </xf>
    <xf numFmtId="173" fontId="13" fillId="0" borderId="44" xfId="7" applyNumberFormat="1" applyFont="1" applyFill="1" applyBorder="1" applyAlignment="1">
      <alignment vertical="center"/>
    </xf>
    <xf numFmtId="0" fontId="12" fillId="0" borderId="48" xfId="3" quotePrefix="1" applyFont="1" applyBorder="1"/>
    <xf numFmtId="0" fontId="21" fillId="0" borderId="0" xfId="8" applyFont="1"/>
    <xf numFmtId="177" fontId="5" fillId="0" borderId="0" xfId="8" applyNumberFormat="1"/>
    <xf numFmtId="0" fontId="5" fillId="0" borderId="0" xfId="8"/>
    <xf numFmtId="0" fontId="22" fillId="0" borderId="0" xfId="8" applyFont="1"/>
    <xf numFmtId="177" fontId="4" fillId="0" borderId="0" xfId="8" applyNumberFormat="1" applyFont="1" applyAlignment="1">
      <alignment horizontal="center"/>
    </xf>
    <xf numFmtId="0" fontId="4" fillId="0" borderId="6" xfId="8" applyFont="1" applyBorder="1" applyAlignment="1">
      <alignment vertical="center"/>
    </xf>
    <xf numFmtId="177" fontId="4" fillId="0" borderId="22" xfId="8" applyNumberFormat="1" applyFont="1" applyBorder="1" applyAlignment="1">
      <alignment horizontal="center" vertical="center"/>
    </xf>
    <xf numFmtId="177" fontId="4" fillId="0" borderId="18" xfId="8" applyNumberFormat="1" applyFont="1" applyBorder="1" applyAlignment="1">
      <alignment horizontal="center" vertical="center"/>
    </xf>
    <xf numFmtId="177" fontId="4" fillId="0" borderId="20" xfId="8" applyNumberFormat="1" applyFont="1" applyBorder="1" applyAlignment="1">
      <alignment horizontal="center" vertical="center"/>
    </xf>
    <xf numFmtId="0" fontId="4" fillId="0" borderId="42" xfId="8" applyFont="1" applyBorder="1" applyAlignment="1">
      <alignment vertical="center"/>
    </xf>
    <xf numFmtId="177" fontId="4" fillId="0" borderId="3" xfId="8" applyNumberFormat="1" applyFont="1" applyBorder="1" applyAlignment="1">
      <alignment horizontal="center" vertical="center"/>
    </xf>
    <xf numFmtId="177" fontId="4" fillId="0" borderId="4" xfId="8" applyNumberFormat="1" applyFont="1" applyBorder="1" applyAlignment="1">
      <alignment horizontal="center" vertical="center"/>
    </xf>
    <xf numFmtId="177" fontId="4" fillId="0" borderId="45" xfId="8" applyNumberFormat="1" applyFont="1" applyBorder="1" applyAlignment="1">
      <alignment horizontal="center" vertical="center"/>
    </xf>
    <xf numFmtId="0" fontId="5" fillId="0" borderId="6" xfId="8" applyBorder="1"/>
    <xf numFmtId="177" fontId="5" fillId="7" borderId="52" xfId="7" applyNumberFormat="1" applyFont="1" applyFill="1" applyBorder="1"/>
    <xf numFmtId="177" fontId="5" fillId="0" borderId="61" xfId="7" applyNumberFormat="1" applyFont="1" applyBorder="1"/>
    <xf numFmtId="177" fontId="5" fillId="0" borderId="1" xfId="7" applyNumberFormat="1" applyFont="1" applyBorder="1"/>
    <xf numFmtId="177" fontId="5" fillId="0" borderId="52" xfId="7" applyNumberFormat="1" applyFont="1" applyBorder="1"/>
    <xf numFmtId="0" fontId="5" fillId="0" borderId="48" xfId="8" applyBorder="1"/>
    <xf numFmtId="177" fontId="5" fillId="7" borderId="9" xfId="7" applyNumberFormat="1" applyFont="1" applyFill="1" applyBorder="1"/>
    <xf numFmtId="177" fontId="5" fillId="0" borderId="8" xfId="7" applyNumberFormat="1" applyFont="1" applyBorder="1"/>
    <xf numFmtId="177" fontId="5" fillId="0" borderId="23" xfId="7" applyNumberFormat="1" applyFont="1" applyBorder="1"/>
    <xf numFmtId="177" fontId="5" fillId="0" borderId="9" xfId="7" applyNumberFormat="1" applyFont="1" applyBorder="1"/>
    <xf numFmtId="0" fontId="4" fillId="0" borderId="48" xfId="8" applyFont="1" applyBorder="1"/>
    <xf numFmtId="177" fontId="4" fillId="7" borderId="37" xfId="9" applyNumberFormat="1" applyFont="1" applyFill="1" applyBorder="1"/>
    <xf numFmtId="177" fontId="4" fillId="0" borderId="57" xfId="9" applyNumberFormat="1" applyFont="1" applyBorder="1"/>
    <xf numFmtId="177" fontId="4" fillId="0" borderId="44" xfId="9" applyNumberFormat="1" applyFont="1" applyBorder="1"/>
    <xf numFmtId="177" fontId="4" fillId="0" borderId="37" xfId="9" applyNumberFormat="1" applyFont="1" applyBorder="1"/>
    <xf numFmtId="177" fontId="5" fillId="7" borderId="37" xfId="7" applyNumberFormat="1" applyFont="1" applyFill="1" applyBorder="1"/>
    <xf numFmtId="177" fontId="5" fillId="0" borderId="57" xfId="7" applyNumberFormat="1" applyFont="1" applyBorder="1"/>
    <xf numFmtId="177" fontId="5" fillId="0" borderId="44" xfId="7" applyNumberFormat="1" applyFont="1" applyBorder="1"/>
    <xf numFmtId="177" fontId="5" fillId="0" borderId="37" xfId="7" applyNumberFormat="1" applyFont="1" applyBorder="1"/>
    <xf numFmtId="177" fontId="4" fillId="7" borderId="9" xfId="9" applyNumberFormat="1" applyFont="1" applyFill="1" applyBorder="1"/>
    <xf numFmtId="177" fontId="4" fillId="0" borderId="8" xfId="9" applyNumberFormat="1" applyFont="1" applyBorder="1"/>
    <xf numFmtId="177" fontId="4" fillId="0" borderId="23" xfId="9" applyNumberFormat="1" applyFont="1" applyBorder="1"/>
    <xf numFmtId="177" fontId="4" fillId="0" borderId="9" xfId="9" applyNumberFormat="1" applyFont="1" applyBorder="1"/>
    <xf numFmtId="177" fontId="4" fillId="7" borderId="37" xfId="8" applyNumberFormat="1" applyFont="1" applyFill="1" applyBorder="1"/>
    <xf numFmtId="177" fontId="4" fillId="0" borderId="57" xfId="8" applyNumberFormat="1" applyFont="1" applyBorder="1"/>
    <xf numFmtId="177" fontId="4" fillId="0" borderId="44" xfId="8" applyNumberFormat="1" applyFont="1" applyBorder="1"/>
    <xf numFmtId="177" fontId="4" fillId="0" borderId="37" xfId="8" applyNumberFormat="1" applyFont="1" applyBorder="1"/>
    <xf numFmtId="178" fontId="4" fillId="7" borderId="37" xfId="10" applyNumberFormat="1" applyFont="1" applyFill="1" applyBorder="1"/>
    <xf numFmtId="178" fontId="4" fillId="0" borderId="57" xfId="10" applyNumberFormat="1" applyFont="1" applyBorder="1"/>
    <xf numFmtId="178" fontId="4" fillId="0" borderId="44" xfId="10" applyNumberFormat="1" applyFont="1" applyBorder="1"/>
    <xf numFmtId="178" fontId="4" fillId="0" borderId="37" xfId="10" applyNumberFormat="1" applyFont="1" applyBorder="1"/>
    <xf numFmtId="0" fontId="4" fillId="0" borderId="56" xfId="8" applyFont="1" applyBorder="1" applyAlignment="1">
      <alignment vertical="center"/>
    </xf>
    <xf numFmtId="178" fontId="4" fillId="7" borderId="45" xfId="10" applyNumberFormat="1" applyFont="1" applyFill="1" applyBorder="1"/>
    <xf numFmtId="178" fontId="4" fillId="0" borderId="3" xfId="10" applyNumberFormat="1" applyFont="1" applyBorder="1"/>
    <xf numFmtId="178" fontId="4" fillId="0" borderId="4" xfId="10" applyNumberFormat="1" applyFont="1" applyBorder="1"/>
    <xf numFmtId="178" fontId="4" fillId="0" borderId="45" xfId="10" applyNumberFormat="1" applyFont="1" applyBorder="1"/>
    <xf numFmtId="177" fontId="4" fillId="0" borderId="20" xfId="8" applyNumberFormat="1" applyFont="1" applyBorder="1" applyAlignment="1">
      <alignment horizontal="center"/>
    </xf>
    <xf numFmtId="177" fontId="4" fillId="0" borderId="45" xfId="8" applyNumberFormat="1" applyFont="1" applyBorder="1" applyAlignment="1">
      <alignment horizontal="center"/>
    </xf>
    <xf numFmtId="177" fontId="4" fillId="7" borderId="45" xfId="9" applyNumberFormat="1" applyFont="1" applyFill="1" applyBorder="1"/>
    <xf numFmtId="177" fontId="4" fillId="0" borderId="3" xfId="9" applyNumberFormat="1" applyFont="1" applyBorder="1"/>
    <xf numFmtId="177" fontId="4" fillId="0" borderId="4" xfId="9" applyNumberFormat="1" applyFont="1" applyBorder="1"/>
    <xf numFmtId="177" fontId="4" fillId="0" borderId="45" xfId="9" applyNumberFormat="1" applyFont="1" applyBorder="1"/>
    <xf numFmtId="0" fontId="5" fillId="0" borderId="0" xfId="8" quotePrefix="1"/>
    <xf numFmtId="173" fontId="10" fillId="0" borderId="0" xfId="3" applyNumberFormat="1" applyFont="1"/>
    <xf numFmtId="173" fontId="5" fillId="0" borderId="0" xfId="3" applyNumberFormat="1" applyFont="1"/>
    <xf numFmtId="0" fontId="4" fillId="0" borderId="0" xfId="3" applyFont="1"/>
    <xf numFmtId="173" fontId="13" fillId="0" borderId="37" xfId="7" applyNumberFormat="1" applyFont="1" applyFill="1" applyBorder="1" applyAlignment="1">
      <alignment vertical="center"/>
    </xf>
    <xf numFmtId="0" fontId="14" fillId="0" borderId="0" xfId="3" applyFont="1"/>
    <xf numFmtId="0" fontId="12" fillId="0" borderId="43" xfId="0" applyFont="1" applyBorder="1"/>
    <xf numFmtId="0" fontId="12" fillId="0" borderId="41" xfId="0" applyFont="1" applyBorder="1"/>
    <xf numFmtId="168" fontId="13" fillId="0" borderId="15" xfId="0" applyNumberFormat="1" applyFont="1" applyBorder="1"/>
    <xf numFmtId="168" fontId="13" fillId="0" borderId="26" xfId="0" applyNumberFormat="1" applyFont="1" applyBorder="1"/>
    <xf numFmtId="168" fontId="13" fillId="0" borderId="40" xfId="0" applyNumberFormat="1" applyFont="1" applyBorder="1"/>
    <xf numFmtId="168" fontId="13" fillId="4" borderId="15" xfId="0" applyNumberFormat="1" applyFont="1" applyFill="1" applyBorder="1"/>
    <xf numFmtId="168" fontId="12" fillId="0" borderId="34" xfId="0" applyNumberFormat="1" applyFont="1" applyBorder="1"/>
    <xf numFmtId="168" fontId="17" fillId="4" borderId="3" xfId="0" applyNumberFormat="1" applyFont="1" applyFill="1" applyBorder="1" applyAlignment="1">
      <alignment horizontal="center"/>
    </xf>
    <xf numFmtId="168" fontId="17" fillId="4" borderId="4" xfId="0" applyNumberFormat="1" applyFont="1" applyFill="1" applyBorder="1" applyAlignment="1">
      <alignment horizontal="center"/>
    </xf>
    <xf numFmtId="168" fontId="17" fillId="4" borderId="45" xfId="0" applyNumberFormat="1" applyFont="1" applyFill="1" applyBorder="1" applyAlignment="1">
      <alignment horizontal="center"/>
    </xf>
    <xf numFmtId="168" fontId="4" fillId="0" borderId="0" xfId="0" applyNumberFormat="1" applyFont="1"/>
    <xf numFmtId="179" fontId="12" fillId="0" borderId="22" xfId="0" applyNumberFormat="1" applyFont="1" applyBorder="1" applyAlignment="1">
      <alignment horizontal="center"/>
    </xf>
    <xf numFmtId="179" fontId="12" fillId="0" borderId="18" xfId="0" applyNumberFormat="1" applyFont="1" applyBorder="1" applyAlignment="1">
      <alignment horizontal="center"/>
    </xf>
    <xf numFmtId="179" fontId="12" fillId="0" borderId="20" xfId="0" applyNumberFormat="1" applyFont="1" applyBorder="1" applyAlignment="1">
      <alignment horizontal="center"/>
    </xf>
    <xf numFmtId="179" fontId="12" fillId="0" borderId="21" xfId="0" applyNumberFormat="1" applyFont="1" applyBorder="1" applyAlignment="1">
      <alignment horizontal="center"/>
    </xf>
    <xf numFmtId="179" fontId="12" fillId="0" borderId="17" xfId="0" applyNumberFormat="1" applyFont="1" applyBorder="1" applyAlignment="1">
      <alignment horizontal="center"/>
    </xf>
    <xf numFmtId="179" fontId="12" fillId="0" borderId="16" xfId="0" applyNumberFormat="1" applyFont="1" applyBorder="1" applyAlignment="1">
      <alignment horizontal="center"/>
    </xf>
    <xf numFmtId="168" fontId="12" fillId="4" borderId="18" xfId="0" applyNumberFormat="1" applyFont="1" applyFill="1" applyBorder="1"/>
    <xf numFmtId="168" fontId="13" fillId="0" borderId="17" xfId="0" applyNumberFormat="1" applyFont="1" applyBorder="1"/>
    <xf numFmtId="0" fontId="4" fillId="8" borderId="43" xfId="0" applyFont="1" applyFill="1" applyBorder="1" applyAlignment="1">
      <alignment horizontal="center"/>
    </xf>
    <xf numFmtId="0" fontId="12" fillId="8" borderId="33" xfId="0" applyFont="1" applyFill="1" applyBorder="1" applyAlignment="1">
      <alignment horizontal="center"/>
    </xf>
    <xf numFmtId="168" fontId="17" fillId="8" borderId="36" xfId="0" applyNumberFormat="1" applyFont="1" applyFill="1" applyBorder="1" applyAlignment="1">
      <alignment horizontal="center"/>
    </xf>
    <xf numFmtId="168" fontId="13" fillId="8" borderId="32" xfId="0" applyNumberFormat="1" applyFont="1" applyFill="1" applyBorder="1"/>
    <xf numFmtId="168" fontId="13" fillId="8" borderId="63" xfId="0" applyNumberFormat="1" applyFont="1" applyFill="1" applyBorder="1"/>
    <xf numFmtId="168" fontId="12" fillId="8" borderId="43" xfId="0" applyNumberFormat="1" applyFont="1" applyFill="1" applyBorder="1"/>
    <xf numFmtId="168" fontId="12" fillId="8" borderId="11" xfId="0" applyNumberFormat="1" applyFont="1" applyFill="1" applyBorder="1"/>
    <xf numFmtId="168" fontId="13" fillId="8" borderId="33" xfId="0" applyNumberFormat="1" applyFont="1" applyFill="1" applyBorder="1"/>
    <xf numFmtId="168" fontId="13" fillId="8" borderId="11" xfId="0" applyNumberFormat="1" applyFont="1" applyFill="1" applyBorder="1"/>
    <xf numFmtId="168" fontId="17" fillId="4" borderId="10" xfId="0" applyNumberFormat="1" applyFont="1" applyFill="1" applyBorder="1" applyAlignment="1">
      <alignment horizontal="center"/>
    </xf>
    <xf numFmtId="168" fontId="17" fillId="4" borderId="34" xfId="0" applyNumberFormat="1" applyFont="1" applyFill="1" applyBorder="1" applyAlignment="1">
      <alignment horizontal="center"/>
    </xf>
    <xf numFmtId="173" fontId="13" fillId="0" borderId="61" xfId="7" applyNumberFormat="1" applyFont="1" applyFill="1" applyBorder="1" applyAlignment="1">
      <alignment vertical="center"/>
    </xf>
    <xf numFmtId="173" fontId="13" fillId="0" borderId="1" xfId="7" applyNumberFormat="1" applyFont="1" applyFill="1" applyBorder="1" applyAlignment="1">
      <alignment vertical="center"/>
    </xf>
    <xf numFmtId="173" fontId="13" fillId="0" borderId="52" xfId="7" applyNumberFormat="1" applyFont="1" applyFill="1" applyBorder="1" applyAlignment="1">
      <alignment vertical="center"/>
    </xf>
    <xf numFmtId="0" fontId="12" fillId="0" borderId="22" xfId="3" applyFont="1" applyBorder="1"/>
    <xf numFmtId="0" fontId="12" fillId="0" borderId="56" xfId="3" applyFont="1" applyBorder="1"/>
    <xf numFmtId="0" fontId="13" fillId="0" borderId="48" xfId="3" applyFont="1" applyBorder="1"/>
    <xf numFmtId="0" fontId="12" fillId="0" borderId="39" xfId="3" applyFont="1" applyBorder="1"/>
    <xf numFmtId="173" fontId="12" fillId="0" borderId="25" xfId="7" applyNumberFormat="1" applyFont="1" applyFill="1" applyBorder="1" applyAlignment="1">
      <alignment vertical="center"/>
    </xf>
    <xf numFmtId="173" fontId="12" fillId="0" borderId="26" xfId="7" applyNumberFormat="1" applyFont="1" applyFill="1" applyBorder="1" applyAlignment="1">
      <alignment vertical="center"/>
    </xf>
    <xf numFmtId="173" fontId="12" fillId="0" borderId="40" xfId="7" applyNumberFormat="1" applyFont="1" applyFill="1" applyBorder="1" applyAlignment="1">
      <alignment vertical="center"/>
    </xf>
    <xf numFmtId="0" fontId="12" fillId="0" borderId="48" xfId="3" applyFont="1" applyBorder="1"/>
    <xf numFmtId="173" fontId="12" fillId="0" borderId="57" xfId="7" applyNumberFormat="1" applyFont="1" applyFill="1" applyBorder="1" applyAlignment="1">
      <alignment vertical="center"/>
    </xf>
    <xf numFmtId="173" fontId="12" fillId="0" borderId="44" xfId="7" applyNumberFormat="1" applyFont="1" applyFill="1" applyBorder="1" applyAlignment="1">
      <alignment vertical="center"/>
    </xf>
    <xf numFmtId="173" fontId="12" fillId="0" borderId="37" xfId="7" applyNumberFormat="1" applyFont="1" applyFill="1" applyBorder="1" applyAlignment="1">
      <alignment vertical="center"/>
    </xf>
    <xf numFmtId="0" fontId="12" fillId="0" borderId="48" xfId="3" applyFont="1" applyBorder="1" applyAlignment="1">
      <alignment wrapText="1"/>
    </xf>
    <xf numFmtId="173" fontId="12" fillId="0" borderId="57" xfId="7" applyNumberFormat="1" applyFont="1" applyFill="1" applyBorder="1" applyAlignment="1"/>
    <xf numFmtId="173" fontId="12" fillId="0" borderId="44" xfId="7" applyNumberFormat="1" applyFont="1" applyFill="1" applyBorder="1" applyAlignment="1"/>
    <xf numFmtId="173" fontId="12" fillId="0" borderId="37" xfId="7" applyNumberFormat="1" applyFont="1" applyFill="1" applyBorder="1" applyAlignment="1"/>
    <xf numFmtId="173" fontId="13" fillId="0" borderId="8" xfId="7" applyNumberFormat="1" applyFont="1" applyFill="1" applyBorder="1" applyAlignment="1">
      <alignment vertical="center"/>
    </xf>
    <xf numFmtId="173" fontId="13" fillId="0" borderId="23" xfId="7" applyNumberFormat="1" applyFont="1" applyFill="1" applyBorder="1" applyAlignment="1">
      <alignment vertical="center"/>
    </xf>
    <xf numFmtId="173" fontId="13" fillId="0" borderId="9" xfId="7" applyNumberFormat="1" applyFont="1" applyFill="1" applyBorder="1" applyAlignment="1">
      <alignment vertical="center"/>
    </xf>
    <xf numFmtId="0" fontId="12" fillId="0" borderId="58" xfId="3" applyFont="1" applyBorder="1" applyAlignment="1">
      <alignment wrapText="1"/>
    </xf>
    <xf numFmtId="173" fontId="12" fillId="0" borderId="59" xfId="7" applyNumberFormat="1" applyFont="1" applyFill="1" applyBorder="1" applyAlignment="1"/>
    <xf numFmtId="173" fontId="12" fillId="0" borderId="60" xfId="7" applyNumberFormat="1" applyFont="1" applyFill="1" applyBorder="1" applyAlignment="1"/>
    <xf numFmtId="173" fontId="12" fillId="0" borderId="62" xfId="7" applyNumberFormat="1" applyFont="1" applyFill="1" applyBorder="1" applyAlignment="1"/>
    <xf numFmtId="0" fontId="12" fillId="0" borderId="42" xfId="3" applyFont="1" applyBorder="1" applyAlignment="1">
      <alignment wrapText="1"/>
    </xf>
    <xf numFmtId="173" fontId="12" fillId="0" borderId="21" xfId="3" applyNumberFormat="1" applyFont="1" applyBorder="1"/>
    <xf numFmtId="173" fontId="12" fillId="0" borderId="17" xfId="3" applyNumberFormat="1" applyFont="1" applyBorder="1"/>
    <xf numFmtId="173" fontId="12" fillId="0" borderId="16" xfId="3" applyNumberFormat="1" applyFont="1" applyBorder="1"/>
    <xf numFmtId="9" fontId="5" fillId="0" borderId="0" xfId="7" applyNumberFormat="1" applyFont="1" applyFill="1" applyBorder="1" applyProtection="1">
      <protection locked="0"/>
    </xf>
    <xf numFmtId="0" fontId="18" fillId="0" borderId="24" xfId="8" applyFont="1" applyBorder="1"/>
    <xf numFmtId="0" fontId="18" fillId="0" borderId="25" xfId="8" applyFont="1" applyBorder="1"/>
    <xf numFmtId="0" fontId="18" fillId="0" borderId="21" xfId="8" applyFont="1" applyBorder="1"/>
    <xf numFmtId="0" fontId="4" fillId="0" borderId="41" xfId="0" applyFont="1" applyBorder="1"/>
    <xf numFmtId="0" fontId="4" fillId="0" borderId="46" xfId="0" applyFont="1" applyBorder="1"/>
    <xf numFmtId="0" fontId="4" fillId="0" borderId="56" xfId="0" applyFont="1" applyBorder="1"/>
    <xf numFmtId="0" fontId="4" fillId="0" borderId="53" xfId="0" applyFont="1" applyBorder="1"/>
    <xf numFmtId="168" fontId="0" fillId="9" borderId="23" xfId="0" applyNumberFormat="1" applyFill="1" applyBorder="1" applyAlignment="1" applyProtection="1">
      <alignment horizontal="center"/>
      <protection locked="0"/>
    </xf>
    <xf numFmtId="168" fontId="0" fillId="9" borderId="15" xfId="0" applyNumberFormat="1" applyFill="1" applyBorder="1" applyAlignment="1" applyProtection="1">
      <alignment horizontal="center"/>
      <protection locked="0"/>
    </xf>
    <xf numFmtId="172" fontId="4" fillId="0" borderId="16" xfId="0" applyNumberFormat="1" applyFont="1" applyBorder="1"/>
    <xf numFmtId="0" fontId="18" fillId="0" borderId="0" xfId="0" applyFont="1" applyAlignment="1">
      <alignment horizontal="center" vertical="center"/>
    </xf>
    <xf numFmtId="0" fontId="5" fillId="12" borderId="0" xfId="0" applyFont="1" applyFill="1"/>
    <xf numFmtId="0" fontId="0" fillId="0" borderId="0" xfId="0" applyProtection="1">
      <protection locked="0"/>
    </xf>
    <xf numFmtId="171" fontId="13" fillId="0" borderId="15" xfId="3" applyNumberFormat="1" applyFont="1" applyBorder="1"/>
    <xf numFmtId="0" fontId="0" fillId="0" borderId="15" xfId="0" applyBorder="1"/>
    <xf numFmtId="171" fontId="0" fillId="0" borderId="0" xfId="0" applyNumberFormat="1"/>
    <xf numFmtId="0" fontId="0" fillId="0" borderId="15" xfId="0" applyBorder="1" applyAlignment="1">
      <alignment wrapText="1"/>
    </xf>
    <xf numFmtId="168" fontId="12" fillId="0" borderId="15" xfId="0" applyNumberFormat="1" applyFont="1" applyBorder="1"/>
    <xf numFmtId="0" fontId="12" fillId="8" borderId="15" xfId="0" applyFont="1" applyFill="1" applyBorder="1" applyAlignment="1">
      <alignment horizontal="center"/>
    </xf>
    <xf numFmtId="168" fontId="13" fillId="8" borderId="15" xfId="0" applyNumberFormat="1" applyFont="1" applyFill="1" applyBorder="1"/>
    <xf numFmtId="168" fontId="12" fillId="8" borderId="15" xfId="0" applyNumberFormat="1" applyFont="1" applyFill="1" applyBorder="1"/>
    <xf numFmtId="173" fontId="13" fillId="8" borderId="0" xfId="7" applyNumberFormat="1" applyFont="1" applyFill="1" applyBorder="1"/>
    <xf numFmtId="173" fontId="13" fillId="8" borderId="51" xfId="7" applyNumberFormat="1" applyFont="1" applyFill="1" applyBorder="1" applyAlignment="1">
      <alignment vertical="center"/>
    </xf>
    <xf numFmtId="173" fontId="12" fillId="8" borderId="66" xfId="7" applyNumberFormat="1" applyFont="1" applyFill="1" applyBorder="1" applyAlignment="1">
      <alignment vertical="center"/>
    </xf>
    <xf numFmtId="173" fontId="12" fillId="8" borderId="51" xfId="7" applyNumberFormat="1" applyFont="1" applyFill="1" applyBorder="1" applyAlignment="1">
      <alignment vertical="center"/>
    </xf>
    <xf numFmtId="173" fontId="12" fillId="8" borderId="51" xfId="7" applyNumberFormat="1" applyFont="1" applyFill="1" applyBorder="1" applyAlignment="1"/>
    <xf numFmtId="173" fontId="13" fillId="8" borderId="67" xfId="7" applyNumberFormat="1" applyFont="1" applyFill="1" applyBorder="1" applyAlignment="1">
      <alignment vertical="center"/>
    </xf>
    <xf numFmtId="173" fontId="12" fillId="8" borderId="68" xfId="7" applyNumberFormat="1" applyFont="1" applyFill="1" applyBorder="1" applyAlignment="1"/>
    <xf numFmtId="173" fontId="12" fillId="8" borderId="69" xfId="3" applyNumberFormat="1" applyFont="1" applyFill="1" applyBorder="1"/>
    <xf numFmtId="0" fontId="12" fillId="0" borderId="43" xfId="3" applyFont="1" applyBorder="1"/>
    <xf numFmtId="0" fontId="12" fillId="0" borderId="36" xfId="3" applyFont="1" applyBorder="1"/>
    <xf numFmtId="0" fontId="13" fillId="0" borderId="29" xfId="3" applyFont="1" applyBorder="1"/>
    <xf numFmtId="0" fontId="13" fillId="0" borderId="29" xfId="3" applyFont="1" applyBorder="1" applyAlignment="1">
      <alignment horizontal="left" indent="1"/>
    </xf>
    <xf numFmtId="0" fontId="12" fillId="0" borderId="63" xfId="3" applyFont="1" applyBorder="1"/>
    <xf numFmtId="0" fontId="12" fillId="0" borderId="29" xfId="3" applyFont="1" applyBorder="1"/>
    <xf numFmtId="0" fontId="12" fillId="0" borderId="29" xfId="3" applyFont="1" applyBorder="1" applyAlignment="1">
      <alignment wrapText="1"/>
    </xf>
    <xf numFmtId="0" fontId="12" fillId="0" borderId="70" xfId="3" applyFont="1" applyBorder="1" applyAlignment="1">
      <alignment wrapText="1"/>
    </xf>
    <xf numFmtId="0" fontId="12" fillId="0" borderId="29" xfId="3" quotePrefix="1" applyFont="1" applyBorder="1"/>
    <xf numFmtId="0" fontId="12" fillId="0" borderId="33" xfId="3" applyFont="1" applyBorder="1" applyAlignment="1">
      <alignment wrapText="1"/>
    </xf>
    <xf numFmtId="9" fontId="11" fillId="0" borderId="0" xfId="0" applyNumberFormat="1" applyFont="1"/>
    <xf numFmtId="0" fontId="4" fillId="11" borderId="15" xfId="0" applyFont="1" applyFill="1" applyBorder="1" applyAlignment="1">
      <alignment horizontal="center"/>
    </xf>
    <xf numFmtId="0" fontId="4" fillId="11" borderId="15" xfId="0" applyFont="1" applyFill="1" applyBorder="1" applyAlignment="1">
      <alignment horizontal="center" wrapText="1"/>
    </xf>
    <xf numFmtId="171" fontId="13" fillId="9" borderId="15" xfId="3" applyNumberFormat="1" applyFont="1" applyFill="1" applyBorder="1" applyProtection="1">
      <protection locked="0"/>
    </xf>
    <xf numFmtId="9" fontId="0" fillId="0" borderId="15" xfId="0" applyNumberFormat="1" applyBorder="1"/>
    <xf numFmtId="179" fontId="4" fillId="0" borderId="15" xfId="0" applyNumberFormat="1" applyFont="1" applyBorder="1"/>
    <xf numFmtId="0" fontId="0" fillId="0" borderId="0" xfId="0" applyAlignment="1">
      <alignment vertical="center" wrapText="1"/>
    </xf>
    <xf numFmtId="0" fontId="4" fillId="0" borderId="0" xfId="0" applyFont="1" applyAlignment="1">
      <alignment vertical="center" wrapText="1"/>
    </xf>
    <xf numFmtId="179" fontId="0" fillId="0" borderId="9" xfId="0" applyNumberFormat="1" applyBorder="1"/>
    <xf numFmtId="179" fontId="0" fillId="0" borderId="15" xfId="0" applyNumberFormat="1" applyBorder="1"/>
    <xf numFmtId="171" fontId="13" fillId="13" borderId="15" xfId="3" applyNumberFormat="1" applyFont="1" applyFill="1" applyBorder="1" applyProtection="1">
      <protection locked="0"/>
    </xf>
    <xf numFmtId="0" fontId="13" fillId="13" borderId="15" xfId="3" applyFont="1" applyFill="1" applyBorder="1" applyAlignment="1" applyProtection="1">
      <alignment horizontal="left" wrapText="1"/>
      <protection locked="0"/>
    </xf>
    <xf numFmtId="0" fontId="0" fillId="13" borderId="22" xfId="0" applyFill="1" applyBorder="1" applyAlignment="1" applyProtection="1">
      <alignment wrapText="1"/>
      <protection locked="0"/>
    </xf>
    <xf numFmtId="0" fontId="0" fillId="13" borderId="23" xfId="0" applyFill="1" applyBorder="1" applyAlignment="1" applyProtection="1">
      <alignment wrapText="1"/>
      <protection locked="0"/>
    </xf>
    <xf numFmtId="0" fontId="0" fillId="13" borderId="24" xfId="0" applyFill="1" applyBorder="1" applyAlignment="1" applyProtection="1">
      <alignment wrapText="1"/>
      <protection locked="0"/>
    </xf>
    <xf numFmtId="0" fontId="0" fillId="13" borderId="15" xfId="0" applyFill="1" applyBorder="1" applyAlignment="1" applyProtection="1">
      <alignment wrapText="1"/>
      <protection locked="0"/>
    </xf>
    <xf numFmtId="0" fontId="0" fillId="13" borderId="21" xfId="0" applyFill="1" applyBorder="1" applyAlignment="1" applyProtection="1">
      <alignment wrapText="1"/>
      <protection locked="0"/>
    </xf>
    <xf numFmtId="0" fontId="0" fillId="13" borderId="26" xfId="0" applyFill="1" applyBorder="1" applyAlignment="1" applyProtection="1">
      <alignment wrapText="1"/>
      <protection locked="0"/>
    </xf>
    <xf numFmtId="0" fontId="0" fillId="13" borderId="30" xfId="0" applyFill="1" applyBorder="1" applyProtection="1">
      <protection locked="0"/>
    </xf>
    <xf numFmtId="0" fontId="0" fillId="13" borderId="32" xfId="0" applyFill="1" applyBorder="1" applyProtection="1">
      <protection locked="0"/>
    </xf>
    <xf numFmtId="0" fontId="0" fillId="13" borderId="33" xfId="0" applyFill="1" applyBorder="1" applyProtection="1">
      <protection locked="0"/>
    </xf>
    <xf numFmtId="169" fontId="0" fillId="13" borderId="24" xfId="0" applyNumberFormat="1" applyFill="1" applyBorder="1" applyProtection="1">
      <protection locked="0"/>
    </xf>
    <xf numFmtId="169" fontId="0" fillId="13" borderId="25" xfId="0" applyNumberFormat="1" applyFill="1" applyBorder="1" applyProtection="1">
      <protection locked="0"/>
    </xf>
    <xf numFmtId="168" fontId="0" fillId="13" borderId="23" xfId="0" applyNumberFormat="1" applyFill="1" applyBorder="1" applyAlignment="1" applyProtection="1">
      <alignment horizontal="center"/>
      <protection locked="0"/>
    </xf>
    <xf numFmtId="168" fontId="0" fillId="13" borderId="15" xfId="0" applyNumberFormat="1" applyFill="1" applyBorder="1" applyAlignment="1" applyProtection="1">
      <alignment horizontal="center"/>
      <protection locked="0"/>
    </xf>
    <xf numFmtId="168" fontId="0" fillId="13" borderId="26" xfId="0" applyNumberFormat="1" applyFill="1" applyBorder="1" applyAlignment="1" applyProtection="1">
      <alignment horizontal="center"/>
      <protection locked="0"/>
    </xf>
    <xf numFmtId="0" fontId="0" fillId="13" borderId="15" xfId="0" applyFill="1" applyBorder="1" applyAlignment="1" applyProtection="1">
      <alignment horizontal="right"/>
      <protection locked="0"/>
    </xf>
    <xf numFmtId="0" fontId="4" fillId="13" borderId="15" xfId="0" applyFont="1" applyFill="1" applyBorder="1" applyProtection="1">
      <protection locked="0"/>
    </xf>
    <xf numFmtId="172" fontId="4" fillId="13" borderId="20" xfId="0" applyNumberFormat="1" applyFont="1" applyFill="1" applyBorder="1" applyAlignment="1" applyProtection="1">
      <alignment wrapText="1"/>
      <protection locked="0"/>
    </xf>
    <xf numFmtId="164" fontId="4" fillId="13" borderId="16" xfId="2" applyNumberFormat="1" applyFont="1" applyFill="1" applyBorder="1" applyAlignment="1" applyProtection="1">
      <protection locked="0"/>
    </xf>
    <xf numFmtId="168" fontId="12" fillId="13" borderId="15" xfId="0" applyNumberFormat="1" applyFont="1" applyFill="1" applyBorder="1" applyAlignment="1" applyProtection="1">
      <alignment horizontal="center"/>
      <protection locked="0"/>
    </xf>
    <xf numFmtId="167" fontId="0" fillId="0" borderId="15" xfId="0" applyNumberFormat="1" applyBorder="1"/>
    <xf numFmtId="4" fontId="0" fillId="0" borderId="15" xfId="0" applyNumberFormat="1" applyBorder="1"/>
    <xf numFmtId="0" fontId="0" fillId="0" borderId="15" xfId="0" applyBorder="1" applyAlignment="1">
      <alignment horizontal="center"/>
    </xf>
    <xf numFmtId="0" fontId="13" fillId="13" borderId="24" xfId="3" applyFont="1" applyFill="1" applyBorder="1" applyAlignment="1" applyProtection="1">
      <alignment horizontal="left" wrapText="1"/>
      <protection locked="0"/>
    </xf>
    <xf numFmtId="171" fontId="13" fillId="13" borderId="31" xfId="3" applyNumberFormat="1" applyFont="1" applyFill="1" applyBorder="1" applyProtection="1">
      <protection locked="0"/>
    </xf>
    <xf numFmtId="0" fontId="4" fillId="14" borderId="25" xfId="0" applyFont="1" applyFill="1" applyBorder="1"/>
    <xf numFmtId="0" fontId="4" fillId="14" borderId="26" xfId="0" applyFont="1" applyFill="1" applyBorder="1"/>
    <xf numFmtId="179" fontId="0" fillId="0" borderId="26" xfId="0" applyNumberFormat="1" applyBorder="1"/>
    <xf numFmtId="180" fontId="4" fillId="15" borderId="22" xfId="0" applyNumberFormat="1" applyFont="1" applyFill="1" applyBorder="1"/>
    <xf numFmtId="179" fontId="4" fillId="15" borderId="20" xfId="0" applyNumberFormat="1" applyFont="1" applyFill="1" applyBorder="1"/>
    <xf numFmtId="180" fontId="4" fillId="15" borderId="24" xfId="0" applyNumberFormat="1" applyFont="1" applyFill="1" applyBorder="1"/>
    <xf numFmtId="179" fontId="4" fillId="15" borderId="31" xfId="0" applyNumberFormat="1" applyFont="1" applyFill="1" applyBorder="1"/>
    <xf numFmtId="180" fontId="4" fillId="15" borderId="21" xfId="0" applyNumberFormat="1" applyFont="1" applyFill="1" applyBorder="1"/>
    <xf numFmtId="179" fontId="4" fillId="15" borderId="16" xfId="0" applyNumberFormat="1" applyFont="1" applyFill="1" applyBorder="1"/>
    <xf numFmtId="0" fontId="4" fillId="15" borderId="72" xfId="0" applyFont="1" applyFill="1" applyBorder="1"/>
    <xf numFmtId="0" fontId="4" fillId="15" borderId="13" xfId="0" applyFont="1" applyFill="1" applyBorder="1"/>
    <xf numFmtId="0" fontId="4" fillId="15" borderId="69" xfId="0" applyFont="1" applyFill="1" applyBorder="1"/>
    <xf numFmtId="179" fontId="4" fillId="15" borderId="22" xfId="0" applyNumberFormat="1" applyFont="1" applyFill="1" applyBorder="1"/>
    <xf numFmtId="179" fontId="4" fillId="15" borderId="24" xfId="0" applyNumberFormat="1" applyFont="1" applyFill="1" applyBorder="1"/>
    <xf numFmtId="179" fontId="4" fillId="15" borderId="21" xfId="0" applyNumberFormat="1" applyFont="1" applyFill="1" applyBorder="1"/>
    <xf numFmtId="0" fontId="4" fillId="15" borderId="43" xfId="0" applyFont="1" applyFill="1" applyBorder="1"/>
    <xf numFmtId="0" fontId="4" fillId="15" borderId="32" xfId="0" applyFont="1" applyFill="1" applyBorder="1"/>
    <xf numFmtId="0" fontId="4" fillId="15" borderId="33" xfId="0" applyFont="1" applyFill="1" applyBorder="1"/>
    <xf numFmtId="0" fontId="4" fillId="15" borderId="41" xfId="0" applyFont="1" applyFill="1" applyBorder="1"/>
    <xf numFmtId="0" fontId="4" fillId="15" borderId="46" xfId="0" applyFont="1" applyFill="1" applyBorder="1"/>
    <xf numFmtId="179" fontId="4" fillId="15" borderId="46" xfId="0" applyNumberFormat="1" applyFont="1" applyFill="1" applyBorder="1"/>
    <xf numFmtId="179" fontId="4" fillId="15" borderId="73" xfId="0" applyNumberFormat="1" applyFont="1" applyFill="1" applyBorder="1"/>
    <xf numFmtId="0" fontId="4" fillId="15" borderId="38" xfId="0" applyFont="1" applyFill="1" applyBorder="1"/>
    <xf numFmtId="0" fontId="4" fillId="15" borderId="12" xfId="0" applyFont="1" applyFill="1" applyBorder="1"/>
    <xf numFmtId="179" fontId="4" fillId="15" borderId="12" xfId="0" applyNumberFormat="1" applyFont="1" applyFill="1" applyBorder="1"/>
    <xf numFmtId="179" fontId="4" fillId="15" borderId="74" xfId="0" applyNumberFormat="1" applyFont="1" applyFill="1" applyBorder="1"/>
    <xf numFmtId="0" fontId="4" fillId="15" borderId="42" xfId="0" applyFont="1" applyFill="1" applyBorder="1"/>
    <xf numFmtId="0" fontId="4" fillId="15" borderId="75" xfId="0" applyFont="1" applyFill="1" applyBorder="1"/>
    <xf numFmtId="179" fontId="4" fillId="15" borderId="75" xfId="0" applyNumberFormat="1" applyFont="1" applyFill="1" applyBorder="1"/>
    <xf numFmtId="179" fontId="4" fillId="15" borderId="76" xfId="0" applyNumberFormat="1" applyFont="1" applyFill="1" applyBorder="1"/>
    <xf numFmtId="0" fontId="12" fillId="4" borderId="22" xfId="3" applyFont="1" applyFill="1" applyBorder="1" applyAlignment="1" applyProtection="1">
      <alignment wrapText="1"/>
      <protection locked="0"/>
    </xf>
    <xf numFmtId="0" fontId="12" fillId="4" borderId="18" xfId="3" applyFont="1" applyFill="1" applyBorder="1" applyAlignment="1" applyProtection="1">
      <alignment wrapText="1"/>
      <protection locked="0"/>
    </xf>
    <xf numFmtId="171" fontId="13" fillId="9" borderId="32" xfId="3" applyNumberFormat="1" applyFont="1" applyFill="1" applyBorder="1" applyProtection="1">
      <protection locked="0"/>
    </xf>
    <xf numFmtId="169" fontId="0" fillId="13" borderId="8" xfId="0" applyNumberFormat="1" applyFill="1" applyBorder="1" applyProtection="1">
      <protection locked="0"/>
    </xf>
    <xf numFmtId="181" fontId="18" fillId="0" borderId="47" xfId="4" applyNumberFormat="1" applyFont="1" applyBorder="1" applyAlignment="1">
      <alignment wrapText="1"/>
    </xf>
    <xf numFmtId="181" fontId="0" fillId="0" borderId="0" xfId="6" applyNumberFormat="1" applyFont="1" applyFill="1"/>
    <xf numFmtId="181" fontId="18" fillId="0" borderId="12" xfId="5" applyNumberFormat="1" applyFont="1" applyBorder="1"/>
    <xf numFmtId="181" fontId="1" fillId="0" borderId="0" xfId="4" applyNumberFormat="1"/>
    <xf numFmtId="181" fontId="19" fillId="0" borderId="0" xfId="6" applyNumberFormat="1" applyFont="1" applyFill="1"/>
    <xf numFmtId="178" fontId="18" fillId="0" borderId="0" xfId="4" applyNumberFormat="1" applyFont="1"/>
    <xf numFmtId="178" fontId="18" fillId="0" borderId="47" xfId="4" applyNumberFormat="1" applyFont="1" applyBorder="1" applyAlignment="1">
      <alignment wrapText="1"/>
    </xf>
    <xf numFmtId="178" fontId="0" fillId="0" borderId="0" xfId="6" applyNumberFormat="1" applyFont="1"/>
    <xf numFmtId="178" fontId="18" fillId="0" borderId="12" xfId="6" applyNumberFormat="1" applyFont="1" applyBorder="1"/>
    <xf numFmtId="178" fontId="1" fillId="0" borderId="0" xfId="4" applyNumberFormat="1"/>
    <xf numFmtId="173" fontId="10" fillId="0" borderId="0" xfId="3" applyNumberFormat="1" applyFont="1" applyAlignment="1">
      <alignment horizontal="right"/>
    </xf>
    <xf numFmtId="0" fontId="24" fillId="0" borderId="27" xfId="0" applyFont="1" applyBorder="1"/>
    <xf numFmtId="0" fontId="24" fillId="0" borderId="27" xfId="0" applyFont="1" applyBorder="1" applyAlignment="1">
      <alignment horizontal="center" vertical="center"/>
    </xf>
    <xf numFmtId="0" fontId="25" fillId="0" borderId="0" xfId="0" applyFont="1"/>
    <xf numFmtId="0" fontId="26" fillId="0" borderId="0" xfId="0" applyFont="1" applyAlignment="1">
      <alignment horizontal="center" vertical="center"/>
    </xf>
    <xf numFmtId="0" fontId="25" fillId="0" borderId="0" xfId="0" applyFont="1" applyAlignment="1">
      <alignment horizontal="center" vertical="center"/>
    </xf>
    <xf numFmtId="0" fontId="24" fillId="0" borderId="0" xfId="0" applyFont="1"/>
    <xf numFmtId="0" fontId="24" fillId="0" borderId="0" xfId="0" applyFont="1" applyAlignment="1">
      <alignment wrapText="1"/>
    </xf>
    <xf numFmtId="0" fontId="24" fillId="0" borderId="0" xfId="0" applyFont="1" applyAlignment="1">
      <alignment horizontal="center" vertical="center" wrapText="1"/>
    </xf>
    <xf numFmtId="0" fontId="24" fillId="0" borderId="10" xfId="0" applyFont="1" applyBorder="1" applyAlignment="1">
      <alignment wrapText="1"/>
    </xf>
    <xf numFmtId="0" fontId="24" fillId="0" borderId="35" xfId="0" applyFont="1" applyBorder="1" applyAlignment="1">
      <alignment wrapText="1"/>
    </xf>
    <xf numFmtId="0" fontId="24" fillId="0" borderId="0" xfId="0" applyFont="1" applyAlignment="1">
      <alignment horizontal="center" vertical="center"/>
    </xf>
    <xf numFmtId="0" fontId="25" fillId="0" borderId="8" xfId="0" applyFont="1" applyBorder="1"/>
    <xf numFmtId="0" fontId="25" fillId="0" borderId="9" xfId="0" applyFont="1" applyBorder="1"/>
    <xf numFmtId="0" fontId="25" fillId="0" borderId="24" xfId="0" applyFont="1" applyBorder="1"/>
    <xf numFmtId="0" fontId="25" fillId="0" borderId="31" xfId="0" applyFont="1" applyBorder="1"/>
    <xf numFmtId="0" fontId="25" fillId="0" borderId="24" xfId="0" applyFont="1" applyBorder="1" applyAlignment="1">
      <alignment vertical="center"/>
    </xf>
    <xf numFmtId="0" fontId="24" fillId="0" borderId="24" xfId="0" applyFont="1" applyBorder="1"/>
    <xf numFmtId="0" fontId="25" fillId="0" borderId="21" xfId="0" applyFont="1" applyBorder="1"/>
    <xf numFmtId="0" fontId="25" fillId="0" borderId="16" xfId="0" applyFont="1" applyBorder="1"/>
    <xf numFmtId="0" fontId="27" fillId="0" borderId="0" xfId="0" applyFont="1" applyAlignment="1">
      <alignment horizontal="right"/>
    </xf>
    <xf numFmtId="0" fontId="25" fillId="0" borderId="47" xfId="0" applyFont="1" applyBorder="1"/>
    <xf numFmtId="0" fontId="27" fillId="0" borderId="47" xfId="0" applyFont="1" applyBorder="1" applyAlignment="1">
      <alignment horizontal="right"/>
    </xf>
    <xf numFmtId="0" fontId="28" fillId="0" borderId="0" xfId="0" applyFont="1"/>
    <xf numFmtId="0" fontId="29" fillId="0" borderId="0" xfId="0" applyFont="1"/>
    <xf numFmtId="0" fontId="27" fillId="0" borderId="0" xfId="0" applyFont="1"/>
    <xf numFmtId="0" fontId="30" fillId="9" borderId="0" xfId="0" applyFont="1" applyFill="1"/>
    <xf numFmtId="0" fontId="30" fillId="0" borderId="0" xfId="0" applyFont="1"/>
    <xf numFmtId="0" fontId="28" fillId="0" borderId="0" xfId="0" applyFont="1" applyAlignment="1">
      <alignment wrapText="1"/>
    </xf>
    <xf numFmtId="0" fontId="11" fillId="0" borderId="0" xfId="0" applyFont="1" applyAlignment="1">
      <alignment wrapText="1"/>
    </xf>
    <xf numFmtId="0" fontId="4" fillId="0" borderId="0" xfId="0" applyFont="1" applyAlignment="1">
      <alignment horizontal="center" vertical="center"/>
    </xf>
    <xf numFmtId="0" fontId="4" fillId="0" borderId="0" xfId="0" applyFont="1" applyAlignment="1">
      <alignment wrapText="1"/>
    </xf>
    <xf numFmtId="171" fontId="13" fillId="13" borderId="74" xfId="3" applyNumberFormat="1" applyFont="1" applyFill="1" applyBorder="1" applyProtection="1">
      <protection locked="0"/>
    </xf>
    <xf numFmtId="179" fontId="4" fillId="15" borderId="19" xfId="0" applyNumberFormat="1" applyFont="1" applyFill="1" applyBorder="1"/>
    <xf numFmtId="179" fontId="4" fillId="15" borderId="14" xfId="0" applyNumberFormat="1" applyFont="1" applyFill="1" applyBorder="1"/>
    <xf numFmtId="179" fontId="4" fillId="15" borderId="49" xfId="0" applyNumberFormat="1" applyFont="1" applyFill="1" applyBorder="1"/>
    <xf numFmtId="179" fontId="4" fillId="15" borderId="43" xfId="0" applyNumberFormat="1" applyFont="1" applyFill="1" applyBorder="1"/>
    <xf numFmtId="179" fontId="4" fillId="15" borderId="32" xfId="0" applyNumberFormat="1" applyFont="1" applyFill="1" applyBorder="1"/>
    <xf numFmtId="179" fontId="4" fillId="15" borderId="33" xfId="0" applyNumberFormat="1" applyFont="1" applyFill="1" applyBorder="1"/>
    <xf numFmtId="0" fontId="10" fillId="0" borderId="0" xfId="0" applyFont="1" applyAlignment="1">
      <alignment wrapText="1"/>
    </xf>
    <xf numFmtId="0" fontId="10" fillId="0" borderId="0" xfId="0" applyFont="1"/>
    <xf numFmtId="164" fontId="31" fillId="0" borderId="0" xfId="2" applyNumberFormat="1" applyFont="1" applyFill="1" applyBorder="1" applyAlignment="1" applyProtection="1">
      <protection locked="0"/>
    </xf>
    <xf numFmtId="0" fontId="4" fillId="15" borderId="39" xfId="0" applyFont="1" applyFill="1" applyBorder="1"/>
    <xf numFmtId="0" fontId="4" fillId="15" borderId="27" xfId="0" applyFont="1" applyFill="1" applyBorder="1"/>
    <xf numFmtId="179" fontId="4" fillId="15" borderId="27" xfId="0" applyNumberFormat="1" applyFont="1" applyFill="1" applyBorder="1"/>
    <xf numFmtId="179" fontId="4" fillId="15" borderId="78" xfId="0" applyNumberFormat="1" applyFont="1" applyFill="1" applyBorder="1"/>
    <xf numFmtId="180" fontId="4" fillId="15" borderId="25" xfId="0" applyNumberFormat="1" applyFont="1" applyFill="1" applyBorder="1"/>
    <xf numFmtId="179" fontId="4" fillId="15" borderId="40" xfId="0" applyNumberFormat="1" applyFont="1" applyFill="1" applyBorder="1"/>
    <xf numFmtId="179" fontId="4" fillId="15" borderId="25" xfId="0" applyNumberFormat="1" applyFont="1" applyFill="1" applyBorder="1"/>
    <xf numFmtId="179" fontId="4" fillId="15" borderId="77" xfId="0" applyNumberFormat="1" applyFont="1" applyFill="1" applyBorder="1"/>
    <xf numFmtId="179" fontId="4" fillId="15" borderId="63" xfId="0" applyNumberFormat="1" applyFont="1" applyFill="1" applyBorder="1"/>
    <xf numFmtId="0" fontId="4" fillId="15" borderId="63" xfId="0" applyFont="1" applyFill="1" applyBorder="1"/>
    <xf numFmtId="0" fontId="0" fillId="16" borderId="0" xfId="0" applyFill="1"/>
    <xf numFmtId="168" fontId="13" fillId="0" borderId="26" xfId="0" applyNumberFormat="1" applyFont="1" applyBorder="1" applyProtection="1">
      <protection locked="0"/>
    </xf>
    <xf numFmtId="168" fontId="13" fillId="8" borderId="26" xfId="0" applyNumberFormat="1" applyFont="1" applyFill="1" applyBorder="1"/>
    <xf numFmtId="168" fontId="12" fillId="0" borderId="18" xfId="0" applyNumberFormat="1" applyFont="1" applyBorder="1"/>
    <xf numFmtId="168" fontId="12" fillId="8" borderId="18" xfId="0" applyNumberFormat="1" applyFont="1" applyFill="1" applyBorder="1"/>
    <xf numFmtId="0" fontId="12" fillId="0" borderId="22" xfId="0" applyFont="1" applyBorder="1"/>
    <xf numFmtId="0" fontId="12" fillId="0" borderId="18" xfId="0" applyFont="1" applyBorder="1"/>
    <xf numFmtId="0" fontId="4" fillId="8" borderId="18" xfId="0" applyFont="1" applyFill="1" applyBorder="1" applyAlignment="1">
      <alignment horizontal="center"/>
    </xf>
    <xf numFmtId="0" fontId="12" fillId="13" borderId="18" xfId="0" applyFont="1" applyFill="1" applyBorder="1" applyAlignment="1" applyProtection="1">
      <alignment horizontal="center"/>
      <protection locked="0"/>
    </xf>
    <xf numFmtId="168" fontId="12" fillId="0" borderId="24" xfId="0" applyNumberFormat="1" applyFont="1" applyBorder="1"/>
    <xf numFmtId="168" fontId="12" fillId="0" borderId="31" xfId="0" applyNumberFormat="1" applyFont="1" applyBorder="1"/>
    <xf numFmtId="168" fontId="13" fillId="4" borderId="24" xfId="0" applyNumberFormat="1" applyFont="1" applyFill="1" applyBorder="1"/>
    <xf numFmtId="168" fontId="13" fillId="4" borderId="31" xfId="0" applyNumberFormat="1" applyFont="1" applyFill="1" applyBorder="1"/>
    <xf numFmtId="168" fontId="13" fillId="0" borderId="25" xfId="0" applyNumberFormat="1" applyFont="1" applyBorder="1" applyProtection="1">
      <protection locked="0"/>
    </xf>
    <xf numFmtId="168" fontId="12" fillId="0" borderId="22" xfId="0" applyNumberFormat="1" applyFont="1" applyBorder="1"/>
    <xf numFmtId="168" fontId="12" fillId="0" borderId="20" xfId="0" applyNumberFormat="1" applyFont="1" applyBorder="1"/>
    <xf numFmtId="168" fontId="12" fillId="0" borderId="21" xfId="0" applyNumberFormat="1" applyFont="1" applyBorder="1"/>
    <xf numFmtId="168" fontId="12" fillId="0" borderId="17" xfId="0" applyNumberFormat="1" applyFont="1" applyBorder="1"/>
    <xf numFmtId="168" fontId="12" fillId="0" borderId="16" xfId="0" applyNumberFormat="1" applyFont="1" applyBorder="1"/>
    <xf numFmtId="168" fontId="13" fillId="0" borderId="8" xfId="0" applyNumberFormat="1" applyFont="1" applyBorder="1"/>
    <xf numFmtId="168" fontId="13" fillId="0" borderId="23" xfId="0" applyNumberFormat="1" applyFont="1" applyBorder="1"/>
    <xf numFmtId="168" fontId="13" fillId="8" borderId="23" xfId="0" applyNumberFormat="1" applyFont="1" applyFill="1" applyBorder="1"/>
    <xf numFmtId="168" fontId="13" fillId="0" borderId="9" xfId="0" applyNumberFormat="1" applyFont="1" applyBorder="1"/>
    <xf numFmtId="168" fontId="17" fillId="0" borderId="21" xfId="0" applyNumberFormat="1" applyFont="1" applyBorder="1"/>
    <xf numFmtId="168" fontId="16" fillId="0" borderId="17" xfId="0" applyNumberFormat="1" applyFont="1" applyBorder="1"/>
    <xf numFmtId="168" fontId="17" fillId="8" borderId="17" xfId="0" applyNumberFormat="1" applyFont="1" applyFill="1" applyBorder="1" applyAlignment="1">
      <alignment horizontal="center"/>
    </xf>
    <xf numFmtId="168" fontId="17" fillId="4" borderId="17" xfId="0" applyNumberFormat="1" applyFont="1" applyFill="1" applyBorder="1" applyAlignment="1">
      <alignment horizontal="center"/>
    </xf>
    <xf numFmtId="0" fontId="4" fillId="15" borderId="66" xfId="0" applyFont="1" applyFill="1" applyBorder="1"/>
    <xf numFmtId="0" fontId="12" fillId="4" borderId="18" xfId="3" applyFont="1" applyFill="1" applyBorder="1" applyAlignment="1" applyProtection="1">
      <alignment horizontal="center" wrapText="1"/>
      <protection locked="0"/>
    </xf>
    <xf numFmtId="0" fontId="12" fillId="4" borderId="20" xfId="3" applyFont="1" applyFill="1" applyBorder="1" applyAlignment="1" applyProtection="1">
      <alignment horizontal="center" wrapText="1"/>
      <protection locked="0"/>
    </xf>
    <xf numFmtId="0" fontId="12" fillId="4" borderId="73" xfId="3" applyFont="1" applyFill="1" applyBorder="1" applyAlignment="1" applyProtection="1">
      <alignment horizontal="center" wrapText="1"/>
      <protection locked="0"/>
    </xf>
    <xf numFmtId="0" fontId="12" fillId="4" borderId="43" xfId="3" applyFont="1" applyFill="1" applyBorder="1" applyAlignment="1" applyProtection="1">
      <alignment horizontal="center" wrapText="1"/>
      <protection locked="0"/>
    </xf>
    <xf numFmtId="176" fontId="12" fillId="14" borderId="26" xfId="3" applyNumberFormat="1" applyFont="1" applyFill="1" applyBorder="1"/>
    <xf numFmtId="176" fontId="12" fillId="14" borderId="40" xfId="3" applyNumberFormat="1" applyFont="1" applyFill="1" applyBorder="1"/>
    <xf numFmtId="176" fontId="12" fillId="14" borderId="33" xfId="3" applyNumberFormat="1" applyFont="1" applyFill="1" applyBorder="1"/>
    <xf numFmtId="179" fontId="12" fillId="15" borderId="18" xfId="3" applyNumberFormat="1" applyFont="1" applyFill="1" applyBorder="1"/>
    <xf numFmtId="179" fontId="12" fillId="15" borderId="20" xfId="3" applyNumberFormat="1" applyFont="1" applyFill="1" applyBorder="1"/>
    <xf numFmtId="179" fontId="12" fillId="15" borderId="15" xfId="3" applyNumberFormat="1" applyFont="1" applyFill="1" applyBorder="1"/>
    <xf numFmtId="179" fontId="12" fillId="15" borderId="31" xfId="3" applyNumberFormat="1" applyFont="1" applyFill="1" applyBorder="1"/>
    <xf numFmtId="179" fontId="12" fillId="15" borderId="26" xfId="3" applyNumberFormat="1" applyFont="1" applyFill="1" applyBorder="1"/>
    <xf numFmtId="179" fontId="12" fillId="15" borderId="40" xfId="3" applyNumberFormat="1" applyFont="1" applyFill="1" applyBorder="1"/>
    <xf numFmtId="179" fontId="12" fillId="15" borderId="17" xfId="3" applyNumberFormat="1" applyFont="1" applyFill="1" applyBorder="1"/>
    <xf numFmtId="179" fontId="12" fillId="15" borderId="16" xfId="3" applyNumberFormat="1" applyFont="1" applyFill="1" applyBorder="1"/>
    <xf numFmtId="175" fontId="33" fillId="0" borderId="15" xfId="2" applyNumberFormat="1" applyFont="1" applyBorder="1" applyAlignment="1">
      <alignment vertical="center"/>
    </xf>
    <xf numFmtId="175" fontId="30" fillId="11" borderId="15" xfId="2" applyNumberFormat="1" applyFont="1" applyFill="1" applyBorder="1" applyAlignment="1">
      <alignment vertical="center"/>
    </xf>
    <xf numFmtId="0" fontId="33" fillId="0" borderId="0" xfId="0" applyFont="1" applyAlignment="1">
      <alignment vertical="center"/>
    </xf>
    <xf numFmtId="175" fontId="33" fillId="11" borderId="14" xfId="2" applyNumberFormat="1" applyFont="1" applyFill="1" applyBorder="1" applyAlignment="1">
      <alignment vertical="center"/>
    </xf>
    <xf numFmtId="175" fontId="33" fillId="11" borderId="12" xfId="2" applyNumberFormat="1" applyFont="1" applyFill="1" applyBorder="1" applyAlignment="1">
      <alignment vertical="center"/>
    </xf>
    <xf numFmtId="175" fontId="30" fillId="11" borderId="12" xfId="2" applyNumberFormat="1" applyFont="1" applyFill="1" applyBorder="1" applyAlignment="1">
      <alignment vertical="center"/>
    </xf>
    <xf numFmtId="165" fontId="30" fillId="11" borderId="13" xfId="2" applyFont="1" applyFill="1" applyBorder="1" applyAlignment="1">
      <alignment vertical="center"/>
    </xf>
    <xf numFmtId="173" fontId="30" fillId="11" borderId="15" xfId="2" applyNumberFormat="1" applyFont="1" applyFill="1" applyBorder="1" applyAlignment="1">
      <alignment vertical="center"/>
    </xf>
    <xf numFmtId="0" fontId="30" fillId="11" borderId="24" xfId="0" applyFont="1" applyFill="1" applyBorder="1" applyAlignment="1">
      <alignment vertical="center" wrapText="1"/>
    </xf>
    <xf numFmtId="175" fontId="30" fillId="0" borderId="31" xfId="2" applyNumberFormat="1" applyFont="1" applyBorder="1" applyAlignment="1">
      <alignment vertical="center"/>
    </xf>
    <xf numFmtId="175" fontId="30" fillId="11" borderId="31" xfId="2" applyNumberFormat="1" applyFont="1" applyFill="1" applyBorder="1" applyAlignment="1">
      <alignment vertical="center"/>
    </xf>
    <xf numFmtId="0" fontId="30" fillId="11" borderId="21" xfId="0" applyFont="1" applyFill="1" applyBorder="1" applyAlignment="1">
      <alignment vertical="center" wrapText="1"/>
    </xf>
    <xf numFmtId="175" fontId="33" fillId="11" borderId="17" xfId="2" applyNumberFormat="1" applyFont="1" applyFill="1" applyBorder="1" applyAlignment="1">
      <alignment vertical="center"/>
    </xf>
    <xf numFmtId="175" fontId="30" fillId="11" borderId="17" xfId="2" applyNumberFormat="1" applyFont="1" applyFill="1" applyBorder="1" applyAlignment="1">
      <alignment vertical="center"/>
    </xf>
    <xf numFmtId="175" fontId="30" fillId="11" borderId="16" xfId="2" applyNumberFormat="1" applyFont="1" applyFill="1" applyBorder="1" applyAlignment="1">
      <alignment vertical="center"/>
    </xf>
    <xf numFmtId="0" fontId="30" fillId="11" borderId="8" xfId="0" applyFont="1" applyFill="1" applyBorder="1" applyAlignment="1">
      <alignment vertical="center" wrapText="1"/>
    </xf>
    <xf numFmtId="175" fontId="33" fillId="0" borderId="23" xfId="2" applyNumberFormat="1" applyFont="1" applyBorder="1" applyAlignment="1">
      <alignment vertical="center"/>
    </xf>
    <xf numFmtId="175" fontId="30" fillId="11" borderId="23" xfId="2" applyNumberFormat="1" applyFont="1" applyFill="1" applyBorder="1" applyAlignment="1">
      <alignment vertical="center"/>
    </xf>
    <xf numFmtId="175" fontId="30" fillId="0" borderId="9" xfId="2" applyNumberFormat="1" applyFont="1" applyBorder="1" applyAlignment="1">
      <alignment vertical="center"/>
    </xf>
    <xf numFmtId="0" fontId="24" fillId="7" borderId="10" xfId="0" applyFont="1" applyFill="1" applyBorder="1" applyAlignment="1">
      <alignment horizontal="center" vertical="center" wrapText="1"/>
    </xf>
    <xf numFmtId="0" fontId="24" fillId="7" borderId="81" xfId="0" applyFont="1" applyFill="1" applyBorder="1" applyAlignment="1">
      <alignment horizontal="center" vertical="center"/>
    </xf>
    <xf numFmtId="0" fontId="24" fillId="7" borderId="34" xfId="0" applyFont="1" applyFill="1" applyBorder="1" applyAlignment="1">
      <alignment horizontal="center" vertical="center"/>
    </xf>
    <xf numFmtId="0" fontId="24" fillId="7" borderId="34" xfId="0" applyFont="1" applyFill="1" applyBorder="1" applyAlignment="1">
      <alignment horizontal="center" vertical="center" wrapText="1"/>
    </xf>
    <xf numFmtId="0" fontId="24" fillId="7" borderId="64" xfId="0" applyFont="1" applyFill="1" applyBorder="1" applyAlignment="1">
      <alignment horizontal="center" vertical="center" wrapText="1"/>
    </xf>
    <xf numFmtId="0" fontId="24" fillId="7" borderId="81" xfId="0" applyFont="1" applyFill="1" applyBorder="1" applyAlignment="1">
      <alignment horizontal="center" vertical="center" wrapText="1"/>
    </xf>
    <xf numFmtId="0" fontId="24" fillId="7" borderId="35" xfId="0" applyFont="1" applyFill="1" applyBorder="1" applyAlignment="1">
      <alignment horizontal="center" vertical="center" wrapText="1"/>
    </xf>
    <xf numFmtId="0" fontId="30" fillId="14" borderId="39" xfId="0" applyFont="1" applyFill="1" applyBorder="1" applyAlignment="1">
      <alignment vertical="center" wrapText="1"/>
    </xf>
    <xf numFmtId="175" fontId="33" fillId="14" borderId="27" xfId="2" applyNumberFormat="1" applyFont="1" applyFill="1" applyBorder="1" applyAlignment="1">
      <alignment vertical="center"/>
    </xf>
    <xf numFmtId="175" fontId="30" fillId="14" borderId="27" xfId="2" applyNumberFormat="1" applyFont="1" applyFill="1" applyBorder="1" applyAlignment="1">
      <alignment vertical="center"/>
    </xf>
    <xf numFmtId="175" fontId="30" fillId="14" borderId="78" xfId="2" applyNumberFormat="1" applyFont="1" applyFill="1" applyBorder="1" applyAlignment="1">
      <alignment vertical="center"/>
    </xf>
    <xf numFmtId="0" fontId="30" fillId="14" borderId="7" xfId="0" applyFont="1" applyFill="1" applyBorder="1" applyAlignment="1">
      <alignment vertical="center"/>
    </xf>
    <xf numFmtId="175" fontId="33" fillId="14" borderId="79" xfId="2" applyNumberFormat="1" applyFont="1" applyFill="1" applyBorder="1" applyAlignment="1">
      <alignment vertical="center"/>
    </xf>
    <xf numFmtId="175" fontId="30" fillId="14" borderId="79" xfId="2" applyNumberFormat="1" applyFont="1" applyFill="1" applyBorder="1" applyAlignment="1">
      <alignment vertical="center"/>
    </xf>
    <xf numFmtId="175" fontId="30" fillId="14" borderId="80" xfId="2" applyNumberFormat="1" applyFont="1" applyFill="1" applyBorder="1" applyAlignment="1">
      <alignment vertical="center"/>
    </xf>
    <xf numFmtId="168" fontId="0" fillId="13" borderId="14" xfId="0" applyNumberFormat="1" applyFill="1" applyBorder="1" applyAlignment="1" applyProtection="1">
      <alignment horizontal="center"/>
      <protection locked="0"/>
    </xf>
    <xf numFmtId="168" fontId="0" fillId="13" borderId="30" xfId="0" applyNumberFormat="1" applyFill="1" applyBorder="1" applyAlignment="1" applyProtection="1">
      <alignment horizontal="center"/>
      <protection locked="0"/>
    </xf>
    <xf numFmtId="168" fontId="0" fillId="13" borderId="32" xfId="0" applyNumberFormat="1" applyFill="1" applyBorder="1" applyAlignment="1" applyProtection="1">
      <alignment horizontal="center"/>
      <protection locked="0"/>
    </xf>
    <xf numFmtId="168" fontId="0" fillId="13" borderId="77" xfId="0" applyNumberFormat="1" applyFill="1" applyBorder="1" applyAlignment="1" applyProtection="1">
      <alignment horizontal="center"/>
      <protection locked="0"/>
    </xf>
    <xf numFmtId="168" fontId="0" fillId="13" borderId="63" xfId="0" applyNumberFormat="1" applyFill="1" applyBorder="1" applyAlignment="1" applyProtection="1">
      <alignment horizontal="center"/>
      <protection locked="0"/>
    </xf>
    <xf numFmtId="168" fontId="12" fillId="16" borderId="24" xfId="0" applyNumberFormat="1" applyFont="1" applyFill="1" applyBorder="1"/>
    <xf numFmtId="168" fontId="12" fillId="16" borderId="15" xfId="0" applyNumberFormat="1" applyFont="1" applyFill="1" applyBorder="1"/>
    <xf numFmtId="168" fontId="12" fillId="16" borderId="31" xfId="0" applyNumberFormat="1" applyFont="1" applyFill="1" applyBorder="1"/>
    <xf numFmtId="168" fontId="13" fillId="16" borderId="24" xfId="0" applyNumberFormat="1" applyFont="1" applyFill="1" applyBorder="1"/>
    <xf numFmtId="168" fontId="13" fillId="16" borderId="15" xfId="0" applyNumberFormat="1" applyFont="1" applyFill="1" applyBorder="1"/>
    <xf numFmtId="168" fontId="13" fillId="16" borderId="31" xfId="0" applyNumberFormat="1" applyFont="1" applyFill="1" applyBorder="1"/>
    <xf numFmtId="168" fontId="13" fillId="16" borderId="25" xfId="0" applyNumberFormat="1" applyFont="1" applyFill="1" applyBorder="1"/>
    <xf numFmtId="168" fontId="13" fillId="16" borderId="26" xfId="0" applyNumberFormat="1" applyFont="1" applyFill="1" applyBorder="1"/>
    <xf numFmtId="168" fontId="13" fillId="16" borderId="40" xfId="0" applyNumberFormat="1" applyFont="1" applyFill="1" applyBorder="1"/>
    <xf numFmtId="0" fontId="34" fillId="0" borderId="0" xfId="0" applyFont="1"/>
    <xf numFmtId="0" fontId="25" fillId="0" borderId="15" xfId="0" applyFont="1" applyBorder="1"/>
    <xf numFmtId="38" fontId="25" fillId="0" borderId="0" xfId="0" applyNumberFormat="1" applyFont="1"/>
    <xf numFmtId="38" fontId="27" fillId="0" borderId="0" xfId="0" applyNumberFormat="1" applyFont="1"/>
    <xf numFmtId="0" fontId="24" fillId="0" borderId="15" xfId="0" applyFont="1" applyBorder="1"/>
    <xf numFmtId="0" fontId="24" fillId="0" borderId="14" xfId="0" applyFont="1" applyBorder="1"/>
    <xf numFmtId="0" fontId="24" fillId="0" borderId="12" xfId="0" applyFont="1" applyBorder="1"/>
    <xf numFmtId="0" fontId="24" fillId="0" borderId="13" xfId="0" applyFont="1" applyBorder="1"/>
    <xf numFmtId="0" fontId="25" fillId="0" borderId="15" xfId="0" applyFont="1" applyBorder="1" applyAlignment="1">
      <alignment horizontal="right"/>
    </xf>
    <xf numFmtId="0" fontId="25" fillId="0" borderId="14" xfId="0" applyFont="1" applyBorder="1"/>
    <xf numFmtId="0" fontId="25" fillId="0" borderId="12" xfId="0" applyFont="1" applyBorder="1"/>
    <xf numFmtId="0" fontId="25" fillId="0" borderId="13" xfId="0" applyFont="1" applyBorder="1"/>
    <xf numFmtId="0" fontId="25" fillId="0" borderId="0" xfId="0" applyFont="1" applyAlignment="1">
      <alignment horizontal="right"/>
    </xf>
    <xf numFmtId="0" fontId="24" fillId="18" borderId="0" xfId="0" applyFont="1" applyFill="1"/>
    <xf numFmtId="0" fontId="25" fillId="18" borderId="0" xfId="0" applyFont="1" applyFill="1"/>
    <xf numFmtId="0" fontId="25" fillId="18" borderId="0" xfId="0" applyFont="1" applyFill="1" applyAlignment="1">
      <alignment horizontal="right"/>
    </xf>
    <xf numFmtId="0" fontId="12" fillId="19" borderId="0" xfId="3" applyFont="1" applyFill="1"/>
    <xf numFmtId="0" fontId="28" fillId="0" borderId="0" xfId="0" applyFont="1" applyAlignment="1">
      <alignment horizontal="right"/>
    </xf>
    <xf numFmtId="177" fontId="5" fillId="0" borderId="51" xfId="7" applyNumberFormat="1" applyFont="1" applyBorder="1"/>
    <xf numFmtId="9" fontId="5" fillId="16" borderId="15" xfId="7" applyNumberFormat="1" applyFont="1" applyFill="1" applyBorder="1" applyProtection="1"/>
    <xf numFmtId="168" fontId="12" fillId="4" borderId="24" xfId="0" applyNumberFormat="1" applyFont="1" applyFill="1" applyBorder="1"/>
    <xf numFmtId="168" fontId="12" fillId="4" borderId="15" xfId="0" applyNumberFormat="1" applyFont="1" applyFill="1" applyBorder="1"/>
    <xf numFmtId="168" fontId="12" fillId="4" borderId="31" xfId="0" applyNumberFormat="1" applyFont="1" applyFill="1" applyBorder="1"/>
    <xf numFmtId="168" fontId="12" fillId="16" borderId="10" xfId="0" applyNumberFormat="1" applyFont="1" applyFill="1" applyBorder="1"/>
    <xf numFmtId="168" fontId="12" fillId="16" borderId="34" xfId="0" applyNumberFormat="1" applyFont="1" applyFill="1" applyBorder="1"/>
    <xf numFmtId="168" fontId="12" fillId="16" borderId="35" xfId="0" applyNumberFormat="1" applyFont="1" applyFill="1" applyBorder="1"/>
    <xf numFmtId="0" fontId="34" fillId="9" borderId="0" xfId="0" applyFont="1" applyFill="1"/>
    <xf numFmtId="0" fontId="33" fillId="9" borderId="0" xfId="0" applyFont="1" applyFill="1" applyAlignment="1">
      <alignment vertical="center"/>
    </xf>
    <xf numFmtId="0" fontId="33" fillId="9" borderId="0" xfId="0" applyFont="1" applyFill="1"/>
    <xf numFmtId="0" fontId="33" fillId="0" borderId="0" xfId="0" applyFont="1"/>
    <xf numFmtId="0" fontId="0" fillId="0" borderId="82" xfId="0" applyBorder="1" applyAlignment="1">
      <alignment vertical="center" wrapText="1"/>
    </xf>
    <xf numFmtId="0" fontId="4" fillId="0" borderId="82" xfId="0" applyFont="1" applyBorder="1" applyAlignment="1">
      <alignment vertical="center" wrapText="1"/>
    </xf>
    <xf numFmtId="0" fontId="0" fillId="0" borderId="82" xfId="0" applyBorder="1" applyProtection="1">
      <protection locked="0"/>
    </xf>
    <xf numFmtId="0" fontId="4" fillId="0" borderId="82" xfId="0" applyFont="1" applyBorder="1"/>
    <xf numFmtId="0" fontId="24" fillId="0" borderId="0" xfId="0" applyFont="1" applyAlignment="1">
      <alignment horizontal="right" vertical="center"/>
    </xf>
    <xf numFmtId="0" fontId="24" fillId="0" borderId="0" xfId="0" applyFont="1" applyAlignment="1">
      <alignment vertical="center"/>
    </xf>
    <xf numFmtId="0" fontId="24" fillId="0" borderId="7" xfId="0" applyFont="1" applyBorder="1" applyAlignment="1">
      <alignment vertical="center"/>
    </xf>
    <xf numFmtId="0" fontId="24" fillId="0" borderId="64" xfId="0" applyFont="1" applyBorder="1" applyAlignment="1">
      <alignment vertical="center"/>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5" fillId="0" borderId="0" xfId="0" applyFont="1" applyAlignment="1">
      <alignment vertical="center"/>
    </xf>
    <xf numFmtId="0" fontId="25" fillId="0" borderId="8" xfId="0" applyFont="1" applyBorder="1" applyAlignment="1">
      <alignment vertical="center"/>
    </xf>
    <xf numFmtId="0" fontId="25" fillId="0" borderId="23" xfId="0" applyFont="1" applyBorder="1" applyAlignment="1">
      <alignment vertical="center"/>
    </xf>
    <xf numFmtId="38" fontId="25" fillId="0" borderId="23" xfId="0" applyNumberFormat="1" applyFont="1" applyBorder="1" applyAlignment="1">
      <alignment horizontal="center" vertical="center"/>
    </xf>
    <xf numFmtId="38" fontId="25" fillId="0" borderId="23" xfId="0" applyNumberFormat="1" applyFont="1" applyBorder="1" applyAlignment="1">
      <alignment vertical="center"/>
    </xf>
    <xf numFmtId="38" fontId="25" fillId="0" borderId="9" xfId="0" applyNumberFormat="1" applyFont="1" applyBorder="1" applyAlignment="1">
      <alignment vertical="center"/>
    </xf>
    <xf numFmtId="178" fontId="25" fillId="0" borderId="9" xfId="0" applyNumberFormat="1" applyFont="1" applyBorder="1" applyAlignment="1">
      <alignment horizontal="center" vertical="center"/>
    </xf>
    <xf numFmtId="0" fontId="25" fillId="0" borderId="15" xfId="0" applyFont="1" applyBorder="1" applyAlignment="1">
      <alignment vertical="center"/>
    </xf>
    <xf numFmtId="38" fontId="25" fillId="0" borderId="15" xfId="0" applyNumberFormat="1" applyFont="1" applyBorder="1" applyAlignment="1">
      <alignment horizontal="center" vertical="center"/>
    </xf>
    <xf numFmtId="38" fontId="25" fillId="0" borderId="15" xfId="0" applyNumberFormat="1" applyFont="1" applyBorder="1" applyAlignment="1">
      <alignment vertical="center"/>
    </xf>
    <xf numFmtId="38" fontId="25" fillId="0" borderId="31" xfId="0" applyNumberFormat="1" applyFont="1" applyBorder="1" applyAlignment="1">
      <alignment vertical="center"/>
    </xf>
    <xf numFmtId="178" fontId="25" fillId="0" borderId="31" xfId="0" applyNumberFormat="1" applyFont="1" applyBorder="1" applyAlignment="1">
      <alignment horizontal="center" vertical="center"/>
    </xf>
    <xf numFmtId="0" fontId="25" fillId="0" borderId="21" xfId="0" applyFont="1" applyBorder="1" applyAlignment="1">
      <alignment vertical="center"/>
    </xf>
    <xf numFmtId="0" fontId="25" fillId="0" borderId="17" xfId="0" applyFont="1" applyBorder="1" applyAlignment="1">
      <alignment vertical="center"/>
    </xf>
    <xf numFmtId="38" fontId="25" fillId="0" borderId="17" xfId="0" applyNumberFormat="1" applyFont="1" applyBorder="1" applyAlignment="1">
      <alignment horizontal="center" vertical="center"/>
    </xf>
    <xf numFmtId="38" fontId="25" fillId="0" borderId="17" xfId="0" applyNumberFormat="1" applyFont="1" applyBorder="1" applyAlignment="1">
      <alignment vertical="center"/>
    </xf>
    <xf numFmtId="38" fontId="25" fillId="0" borderId="16" xfId="0" applyNumberFormat="1" applyFont="1" applyBorder="1" applyAlignment="1">
      <alignment vertical="center"/>
    </xf>
    <xf numFmtId="178" fontId="25" fillId="0" borderId="16" xfId="0" applyNumberFormat="1" applyFont="1" applyBorder="1" applyAlignment="1">
      <alignment horizontal="center" vertical="center"/>
    </xf>
    <xf numFmtId="38" fontId="25" fillId="0" borderId="0" xfId="0" applyNumberFormat="1" applyFont="1" applyAlignment="1">
      <alignment vertical="center"/>
    </xf>
    <xf numFmtId="38" fontId="25" fillId="0" borderId="0" xfId="0" applyNumberFormat="1" applyFont="1" applyAlignment="1">
      <alignment horizontal="left" vertical="center"/>
    </xf>
    <xf numFmtId="168" fontId="5" fillId="0" borderId="0" xfId="0" applyNumberFormat="1" applyFont="1"/>
    <xf numFmtId="182" fontId="0" fillId="0" borderId="0" xfId="0" applyNumberFormat="1"/>
    <xf numFmtId="183" fontId="11" fillId="0" borderId="0" xfId="0" applyNumberFormat="1" applyFont="1"/>
    <xf numFmtId="179" fontId="13" fillId="0" borderId="0" xfId="0" applyNumberFormat="1" applyFont="1"/>
    <xf numFmtId="168" fontId="12" fillId="17" borderId="15" xfId="0" applyNumberFormat="1" applyFont="1" applyFill="1" applyBorder="1"/>
    <xf numFmtId="2" fontId="4" fillId="0" borderId="0" xfId="1" applyNumberFormat="1" applyFont="1" applyAlignment="1" applyProtection="1">
      <alignment horizontal="left"/>
      <protection locked="0"/>
    </xf>
    <xf numFmtId="0" fontId="8" fillId="0" borderId="0" xfId="1" applyFont="1"/>
    <xf numFmtId="3" fontId="8" fillId="0" borderId="0" xfId="1" applyNumberFormat="1" applyFont="1"/>
    <xf numFmtId="14" fontId="4" fillId="10" borderId="15" xfId="1" applyNumberFormat="1" applyFont="1" applyFill="1" applyBorder="1" applyProtection="1">
      <protection locked="0"/>
    </xf>
    <xf numFmtId="0" fontId="4" fillId="0" borderId="0" xfId="1" applyFont="1" applyAlignment="1">
      <alignment horizontal="right"/>
    </xf>
    <xf numFmtId="3" fontId="4" fillId="0" borderId="0" xfId="1" applyNumberFormat="1" applyFont="1"/>
    <xf numFmtId="0" fontId="4" fillId="0" borderId="0" xfId="0" applyFont="1" applyAlignment="1">
      <alignment horizontal="right"/>
    </xf>
    <xf numFmtId="10" fontId="4" fillId="2" borderId="15" xfId="0" applyNumberFormat="1" applyFont="1" applyFill="1" applyBorder="1" applyProtection="1">
      <protection locked="0"/>
    </xf>
    <xf numFmtId="0" fontId="4" fillId="0" borderId="34" xfId="1" applyFont="1" applyBorder="1" applyAlignment="1">
      <alignment horizontal="center" vertical="center" wrapText="1"/>
    </xf>
    <xf numFmtId="0" fontId="4" fillId="0" borderId="35"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7"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0" xfId="1" applyFont="1" applyAlignment="1">
      <alignment horizontal="center" vertical="center"/>
    </xf>
    <xf numFmtId="0" fontId="4" fillId="0" borderId="10"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10" xfId="0" applyFont="1" applyBorder="1"/>
    <xf numFmtId="0" fontId="4" fillId="0" borderId="35" xfId="0" applyFont="1" applyBorder="1"/>
    <xf numFmtId="0" fontId="0" fillId="0" borderId="8" xfId="0" applyBorder="1"/>
    <xf numFmtId="9" fontId="0" fillId="0" borderId="9" xfId="0" applyNumberFormat="1" applyBorder="1"/>
    <xf numFmtId="0" fontId="0" fillId="0" borderId="21" xfId="0" applyBorder="1"/>
    <xf numFmtId="9" fontId="0" fillId="0" borderId="16" xfId="0" applyNumberFormat="1" applyBorder="1"/>
    <xf numFmtId="1" fontId="0" fillId="3" borderId="24" xfId="0" applyNumberFormat="1" applyFill="1" applyBorder="1" applyAlignment="1" applyProtection="1">
      <alignment horizontal="center"/>
      <protection locked="0"/>
    </xf>
    <xf numFmtId="170" fontId="0" fillId="3" borderId="31" xfId="0" applyNumberFormat="1" applyFill="1" applyBorder="1" applyProtection="1">
      <protection locked="0"/>
    </xf>
    <xf numFmtId="170" fontId="0" fillId="0" borderId="50" xfId="0" applyNumberFormat="1" applyBorder="1"/>
    <xf numFmtId="170" fontId="0" fillId="0" borderId="9" xfId="0" applyNumberFormat="1" applyBorder="1"/>
    <xf numFmtId="0" fontId="0" fillId="0" borderId="0" xfId="1" applyFont="1"/>
    <xf numFmtId="0" fontId="0" fillId="0" borderId="30" xfId="0" applyBorder="1"/>
    <xf numFmtId="0" fontId="0" fillId="0" borderId="30" xfId="0" applyBorder="1" applyAlignment="1">
      <alignment horizontal="center"/>
    </xf>
    <xf numFmtId="0" fontId="0" fillId="0" borderId="71" xfId="0" applyBorder="1" applyAlignment="1">
      <alignment horizontal="center"/>
    </xf>
    <xf numFmtId="0" fontId="0" fillId="0" borderId="71" xfId="1" applyFont="1" applyBorder="1" applyAlignment="1">
      <alignment horizontal="center"/>
    </xf>
    <xf numFmtId="0" fontId="0" fillId="0" borderId="30" xfId="1" applyFont="1" applyBorder="1"/>
    <xf numFmtId="170" fontId="0" fillId="0" borderId="14" xfId="0" applyNumberFormat="1" applyBorder="1"/>
    <xf numFmtId="170" fontId="0" fillId="0" borderId="31" xfId="0" applyNumberFormat="1" applyBorder="1"/>
    <xf numFmtId="0" fontId="0" fillId="0" borderId="32" xfId="0" applyBorder="1"/>
    <xf numFmtId="0" fontId="0" fillId="0" borderId="32" xfId="0" applyBorder="1" applyAlignment="1">
      <alignment horizontal="center"/>
    </xf>
    <xf numFmtId="0" fontId="0" fillId="0" borderId="38" xfId="0" applyBorder="1" applyAlignment="1">
      <alignment horizontal="center"/>
    </xf>
    <xf numFmtId="0" fontId="0" fillId="0" borderId="38" xfId="1" applyFont="1" applyBorder="1" applyAlignment="1">
      <alignment horizontal="center"/>
    </xf>
    <xf numFmtId="0" fontId="0" fillId="0" borderId="32" xfId="1" applyFont="1" applyBorder="1"/>
    <xf numFmtId="0" fontId="0" fillId="0" borderId="33" xfId="0" applyBorder="1"/>
    <xf numFmtId="0" fontId="0" fillId="0" borderId="33" xfId="0" applyBorder="1" applyAlignment="1">
      <alignment horizontal="center"/>
    </xf>
    <xf numFmtId="0" fontId="0" fillId="0" borderId="42" xfId="0" applyBorder="1" applyAlignment="1">
      <alignment horizontal="center"/>
    </xf>
    <xf numFmtId="0" fontId="0" fillId="0" borderId="42" xfId="1" applyFont="1" applyBorder="1" applyAlignment="1">
      <alignment horizontal="center"/>
    </xf>
    <xf numFmtId="0" fontId="0" fillId="0" borderId="33" xfId="1" applyFont="1" applyBorder="1"/>
    <xf numFmtId="170" fontId="0" fillId="5" borderId="31" xfId="0" applyNumberFormat="1" applyFill="1" applyBorder="1" applyProtection="1">
      <protection locked="0"/>
    </xf>
    <xf numFmtId="1" fontId="0" fillId="3" borderId="21" xfId="0" applyNumberFormat="1" applyFill="1" applyBorder="1" applyAlignment="1" applyProtection="1">
      <alignment horizontal="center"/>
      <protection locked="0"/>
    </xf>
    <xf numFmtId="170" fontId="0" fillId="3" borderId="16" xfId="0" applyNumberFormat="1" applyFill="1" applyBorder="1" applyProtection="1">
      <protection locked="0"/>
    </xf>
    <xf numFmtId="170" fontId="0" fillId="0" borderId="49" xfId="0" applyNumberFormat="1" applyBorder="1"/>
    <xf numFmtId="170" fontId="0" fillId="0" borderId="16" xfId="0" applyNumberFormat="1" applyBorder="1"/>
    <xf numFmtId="0" fontId="24" fillId="0" borderId="0" xfId="0" applyFont="1" applyAlignment="1">
      <alignment vertical="center" wrapText="1"/>
    </xf>
    <xf numFmtId="0" fontId="0" fillId="0" borderId="0" xfId="0" applyAlignment="1">
      <alignment vertical="center" wrapText="1"/>
    </xf>
    <xf numFmtId="0" fontId="4" fillId="14" borderId="61" xfId="0" applyFont="1" applyFill="1" applyBorder="1" applyAlignment="1">
      <alignment vertical="center" wrapText="1"/>
    </xf>
    <xf numFmtId="0" fontId="4" fillId="0" borderId="3" xfId="0" applyFont="1" applyBorder="1" applyAlignment="1">
      <alignment vertical="center" wrapText="1"/>
    </xf>
    <xf numFmtId="0" fontId="4" fillId="14" borderId="1" xfId="0" applyFont="1" applyFill="1" applyBorder="1" applyAlignment="1">
      <alignment vertical="center" wrapText="1"/>
    </xf>
    <xf numFmtId="0" fontId="4" fillId="0" borderId="4" xfId="0" applyFont="1" applyBorder="1" applyAlignment="1">
      <alignment vertical="center" wrapText="1"/>
    </xf>
    <xf numFmtId="0" fontId="0" fillId="0" borderId="4" xfId="0" applyBorder="1" applyAlignment="1">
      <alignment vertical="center" wrapText="1"/>
    </xf>
    <xf numFmtId="9" fontId="4" fillId="13" borderId="14" xfId="0" applyNumberFormat="1" applyFont="1" applyFill="1" applyBorder="1" applyProtection="1">
      <protection locked="0"/>
    </xf>
    <xf numFmtId="0" fontId="0" fillId="13" borderId="13" xfId="0" applyFill="1" applyBorder="1" applyProtection="1">
      <protection locked="0"/>
    </xf>
    <xf numFmtId="0" fontId="4" fillId="13" borderId="14" xfId="0" applyFont="1" applyFill="1" applyBorder="1" applyProtection="1">
      <protection locked="0"/>
    </xf>
    <xf numFmtId="0" fontId="4" fillId="13" borderId="13" xfId="0" applyFont="1" applyFill="1" applyBorder="1" applyProtection="1">
      <protection locked="0"/>
    </xf>
    <xf numFmtId="0" fontId="32" fillId="14" borderId="7" xfId="0" applyFont="1" applyFill="1" applyBorder="1" applyAlignment="1">
      <alignment horizontal="center" vertical="center"/>
    </xf>
    <xf numFmtId="0" fontId="32" fillId="0" borderId="80" xfId="0" applyFont="1" applyBorder="1" applyAlignment="1">
      <alignment horizontal="center" vertical="center"/>
    </xf>
    <xf numFmtId="0" fontId="4" fillId="14" borderId="28" xfId="0" applyFont="1" applyFill="1" applyBorder="1" applyAlignment="1">
      <alignment horizontal="center" vertical="center" wrapText="1"/>
    </xf>
    <xf numFmtId="0" fontId="4" fillId="14" borderId="36" xfId="0" applyFont="1" applyFill="1" applyBorder="1" applyAlignment="1">
      <alignment horizontal="center" vertical="center" wrapText="1"/>
    </xf>
    <xf numFmtId="0" fontId="4" fillId="14" borderId="61" xfId="0" applyFont="1" applyFill="1" applyBorder="1" applyAlignment="1">
      <alignment horizontal="center" vertical="center" wrapText="1"/>
    </xf>
    <xf numFmtId="0" fontId="0" fillId="14" borderId="3" xfId="0" applyFill="1" applyBorder="1" applyAlignment="1">
      <alignment horizontal="center" vertical="center" wrapText="1"/>
    </xf>
    <xf numFmtId="0" fontId="4" fillId="14" borderId="2" xfId="0" applyFont="1" applyFill="1" applyBorder="1" applyAlignment="1">
      <alignment horizontal="center" vertical="center" wrapText="1"/>
    </xf>
    <xf numFmtId="0" fontId="0" fillId="14" borderId="5" xfId="0" applyFill="1" applyBorder="1" applyAlignment="1">
      <alignment horizontal="center" vertical="center" wrapText="1"/>
    </xf>
    <xf numFmtId="0" fontId="4" fillId="14" borderId="1" xfId="0" applyFont="1" applyFill="1" applyBorder="1" applyAlignment="1">
      <alignment horizontal="center" vertical="center" wrapText="1"/>
    </xf>
    <xf numFmtId="0" fontId="0" fillId="14" borderId="4" xfId="0" applyFill="1" applyBorder="1" applyAlignment="1">
      <alignment horizontal="center" vertical="center" wrapText="1"/>
    </xf>
    <xf numFmtId="0" fontId="4" fillId="14" borderId="52" xfId="0" applyFont="1" applyFill="1" applyBorder="1" applyAlignment="1">
      <alignment horizontal="center" vertical="center" wrapText="1"/>
    </xf>
    <xf numFmtId="0" fontId="0" fillId="14" borderId="45" xfId="0" applyFill="1" applyBorder="1" applyAlignment="1">
      <alignment horizontal="center" vertical="center" wrapText="1"/>
    </xf>
    <xf numFmtId="0" fontId="0" fillId="14" borderId="36" xfId="0" applyFill="1" applyBorder="1" applyAlignment="1">
      <alignment horizontal="center" vertical="center" wrapText="1"/>
    </xf>
    <xf numFmtId="179" fontId="11" fillId="0" borderId="0" xfId="0" applyNumberFormat="1" applyFont="1"/>
    <xf numFmtId="179" fontId="0" fillId="0" borderId="0" xfId="0" applyNumberFormat="1"/>
    <xf numFmtId="0" fontId="11" fillId="17" borderId="7" xfId="3" applyFont="1" applyFill="1" applyBorder="1" applyAlignment="1">
      <alignment horizontal="center" vertical="center"/>
    </xf>
    <xf numFmtId="0" fontId="0" fillId="17" borderId="79" xfId="0" applyFill="1" applyBorder="1" applyAlignment="1">
      <alignment horizontal="center" vertical="center"/>
    </xf>
    <xf numFmtId="0" fontId="0" fillId="17" borderId="80" xfId="0" applyFill="1" applyBorder="1" applyAlignment="1">
      <alignment horizontal="center" vertical="center"/>
    </xf>
    <xf numFmtId="0" fontId="4" fillId="0" borderId="61" xfId="0" applyFont="1" applyBorder="1" applyAlignment="1">
      <alignment horizontal="center" vertical="center" wrapText="1"/>
    </xf>
    <xf numFmtId="0" fontId="0" fillId="0" borderId="57" xfId="0" applyBorder="1" applyAlignment="1">
      <alignment horizontal="center" vertical="center" wrapText="1"/>
    </xf>
    <xf numFmtId="0" fontId="0" fillId="0" borderId="3" xfId="0" applyBorder="1" applyAlignment="1">
      <alignment horizontal="center" vertical="center"/>
    </xf>
    <xf numFmtId="0" fontId="4" fillId="0" borderId="1" xfId="0" applyFont="1" applyBorder="1" applyAlignment="1">
      <alignment horizontal="center" vertical="center" wrapText="1"/>
    </xf>
    <xf numFmtId="0" fontId="0" fillId="0" borderId="44" xfId="0" applyBorder="1" applyAlignment="1">
      <alignment horizontal="center" vertical="center" wrapText="1"/>
    </xf>
    <xf numFmtId="0" fontId="0" fillId="0" borderId="4" xfId="0" applyBorder="1" applyAlignment="1">
      <alignment horizontal="center" vertical="center"/>
    </xf>
    <xf numFmtId="0" fontId="4" fillId="0" borderId="52" xfId="0" applyFont="1" applyBorder="1" applyAlignment="1">
      <alignment horizontal="center" vertical="center" wrapText="1"/>
    </xf>
    <xf numFmtId="0" fontId="0" fillId="0" borderId="37" xfId="0" applyBorder="1" applyAlignment="1">
      <alignment horizontal="center" vertical="center" wrapText="1"/>
    </xf>
    <xf numFmtId="0" fontId="0" fillId="0" borderId="45" xfId="0" applyBorder="1" applyAlignment="1">
      <alignment horizontal="center" vertical="center"/>
    </xf>
    <xf numFmtId="179" fontId="11" fillId="0" borderId="14" xfId="0" applyNumberFormat="1" applyFont="1" applyBorder="1"/>
    <xf numFmtId="179" fontId="0" fillId="0" borderId="13" xfId="0" applyNumberFormat="1" applyBorder="1"/>
    <xf numFmtId="0" fontId="4" fillId="0" borderId="18" xfId="0" applyFont="1"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xf>
    <xf numFmtId="0" fontId="4" fillId="0" borderId="20" xfId="0" applyFont="1" applyBorder="1" applyAlignment="1">
      <alignment horizontal="center" vertical="center" wrapText="1"/>
    </xf>
    <xf numFmtId="0" fontId="0" fillId="0" borderId="31" xfId="0" applyBorder="1" applyAlignment="1">
      <alignment horizontal="center" vertical="center" wrapText="1"/>
    </xf>
    <xf numFmtId="0" fontId="0" fillId="0" borderId="16" xfId="0" applyBorder="1" applyAlignment="1">
      <alignment horizontal="center" vertical="center"/>
    </xf>
    <xf numFmtId="0" fontId="12" fillId="8" borderId="65" xfId="0" applyFont="1" applyFill="1" applyBorder="1" applyAlignment="1">
      <alignment horizontal="center" vertical="center" wrapText="1"/>
    </xf>
    <xf numFmtId="0" fontId="13" fillId="0" borderId="55" xfId="0" applyFont="1" applyBorder="1" applyAlignment="1">
      <alignment horizontal="center" vertical="center" wrapText="1"/>
    </xf>
    <xf numFmtId="0" fontId="12" fillId="0" borderId="61" xfId="0" applyFont="1" applyBorder="1" applyAlignment="1">
      <alignment horizontal="center" vertical="center" wrapText="1"/>
    </xf>
    <xf numFmtId="0" fontId="13" fillId="0" borderId="57" xfId="0" applyFont="1" applyBorder="1" applyAlignment="1">
      <alignment horizontal="center" vertical="center" wrapText="1"/>
    </xf>
    <xf numFmtId="0" fontId="13" fillId="0" borderId="54" xfId="0" applyFont="1" applyBorder="1" applyAlignment="1">
      <alignment horizontal="center" vertical="center"/>
    </xf>
    <xf numFmtId="0" fontId="12" fillId="0" borderId="1" xfId="0" applyFont="1" applyBorder="1" applyAlignment="1">
      <alignment horizontal="center" vertical="center" wrapText="1"/>
    </xf>
    <xf numFmtId="0" fontId="13" fillId="0" borderId="44" xfId="0" applyFont="1" applyBorder="1" applyAlignment="1">
      <alignment horizontal="center" vertical="center" wrapText="1"/>
    </xf>
    <xf numFmtId="0" fontId="13" fillId="0" borderId="4" xfId="0" applyFont="1" applyBorder="1" applyAlignment="1">
      <alignment horizontal="center" vertical="center"/>
    </xf>
    <xf numFmtId="0" fontId="12" fillId="0" borderId="52" xfId="0" applyFont="1" applyBorder="1" applyAlignment="1">
      <alignment horizontal="center" vertical="center" wrapText="1"/>
    </xf>
    <xf numFmtId="0" fontId="13" fillId="0" borderId="37" xfId="0" applyFont="1" applyBorder="1" applyAlignment="1">
      <alignment horizontal="center" vertical="center" wrapText="1"/>
    </xf>
    <xf numFmtId="0" fontId="13" fillId="0" borderId="45" xfId="0" applyFont="1" applyBorder="1" applyAlignment="1">
      <alignment horizontal="center" vertical="center"/>
    </xf>
    <xf numFmtId="177" fontId="4" fillId="7" borderId="52" xfId="8" applyNumberFormat="1" applyFont="1" applyFill="1" applyBorder="1" applyAlignment="1">
      <alignment horizontal="center" vertical="center"/>
    </xf>
    <xf numFmtId="0" fontId="0" fillId="7" borderId="45" xfId="0" applyFill="1" applyBorder="1" applyAlignment="1">
      <alignment horizontal="center" vertical="center"/>
    </xf>
    <xf numFmtId="177" fontId="4" fillId="0" borderId="61" xfId="8" applyNumberFormat="1" applyFont="1" applyBorder="1" applyAlignment="1">
      <alignment horizontal="center" vertical="center" wrapText="1"/>
    </xf>
    <xf numFmtId="0" fontId="0" fillId="0" borderId="3" xfId="0" applyBorder="1" applyAlignment="1">
      <alignment horizontal="center" vertical="center" wrapText="1"/>
    </xf>
    <xf numFmtId="177" fontId="4" fillId="0" borderId="1" xfId="8" applyNumberFormat="1" applyFont="1" applyBorder="1" applyAlignment="1">
      <alignment horizontal="center" vertical="center" wrapText="1"/>
    </xf>
    <xf numFmtId="0" fontId="0" fillId="0" borderId="4" xfId="0" applyBorder="1" applyAlignment="1">
      <alignment horizontal="center" vertical="center" wrapText="1"/>
    </xf>
    <xf numFmtId="177" fontId="4" fillId="0" borderId="52" xfId="8" applyNumberFormat="1" applyFont="1" applyBorder="1" applyAlignment="1">
      <alignment horizontal="center" vertical="center" wrapText="1"/>
    </xf>
    <xf numFmtId="0" fontId="0" fillId="0" borderId="45" xfId="0" applyBorder="1" applyAlignment="1">
      <alignment horizontal="center" vertical="center" wrapText="1"/>
    </xf>
    <xf numFmtId="177" fontId="4" fillId="0" borderId="3" xfId="8" applyNumberFormat="1" applyFont="1" applyBorder="1" applyAlignment="1">
      <alignment horizontal="center" vertical="center" wrapText="1"/>
    </xf>
    <xf numFmtId="0" fontId="18" fillId="0" borderId="0" xfId="4" applyFont="1" applyAlignment="1">
      <alignment horizontal="center"/>
    </xf>
    <xf numFmtId="0" fontId="18" fillId="0" borderId="51" xfId="4" applyFont="1" applyBorder="1" applyAlignment="1">
      <alignment horizontal="center"/>
    </xf>
    <xf numFmtId="0" fontId="18" fillId="0" borderId="14" xfId="4" applyFont="1" applyBorder="1" applyAlignment="1">
      <alignment horizontal="center"/>
    </xf>
    <xf numFmtId="0" fontId="18" fillId="0" borderId="12" xfId="4" applyFont="1" applyBorder="1" applyAlignment="1">
      <alignment horizontal="center"/>
    </xf>
    <xf numFmtId="0" fontId="18" fillId="0" borderId="13" xfId="4" applyFont="1" applyBorder="1" applyAlignment="1">
      <alignment horizontal="center"/>
    </xf>
  </cellXfs>
  <cellStyles count="11">
    <cellStyle name="Comma" xfId="2" builtinId="3"/>
    <cellStyle name="Comma 2" xfId="7" xr:uid="{00000000-0005-0000-0000-000001000000}"/>
    <cellStyle name="Comma 4" xfId="9" xr:uid="{00000000-0005-0000-0000-000002000000}"/>
    <cellStyle name="Comma 5" xfId="5" xr:uid="{00000000-0005-0000-0000-000003000000}"/>
    <cellStyle name="Normal" xfId="0" builtinId="0"/>
    <cellStyle name="Normal 2" xfId="3" xr:uid="{00000000-0005-0000-0000-000005000000}"/>
    <cellStyle name="Normal 3" xfId="8" xr:uid="{00000000-0005-0000-0000-000006000000}"/>
    <cellStyle name="Normal 4" xfId="4" xr:uid="{00000000-0005-0000-0000-000007000000}"/>
    <cellStyle name="Normal_A-tabell mai 2001" xfId="1" xr:uid="{00000000-0005-0000-0000-000008000000}"/>
    <cellStyle name="Percent 3" xfId="10" xr:uid="{00000000-0005-0000-0000-000009000000}"/>
    <cellStyle name="Percent 4" xfId="6" xr:uid="{00000000-0005-0000-0000-00000A000000}"/>
  </cellStyles>
  <dxfs count="0"/>
  <tableStyles count="0" defaultTableStyle="TableStyleMedium2"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495300</xdr:colOff>
      <xdr:row>0</xdr:row>
      <xdr:rowOff>85725</xdr:rowOff>
    </xdr:from>
    <xdr:to>
      <xdr:col>7</xdr:col>
      <xdr:colOff>1562100</xdr:colOff>
      <xdr:row>2</xdr:row>
      <xdr:rowOff>59635</xdr:rowOff>
    </xdr:to>
    <xdr:pic>
      <xdr:nvPicPr>
        <xdr:cNvPr id="1027" name="Picture 2" descr="6_b_en">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00550" y="733425"/>
          <a:ext cx="25431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257175</xdr:colOff>
      <xdr:row>0</xdr:row>
      <xdr:rowOff>47625</xdr:rowOff>
    </xdr:from>
    <xdr:to>
      <xdr:col>16</xdr:col>
      <xdr:colOff>2088515</xdr:colOff>
      <xdr:row>2</xdr:row>
      <xdr:rowOff>38100</xdr:rowOff>
    </xdr:to>
    <xdr:pic>
      <xdr:nvPicPr>
        <xdr:cNvPr id="2053" name="Picture 1" descr="6_b_en">
          <a:extLst>
            <a:ext uri="{FF2B5EF4-FFF2-40B4-BE49-F238E27FC236}">
              <a16:creationId xmlns:a16="http://schemas.microsoft.com/office/drawing/2014/main" id="{00000000-0008-0000-0200-000005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77750" y="47625"/>
          <a:ext cx="25622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34</xdr:row>
      <xdr:rowOff>114300</xdr:rowOff>
    </xdr:from>
    <xdr:to>
      <xdr:col>18</xdr:col>
      <xdr:colOff>657225</xdr:colOff>
      <xdr:row>54</xdr:row>
      <xdr:rowOff>27500</xdr:rowOff>
    </xdr:to>
    <xdr:pic>
      <xdr:nvPicPr>
        <xdr:cNvPr id="4" name="Picture 3">
          <a:extLst>
            <a:ext uri="{FF2B5EF4-FFF2-40B4-BE49-F238E27FC236}">
              <a16:creationId xmlns:a16="http://schemas.microsoft.com/office/drawing/2014/main" id="{E24101F0-6A02-430B-BE09-17832031F569}"/>
            </a:ext>
          </a:extLst>
        </xdr:cNvPr>
        <xdr:cNvPicPr>
          <a:picLocks noChangeAspect="1"/>
        </xdr:cNvPicPr>
      </xdr:nvPicPr>
      <xdr:blipFill>
        <a:blip xmlns:r="http://schemas.openxmlformats.org/officeDocument/2006/relationships" r:embed="rId1"/>
        <a:stretch>
          <a:fillRect/>
        </a:stretch>
      </xdr:blipFill>
      <xdr:spPr>
        <a:xfrm>
          <a:off x="0" y="8715375"/>
          <a:ext cx="14782800" cy="2770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533400</xdr:colOff>
      <xdr:row>0</xdr:row>
      <xdr:rowOff>57150</xdr:rowOff>
    </xdr:from>
    <xdr:to>
      <xdr:col>20</xdr:col>
      <xdr:colOff>704850</xdr:colOff>
      <xdr:row>1</xdr:row>
      <xdr:rowOff>206606</xdr:rowOff>
    </xdr:to>
    <xdr:pic>
      <xdr:nvPicPr>
        <xdr:cNvPr id="3" name="Bilde 2">
          <a:extLst>
            <a:ext uri="{FF2B5EF4-FFF2-40B4-BE49-F238E27FC236}">
              <a16:creationId xmlns:a16="http://schemas.microsoft.com/office/drawing/2014/main" id="{752CFCE5-E142-49E0-8FF1-237B157E37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25350" y="57150"/>
          <a:ext cx="4410075" cy="41615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14</xdr:col>
      <xdr:colOff>704850</xdr:colOff>
      <xdr:row>0</xdr:row>
      <xdr:rowOff>47625</xdr:rowOff>
    </xdr:from>
    <xdr:to>
      <xdr:col>20</xdr:col>
      <xdr:colOff>676275</xdr:colOff>
      <xdr:row>2</xdr:row>
      <xdr:rowOff>6581</xdr:rowOff>
    </xdr:to>
    <xdr:pic>
      <xdr:nvPicPr>
        <xdr:cNvPr id="5" name="Bilde 4">
          <a:extLst>
            <a:ext uri="{FF2B5EF4-FFF2-40B4-BE49-F238E27FC236}">
              <a16:creationId xmlns:a16="http://schemas.microsoft.com/office/drawing/2014/main" id="{3F1E239E-35B4-42C8-A720-23218F01C9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53975" y="47625"/>
          <a:ext cx="4410075" cy="416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609600</xdr:colOff>
      <xdr:row>0</xdr:row>
      <xdr:rowOff>47625</xdr:rowOff>
    </xdr:from>
    <xdr:to>
      <xdr:col>20</xdr:col>
      <xdr:colOff>742950</xdr:colOff>
      <xdr:row>2</xdr:row>
      <xdr:rowOff>161925</xdr:rowOff>
    </xdr:to>
    <xdr:pic>
      <xdr:nvPicPr>
        <xdr:cNvPr id="2" name="Picture 1" descr="6_b_en">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497050" y="47625"/>
          <a:ext cx="25622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80"/>
  <sheetViews>
    <sheetView topLeftCell="A3" zoomScale="87" zoomScaleNormal="87" workbookViewId="0">
      <selection activeCell="A3" sqref="A3"/>
    </sheetView>
  </sheetViews>
  <sheetFormatPr defaultColWidth="11.5546875" defaultRowHeight="13.8" x14ac:dyDescent="0.3"/>
  <cols>
    <col min="1" max="2" width="3.5546875" style="327" customWidth="1"/>
    <col min="3" max="3" width="25.5546875" style="327" bestFit="1" customWidth="1"/>
    <col min="4" max="4" width="12.44140625" style="327" customWidth="1"/>
    <col min="5" max="5" width="13.44140625" style="327" customWidth="1"/>
    <col min="6" max="6" width="10.5546875" style="327" customWidth="1"/>
    <col min="7" max="7" width="11.5546875" style="327"/>
    <col min="8" max="8" width="24.44140625" style="327" customWidth="1"/>
    <col min="9" max="16384" width="11.5546875" style="327"/>
  </cols>
  <sheetData>
    <row r="1" spans="1:8" s="347" customFormat="1" ht="21" x14ac:dyDescent="0.4">
      <c r="A1" s="347" t="s">
        <v>0</v>
      </c>
    </row>
    <row r="2" spans="1:8" s="347" customFormat="1" ht="21" x14ac:dyDescent="0.4">
      <c r="A2" s="347" t="s">
        <v>1</v>
      </c>
    </row>
    <row r="5" spans="1:8" s="467" customFormat="1" ht="15.6" x14ac:dyDescent="0.3">
      <c r="A5" s="467" t="s">
        <v>2</v>
      </c>
    </row>
    <row r="7" spans="1:8" x14ac:dyDescent="0.3">
      <c r="A7" s="327" t="s">
        <v>3</v>
      </c>
    </row>
    <row r="8" spans="1:8" x14ac:dyDescent="0.3">
      <c r="A8" s="327" t="s">
        <v>4</v>
      </c>
    </row>
    <row r="9" spans="1:8" x14ac:dyDescent="0.3">
      <c r="A9" s="327" t="s">
        <v>5</v>
      </c>
    </row>
    <row r="10" spans="1:8" x14ac:dyDescent="0.3">
      <c r="A10" s="327" t="s">
        <v>6</v>
      </c>
    </row>
    <row r="11" spans="1:8" x14ac:dyDescent="0.3">
      <c r="A11" s="327" t="s">
        <v>7</v>
      </c>
    </row>
    <row r="12" spans="1:8" x14ac:dyDescent="0.3">
      <c r="A12" s="479"/>
    </row>
    <row r="13" spans="1:8" x14ac:dyDescent="0.3">
      <c r="A13" s="327" t="s">
        <v>8</v>
      </c>
    </row>
    <row r="14" spans="1:8" x14ac:dyDescent="0.3">
      <c r="A14" s="327" t="s">
        <v>9</v>
      </c>
    </row>
    <row r="15" spans="1:8" s="349" customFormat="1" ht="10.199999999999999" x14ac:dyDescent="0.2"/>
    <row r="16" spans="1:8" s="330" customFormat="1" x14ac:dyDescent="0.3">
      <c r="A16" s="480" t="s">
        <v>10</v>
      </c>
      <c r="B16" s="480"/>
      <c r="C16" s="480"/>
      <c r="D16" s="480"/>
      <c r="E16" s="480"/>
      <c r="F16" s="480"/>
      <c r="G16" s="480"/>
      <c r="H16" s="480"/>
    </row>
    <row r="17" spans="1:8" x14ac:dyDescent="0.3">
      <c r="A17" s="481" t="s">
        <v>11</v>
      </c>
      <c r="B17" s="481"/>
      <c r="C17" s="481"/>
      <c r="D17" s="481"/>
      <c r="E17" s="481"/>
      <c r="F17" s="481"/>
      <c r="G17" s="481"/>
      <c r="H17" s="481"/>
    </row>
    <row r="18" spans="1:8" x14ac:dyDescent="0.3">
      <c r="A18" s="482" t="s">
        <v>12</v>
      </c>
      <c r="B18" s="481" t="s">
        <v>13</v>
      </c>
      <c r="C18" s="481"/>
      <c r="D18" s="481"/>
      <c r="E18" s="481"/>
      <c r="F18" s="481"/>
      <c r="G18" s="481"/>
      <c r="H18" s="481"/>
    </row>
    <row r="19" spans="1:8" x14ac:dyDescent="0.3">
      <c r="A19" s="482" t="s">
        <v>14</v>
      </c>
      <c r="B19" s="481" t="s">
        <v>15</v>
      </c>
      <c r="C19" s="481"/>
      <c r="D19" s="481"/>
      <c r="E19" s="481"/>
      <c r="F19" s="481"/>
      <c r="G19" s="481"/>
      <c r="H19" s="481"/>
    </row>
    <row r="20" spans="1:8" x14ac:dyDescent="0.3">
      <c r="A20" s="482" t="s">
        <v>16</v>
      </c>
      <c r="B20" s="481" t="s">
        <v>17</v>
      </c>
      <c r="C20" s="481"/>
      <c r="D20" s="481"/>
      <c r="E20" s="481"/>
      <c r="F20" s="481"/>
      <c r="G20" s="481"/>
      <c r="H20" s="481"/>
    </row>
    <row r="21" spans="1:8" x14ac:dyDescent="0.3">
      <c r="A21" s="482"/>
      <c r="B21" s="481" t="s">
        <v>18</v>
      </c>
      <c r="C21" s="481"/>
      <c r="D21" s="481"/>
      <c r="E21" s="481"/>
      <c r="F21" s="481"/>
      <c r="G21" s="481"/>
      <c r="H21" s="481"/>
    </row>
    <row r="22" spans="1:8" x14ac:dyDescent="0.3">
      <c r="A22" s="482" t="s">
        <v>19</v>
      </c>
      <c r="B22" s="481" t="s">
        <v>20</v>
      </c>
      <c r="C22" s="481"/>
      <c r="D22" s="481"/>
      <c r="E22" s="481"/>
      <c r="F22" s="481"/>
      <c r="G22" s="481"/>
      <c r="H22" s="481"/>
    </row>
    <row r="23" spans="1:8" x14ac:dyDescent="0.3">
      <c r="A23" s="482"/>
      <c r="B23" s="481" t="s">
        <v>21</v>
      </c>
      <c r="C23" s="481"/>
      <c r="D23" s="481"/>
      <c r="E23" s="481"/>
      <c r="F23" s="481"/>
      <c r="G23" s="481"/>
      <c r="H23" s="481"/>
    </row>
    <row r="24" spans="1:8" x14ac:dyDescent="0.3">
      <c r="A24" s="482"/>
      <c r="B24" s="481" t="s">
        <v>22</v>
      </c>
      <c r="C24" s="481"/>
      <c r="D24" s="481"/>
      <c r="E24" s="481"/>
      <c r="F24" s="481"/>
      <c r="G24" s="481"/>
      <c r="H24" s="481"/>
    </row>
    <row r="25" spans="1:8" x14ac:dyDescent="0.3">
      <c r="A25" s="482"/>
      <c r="B25" s="481"/>
      <c r="C25" s="480" t="s">
        <v>23</v>
      </c>
      <c r="D25" s="481"/>
      <c r="E25" s="481"/>
      <c r="F25" s="481"/>
      <c r="G25" s="481"/>
      <c r="H25" s="481"/>
    </row>
    <row r="26" spans="1:8" x14ac:dyDescent="0.3">
      <c r="A26" s="482"/>
      <c r="B26" s="481"/>
      <c r="C26" s="480" t="s">
        <v>24</v>
      </c>
      <c r="D26" s="481"/>
      <c r="E26" s="481"/>
      <c r="F26" s="481"/>
      <c r="G26" s="481"/>
      <c r="H26" s="481"/>
    </row>
    <row r="27" spans="1:8" x14ac:dyDescent="0.3">
      <c r="A27" s="482"/>
      <c r="B27" s="481"/>
      <c r="C27" s="480" t="s">
        <v>25</v>
      </c>
      <c r="D27" s="481"/>
      <c r="E27" s="481"/>
      <c r="F27" s="481"/>
      <c r="G27" s="481"/>
      <c r="H27" s="481"/>
    </row>
    <row r="28" spans="1:8" x14ac:dyDescent="0.3">
      <c r="A28" s="482" t="s">
        <v>26</v>
      </c>
      <c r="B28" s="481" t="s">
        <v>27</v>
      </c>
      <c r="C28" s="481"/>
      <c r="D28" s="481"/>
      <c r="E28" s="481"/>
      <c r="F28" s="481"/>
      <c r="G28" s="481"/>
      <c r="H28" s="481"/>
    </row>
    <row r="29" spans="1:8" x14ac:dyDescent="0.3">
      <c r="A29" s="482"/>
      <c r="B29" s="481" t="s">
        <v>28</v>
      </c>
      <c r="C29" s="481"/>
      <c r="D29" s="481"/>
      <c r="E29" s="481"/>
      <c r="F29" s="481"/>
      <c r="G29" s="481"/>
      <c r="H29" s="481"/>
    </row>
    <row r="30" spans="1:8" s="349" customFormat="1" ht="10.199999999999999" x14ac:dyDescent="0.2"/>
    <row r="31" spans="1:8" s="330" customFormat="1" ht="14.4" thickBot="1" x14ac:dyDescent="0.35">
      <c r="A31" s="502" t="s">
        <v>29</v>
      </c>
      <c r="B31" s="502"/>
      <c r="C31" s="502"/>
      <c r="D31" s="502"/>
      <c r="E31" s="502"/>
      <c r="F31" s="502"/>
      <c r="G31" s="502"/>
      <c r="H31" s="502"/>
    </row>
    <row r="32" spans="1:8" s="330" customFormat="1" ht="42" thickBot="1" x14ac:dyDescent="0.35">
      <c r="A32" s="502"/>
      <c r="B32" s="503" t="s">
        <v>30</v>
      </c>
      <c r="C32" s="504"/>
      <c r="D32" s="505" t="s">
        <v>31</v>
      </c>
      <c r="E32" s="505" t="s">
        <v>32</v>
      </c>
      <c r="F32" s="506" t="s">
        <v>33</v>
      </c>
      <c r="G32" s="506" t="s">
        <v>34</v>
      </c>
      <c r="H32" s="502"/>
    </row>
    <row r="33" spans="1:8" x14ac:dyDescent="0.3">
      <c r="A33" s="507"/>
      <c r="B33" s="508" t="s">
        <v>35</v>
      </c>
      <c r="C33" s="509"/>
      <c r="D33" s="510">
        <v>60</v>
      </c>
      <c r="E33" s="511">
        <v>1500000</v>
      </c>
      <c r="F33" s="512">
        <v>1000000</v>
      </c>
      <c r="G33" s="513">
        <v>0.5</v>
      </c>
      <c r="H33" s="507"/>
    </row>
    <row r="34" spans="1:8" x14ac:dyDescent="0.3">
      <c r="A34" s="507"/>
      <c r="B34" s="340" t="s">
        <v>36</v>
      </c>
      <c r="C34" s="514"/>
      <c r="D34" s="515">
        <v>60</v>
      </c>
      <c r="E34" s="516">
        <v>2000000</v>
      </c>
      <c r="F34" s="517">
        <v>1000000</v>
      </c>
      <c r="G34" s="518">
        <v>0.4</v>
      </c>
      <c r="H34" s="507"/>
    </row>
    <row r="35" spans="1:8" x14ac:dyDescent="0.3">
      <c r="A35" s="507"/>
      <c r="B35" s="340" t="s">
        <v>37</v>
      </c>
      <c r="C35" s="514"/>
      <c r="D35" s="515">
        <v>60</v>
      </c>
      <c r="E35" s="516">
        <v>2500000</v>
      </c>
      <c r="F35" s="517">
        <v>1000000</v>
      </c>
      <c r="G35" s="518">
        <v>0.3</v>
      </c>
      <c r="H35" s="507"/>
    </row>
    <row r="36" spans="1:8" x14ac:dyDescent="0.3">
      <c r="A36" s="507"/>
      <c r="B36" s="340" t="s">
        <v>38</v>
      </c>
      <c r="C36" s="514"/>
      <c r="D36" s="515">
        <v>72</v>
      </c>
      <c r="E36" s="516">
        <v>10000000</v>
      </c>
      <c r="F36" s="517">
        <v>4000000</v>
      </c>
      <c r="G36" s="518">
        <v>0.3</v>
      </c>
      <c r="H36" s="507"/>
    </row>
    <row r="37" spans="1:8" ht="14.4" thickBot="1" x14ac:dyDescent="0.35">
      <c r="A37" s="507"/>
      <c r="B37" s="519" t="s">
        <v>39</v>
      </c>
      <c r="C37" s="520"/>
      <c r="D37" s="521">
        <v>18</v>
      </c>
      <c r="E37" s="522">
        <v>150000</v>
      </c>
      <c r="F37" s="523">
        <v>0</v>
      </c>
      <c r="G37" s="524" t="s">
        <v>40</v>
      </c>
      <c r="H37" s="507"/>
    </row>
    <row r="38" spans="1:8" ht="30.6" customHeight="1" x14ac:dyDescent="0.3">
      <c r="A38" s="501" t="s">
        <v>41</v>
      </c>
      <c r="B38" s="582" t="s">
        <v>42</v>
      </c>
      <c r="C38" s="583"/>
      <c r="D38" s="583"/>
      <c r="E38" s="583"/>
      <c r="F38" s="583"/>
      <c r="G38" s="583"/>
      <c r="H38" s="583"/>
    </row>
    <row r="39" spans="1:8" x14ac:dyDescent="0.3">
      <c r="A39" s="507"/>
      <c r="B39" s="507" t="s">
        <v>43</v>
      </c>
      <c r="C39" s="507" t="s">
        <v>44</v>
      </c>
      <c r="D39" s="525"/>
      <c r="E39" s="525"/>
      <c r="F39" s="525"/>
      <c r="G39" s="507"/>
      <c r="H39" s="526"/>
    </row>
    <row r="40" spans="1:8" x14ac:dyDescent="0.3">
      <c r="A40" s="507"/>
      <c r="B40" s="507"/>
      <c r="C40" s="507" t="s">
        <v>45</v>
      </c>
      <c r="D40" s="525"/>
      <c r="E40" s="525"/>
      <c r="F40" s="525"/>
      <c r="G40" s="507"/>
      <c r="H40" s="526"/>
    </row>
    <row r="41" spans="1:8" x14ac:dyDescent="0.3">
      <c r="A41" s="507"/>
      <c r="B41" s="507" t="s">
        <v>46</v>
      </c>
      <c r="C41" s="507" t="s">
        <v>47</v>
      </c>
      <c r="D41" s="525"/>
      <c r="E41" s="525"/>
      <c r="F41" s="525"/>
      <c r="G41" s="507"/>
      <c r="H41" s="526"/>
    </row>
    <row r="42" spans="1:8" x14ac:dyDescent="0.3">
      <c r="A42" s="507"/>
      <c r="B42" s="507" t="s">
        <v>48</v>
      </c>
      <c r="C42" s="507" t="s">
        <v>49</v>
      </c>
      <c r="D42" s="525"/>
      <c r="E42" s="525"/>
      <c r="F42" s="525"/>
      <c r="G42" s="507"/>
      <c r="H42" s="526"/>
    </row>
    <row r="43" spans="1:8" x14ac:dyDescent="0.3">
      <c r="A43" s="507"/>
      <c r="B43" s="507" t="s">
        <v>50</v>
      </c>
      <c r="C43" s="507" t="s">
        <v>51</v>
      </c>
      <c r="D43" s="525"/>
      <c r="E43" s="525"/>
      <c r="F43" s="525"/>
      <c r="G43" s="507"/>
      <c r="H43" s="526"/>
    </row>
    <row r="44" spans="1:8" x14ac:dyDescent="0.3">
      <c r="A44" s="501" t="s">
        <v>52</v>
      </c>
      <c r="B44" s="507" t="s">
        <v>53</v>
      </c>
      <c r="C44" s="507"/>
      <c r="D44" s="525"/>
      <c r="E44" s="507"/>
      <c r="F44" s="507"/>
      <c r="G44" s="507"/>
      <c r="H44" s="507"/>
    </row>
    <row r="45" spans="1:8" x14ac:dyDescent="0.3">
      <c r="A45" s="507"/>
      <c r="B45" s="507" t="s">
        <v>54</v>
      </c>
      <c r="C45" s="507"/>
      <c r="D45" s="525"/>
      <c r="E45" s="507"/>
      <c r="F45" s="507"/>
      <c r="G45" s="507"/>
      <c r="H45" s="507"/>
    </row>
    <row r="46" spans="1:8" x14ac:dyDescent="0.3">
      <c r="A46" s="501" t="s">
        <v>55</v>
      </c>
      <c r="B46" s="507" t="s">
        <v>56</v>
      </c>
      <c r="C46" s="507"/>
      <c r="D46" s="525"/>
      <c r="E46" s="507"/>
      <c r="F46" s="507"/>
      <c r="G46" s="507"/>
      <c r="H46" s="507"/>
    </row>
    <row r="47" spans="1:8" x14ac:dyDescent="0.3">
      <c r="D47" s="469"/>
    </row>
    <row r="48" spans="1:8" x14ac:dyDescent="0.3">
      <c r="A48" s="327" t="s">
        <v>57</v>
      </c>
      <c r="D48" s="469"/>
    </row>
    <row r="49" spans="1:5" x14ac:dyDescent="0.3">
      <c r="A49" s="327" t="s">
        <v>58</v>
      </c>
      <c r="D49" s="469"/>
    </row>
    <row r="50" spans="1:5" x14ac:dyDescent="0.3">
      <c r="A50" s="327" t="s">
        <v>59</v>
      </c>
      <c r="D50" s="469"/>
    </row>
    <row r="51" spans="1:5" hidden="1" x14ac:dyDescent="0.3">
      <c r="D51" s="469"/>
    </row>
    <row r="52" spans="1:5" hidden="1" x14ac:dyDescent="0.3">
      <c r="A52" s="327" t="s">
        <v>60</v>
      </c>
      <c r="D52" s="469"/>
    </row>
    <row r="53" spans="1:5" hidden="1" x14ac:dyDescent="0.3">
      <c r="B53" s="327" t="s">
        <v>61</v>
      </c>
      <c r="D53" s="469"/>
    </row>
    <row r="54" spans="1:5" hidden="1" x14ac:dyDescent="0.3">
      <c r="B54" s="327" t="s">
        <v>62</v>
      </c>
      <c r="D54" s="469"/>
    </row>
    <row r="55" spans="1:5" hidden="1" x14ac:dyDescent="0.3">
      <c r="B55" s="327" t="s">
        <v>63</v>
      </c>
      <c r="D55" s="469"/>
    </row>
    <row r="56" spans="1:5" hidden="1" x14ac:dyDescent="0.3">
      <c r="B56" s="327" t="s">
        <v>64</v>
      </c>
      <c r="D56" s="469"/>
    </row>
    <row r="57" spans="1:5" hidden="1" x14ac:dyDescent="0.3">
      <c r="B57" s="327" t="s">
        <v>65</v>
      </c>
      <c r="D57" s="469"/>
    </row>
    <row r="58" spans="1:5" hidden="1" x14ac:dyDescent="0.3">
      <c r="B58" s="327" t="s">
        <v>66</v>
      </c>
      <c r="D58" s="469"/>
    </row>
    <row r="59" spans="1:5" hidden="1" x14ac:dyDescent="0.3">
      <c r="B59" s="327" t="s">
        <v>67</v>
      </c>
      <c r="D59" s="469"/>
    </row>
    <row r="60" spans="1:5" hidden="1" x14ac:dyDescent="0.3">
      <c r="B60" s="327" t="s">
        <v>68</v>
      </c>
      <c r="D60" s="469"/>
    </row>
    <row r="61" spans="1:5" hidden="1" x14ac:dyDescent="0.3">
      <c r="B61" s="327" t="s">
        <v>69</v>
      </c>
      <c r="D61" s="469"/>
    </row>
    <row r="62" spans="1:5" hidden="1" x14ac:dyDescent="0.3">
      <c r="A62" s="327" t="s">
        <v>70</v>
      </c>
      <c r="D62" s="469"/>
      <c r="E62" s="327" t="s">
        <v>71</v>
      </c>
    </row>
    <row r="63" spans="1:5" hidden="1" x14ac:dyDescent="0.3">
      <c r="D63" s="469"/>
    </row>
    <row r="64" spans="1:5" hidden="1" x14ac:dyDescent="0.3">
      <c r="A64" s="327" t="s">
        <v>72</v>
      </c>
      <c r="D64" s="469"/>
    </row>
    <row r="65" spans="1:8" hidden="1" x14ac:dyDescent="0.3">
      <c r="B65" s="327" t="s">
        <v>73</v>
      </c>
      <c r="D65" s="469"/>
    </row>
    <row r="66" spans="1:8" hidden="1" x14ac:dyDescent="0.3">
      <c r="B66" s="327" t="s">
        <v>74</v>
      </c>
      <c r="D66" s="469"/>
    </row>
    <row r="67" spans="1:8" s="349" customFormat="1" ht="10.199999999999999" x14ac:dyDescent="0.2">
      <c r="D67" s="470"/>
    </row>
    <row r="68" spans="1:8" s="330" customFormat="1" x14ac:dyDescent="0.3">
      <c r="A68" s="330" t="s">
        <v>75</v>
      </c>
    </row>
    <row r="69" spans="1:8" x14ac:dyDescent="0.3">
      <c r="A69" s="327" t="s">
        <v>76</v>
      </c>
    </row>
    <row r="70" spans="1:8" s="330" customFormat="1" x14ac:dyDescent="0.3">
      <c r="A70" s="471"/>
      <c r="B70" s="471" t="s">
        <v>77</v>
      </c>
      <c r="C70" s="471"/>
      <c r="D70" s="472" t="s">
        <v>78</v>
      </c>
      <c r="E70" s="473"/>
      <c r="F70" s="473"/>
      <c r="G70" s="473"/>
      <c r="H70" s="474"/>
    </row>
    <row r="71" spans="1:8" x14ac:dyDescent="0.3">
      <c r="A71" s="475">
        <v>1</v>
      </c>
      <c r="B71" s="468" t="s">
        <v>79</v>
      </c>
      <c r="C71" s="468"/>
      <c r="D71" s="476" t="s">
        <v>80</v>
      </c>
      <c r="E71" s="477"/>
      <c r="F71" s="477"/>
      <c r="G71" s="477"/>
      <c r="H71" s="478"/>
    </row>
    <row r="72" spans="1:8" x14ac:dyDescent="0.3">
      <c r="A72" s="475">
        <v>2</v>
      </c>
      <c r="B72" s="468" t="s">
        <v>81</v>
      </c>
      <c r="C72" s="468"/>
      <c r="D72" s="476" t="s">
        <v>82</v>
      </c>
      <c r="E72" s="477"/>
      <c r="F72" s="477"/>
      <c r="G72" s="477"/>
      <c r="H72" s="478"/>
    </row>
    <row r="73" spans="1:8" x14ac:dyDescent="0.3">
      <c r="A73" s="475">
        <v>3</v>
      </c>
      <c r="B73" s="468" t="s">
        <v>83</v>
      </c>
      <c r="C73" s="468"/>
      <c r="D73" s="476" t="s">
        <v>84</v>
      </c>
      <c r="E73" s="477"/>
      <c r="F73" s="477"/>
      <c r="G73" s="477"/>
      <c r="H73" s="478"/>
    </row>
    <row r="74" spans="1:8" x14ac:dyDescent="0.3">
      <c r="A74" s="475">
        <v>4</v>
      </c>
      <c r="B74" s="468" t="s">
        <v>85</v>
      </c>
      <c r="C74" s="468"/>
      <c r="D74" s="476" t="s">
        <v>86</v>
      </c>
      <c r="E74" s="477"/>
      <c r="F74" s="477"/>
      <c r="G74" s="477"/>
      <c r="H74" s="478"/>
    </row>
    <row r="75" spans="1:8" x14ac:dyDescent="0.3">
      <c r="A75" s="475">
        <v>5</v>
      </c>
      <c r="B75" s="468" t="s">
        <v>87</v>
      </c>
      <c r="C75" s="468"/>
      <c r="D75" s="476" t="s">
        <v>88</v>
      </c>
      <c r="E75" s="477"/>
      <c r="F75" s="477"/>
      <c r="G75" s="477"/>
      <c r="H75" s="478"/>
    </row>
    <row r="76" spans="1:8" x14ac:dyDescent="0.3">
      <c r="A76" s="475">
        <v>6</v>
      </c>
      <c r="B76" s="468" t="s">
        <v>89</v>
      </c>
      <c r="C76" s="468"/>
      <c r="D76" s="476" t="s">
        <v>90</v>
      </c>
      <c r="E76" s="477"/>
      <c r="F76" s="477"/>
      <c r="G76" s="477"/>
      <c r="H76" s="478"/>
    </row>
    <row r="77" spans="1:8" x14ac:dyDescent="0.3">
      <c r="A77" s="475">
        <v>7</v>
      </c>
      <c r="B77" s="468" t="s">
        <v>91</v>
      </c>
      <c r="C77" s="468"/>
      <c r="D77" s="476" t="s">
        <v>92</v>
      </c>
      <c r="E77" s="477"/>
      <c r="F77" s="477"/>
      <c r="G77" s="477"/>
      <c r="H77" s="478"/>
    </row>
    <row r="78" spans="1:8" x14ac:dyDescent="0.3">
      <c r="A78" s="475">
        <v>8</v>
      </c>
      <c r="B78" s="468" t="s">
        <v>93</v>
      </c>
      <c r="C78" s="468"/>
      <c r="D78" s="476" t="s">
        <v>94</v>
      </c>
      <c r="E78" s="477"/>
      <c r="F78" s="477"/>
      <c r="G78" s="477"/>
      <c r="H78" s="478"/>
    </row>
    <row r="79" spans="1:8" x14ac:dyDescent="0.3">
      <c r="A79" s="475">
        <v>9</v>
      </c>
      <c r="B79" s="468" t="s">
        <v>95</v>
      </c>
      <c r="C79" s="468"/>
      <c r="D79" s="476" t="s">
        <v>94</v>
      </c>
      <c r="E79" s="477"/>
      <c r="F79" s="477"/>
      <c r="G79" s="477"/>
      <c r="H79" s="478"/>
    </row>
    <row r="80" spans="1:8" x14ac:dyDescent="0.3">
      <c r="A80" s="475">
        <v>10</v>
      </c>
      <c r="B80" s="468" t="s">
        <v>96</v>
      </c>
      <c r="C80" s="468"/>
      <c r="D80" s="476" t="s">
        <v>97</v>
      </c>
      <c r="E80" s="477"/>
      <c r="F80" s="477"/>
      <c r="G80" s="477"/>
      <c r="H80" s="478"/>
    </row>
  </sheetData>
  <sheetProtection algorithmName="SHA-512" hashValue="lVLgG0iWhVOwyhllSdcFNvRLPK2iy2MDlFdFqDG2DoN1nFEPPKWIaYkO9HEFMoiPCtdNmhUS79zEv7Bmmwu+Mw==" saltValue="NdfV27wpxb1r7vXK+N3GuQ==" spinCount="100000" sheet="1" objects="1" scenarios="1"/>
  <mergeCells count="1">
    <mergeCell ref="B38:H38"/>
  </mergeCells>
  <phoneticPr fontId="7" type="noConversion"/>
  <pageMargins left="0.39370078740157483" right="0.39370078740157483" top="0.78740157480314965" bottom="0.59055118110236227" header="0.51181102362204722" footer="0.31496062992125984"/>
  <pageSetup paperSize="9" scale="88" orientation="portrait" r:id="rId1"/>
  <headerFooter alignWithMargins="0">
    <oddFooter>&amp;L&amp;8&amp;F   ---   &amp;A&amp;R&amp;8Page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99"/>
    <pageSetUpPr fitToPage="1"/>
  </sheetPr>
  <dimension ref="A1:Q65"/>
  <sheetViews>
    <sheetView topLeftCell="A35" zoomScaleNormal="100" workbookViewId="0">
      <selection activeCell="L41" sqref="L41"/>
    </sheetView>
  </sheetViews>
  <sheetFormatPr defaultColWidth="11.5546875" defaultRowHeight="10.199999999999999" x14ac:dyDescent="0.2"/>
  <cols>
    <col min="1" max="2" width="2.5546875" style="4" customWidth="1"/>
    <col min="3" max="3" width="27" style="4" customWidth="1"/>
    <col min="4" max="4" width="19.5546875" style="4" customWidth="1"/>
    <col min="5" max="5" width="18.88671875" style="4" bestFit="1" customWidth="1"/>
    <col min="6" max="6" width="7.88671875" style="4" customWidth="1"/>
    <col min="7" max="7" width="10.109375" style="4" bestFit="1" customWidth="1"/>
    <col min="8" max="8" width="7.44140625" style="4" bestFit="1" customWidth="1"/>
    <col min="9" max="9" width="7.44140625" style="4" customWidth="1"/>
    <col min="10" max="10" width="9.44140625" style="4" bestFit="1" customWidth="1"/>
    <col min="11" max="11" width="8.5546875" style="4" customWidth="1"/>
    <col min="12" max="12" width="8" style="4" customWidth="1"/>
    <col min="13" max="13" width="10.88671875" style="4" customWidth="1"/>
    <col min="14" max="14" width="12" style="4" customWidth="1"/>
    <col min="15" max="16" width="10.88671875" style="4" customWidth="1"/>
    <col min="17" max="17" width="43.5546875" style="4" customWidth="1"/>
    <col min="18" max="16384" width="11.5546875" style="4"/>
  </cols>
  <sheetData>
    <row r="1" spans="1:11" s="347" customFormat="1" ht="21" x14ac:dyDescent="0.4">
      <c r="A1" s="347" t="s">
        <v>98</v>
      </c>
    </row>
    <row r="2" spans="1:11" s="6" customFormat="1" ht="21" x14ac:dyDescent="0.4">
      <c r="A2" s="5" t="s">
        <v>99</v>
      </c>
      <c r="B2" s="5"/>
      <c r="C2" s="5"/>
      <c r="J2" s="10"/>
      <c r="K2" s="11"/>
    </row>
    <row r="3" spans="1:11" customFormat="1" ht="13.2" x14ac:dyDescent="0.25"/>
    <row r="4" spans="1:11" customFormat="1" ht="13.2" x14ac:dyDescent="0.25">
      <c r="A4" t="s">
        <v>100</v>
      </c>
    </row>
    <row r="5" spans="1:11" customFormat="1" ht="13.2" x14ac:dyDescent="0.25">
      <c r="A5" t="s">
        <v>101</v>
      </c>
      <c r="J5" s="39"/>
      <c r="K5" s="40"/>
    </row>
    <row r="6" spans="1:11" customFormat="1" ht="13.2" x14ac:dyDescent="0.25">
      <c r="J6" s="39"/>
      <c r="K6" s="40"/>
    </row>
    <row r="7" spans="1:11" customFormat="1" ht="13.2" x14ac:dyDescent="0.25">
      <c r="A7" s="1" t="s">
        <v>102</v>
      </c>
      <c r="B7" s="1"/>
      <c r="C7" s="1"/>
      <c r="D7" s="589" t="s">
        <v>103</v>
      </c>
      <c r="E7" s="590"/>
    </row>
    <row r="8" spans="1:11" customFormat="1" ht="13.8" thickBot="1" x14ac:dyDescent="0.3"/>
    <row r="9" spans="1:11" customFormat="1" ht="13.2" x14ac:dyDescent="0.25">
      <c r="A9" s="208" t="s">
        <v>104</v>
      </c>
      <c r="B9" s="209"/>
      <c r="C9" s="209"/>
      <c r="D9" s="272">
        <v>45352</v>
      </c>
      <c r="E9" s="42"/>
      <c r="F9" s="42"/>
      <c r="G9" s="42"/>
      <c r="H9" s="41"/>
      <c r="I9" s="41"/>
    </row>
    <row r="10" spans="1:11" customFormat="1" ht="13.8" thickBot="1" x14ac:dyDescent="0.3">
      <c r="A10" s="210" t="s">
        <v>105</v>
      </c>
      <c r="B10" s="211"/>
      <c r="C10" s="211"/>
      <c r="D10" s="273">
        <v>60</v>
      </c>
      <c r="E10" s="365" t="str">
        <f>IF($D$10&gt;$E$26,"This exceeds the eligible maximum duration for this kind of ERC Grant!","")</f>
        <v/>
      </c>
      <c r="F10" s="44"/>
      <c r="G10" s="44"/>
    </row>
    <row r="11" spans="1:11" customFormat="1" ht="13.8" thickBot="1" x14ac:dyDescent="0.3">
      <c r="A11" s="210" t="s">
        <v>106</v>
      </c>
      <c r="B11" s="211"/>
      <c r="C11" s="211"/>
      <c r="D11" s="214">
        <f>EDATE(D9,D10)-1</f>
        <v>47177</v>
      </c>
      <c r="E11" s="43"/>
      <c r="F11" s="43"/>
      <c r="G11" s="43"/>
    </row>
    <row r="12" spans="1:11" customFormat="1" ht="13.2" x14ac:dyDescent="0.25"/>
    <row r="13" spans="1:11" customFormat="1" ht="13.2" x14ac:dyDescent="0.25">
      <c r="A13" s="1" t="s">
        <v>107</v>
      </c>
      <c r="B13" s="1"/>
      <c r="C13" s="1"/>
      <c r="E13" s="591" t="s">
        <v>35</v>
      </c>
      <c r="F13" s="592"/>
    </row>
    <row r="14" spans="1:11" customFormat="1" ht="13.2" x14ac:dyDescent="0.25">
      <c r="A14" s="1" t="s">
        <v>108</v>
      </c>
      <c r="B14" s="1"/>
      <c r="C14" s="1"/>
      <c r="E14" s="271" t="s">
        <v>109</v>
      </c>
    </row>
    <row r="15" spans="1:11" customFormat="1" ht="13.2" x14ac:dyDescent="0.25">
      <c r="B15" s="1" t="s">
        <v>110</v>
      </c>
    </row>
    <row r="16" spans="1:11" customFormat="1" ht="13.2" x14ac:dyDescent="0.25">
      <c r="B16" t="s">
        <v>111</v>
      </c>
      <c r="C16" t="s">
        <v>112</v>
      </c>
    </row>
    <row r="17" spans="1:9" customFormat="1" ht="13.2" x14ac:dyDescent="0.25">
      <c r="B17" t="s">
        <v>113</v>
      </c>
      <c r="C17" t="s">
        <v>114</v>
      </c>
    </row>
    <row r="18" spans="1:9" customFormat="1" ht="13.2" x14ac:dyDescent="0.25">
      <c r="B18" t="s">
        <v>115</v>
      </c>
      <c r="C18" t="s">
        <v>49</v>
      </c>
    </row>
    <row r="19" spans="1:9" customFormat="1" ht="13.2" x14ac:dyDescent="0.25">
      <c r="B19" t="s">
        <v>50</v>
      </c>
      <c r="C19" t="s">
        <v>51</v>
      </c>
    </row>
    <row r="20" spans="1:9" customFormat="1" ht="13.2" x14ac:dyDescent="0.25"/>
    <row r="21" spans="1:9" s="1" customFormat="1" ht="13.2" x14ac:dyDescent="0.25">
      <c r="A21" s="1" t="s">
        <v>100</v>
      </c>
    </row>
    <row r="22" spans="1:9" customFormat="1" ht="13.2" x14ac:dyDescent="0.25">
      <c r="A22" s="1"/>
      <c r="B22" s="1"/>
      <c r="C22" s="1"/>
      <c r="D22" s="1"/>
    </row>
    <row r="23" spans="1:9" customFormat="1" ht="13.2" x14ac:dyDescent="0.25">
      <c r="A23" s="1" t="s">
        <v>116</v>
      </c>
      <c r="B23" s="1"/>
      <c r="C23" s="1"/>
      <c r="D23" s="1"/>
      <c r="E23" s="249">
        <f>IF($D$10&gt;$E$26,VLOOKUP($E$13,Instructions!$B$32:$F$37,4,FALSE),VLOOKUP($E$13,Instructions!$B$32:$F$37,4,FALSE)*$D$10/$E$26)</f>
        <v>1500000</v>
      </c>
      <c r="G23" s="528"/>
      <c r="H23" s="528"/>
      <c r="I23" s="528"/>
    </row>
    <row r="24" spans="1:9" customFormat="1" ht="13.2" x14ac:dyDescent="0.25">
      <c r="A24" s="1" t="s">
        <v>117</v>
      </c>
      <c r="B24" s="1"/>
      <c r="C24" s="1"/>
      <c r="D24" s="1"/>
      <c r="E24" s="249">
        <f>IF($E$14="Yes",VLOOKUP($E$13,Instructions!$B$32:$F$37,5,FALSE),0)</f>
        <v>0</v>
      </c>
      <c r="G24" s="528"/>
      <c r="H24" s="528"/>
      <c r="I24" s="528"/>
    </row>
    <row r="25" spans="1:9" customFormat="1" ht="13.2" x14ac:dyDescent="0.25">
      <c r="A25" s="1" t="s">
        <v>118</v>
      </c>
      <c r="B25" s="1"/>
      <c r="C25" s="1"/>
      <c r="D25" s="1"/>
      <c r="E25" s="249">
        <f>SUM($E$23:$E$24)</f>
        <v>1500000</v>
      </c>
      <c r="G25" s="528"/>
      <c r="H25" s="528"/>
      <c r="I25" s="528"/>
    </row>
    <row r="26" spans="1:9" customFormat="1" ht="13.2" x14ac:dyDescent="0.25">
      <c r="A26" s="1" t="s">
        <v>119</v>
      </c>
      <c r="B26" s="1"/>
      <c r="C26" s="1"/>
      <c r="D26" s="1"/>
      <c r="E26" s="249">
        <f>VLOOKUP($E$13,Instructions!$B$32:$F$37,3,FALSE)</f>
        <v>60</v>
      </c>
      <c r="G26" s="528"/>
      <c r="H26" s="528"/>
      <c r="I26" s="528"/>
    </row>
    <row r="27" spans="1:9" customFormat="1" ht="13.2" x14ac:dyDescent="0.25">
      <c r="A27" s="1" t="s">
        <v>120</v>
      </c>
      <c r="B27" s="1"/>
      <c r="C27" s="1"/>
      <c r="D27" s="1"/>
      <c r="E27" s="275">
        <v>0.03</v>
      </c>
      <c r="G27" s="528"/>
      <c r="H27" s="528"/>
      <c r="I27" s="528"/>
    </row>
    <row r="28" spans="1:9" customFormat="1" ht="13.2" x14ac:dyDescent="0.25">
      <c r="A28" s="1" t="s">
        <v>121</v>
      </c>
      <c r="B28" s="1"/>
      <c r="C28" s="1"/>
      <c r="D28" s="1"/>
      <c r="E28" s="276">
        <v>9.5</v>
      </c>
    </row>
    <row r="29" spans="1:9" customFormat="1" ht="13.2" x14ac:dyDescent="0.25">
      <c r="A29" s="1" t="s">
        <v>122</v>
      </c>
      <c r="B29" s="1"/>
      <c r="C29" s="1"/>
      <c r="D29" s="1"/>
      <c r="E29" s="270" t="s">
        <v>123</v>
      </c>
      <c r="F29" t="s">
        <v>124</v>
      </c>
    </row>
    <row r="30" spans="1:9" customFormat="1" ht="13.2" x14ac:dyDescent="0.25">
      <c r="A30" s="1" t="s">
        <v>125</v>
      </c>
      <c r="B30" s="1"/>
      <c r="C30" s="1"/>
      <c r="D30" s="1"/>
      <c r="E30" s="248">
        <v>0.25</v>
      </c>
      <c r="F30" t="s">
        <v>126</v>
      </c>
    </row>
    <row r="31" spans="1:9" customFormat="1" ht="13.2" x14ac:dyDescent="0.25">
      <c r="A31" s="1" t="s">
        <v>127</v>
      </c>
      <c r="B31" s="1"/>
      <c r="C31" s="1"/>
      <c r="D31" s="1"/>
      <c r="E31" s="248">
        <f>'Beregning OH-sats BOA'!$H$28</f>
        <v>0.61331551733809009</v>
      </c>
      <c r="F31" t="s">
        <v>128</v>
      </c>
    </row>
    <row r="32" spans="1:9" customFormat="1" ht="13.2" x14ac:dyDescent="0.25"/>
    <row r="33" spans="1:17" customFormat="1" ht="13.2" x14ac:dyDescent="0.25">
      <c r="A33" s="1" t="s">
        <v>129</v>
      </c>
      <c r="F33" s="213"/>
    </row>
    <row r="34" spans="1:17" customFormat="1" ht="13.2" x14ac:dyDescent="0.25"/>
    <row r="35" spans="1:17" s="1" customFormat="1" ht="13.8" thickBot="1" x14ac:dyDescent="0.3">
      <c r="A35" s="1" t="s">
        <v>130</v>
      </c>
    </row>
    <row r="36" spans="1:17" customFormat="1" ht="14.4" thickBot="1" x14ac:dyDescent="0.3">
      <c r="J36" s="39"/>
      <c r="K36" s="40"/>
      <c r="O36" s="593" t="s">
        <v>131</v>
      </c>
      <c r="P36" s="594"/>
    </row>
    <row r="37" spans="1:17" s="250" customFormat="1" ht="17.399999999999999" customHeight="1" x14ac:dyDescent="0.25">
      <c r="B37" s="497"/>
      <c r="C37" s="584" t="s">
        <v>132</v>
      </c>
      <c r="D37" s="586" t="s">
        <v>133</v>
      </c>
      <c r="E37" s="586" t="s">
        <v>134</v>
      </c>
      <c r="F37" s="601" t="s">
        <v>135</v>
      </c>
      <c r="G37" s="601" t="s">
        <v>136</v>
      </c>
      <c r="H37" s="601" t="s">
        <v>137</v>
      </c>
      <c r="I37" s="601" t="s">
        <v>138</v>
      </c>
      <c r="J37" s="601" t="s">
        <v>139</v>
      </c>
      <c r="K37" s="603" t="s">
        <v>140</v>
      </c>
      <c r="L37" s="597" t="s">
        <v>141</v>
      </c>
      <c r="M37" s="603" t="s">
        <v>142</v>
      </c>
      <c r="N37" s="597" t="s">
        <v>143</v>
      </c>
      <c r="O37" s="599" t="s">
        <v>144</v>
      </c>
      <c r="P37" s="595" t="s">
        <v>145</v>
      </c>
      <c r="Q37" s="595" t="s">
        <v>146</v>
      </c>
    </row>
    <row r="38" spans="1:17" s="251" customFormat="1" ht="17.399999999999999" customHeight="1" thickBot="1" x14ac:dyDescent="0.3">
      <c r="B38" s="498"/>
      <c r="C38" s="585"/>
      <c r="D38" s="587"/>
      <c r="E38" s="588"/>
      <c r="F38" s="602"/>
      <c r="G38" s="602"/>
      <c r="H38" s="602"/>
      <c r="I38" s="602"/>
      <c r="J38" s="602"/>
      <c r="K38" s="604"/>
      <c r="L38" s="598"/>
      <c r="M38" s="604"/>
      <c r="N38" s="598"/>
      <c r="O38" s="600"/>
      <c r="P38" s="605"/>
      <c r="Q38" s="596"/>
    </row>
    <row r="39" spans="1:17" customFormat="1" ht="13.2" x14ac:dyDescent="0.25">
      <c r="A39" s="217"/>
      <c r="B39" s="499" t="str">
        <f>IF(E39=Categories!$A$21,"*","")</f>
        <v/>
      </c>
      <c r="C39" s="256" t="s">
        <v>147</v>
      </c>
      <c r="D39" s="257" t="s">
        <v>348</v>
      </c>
      <c r="E39" s="257" t="s">
        <v>149</v>
      </c>
      <c r="F39" s="212">
        <v>77</v>
      </c>
      <c r="G39" s="45" t="str">
        <f>IF($D39="","",VLOOKUP($D39,'Salary scale &amp; Incentives'!$F$13:$H$24,2,FALSE))</f>
        <v>Yes</v>
      </c>
      <c r="H39" s="267" t="s">
        <v>150</v>
      </c>
      <c r="I39" s="267" t="s">
        <v>151</v>
      </c>
      <c r="J39" s="253">
        <f>IF(F39="","",AVERAGE((VLOOKUP(F39,'Salary scale &amp; Incentives'!$A:$D,2,FALSE)/'Project data &amp; personnel '!$E$28)*(1+'Project data &amp; personnel '!$E$27)^(('Project data &amp; personnel '!$D$9-'Salary scale &amp; Incentives'!$F$3)/365),(VLOOKUP(F39,'Salary scale &amp; Incentives'!$A:$D,2,FALSE)/'Project data &amp; personnel '!$E$28)*(1+'Project data &amp; personnel '!$E$27)^(('Project data &amp; personnel '!$D$11-'Salary scale &amp; Incentives'!$F$3)/365)))</f>
        <v>91858.704219489096</v>
      </c>
      <c r="K39" s="253">
        <f>IF(F39="","",AVERAGE((VLOOKUP(F39,'Salary scale &amp; Incentives'!$A:$D,4,FALSE)/'Project data &amp; personnel '!$E$28)*(1+'Project data &amp; personnel '!$E$27)^(('Project data &amp; personnel '!$D$9-'Salary scale &amp; Incentives'!$F$3)/365),(VLOOKUP(F39,'Salary scale &amp; Incentives'!$A:$D,4,FALSE)/'Project data &amp; personnel '!$E$28)*(1+'Project data &amp; personnel '!$E$27)^(('Project data &amp; personnel '!$D$11-'Salary scale &amp; Incentives'!$F$3)/365)))</f>
        <v>10027.908543960893</v>
      </c>
      <c r="L39" s="313">
        <v>36</v>
      </c>
      <c r="M39" s="252">
        <f>IF(L39="",0,K39*L39)</f>
        <v>361004.70758259215</v>
      </c>
      <c r="N39" s="253">
        <f>M39*(1+$E$30)</f>
        <v>451255.88447824016</v>
      </c>
      <c r="O39" s="453"/>
      <c r="P39" s="454"/>
      <c r="Q39" s="262"/>
    </row>
    <row r="40" spans="1:17" customFormat="1" ht="13.2" x14ac:dyDescent="0.25">
      <c r="A40" s="217"/>
      <c r="B40" s="499" t="str">
        <f>IF(E40=Categories!$A$21,"*","")</f>
        <v/>
      </c>
      <c r="C40" s="258" t="s">
        <v>152</v>
      </c>
      <c r="D40" s="259" t="s">
        <v>153</v>
      </c>
      <c r="E40" s="257" t="s">
        <v>154</v>
      </c>
      <c r="F40" s="212">
        <v>62</v>
      </c>
      <c r="G40" s="46" t="str">
        <f>IF($D40="","",VLOOKUP($D40,'Salary scale &amp; Incentives'!$F$13:$H$24,2,FALSE))</f>
        <v>Yes</v>
      </c>
      <c r="H40" s="267" t="s">
        <v>150</v>
      </c>
      <c r="I40" s="267" t="s">
        <v>151</v>
      </c>
      <c r="J40" s="253">
        <f>IF(F40="","",AVERAGE((VLOOKUP(F40,'Salary scale &amp; Incentives'!$A:$D,2,FALSE)/'Project data &amp; personnel '!$E$28)*(1+'Project data &amp; personnel '!$E$27)^(('Project data &amp; personnel '!$D$9-'Salary scale &amp; Incentives'!$F$3)/365),(VLOOKUP(F40,'Salary scale &amp; Incentives'!$A:$D,2,FALSE)/'Project data &amp; personnel '!$E$28)*(1+'Project data &amp; personnel '!$E$27)^(('Project data &amp; personnel '!$D$11-'Salary scale &amp; Incentives'!$F$3)/365)))</f>
        <v>68858.033374562176</v>
      </c>
      <c r="K40" s="253">
        <f>IF(F40="","",AVERAGE((VLOOKUP(F40,'Salary scale &amp; Incentives'!$A:$D,4,FALSE)/'Project data &amp; personnel '!$E$28)*(1+'Project data &amp; personnel '!$E$27)^(('Project data &amp; personnel '!$D$9-'Salary scale &amp; Incentives'!$F$3)/365),(VLOOKUP(F40,'Salary scale &amp; Incentives'!$A:$D,4,FALSE)/'Project data &amp; personnel '!$E$28)*(1+'Project data &amp; personnel '!$E$27)^(('Project data &amp; personnel '!$D$11-'Salary scale &amp; Incentives'!$F$3)/365)))</f>
        <v>7517.0019767230369</v>
      </c>
      <c r="L40" s="265">
        <v>36</v>
      </c>
      <c r="M40" s="252">
        <f t="shared" ref="M40:M60" si="0">IF(L40="",0,K40*L40)</f>
        <v>270612.07116202934</v>
      </c>
      <c r="N40" s="253">
        <f t="shared" ref="N40:N60" si="1">M40*(1+$E$30)</f>
        <v>338265.08895253669</v>
      </c>
      <c r="O40" s="453"/>
      <c r="P40" s="455"/>
      <c r="Q40" s="263"/>
    </row>
    <row r="41" spans="1:17" customFormat="1" ht="13.2" x14ac:dyDescent="0.25">
      <c r="A41" s="217"/>
      <c r="B41" s="499" t="str">
        <f>IF(E41=Categories!$A$21,"*","")</f>
        <v/>
      </c>
      <c r="C41" s="258" t="s">
        <v>155</v>
      </c>
      <c r="D41" s="259" t="s">
        <v>153</v>
      </c>
      <c r="E41" s="257" t="s">
        <v>154</v>
      </c>
      <c r="F41" s="212">
        <v>62</v>
      </c>
      <c r="G41" s="46" t="str">
        <f>IF($D41="","",VLOOKUP($D41,'Salary scale &amp; Incentives'!$F$13:$H$24,2,FALSE))</f>
        <v>Yes</v>
      </c>
      <c r="H41" s="267" t="s">
        <v>150</v>
      </c>
      <c r="I41" s="267" t="s">
        <v>151</v>
      </c>
      <c r="J41" s="253">
        <f>IF(F41="","",AVERAGE((VLOOKUP(F41,'Salary scale &amp; Incentives'!$A:$D,2,FALSE)/'Project data &amp; personnel '!$E$28)*(1+'Project data &amp; personnel '!$E$27)^(('Project data &amp; personnel '!$D$9-'Salary scale &amp; Incentives'!$F$3)/365),(VLOOKUP(F41,'Salary scale &amp; Incentives'!$A:$D,2,FALSE)/'Project data &amp; personnel '!$E$28)*(1+'Project data &amp; personnel '!$E$27)^(('Project data &amp; personnel '!$D$11-'Salary scale &amp; Incentives'!$F$3)/365)))</f>
        <v>68858.033374562176</v>
      </c>
      <c r="K41" s="253">
        <f>IF(F41="","",AVERAGE((VLOOKUP(F41,'Salary scale &amp; Incentives'!$A:$D,4,FALSE)/'Project data &amp; personnel '!$E$28)*(1+'Project data &amp; personnel '!$E$27)^(('Project data &amp; personnel '!$D$9-'Salary scale &amp; Incentives'!$F$3)/365),(VLOOKUP(F41,'Salary scale &amp; Incentives'!$A:$D,4,FALSE)/'Project data &amp; personnel '!$E$28)*(1+'Project data &amp; personnel '!$E$27)^(('Project data &amp; personnel '!$D$11-'Salary scale &amp; Incentives'!$F$3)/365)))</f>
        <v>7517.0019767230369</v>
      </c>
      <c r="L41" s="265">
        <v>36</v>
      </c>
      <c r="M41" s="252">
        <f t="shared" si="0"/>
        <v>270612.07116202934</v>
      </c>
      <c r="N41" s="253">
        <f t="shared" si="1"/>
        <v>338265.08895253669</v>
      </c>
      <c r="O41" s="453"/>
      <c r="P41" s="455"/>
      <c r="Q41" s="263"/>
    </row>
    <row r="42" spans="1:17" customFormat="1" ht="13.2" x14ac:dyDescent="0.25">
      <c r="A42" s="217"/>
      <c r="B42" s="499" t="str">
        <f>IF(E42=Categories!$A$21,"*","")</f>
        <v/>
      </c>
      <c r="C42" s="258" t="s">
        <v>519</v>
      </c>
      <c r="D42" s="259" t="s">
        <v>156</v>
      </c>
      <c r="E42" s="257" t="s">
        <v>157</v>
      </c>
      <c r="F42" s="212">
        <f>IF($D42="","",VLOOKUP($D42,'Salary scale &amp; Incentives'!$F$13:$H$24,3,FALSE))</f>
        <v>57</v>
      </c>
      <c r="G42" s="46" t="str">
        <f>IF($D42="","",VLOOKUP($D42,'Salary scale &amp; Incentives'!$F$13:$H$24,2,FALSE))</f>
        <v>Yes</v>
      </c>
      <c r="H42" s="267" t="s">
        <v>150</v>
      </c>
      <c r="I42" s="267" t="s">
        <v>151</v>
      </c>
      <c r="J42" s="253">
        <f>IF(F42="","",AVERAGE((VLOOKUP(F42,'Salary scale &amp; Incentives'!$A:$D,2,FALSE)/'Project data &amp; personnel '!$E$28)*(1+'Project data &amp; personnel '!$E$27)^(('Project data &amp; personnel '!$D$9-'Salary scale &amp; Incentives'!$F$3)/365),(VLOOKUP(F42,'Salary scale &amp; Incentives'!$A:$D,2,FALSE)/'Project data &amp; personnel '!$E$28)*(1+'Project data &amp; personnel '!$E$27)^(('Project data &amp; personnel '!$D$11-'Salary scale &amp; Incentives'!$F$3)/365)))</f>
        <v>63122.863492519886</v>
      </c>
      <c r="K42" s="253">
        <f>IF(F42="","",AVERAGE((VLOOKUP(F42,'Salary scale &amp; Incentives'!$A:$D,4,FALSE)/'Project data &amp; personnel '!$E$28)*(1+'Project data &amp; personnel '!$E$27)^(('Project data &amp; personnel '!$D$9-'Salary scale &amp; Incentives'!$F$3)/365),(VLOOKUP(F42,'Salary scale &amp; Incentives'!$A:$D,4,FALSE)/'Project data &amp; personnel '!$E$28)*(1+'Project data &amp; personnel '!$E$27)^(('Project data &amp; personnel '!$D$11-'Salary scale &amp; Incentives'!$F$3)/365)))</f>
        <v>6890.9125979334203</v>
      </c>
      <c r="L42" s="265"/>
      <c r="M42" s="252">
        <f t="shared" si="0"/>
        <v>0</v>
      </c>
      <c r="N42" s="253">
        <f t="shared" si="1"/>
        <v>0</v>
      </c>
      <c r="O42" s="453"/>
      <c r="P42" s="455" t="s">
        <v>344</v>
      </c>
      <c r="Q42" s="263" t="s">
        <v>521</v>
      </c>
    </row>
    <row r="43" spans="1:17" customFormat="1" ht="13.2" x14ac:dyDescent="0.25">
      <c r="A43" s="217"/>
      <c r="B43" s="499" t="str">
        <f>IF(E43=Categories!$A$21,"*","")</f>
        <v/>
      </c>
      <c r="C43" s="258" t="s">
        <v>520</v>
      </c>
      <c r="D43" s="259" t="s">
        <v>156</v>
      </c>
      <c r="E43" s="257" t="s">
        <v>157</v>
      </c>
      <c r="F43" s="212">
        <f>IF($D43="","",VLOOKUP($D43,'Salary scale &amp; Incentives'!$F$13:$H$24,3,FALSE))</f>
        <v>57</v>
      </c>
      <c r="G43" s="46" t="str">
        <f>IF($D43="","",VLOOKUP($D43,'Salary scale &amp; Incentives'!$F$13:$H$24,2,FALSE))</f>
        <v>Yes</v>
      </c>
      <c r="H43" s="267" t="s">
        <v>150</v>
      </c>
      <c r="I43" s="267" t="s">
        <v>151</v>
      </c>
      <c r="J43" s="253">
        <f>IF(F43="","",AVERAGE((VLOOKUP(F43,'Salary scale &amp; Incentives'!$A:$D,2,FALSE)/'Project data &amp; personnel '!$E$28)*(1+'Project data &amp; personnel '!$E$27)^(('Project data &amp; personnel '!$D$9-'Salary scale &amp; Incentives'!$F$3)/365),(VLOOKUP(F43,'Salary scale &amp; Incentives'!$A:$D,2,FALSE)/'Project data &amp; personnel '!$E$28)*(1+'Project data &amp; personnel '!$E$27)^(('Project data &amp; personnel '!$D$11-'Salary scale &amp; Incentives'!$F$3)/365)))</f>
        <v>63122.863492519886</v>
      </c>
      <c r="K43" s="253">
        <f>IF(F43="","",AVERAGE((VLOOKUP(F43,'Salary scale &amp; Incentives'!$A:$D,4,FALSE)/'Project data &amp; personnel '!$E$28)*(1+'Project data &amp; personnel '!$E$27)^(('Project data &amp; personnel '!$D$9-'Salary scale &amp; Incentives'!$F$3)/365),(VLOOKUP(F43,'Salary scale &amp; Incentives'!$A:$D,4,FALSE)/'Project data &amp; personnel '!$E$28)*(1+'Project data &amp; personnel '!$E$27)^(('Project data &amp; personnel '!$D$11-'Salary scale &amp; Incentives'!$F$3)/365)))</f>
        <v>6890.9125979334203</v>
      </c>
      <c r="L43" s="265">
        <v>36</v>
      </c>
      <c r="M43" s="252">
        <f t="shared" si="0"/>
        <v>248072.85352560313</v>
      </c>
      <c r="N43" s="253">
        <f t="shared" si="1"/>
        <v>310091.06690700393</v>
      </c>
      <c r="O43" s="453"/>
      <c r="P43" s="455"/>
      <c r="Q43" s="263"/>
    </row>
    <row r="44" spans="1:17" customFormat="1" ht="13.2" x14ac:dyDescent="0.25">
      <c r="A44" s="217"/>
      <c r="B44" s="499"/>
      <c r="C44" s="258"/>
      <c r="D44" s="259"/>
      <c r="E44" s="257"/>
      <c r="F44" s="212" t="str">
        <f>IF($D44="","",VLOOKUP($D44,'Salary scale &amp; Incentives'!$F$13:$H$24,3,FALSE))</f>
        <v/>
      </c>
      <c r="G44" s="46" t="str">
        <f>IF($D44="","",VLOOKUP($D44,'Salary scale &amp; Incentives'!$F$13:$H$24,2,FALSE))</f>
        <v/>
      </c>
      <c r="H44" s="267" t="s">
        <v>150</v>
      </c>
      <c r="I44" s="267" t="s">
        <v>151</v>
      </c>
      <c r="J44" s="253" t="str">
        <f>IF(F44="","",AVERAGE((VLOOKUP(F44,'Salary scale &amp; Incentives'!$A:$D,2,FALSE)/'Project data &amp; personnel '!$E$28)*(1+'Project data &amp; personnel '!$E$27)^(('Project data &amp; personnel '!$D$9-'Salary scale &amp; Incentives'!$F$3)/365),(VLOOKUP(F44,'Salary scale &amp; Incentives'!$A:$D,2,FALSE)/'Project data &amp; personnel '!$E$28)*(1+'Project data &amp; personnel '!$E$27)^(('Project data &amp; personnel '!$D$11-'Salary scale &amp; Incentives'!$F$3)/365)))</f>
        <v/>
      </c>
      <c r="K44" s="253" t="str">
        <f>IF(F44="","",AVERAGE((VLOOKUP(F44,'Salary scale &amp; Incentives'!$A:$D,4,FALSE)/'Project data &amp; personnel '!$E$28)*(1+'Project data &amp; personnel '!$E$27)^(('Project data &amp; personnel '!$D$9-'Salary scale &amp; Incentives'!$F$3)/365),(VLOOKUP(F44,'Salary scale &amp; Incentives'!$A:$D,4,FALSE)/'Project data &amp; personnel '!$E$28)*(1+'Project data &amp; personnel '!$E$27)^(('Project data &amp; personnel '!$D$11-'Salary scale &amp; Incentives'!$F$3)/365)))</f>
        <v/>
      </c>
      <c r="L44" s="265"/>
      <c r="M44" s="252">
        <f t="shared" si="0"/>
        <v>0</v>
      </c>
      <c r="N44" s="253">
        <f t="shared" si="1"/>
        <v>0</v>
      </c>
      <c r="O44" s="453"/>
      <c r="P44" s="455"/>
      <c r="Q44" s="263"/>
    </row>
    <row r="45" spans="1:17" customFormat="1" ht="13.2" x14ac:dyDescent="0.25">
      <c r="A45" s="217"/>
      <c r="B45" s="499" t="str">
        <f>IF(E45=Categories!$A$21,"*","")</f>
        <v/>
      </c>
      <c r="C45" s="258"/>
      <c r="D45" s="259"/>
      <c r="E45" s="257"/>
      <c r="F45" s="212" t="str">
        <f>IF($D45="","",VLOOKUP($D45,'Salary scale &amp; Incentives'!$F$13:$H$24,3,FALSE))</f>
        <v/>
      </c>
      <c r="G45" s="46" t="str">
        <f>IF($D45="","",VLOOKUP($D45,'Salary scale &amp; Incentives'!$F$13:$H$24,2,FALSE))</f>
        <v/>
      </c>
      <c r="H45" s="267"/>
      <c r="I45" s="267"/>
      <c r="J45" s="253" t="str">
        <f>IF(F45="","",AVERAGE((VLOOKUP(F45,'Salary scale &amp; Incentives'!$A:$D,2,FALSE)/'Project data &amp; personnel '!$E$28)*(1+'Project data &amp; personnel '!$E$27)^(('Project data &amp; personnel '!$D$9-'Salary scale &amp; Incentives'!$F$3)/365),(VLOOKUP(F45,'Salary scale &amp; Incentives'!$A:$D,2,FALSE)/'Project data &amp; personnel '!$E$28)*(1+'Project data &amp; personnel '!$E$27)^(('Project data &amp; personnel '!$D$11-'Salary scale &amp; Incentives'!$F$3)/365)))</f>
        <v/>
      </c>
      <c r="K45" s="253" t="str">
        <f>IF(F45="","",AVERAGE((VLOOKUP(F45,'Salary scale &amp; Incentives'!$A:$D,4,FALSE)/'Project data &amp; personnel '!$E$28)*(1+'Project data &amp; personnel '!$E$27)^(('Project data &amp; personnel '!$D$9-'Salary scale &amp; Incentives'!$F$3)/365),(VLOOKUP(F45,'Salary scale &amp; Incentives'!$A:$D,4,FALSE)/'Project data &amp; personnel '!$E$28)*(1+'Project data &amp; personnel '!$E$27)^(('Project data &amp; personnel '!$D$11-'Salary scale &amp; Incentives'!$F$3)/365)))</f>
        <v/>
      </c>
      <c r="L45" s="313"/>
      <c r="M45" s="252">
        <f t="shared" si="0"/>
        <v>0</v>
      </c>
      <c r="N45" s="253">
        <f t="shared" si="1"/>
        <v>0</v>
      </c>
      <c r="O45" s="453"/>
      <c r="P45" s="455"/>
      <c r="Q45" s="263"/>
    </row>
    <row r="46" spans="1:17" customFormat="1" ht="13.2" x14ac:dyDescent="0.25">
      <c r="A46" s="217"/>
      <c r="B46" s="499" t="str">
        <f>IF(E46=Categories!$A$21,"*","")</f>
        <v/>
      </c>
      <c r="C46" s="258"/>
      <c r="D46" s="259"/>
      <c r="E46" s="257"/>
      <c r="F46" s="212" t="str">
        <f>IF($D46="","",VLOOKUP($D46,'Salary scale &amp; Incentives'!$F$13:$H$24,3,FALSE))</f>
        <v/>
      </c>
      <c r="G46" s="46" t="str">
        <f>IF($D46="","",VLOOKUP($D46,'Salary scale &amp; Incentives'!$F$13:$H$24,2,FALSE))</f>
        <v/>
      </c>
      <c r="H46" s="267"/>
      <c r="I46" s="267"/>
      <c r="J46" s="253" t="str">
        <f>IF(F46="","",AVERAGE((VLOOKUP(F46,'Salary scale &amp; Incentives'!$A:$D,2,FALSE)/'Project data &amp; personnel '!$E$28)*(1+'Project data &amp; personnel '!$E$27)^(('Project data &amp; personnel '!$D$9-'Salary scale &amp; Incentives'!$F$3)/365),(VLOOKUP(F46,'Salary scale &amp; Incentives'!$A:$D,2,FALSE)/'Project data &amp; personnel '!$E$28)*(1+'Project data &amp; personnel '!$E$27)^(('Project data &amp; personnel '!$D$11-'Salary scale &amp; Incentives'!$F$3)/365)))</f>
        <v/>
      </c>
      <c r="K46" s="253" t="str">
        <f>IF(F46="","",AVERAGE((VLOOKUP(F46,'Salary scale &amp; Incentives'!$A:$D,4,FALSE)/'Project data &amp; personnel '!$E$28)*(1+'Project data &amp; personnel '!$E$27)^(('Project data &amp; personnel '!$D$9-'Salary scale &amp; Incentives'!$F$3)/365),(VLOOKUP(F46,'Salary scale &amp; Incentives'!$A:$D,4,FALSE)/'Project data &amp; personnel '!$E$28)*(1+'Project data &amp; personnel '!$E$27)^(('Project data &amp; personnel '!$D$11-'Salary scale &amp; Incentives'!$F$3)/365)))</f>
        <v/>
      </c>
      <c r="L46" s="265"/>
      <c r="M46" s="252">
        <f t="shared" si="0"/>
        <v>0</v>
      </c>
      <c r="N46" s="253">
        <f t="shared" si="1"/>
        <v>0</v>
      </c>
      <c r="O46" s="453"/>
      <c r="P46" s="455"/>
      <c r="Q46" s="263"/>
    </row>
    <row r="47" spans="1:17" customFormat="1" ht="13.2" x14ac:dyDescent="0.25">
      <c r="A47" s="217"/>
      <c r="B47" s="499" t="str">
        <f>IF(E47=Categories!$A$21,"*","")</f>
        <v/>
      </c>
      <c r="C47" s="258"/>
      <c r="D47" s="259"/>
      <c r="E47" s="257"/>
      <c r="F47" s="212" t="str">
        <f>IF($D47="","",VLOOKUP($D47,'Salary scale &amp; Incentives'!$F$13:$H$24,3,FALSE))</f>
        <v/>
      </c>
      <c r="G47" s="46" t="str">
        <f>IF($D47="","",VLOOKUP($D47,'Salary scale &amp; Incentives'!$F$13:$H$24,2,FALSE))</f>
        <v/>
      </c>
      <c r="H47" s="267"/>
      <c r="I47" s="267"/>
      <c r="J47" s="253" t="str">
        <f>IF(F47="","",AVERAGE((VLOOKUP(F47,'Salary scale &amp; Incentives'!$A:$D,2,FALSE)/'Project data &amp; personnel '!$E$28)*(1+'Project data &amp; personnel '!$E$27)^(('Project data &amp; personnel '!$D$9-'Salary scale &amp; Incentives'!$F$3)/365),(VLOOKUP(F47,'Salary scale &amp; Incentives'!$A:$D,2,FALSE)/'Project data &amp; personnel '!$E$28)*(1+'Project data &amp; personnel '!$E$27)^(('Project data &amp; personnel '!$D$11-'Salary scale &amp; Incentives'!$F$3)/365)))</f>
        <v/>
      </c>
      <c r="K47" s="253" t="str">
        <f>IF(F47="","",AVERAGE((VLOOKUP(F47,'Salary scale &amp; Incentives'!$A:$D,4,FALSE)/'Project data &amp; personnel '!$E$28)*(1+'Project data &amp; personnel '!$E$27)^(('Project data &amp; personnel '!$D$9-'Salary scale &amp; Incentives'!$F$3)/365),(VLOOKUP(F47,'Salary scale &amp; Incentives'!$A:$D,4,FALSE)/'Project data &amp; personnel '!$E$28)*(1+'Project data &amp; personnel '!$E$27)^(('Project data &amp; personnel '!$D$11-'Salary scale &amp; Incentives'!$F$3)/365)))</f>
        <v/>
      </c>
      <c r="L47" s="265"/>
      <c r="M47" s="252">
        <f t="shared" si="0"/>
        <v>0</v>
      </c>
      <c r="N47" s="253">
        <f t="shared" si="1"/>
        <v>0</v>
      </c>
      <c r="O47" s="453"/>
      <c r="P47" s="455"/>
      <c r="Q47" s="263"/>
    </row>
    <row r="48" spans="1:17" customFormat="1" ht="13.2" x14ac:dyDescent="0.25">
      <c r="A48" s="217"/>
      <c r="B48" s="499" t="str">
        <f>IF(E48=Categories!$A$21,"*","")</f>
        <v/>
      </c>
      <c r="C48" s="258"/>
      <c r="D48" s="259"/>
      <c r="E48" s="257"/>
      <c r="F48" s="212" t="str">
        <f>IF($D48="","",VLOOKUP($D48,'Salary scale &amp; Incentives'!$F$13:$H$24,3,FALSE))</f>
        <v/>
      </c>
      <c r="G48" s="46" t="str">
        <f>IF($D48="","",VLOOKUP($D48,'Salary scale &amp; Incentives'!$F$13:$H$24,2,FALSE))</f>
        <v/>
      </c>
      <c r="H48" s="267"/>
      <c r="I48" s="267"/>
      <c r="J48" s="253" t="str">
        <f>IF(F48="","",AVERAGE((VLOOKUP(F48,'Salary scale &amp; Incentives'!$A:$D,2,FALSE)/'Project data &amp; personnel '!$E$28)*(1+'Project data &amp; personnel '!$E$27)^(('Project data &amp; personnel '!$D$9-'Salary scale &amp; Incentives'!$F$3)/365),(VLOOKUP(F48,'Salary scale &amp; Incentives'!$A:$D,2,FALSE)/'Project data &amp; personnel '!$E$28)*(1+'Project data &amp; personnel '!$E$27)^(('Project data &amp; personnel '!$D$11-'Salary scale &amp; Incentives'!$F$3)/365)))</f>
        <v/>
      </c>
      <c r="K48" s="253" t="str">
        <f>IF(F48="","",AVERAGE((VLOOKUP(F48,'Salary scale &amp; Incentives'!$A:$D,4,FALSE)/'Project data &amp; personnel '!$E$28)*(1+'Project data &amp; personnel '!$E$27)^(('Project data &amp; personnel '!$D$9-'Salary scale &amp; Incentives'!$F$3)/365),(VLOOKUP(F48,'Salary scale &amp; Incentives'!$A:$D,4,FALSE)/'Project data &amp; personnel '!$E$28)*(1+'Project data &amp; personnel '!$E$27)^(('Project data &amp; personnel '!$D$11-'Salary scale &amp; Incentives'!$F$3)/365)))</f>
        <v/>
      </c>
      <c r="L48" s="265"/>
      <c r="M48" s="252">
        <f t="shared" si="0"/>
        <v>0</v>
      </c>
      <c r="N48" s="253">
        <f t="shared" si="1"/>
        <v>0</v>
      </c>
      <c r="O48" s="453"/>
      <c r="P48" s="455"/>
      <c r="Q48" s="263"/>
    </row>
    <row r="49" spans="1:17" customFormat="1" ht="13.2" x14ac:dyDescent="0.25">
      <c r="A49" s="217"/>
      <c r="B49" s="499" t="str">
        <f>IF(E49=Categories!$A$21,"*","")</f>
        <v/>
      </c>
      <c r="C49" s="258"/>
      <c r="D49" s="259"/>
      <c r="E49" s="257"/>
      <c r="F49" s="212" t="str">
        <f>IF($D49="","",VLOOKUP($D49,'Salary scale &amp; Incentives'!$F$13:$H$24,3,FALSE))</f>
        <v/>
      </c>
      <c r="G49" s="46" t="str">
        <f>IF($D49="","",VLOOKUP($D49,'Salary scale &amp; Incentives'!$F$13:$H$24,2,FALSE))</f>
        <v/>
      </c>
      <c r="H49" s="267"/>
      <c r="I49" s="267"/>
      <c r="J49" s="253" t="str">
        <f>IF(F49="","",AVERAGE((VLOOKUP(F49,'Salary scale &amp; Incentives'!$A:$D,2,FALSE)/'Project data &amp; personnel '!$E$28)*(1+'Project data &amp; personnel '!$E$27)^(('Project data &amp; personnel '!$D$9-'Salary scale &amp; Incentives'!$F$3)/365),(VLOOKUP(F49,'Salary scale &amp; Incentives'!$A:$D,2,FALSE)/'Project data &amp; personnel '!$E$28)*(1+'Project data &amp; personnel '!$E$27)^(('Project data &amp; personnel '!$D$11-'Salary scale &amp; Incentives'!$F$3)/365)))</f>
        <v/>
      </c>
      <c r="K49" s="253" t="str">
        <f>IF(F49="","",AVERAGE((VLOOKUP(F49,'Salary scale &amp; Incentives'!$A:$D,4,FALSE)/'Project data &amp; personnel '!$E$28)*(1+'Project data &amp; personnel '!$E$27)^(('Project data &amp; personnel '!$D$9-'Salary scale &amp; Incentives'!$F$3)/365),(VLOOKUP(F49,'Salary scale &amp; Incentives'!$A:$D,4,FALSE)/'Project data &amp; personnel '!$E$28)*(1+'Project data &amp; personnel '!$E$27)^(('Project data &amp; personnel '!$D$11-'Salary scale &amp; Incentives'!$F$3)/365)))</f>
        <v/>
      </c>
      <c r="L49" s="265"/>
      <c r="M49" s="252">
        <f t="shared" si="0"/>
        <v>0</v>
      </c>
      <c r="N49" s="253">
        <f t="shared" si="1"/>
        <v>0</v>
      </c>
      <c r="O49" s="453"/>
      <c r="P49" s="455"/>
      <c r="Q49" s="263"/>
    </row>
    <row r="50" spans="1:17" customFormat="1" ht="13.2" x14ac:dyDescent="0.25">
      <c r="A50" s="217"/>
      <c r="B50" s="499" t="str">
        <f>IF(E50=Categories!$A$21,"*","")</f>
        <v/>
      </c>
      <c r="C50" s="258"/>
      <c r="D50" s="259"/>
      <c r="E50" s="257"/>
      <c r="F50" s="212" t="str">
        <f>IF($D50="","",VLOOKUP($D50,'Salary scale &amp; Incentives'!$F$13:$H$24,3,FALSE))</f>
        <v/>
      </c>
      <c r="G50" s="46" t="str">
        <f>IF($D50="","",VLOOKUP($D50,'Salary scale &amp; Incentives'!$F$13:$H$24,2,FALSE))</f>
        <v/>
      </c>
      <c r="H50" s="268"/>
      <c r="I50" s="268"/>
      <c r="J50" s="253" t="str">
        <f>IF(F50="","",AVERAGE((VLOOKUP(F50,'Salary scale &amp; Incentives'!$A:$D,2,FALSE)/'Project data &amp; personnel '!$E$28)*(1+'Project data &amp; personnel '!$E$27)^(('Project data &amp; personnel '!$D$9-'Salary scale &amp; Incentives'!$F$3)/365),(VLOOKUP(F50,'Salary scale &amp; Incentives'!$A:$D,2,FALSE)/'Project data &amp; personnel '!$E$28)*(1+'Project data &amp; personnel '!$E$27)^(('Project data &amp; personnel '!$D$11-'Salary scale &amp; Incentives'!$F$3)/365)))</f>
        <v/>
      </c>
      <c r="K50" s="253" t="str">
        <f>IF(F50="","",AVERAGE((VLOOKUP(F50,'Salary scale &amp; Incentives'!$A:$D,4,FALSE)/'Project data &amp; personnel '!$E$28)*(1+'Project data &amp; personnel '!$E$27)^(('Project data &amp; personnel '!$D$9-'Salary scale &amp; Incentives'!$F$3)/365),(VLOOKUP(F50,'Salary scale &amp; Incentives'!$A:$D,4,FALSE)/'Project data &amp; personnel '!$E$28)*(1+'Project data &amp; personnel '!$E$27)^(('Project data &amp; personnel '!$D$11-'Salary scale &amp; Incentives'!$F$3)/365)))</f>
        <v/>
      </c>
      <c r="L50" s="265"/>
      <c r="M50" s="252">
        <f t="shared" si="0"/>
        <v>0</v>
      </c>
      <c r="N50" s="253">
        <f t="shared" si="1"/>
        <v>0</v>
      </c>
      <c r="O50" s="453"/>
      <c r="P50" s="455"/>
      <c r="Q50" s="263"/>
    </row>
    <row r="51" spans="1:17" customFormat="1" ht="13.2" x14ac:dyDescent="0.25">
      <c r="A51" s="217"/>
      <c r="B51" s="499" t="str">
        <f>IF(E51=Categories!$A$21,"*","")</f>
        <v/>
      </c>
      <c r="C51" s="258"/>
      <c r="D51" s="259"/>
      <c r="E51" s="257"/>
      <c r="F51" s="212" t="str">
        <f>IF($D51="","",VLOOKUP($D51,'Salary scale &amp; Incentives'!$F$13:$H$24,3,FALSE))</f>
        <v/>
      </c>
      <c r="G51" s="46" t="str">
        <f>IF($D51="","",VLOOKUP($D51,'Salary scale &amp; Incentives'!$F$13:$H$24,2,FALSE))</f>
        <v/>
      </c>
      <c r="H51" s="268"/>
      <c r="I51" s="268"/>
      <c r="J51" s="253" t="str">
        <f>IF(F51="","",AVERAGE((VLOOKUP(F51,'Salary scale &amp; Incentives'!$A:$D,2,FALSE)/'Project data &amp; personnel '!$E$28)*(1+'Project data &amp; personnel '!$E$27)^(('Project data &amp; personnel '!$D$9-'Salary scale &amp; Incentives'!$F$3)/365),(VLOOKUP(F51,'Salary scale &amp; Incentives'!$A:$D,2,FALSE)/'Project data &amp; personnel '!$E$28)*(1+'Project data &amp; personnel '!$E$27)^(('Project data &amp; personnel '!$D$11-'Salary scale &amp; Incentives'!$F$3)/365)))</f>
        <v/>
      </c>
      <c r="K51" s="253" t="str">
        <f>IF(F51="","",AVERAGE((VLOOKUP(F51,'Salary scale &amp; Incentives'!$A:$D,4,FALSE)/'Project data &amp; personnel '!$E$28)*(1+'Project data &amp; personnel '!$E$27)^(('Project data &amp; personnel '!$D$9-'Salary scale &amp; Incentives'!$F$3)/365),(VLOOKUP(F51,'Salary scale &amp; Incentives'!$A:$D,4,FALSE)/'Project data &amp; personnel '!$E$28)*(1+'Project data &amp; personnel '!$E$27)^(('Project data &amp; personnel '!$D$11-'Salary scale &amp; Incentives'!$F$3)/365)))</f>
        <v/>
      </c>
      <c r="L51" s="265"/>
      <c r="M51" s="252">
        <f t="shared" si="0"/>
        <v>0</v>
      </c>
      <c r="N51" s="253">
        <f t="shared" si="1"/>
        <v>0</v>
      </c>
      <c r="O51" s="453"/>
      <c r="P51" s="455"/>
      <c r="Q51" s="263"/>
    </row>
    <row r="52" spans="1:17" customFormat="1" ht="13.2" x14ac:dyDescent="0.25">
      <c r="A52" s="217"/>
      <c r="B52" s="499" t="str">
        <f>IF(E52=Categories!$A$21,"*","")</f>
        <v/>
      </c>
      <c r="C52" s="258"/>
      <c r="D52" s="259"/>
      <c r="E52" s="257"/>
      <c r="F52" s="212" t="str">
        <f>IF($D52="","",VLOOKUP($D52,'Salary scale &amp; Incentives'!$F$13:$H$24,3,FALSE))</f>
        <v/>
      </c>
      <c r="G52" s="46" t="str">
        <f>IF($D52="","",VLOOKUP($D52,'Salary scale &amp; Incentives'!$F$13:$H$24,2,FALSE))</f>
        <v/>
      </c>
      <c r="H52" s="268"/>
      <c r="I52" s="268"/>
      <c r="J52" s="253" t="str">
        <f>IF(F52="","",AVERAGE((VLOOKUP(F52,'Salary scale &amp; Incentives'!$A:$D,2,FALSE)/'Project data &amp; personnel '!$E$28)*(1+'Project data &amp; personnel '!$E$27)^(('Project data &amp; personnel '!$D$9-'Salary scale &amp; Incentives'!$F$3)/365),(VLOOKUP(F52,'Salary scale &amp; Incentives'!$A:$D,2,FALSE)/'Project data &amp; personnel '!$E$28)*(1+'Project data &amp; personnel '!$E$27)^(('Project data &amp; personnel '!$D$11-'Salary scale &amp; Incentives'!$F$3)/365)))</f>
        <v/>
      </c>
      <c r="K52" s="253" t="str">
        <f>IF(F52="","",AVERAGE((VLOOKUP(F52,'Salary scale &amp; Incentives'!$A:$D,4,FALSE)/'Project data &amp; personnel '!$E$28)*(1+'Project data &amp; personnel '!$E$27)^(('Project data &amp; personnel '!$D$9-'Salary scale &amp; Incentives'!$F$3)/365),(VLOOKUP(F52,'Salary scale &amp; Incentives'!$A:$D,4,FALSE)/'Project data &amp; personnel '!$E$28)*(1+'Project data &amp; personnel '!$E$27)^(('Project data &amp; personnel '!$D$11-'Salary scale &amp; Incentives'!$F$3)/365)))</f>
        <v/>
      </c>
      <c r="L52" s="265"/>
      <c r="M52" s="252">
        <f t="shared" si="0"/>
        <v>0</v>
      </c>
      <c r="N52" s="253">
        <f t="shared" si="1"/>
        <v>0</v>
      </c>
      <c r="O52" s="453"/>
      <c r="P52" s="455"/>
      <c r="Q52" s="263"/>
    </row>
    <row r="53" spans="1:17" customFormat="1" ht="13.2" x14ac:dyDescent="0.25">
      <c r="A53" s="217"/>
      <c r="B53" s="499" t="str">
        <f>IF(E53=Categories!$A$21,"*","")</f>
        <v/>
      </c>
      <c r="C53" s="258"/>
      <c r="D53" s="259"/>
      <c r="E53" s="257"/>
      <c r="F53" s="212" t="str">
        <f>IF($D53="","",VLOOKUP($D53,'Salary scale &amp; Incentives'!$F$13:$H$24,3,FALSE))</f>
        <v/>
      </c>
      <c r="G53" s="46" t="str">
        <f>IF($D53="","",VLOOKUP($D53,'Salary scale &amp; Incentives'!$F$13:$H$24,2,FALSE))</f>
        <v/>
      </c>
      <c r="H53" s="268"/>
      <c r="I53" s="268"/>
      <c r="J53" s="253" t="str">
        <f>IF(F53="","",AVERAGE((VLOOKUP(F53,'Salary scale &amp; Incentives'!$A:$D,2,FALSE)/'Project data &amp; personnel '!$E$28)*(1+'Project data &amp; personnel '!$E$27)^(('Project data &amp; personnel '!$D$9-'Salary scale &amp; Incentives'!$F$3)/365),(VLOOKUP(F53,'Salary scale &amp; Incentives'!$A:$D,2,FALSE)/'Project data &amp; personnel '!$E$28)*(1+'Project data &amp; personnel '!$E$27)^(('Project data &amp; personnel '!$D$11-'Salary scale &amp; Incentives'!$F$3)/365)))</f>
        <v/>
      </c>
      <c r="K53" s="253" t="str">
        <f>IF(F53="","",AVERAGE((VLOOKUP(F53,'Salary scale &amp; Incentives'!$A:$D,4,FALSE)/'Project data &amp; personnel '!$E$28)*(1+'Project data &amp; personnel '!$E$27)^(('Project data &amp; personnel '!$D$9-'Salary scale &amp; Incentives'!$F$3)/365),(VLOOKUP(F53,'Salary scale &amp; Incentives'!$A:$D,4,FALSE)/'Project data &amp; personnel '!$E$28)*(1+'Project data &amp; personnel '!$E$27)^(('Project data &amp; personnel '!$D$11-'Salary scale &amp; Incentives'!$F$3)/365)))</f>
        <v/>
      </c>
      <c r="L53" s="265"/>
      <c r="M53" s="252">
        <f t="shared" si="0"/>
        <v>0</v>
      </c>
      <c r="N53" s="253">
        <f t="shared" si="1"/>
        <v>0</v>
      </c>
      <c r="O53" s="453"/>
      <c r="P53" s="455"/>
      <c r="Q53" s="263"/>
    </row>
    <row r="54" spans="1:17" customFormat="1" ht="13.2" x14ac:dyDescent="0.25">
      <c r="A54" s="217"/>
      <c r="B54" s="499" t="str">
        <f>IF(E54=Categories!$A$21,"*","")</f>
        <v/>
      </c>
      <c r="C54" s="258"/>
      <c r="D54" s="259"/>
      <c r="E54" s="257"/>
      <c r="F54" s="212" t="str">
        <f>IF($D54="","",VLOOKUP($D54,'Salary scale &amp; Incentives'!$F$13:$H$24,3,FALSE))</f>
        <v/>
      </c>
      <c r="G54" s="46" t="str">
        <f>IF($D54="","",VLOOKUP($D54,'Salary scale &amp; Incentives'!$F$13:$H$24,2,FALSE))</f>
        <v/>
      </c>
      <c r="H54" s="268"/>
      <c r="I54" s="268"/>
      <c r="J54" s="253" t="str">
        <f>IF(F54="","",AVERAGE((VLOOKUP(F54,'Salary scale &amp; Incentives'!$A:$D,2,FALSE)/'Project data &amp; personnel '!$E$28)*(1+'Project data &amp; personnel '!$E$27)^(('Project data &amp; personnel '!$D$9-'Salary scale &amp; Incentives'!$F$3)/365),(VLOOKUP(F54,'Salary scale &amp; Incentives'!$A:$D,2,FALSE)/'Project data &amp; personnel '!$E$28)*(1+'Project data &amp; personnel '!$E$27)^(('Project data &amp; personnel '!$D$11-'Salary scale &amp; Incentives'!$F$3)/365)))</f>
        <v/>
      </c>
      <c r="K54" s="253" t="str">
        <f>IF(F54="","",AVERAGE((VLOOKUP(F54,'Salary scale &amp; Incentives'!$A:$D,4,FALSE)/'Project data &amp; personnel '!$E$28)*(1+'Project data &amp; personnel '!$E$27)^(('Project data &amp; personnel '!$D$9-'Salary scale &amp; Incentives'!$F$3)/365),(VLOOKUP(F54,'Salary scale &amp; Incentives'!$A:$D,4,FALSE)/'Project data &amp; personnel '!$E$28)*(1+'Project data &amp; personnel '!$E$27)^(('Project data &amp; personnel '!$D$11-'Salary scale &amp; Incentives'!$F$3)/365)))</f>
        <v/>
      </c>
      <c r="L54" s="265"/>
      <c r="M54" s="252">
        <f t="shared" si="0"/>
        <v>0</v>
      </c>
      <c r="N54" s="253">
        <f t="shared" si="1"/>
        <v>0</v>
      </c>
      <c r="O54" s="453"/>
      <c r="P54" s="455"/>
      <c r="Q54" s="263"/>
    </row>
    <row r="55" spans="1:17" customFormat="1" ht="13.2" x14ac:dyDescent="0.25">
      <c r="A55" s="217"/>
      <c r="B55" s="499" t="str">
        <f>IF(E55=Categories!$A$21,"*","")</f>
        <v/>
      </c>
      <c r="C55" s="258"/>
      <c r="D55" s="259"/>
      <c r="E55" s="257"/>
      <c r="F55" s="212" t="str">
        <f>IF($D55="","",VLOOKUP($D55,'Salary scale &amp; Incentives'!$F$13:$H$24,3,FALSE))</f>
        <v/>
      </c>
      <c r="G55" s="46" t="str">
        <f>IF($D55="","",VLOOKUP($D55,'Salary scale &amp; Incentives'!$F$13:$H$24,2,FALSE))</f>
        <v/>
      </c>
      <c r="H55" s="268"/>
      <c r="I55" s="268"/>
      <c r="J55" s="253" t="str">
        <f>IF(F55="","",AVERAGE((VLOOKUP(F55,'Salary scale &amp; Incentives'!$A:$D,2,FALSE)/'Project data &amp; personnel '!$E$28)*(1+'Project data &amp; personnel '!$E$27)^(('Project data &amp; personnel '!$D$9-'Salary scale &amp; Incentives'!$F$3)/365),(VLOOKUP(F55,'Salary scale &amp; Incentives'!$A:$D,2,FALSE)/'Project data &amp; personnel '!$E$28)*(1+'Project data &amp; personnel '!$E$27)^(('Project data &amp; personnel '!$D$11-'Salary scale &amp; Incentives'!$F$3)/365)))</f>
        <v/>
      </c>
      <c r="K55" s="253" t="str">
        <f>IF(F55="","",AVERAGE((VLOOKUP(F55,'Salary scale &amp; Incentives'!$A:$D,4,FALSE)/'Project data &amp; personnel '!$E$28)*(1+'Project data &amp; personnel '!$E$27)^(('Project data &amp; personnel '!$D$9-'Salary scale &amp; Incentives'!$F$3)/365),(VLOOKUP(F55,'Salary scale &amp; Incentives'!$A:$D,4,FALSE)/'Project data &amp; personnel '!$E$28)*(1+'Project data &amp; personnel '!$E$27)^(('Project data &amp; personnel '!$D$11-'Salary scale &amp; Incentives'!$F$3)/365)))</f>
        <v/>
      </c>
      <c r="L55" s="265"/>
      <c r="M55" s="252">
        <f t="shared" si="0"/>
        <v>0</v>
      </c>
      <c r="N55" s="253">
        <f t="shared" si="1"/>
        <v>0</v>
      </c>
      <c r="O55" s="453"/>
      <c r="P55" s="455"/>
      <c r="Q55" s="263"/>
    </row>
    <row r="56" spans="1:17" customFormat="1" ht="13.2" x14ac:dyDescent="0.25">
      <c r="A56" s="217"/>
      <c r="B56" s="499" t="str">
        <f>IF(E56=Categories!$A$21,"*","")</f>
        <v/>
      </c>
      <c r="C56" s="258"/>
      <c r="D56" s="259"/>
      <c r="E56" s="257"/>
      <c r="F56" s="212" t="str">
        <f>IF($D56="","",VLOOKUP($D56,'Salary scale &amp; Incentives'!$F$13:$H$24,3,FALSE))</f>
        <v/>
      </c>
      <c r="G56" s="46" t="str">
        <f>IF($D56="","",VLOOKUP($D56,'Salary scale &amp; Incentives'!$F$13:$H$24,2,FALSE))</f>
        <v/>
      </c>
      <c r="H56" s="268"/>
      <c r="I56" s="268"/>
      <c r="J56" s="253" t="str">
        <f>IF(F56="","",AVERAGE((VLOOKUP(F56,'Salary scale &amp; Incentives'!$A:$D,2,FALSE)/'Project data &amp; personnel '!$E$28)*(1+'Project data &amp; personnel '!$E$27)^(('Project data &amp; personnel '!$D$9-'Salary scale &amp; Incentives'!$F$3)/365),(VLOOKUP(F56,'Salary scale &amp; Incentives'!$A:$D,2,FALSE)/'Project data &amp; personnel '!$E$28)*(1+'Project data &amp; personnel '!$E$27)^(('Project data &amp; personnel '!$D$11-'Salary scale &amp; Incentives'!$F$3)/365)))</f>
        <v/>
      </c>
      <c r="K56" s="253" t="str">
        <f>IF(F56="","",AVERAGE((VLOOKUP(F56,'Salary scale &amp; Incentives'!$A:$D,4,FALSE)/'Project data &amp; personnel '!$E$28)*(1+'Project data &amp; personnel '!$E$27)^(('Project data &amp; personnel '!$D$9-'Salary scale &amp; Incentives'!$F$3)/365),(VLOOKUP(F56,'Salary scale &amp; Incentives'!$A:$D,4,FALSE)/'Project data &amp; personnel '!$E$28)*(1+'Project data &amp; personnel '!$E$27)^(('Project data &amp; personnel '!$D$11-'Salary scale &amp; Incentives'!$F$3)/365)))</f>
        <v/>
      </c>
      <c r="L56" s="265"/>
      <c r="M56" s="252">
        <f t="shared" si="0"/>
        <v>0</v>
      </c>
      <c r="N56" s="253">
        <f t="shared" si="1"/>
        <v>0</v>
      </c>
      <c r="O56" s="453"/>
      <c r="P56" s="455"/>
      <c r="Q56" s="263"/>
    </row>
    <row r="57" spans="1:17" customFormat="1" ht="13.2" x14ac:dyDescent="0.25">
      <c r="A57" s="217"/>
      <c r="B57" s="499" t="str">
        <f>IF(E57=Categories!$A$21,"*","")</f>
        <v/>
      </c>
      <c r="C57" s="258"/>
      <c r="D57" s="259"/>
      <c r="E57" s="257"/>
      <c r="F57" s="212" t="str">
        <f>IF($D57="","",VLOOKUP($D57,'Salary scale &amp; Incentives'!$F$13:$H$24,3,FALSE))</f>
        <v/>
      </c>
      <c r="G57" s="46" t="str">
        <f>IF($D57="","",VLOOKUP($D57,'Salary scale &amp; Incentives'!$F$13:$H$24,2,FALSE))</f>
        <v/>
      </c>
      <c r="H57" s="268"/>
      <c r="I57" s="268"/>
      <c r="J57" s="253" t="str">
        <f>IF(F57="","",AVERAGE((VLOOKUP(F57,'Salary scale &amp; Incentives'!$A:$D,2,FALSE)/'Project data &amp; personnel '!$E$28)*(1+'Project data &amp; personnel '!$E$27)^(('Project data &amp; personnel '!$D$9-'Salary scale &amp; Incentives'!$F$3)/365),(VLOOKUP(F57,'Salary scale &amp; Incentives'!$A:$D,2,FALSE)/'Project data &amp; personnel '!$E$28)*(1+'Project data &amp; personnel '!$E$27)^(('Project data &amp; personnel '!$D$11-'Salary scale &amp; Incentives'!$F$3)/365)))</f>
        <v/>
      </c>
      <c r="K57" s="253" t="str">
        <f>IF(F57="","",AVERAGE((VLOOKUP(F57,'Salary scale &amp; Incentives'!$A:$D,4,FALSE)/'Project data &amp; personnel '!$E$28)*(1+'Project data &amp; personnel '!$E$27)^(('Project data &amp; personnel '!$D$9-'Salary scale &amp; Incentives'!$F$3)/365),(VLOOKUP(F57,'Salary scale &amp; Incentives'!$A:$D,4,FALSE)/'Project data &amp; personnel '!$E$28)*(1+'Project data &amp; personnel '!$E$27)^(('Project data &amp; personnel '!$D$11-'Salary scale &amp; Incentives'!$F$3)/365)))</f>
        <v/>
      </c>
      <c r="L57" s="265"/>
      <c r="M57" s="252">
        <f t="shared" si="0"/>
        <v>0</v>
      </c>
      <c r="N57" s="253">
        <f t="shared" si="1"/>
        <v>0</v>
      </c>
      <c r="O57" s="453"/>
      <c r="P57" s="455"/>
      <c r="Q57" s="263"/>
    </row>
    <row r="58" spans="1:17" customFormat="1" ht="13.2" x14ac:dyDescent="0.25">
      <c r="A58" s="217"/>
      <c r="B58" s="499" t="str">
        <f>IF(E58=Categories!$A$21,"*","")</f>
        <v/>
      </c>
      <c r="C58" s="258"/>
      <c r="D58" s="259"/>
      <c r="E58" s="259"/>
      <c r="F58" s="212" t="str">
        <f>IF($D58="","",VLOOKUP($D58,'Salary scale &amp; Incentives'!$F$13:$H$24,3,FALSE))</f>
        <v/>
      </c>
      <c r="G58" s="46" t="str">
        <f>IF($D58="","",VLOOKUP($D58,'Salary scale &amp; Incentives'!$F$13:$H$24,2,FALSE))</f>
        <v/>
      </c>
      <c r="H58" s="268"/>
      <c r="I58" s="268"/>
      <c r="J58" s="253" t="str">
        <f>IF(F58="","",AVERAGE((VLOOKUP(F58,'Salary scale &amp; Incentives'!$A:$D,2,FALSE)/'Project data &amp; personnel '!$E$28)*(1+'Project data &amp; personnel '!$E$27)^(('Project data &amp; personnel '!$D$9-'Salary scale &amp; Incentives'!$F$3)/365),(VLOOKUP(F58,'Salary scale &amp; Incentives'!$A:$D,2,FALSE)/'Project data &amp; personnel '!$E$28)*(1+'Project data &amp; personnel '!$E$27)^(('Project data &amp; personnel '!$D$11-'Salary scale &amp; Incentives'!$F$3)/365)))</f>
        <v/>
      </c>
      <c r="K58" s="253" t="str">
        <f>IF(F58="","",AVERAGE((VLOOKUP(F58,'Salary scale &amp; Incentives'!$A:$D,4,FALSE)/'Project data &amp; personnel '!$E$28)*(1+'Project data &amp; personnel '!$E$27)^(('Project data &amp; personnel '!$D$9-'Salary scale &amp; Incentives'!$F$3)/365),(VLOOKUP(F58,'Salary scale &amp; Incentives'!$A:$D,4,FALSE)/'Project data &amp; personnel '!$E$28)*(1+'Project data &amp; personnel '!$E$27)^(('Project data &amp; personnel '!$D$11-'Salary scale &amp; Incentives'!$F$3)/365)))</f>
        <v/>
      </c>
      <c r="L58" s="265"/>
      <c r="M58" s="252">
        <f t="shared" si="0"/>
        <v>0</v>
      </c>
      <c r="N58" s="253">
        <f t="shared" si="1"/>
        <v>0</v>
      </c>
      <c r="O58" s="453"/>
      <c r="P58" s="455"/>
      <c r="Q58" s="263"/>
    </row>
    <row r="59" spans="1:17" customFormat="1" ht="13.2" x14ac:dyDescent="0.25">
      <c r="A59" s="217"/>
      <c r="B59" s="499" t="str">
        <f>IF(E59=Categories!$A$21,"*","")</f>
        <v/>
      </c>
      <c r="C59" s="258"/>
      <c r="D59" s="259"/>
      <c r="E59" s="259"/>
      <c r="F59" s="212" t="str">
        <f>IF($D59="","",VLOOKUP($D59,'Salary scale &amp; Incentives'!$F$13:$H$24,3,FALSE))</f>
        <v/>
      </c>
      <c r="G59" s="46" t="str">
        <f>IF($D59="","",VLOOKUP($D59,'Salary scale &amp; Incentives'!$F$13:$H$24,2,FALSE))</f>
        <v/>
      </c>
      <c r="H59" s="268"/>
      <c r="I59" s="268"/>
      <c r="J59" s="253" t="str">
        <f>IF(F59="","",AVERAGE((VLOOKUP(F59,'Salary scale &amp; Incentives'!$A:$D,2,FALSE)/'Project data &amp; personnel '!$E$28)*(1+'Project data &amp; personnel '!$E$27)^(('Project data &amp; personnel '!$D$9-'Salary scale &amp; Incentives'!$F$3)/365),(VLOOKUP(F59,'Salary scale &amp; Incentives'!$A:$D,2,FALSE)/'Project data &amp; personnel '!$E$28)*(1+'Project data &amp; personnel '!$E$27)^(('Project data &amp; personnel '!$D$11-'Salary scale &amp; Incentives'!$F$3)/365)))</f>
        <v/>
      </c>
      <c r="K59" s="253" t="str">
        <f>IF(F59="","",AVERAGE((VLOOKUP(F59,'Salary scale &amp; Incentives'!$A:$D,4,FALSE)/'Project data &amp; personnel '!$E$28)*(1+'Project data &amp; personnel '!$E$27)^(('Project data &amp; personnel '!$D$9-'Salary scale &amp; Incentives'!$F$3)/365),(VLOOKUP(F59,'Salary scale &amp; Incentives'!$A:$D,4,FALSE)/'Project data &amp; personnel '!$E$28)*(1+'Project data &amp; personnel '!$E$27)^(('Project data &amp; personnel '!$D$11-'Salary scale &amp; Incentives'!$F$3)/365)))</f>
        <v/>
      </c>
      <c r="L59" s="265"/>
      <c r="M59" s="252">
        <f t="shared" si="0"/>
        <v>0</v>
      </c>
      <c r="N59" s="253">
        <f t="shared" si="1"/>
        <v>0</v>
      </c>
      <c r="O59" s="453"/>
      <c r="P59" s="455"/>
      <c r="Q59" s="263"/>
    </row>
    <row r="60" spans="1:17" customFormat="1" ht="13.8" thickBot="1" x14ac:dyDescent="0.3">
      <c r="A60" s="217"/>
      <c r="B60" s="499" t="str">
        <f>IF(E60=Categories!$A$21,"*","")</f>
        <v/>
      </c>
      <c r="C60" s="260"/>
      <c r="D60" s="261"/>
      <c r="E60" s="261"/>
      <c r="F60" s="212" t="str">
        <f>IF($D60="","",VLOOKUP($D60,'Salary scale &amp; Incentives'!$F$13:$H$24,3,FALSE))</f>
        <v/>
      </c>
      <c r="G60" s="46" t="str">
        <f>IF($D60="","",VLOOKUP($D60,'Salary scale &amp; Incentives'!$F$13:$H$24,2,FALSE))</f>
        <v/>
      </c>
      <c r="H60" s="269"/>
      <c r="I60" s="269"/>
      <c r="J60" s="253" t="str">
        <f>IF(F60="","",AVERAGE((VLOOKUP(F60,'Salary scale &amp; Incentives'!$A:$D,2,FALSE)/'Project data &amp; personnel '!$E$28)*(1+'Project data &amp; personnel '!$E$27)^(('Project data &amp; personnel '!$D$9-'Salary scale &amp; Incentives'!$F$3)/365),(VLOOKUP(F60,'Salary scale &amp; Incentives'!$A:$D,2,FALSE)/'Project data &amp; personnel '!$E$28)*(1+'Project data &amp; personnel '!$E$27)^(('Project data &amp; personnel '!$D$11-'Salary scale &amp; Incentives'!$F$3)/365)))</f>
        <v/>
      </c>
      <c r="K60" s="253" t="str">
        <f>IF(F60="","",AVERAGE((VLOOKUP(F60,'Salary scale &amp; Incentives'!$A:$D,4,FALSE)/'Project data &amp; personnel '!$E$28)*(1+'Project data &amp; personnel '!$E$27)^(('Project data &amp; personnel '!$D$9-'Salary scale &amp; Incentives'!$F$3)/365),(VLOOKUP(F60,'Salary scale &amp; Incentives'!$A:$D,4,FALSE)/'Project data &amp; personnel '!$E$28)*(1+'Project data &amp; personnel '!$E$27)^(('Project data &amp; personnel '!$D$11-'Salary scale &amp; Incentives'!$F$3)/365)))</f>
        <v/>
      </c>
      <c r="L60" s="266"/>
      <c r="M60" s="252">
        <f t="shared" si="0"/>
        <v>0</v>
      </c>
      <c r="N60" s="282">
        <f t="shared" si="1"/>
        <v>0</v>
      </c>
      <c r="O60" s="456"/>
      <c r="P60" s="457"/>
      <c r="Q60" s="264"/>
    </row>
    <row r="61" spans="1:17" customFormat="1" ht="13.2" x14ac:dyDescent="0.25">
      <c r="A61" s="217"/>
      <c r="B61" s="499"/>
      <c r="C61" s="298" t="s">
        <v>158</v>
      </c>
      <c r="D61" s="299"/>
      <c r="E61" s="299"/>
      <c r="F61" s="299"/>
      <c r="G61" s="299"/>
      <c r="H61" s="299"/>
      <c r="I61" s="299"/>
      <c r="J61" s="300"/>
      <c r="K61" s="301"/>
      <c r="L61" s="283">
        <f>SUMIF($O$39:$O$60,"&lt;&gt;"&amp;"Yes",'Project data &amp; personnel '!L$39:L$60)</f>
        <v>144</v>
      </c>
      <c r="M61" s="284">
        <f>SUMIF($O$39:$O$60,"&lt;&gt;"&amp;"Yes",'Project data &amp; personnel '!M$39:M$60)</f>
        <v>1150301.703432254</v>
      </c>
      <c r="N61" s="292">
        <f>SUMIF($O$39:$O$60,"&lt;&gt;"&amp;"Yes",'Project data &amp; personnel '!N$39:N$60)</f>
        <v>1437877.1292903177</v>
      </c>
      <c r="O61" s="357"/>
      <c r="P61" s="360"/>
      <c r="Q61" s="295"/>
    </row>
    <row r="62" spans="1:17" customFormat="1" ht="13.2" x14ac:dyDescent="0.25">
      <c r="A62" s="217"/>
      <c r="B62" s="499"/>
      <c r="C62" s="302" t="s">
        <v>159</v>
      </c>
      <c r="D62" s="303"/>
      <c r="E62" s="303"/>
      <c r="F62" s="303"/>
      <c r="G62" s="303"/>
      <c r="H62" s="303"/>
      <c r="I62" s="303"/>
      <c r="J62" s="304"/>
      <c r="K62" s="305"/>
      <c r="L62" s="285">
        <f>SUMIF($O$39:$O$60,"Yes",'Project data &amp; personnel '!L$39:L$60)</f>
        <v>0</v>
      </c>
      <c r="M62" s="286">
        <f>SUMIF($O$39:$O$60,"Yes",'Project data &amp; personnel '!M$39:M$60)</f>
        <v>0</v>
      </c>
      <c r="N62" s="293">
        <f>SUMIF($O$39:$O$60,"Yes",'Project data &amp; personnel '!N$39:N$60)</f>
        <v>0</v>
      </c>
      <c r="O62" s="358"/>
      <c r="P62" s="361"/>
      <c r="Q62" s="296"/>
    </row>
    <row r="63" spans="1:17" customFormat="1" ht="13.2" x14ac:dyDescent="0.25">
      <c r="A63" s="217"/>
      <c r="B63" s="499"/>
      <c r="C63" s="366" t="s">
        <v>160</v>
      </c>
      <c r="D63" s="367"/>
      <c r="E63" s="367"/>
      <c r="F63" s="367"/>
      <c r="G63" s="367"/>
      <c r="H63" s="367"/>
      <c r="I63" s="367"/>
      <c r="J63" s="368"/>
      <c r="K63" s="369"/>
      <c r="L63" s="370">
        <f>SUMIF($P$39:$P$60,"Yes",'Project data &amp; personnel '!L$39:L$60)</f>
        <v>0</v>
      </c>
      <c r="M63" s="371">
        <f>SUMIF($P$39:$P$60,"Yes",'Project data &amp; personnel '!M$39:M$60)</f>
        <v>0</v>
      </c>
      <c r="N63" s="372">
        <f>SUMIF($P$39:$P$60,"Yes",'Project data &amp; personnel '!N$39:N$60)</f>
        <v>0</v>
      </c>
      <c r="O63" s="373"/>
      <c r="P63" s="374"/>
      <c r="Q63" s="375"/>
    </row>
    <row r="64" spans="1:17" customFormat="1" ht="13.8" thickBot="1" x14ac:dyDescent="0.3">
      <c r="A64" s="1"/>
      <c r="B64" s="500"/>
      <c r="C64" s="306" t="s">
        <v>161</v>
      </c>
      <c r="D64" s="307"/>
      <c r="E64" s="307"/>
      <c r="F64" s="307"/>
      <c r="G64" s="307"/>
      <c r="H64" s="307"/>
      <c r="I64" s="307"/>
      <c r="J64" s="308"/>
      <c r="K64" s="309"/>
      <c r="L64" s="287">
        <f>SUM(L39:L60)</f>
        <v>144</v>
      </c>
      <c r="M64" s="288">
        <f t="shared" ref="M64:N64" si="2">SUM(M39:M60)</f>
        <v>1150301.703432254</v>
      </c>
      <c r="N64" s="294">
        <f t="shared" si="2"/>
        <v>1437877.1292903177</v>
      </c>
      <c r="O64" s="359">
        <f>SUMIF(O$39:O$60,"Yes",N$39:N$60)</f>
        <v>0</v>
      </c>
      <c r="P64" s="362"/>
      <c r="Q64" s="297"/>
    </row>
    <row r="65" customFormat="1" ht="13.2" x14ac:dyDescent="0.25"/>
  </sheetData>
  <sheetProtection algorithmName="SHA-512" hashValue="yN/Hjqf47ERO04o2eylUq4YjKy02r29Tg03eZTwxo2eGA4yqsCQn+iwGcvIc3uwelDLUZ6Vs2ohu4G9JI3TR5A==" saltValue="G/Bq8P/dSy+4e9MIyioxDA==" spinCount="100000" sheet="1" objects="1" scenarios="1"/>
  <mergeCells count="18">
    <mergeCell ref="O36:P36"/>
    <mergeCell ref="Q37:Q38"/>
    <mergeCell ref="N37:N38"/>
    <mergeCell ref="O37:O38"/>
    <mergeCell ref="F37:F38"/>
    <mergeCell ref="M37:M38"/>
    <mergeCell ref="L37:L38"/>
    <mergeCell ref="P37:P38"/>
    <mergeCell ref="K37:K38"/>
    <mergeCell ref="J37:J38"/>
    <mergeCell ref="I37:I38"/>
    <mergeCell ref="H37:H38"/>
    <mergeCell ref="G37:G38"/>
    <mergeCell ref="C37:C38"/>
    <mergeCell ref="D37:D38"/>
    <mergeCell ref="E37:E38"/>
    <mergeCell ref="D7:E7"/>
    <mergeCell ref="E13:F13"/>
  </mergeCells>
  <phoneticPr fontId="3" type="noConversion"/>
  <dataValidations count="3">
    <dataValidation type="list" allowBlank="1" showInputMessage="1" showErrorMessage="1" sqref="E61:E63" xr:uid="{00000000-0002-0000-0200-000000000000}">
      <formula1>"PI,  Senior Staff, Post docs, Students, Other"</formula1>
    </dataValidation>
    <dataValidation type="list" allowBlank="1" showInputMessage="1" showErrorMessage="1" sqref="E29" xr:uid="{00000000-0002-0000-0200-000001000000}">
      <formula1>"CO,PA"</formula1>
    </dataValidation>
    <dataValidation type="list" allowBlank="1" showInputMessage="1" showErrorMessage="1" sqref="E14 O39:P60" xr:uid="{00000000-0002-0000-0200-000002000000}">
      <formula1>"Yes,No"</formula1>
    </dataValidation>
  </dataValidations>
  <pageMargins left="0.39370078740157483" right="0.39370078740157483" top="0.78740157480314965" bottom="0.59055118110236227" header="0.51181102362204722" footer="0.31496062992125984"/>
  <pageSetup paperSize="9" scale="60" orientation="landscape" r:id="rId1"/>
  <headerFooter alignWithMargins="0">
    <oddFooter>&amp;L&amp;"Arial,Normal"&amp;8&amp;F   -   &amp;A&amp;R&amp;"Arial,Normal"&amp;8Side &amp;P av &amp;N</oddFooter>
  </headerFooter>
  <ignoredErrors>
    <ignoredError sqref="B39:B43 B45:B60" unlockedFormula="1"/>
  </ignoredErrors>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6000000}">
          <x14:formula1>
            <xm:f>Instructions!$B$33:$B$37</xm:f>
          </x14:formula1>
          <xm:sqref>E13:F13</xm:sqref>
        </x14:dataValidation>
        <x14:dataValidation type="list" allowBlank="1" showInputMessage="1" showErrorMessage="1" xr:uid="{00000000-0002-0000-0200-000003000000}">
          <x14:formula1>
            <xm:f>'Org''enheter'!#REF!</xm:f>
          </x14:formula1>
          <xm:sqref>H61:I63</xm:sqref>
        </x14:dataValidation>
        <x14:dataValidation type="list" allowBlank="1" showInputMessage="1" showErrorMessage="1" xr:uid="{BA5FCBAC-BCE0-4371-B9F5-78424721CAF4}">
          <x14:formula1>
            <xm:f>'Org''enheter'!$F$4:$F$14</xm:f>
          </x14:formula1>
          <xm:sqref>H39:H60</xm:sqref>
        </x14:dataValidation>
        <x14:dataValidation type="list" allowBlank="1" showInputMessage="1" showErrorMessage="1" xr:uid="{BADA3AAB-6D89-46CF-8AD7-AC33A0DD35B8}">
          <x14:formula1>
            <xm:f>'Org''enheter'!$G$4:$G$60</xm:f>
          </x14:formula1>
          <xm:sqref>I39:I60</xm:sqref>
        </x14:dataValidation>
        <x14:dataValidation type="list" allowBlank="1" showInputMessage="1" showErrorMessage="1" xr:uid="{7410E7BD-8C81-4D44-BCA6-76A43A6DAFC2}">
          <x14:formula1>
            <xm:f>'HE Application Form A3 - Budget'!$B$7:$F$7</xm:f>
          </x14:formula1>
          <xm:sqref>E39:E60</xm:sqref>
        </x14:dataValidation>
        <x14:dataValidation type="list" allowBlank="1" showInputMessage="1" showErrorMessage="1" xr:uid="{00000000-0002-0000-0200-000005000000}">
          <x14:formula1>
            <xm:f>'Salary scale &amp; Incentives'!$F$14:$F$24</xm:f>
          </x14:formula1>
          <xm:sqref>D39:D63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99"/>
  </sheetPr>
  <dimension ref="A1:N157"/>
  <sheetViews>
    <sheetView topLeftCell="A11" zoomScale="85" zoomScaleNormal="85" workbookViewId="0">
      <selection activeCell="D27" sqref="D27"/>
    </sheetView>
  </sheetViews>
  <sheetFormatPr defaultColWidth="9.44140625" defaultRowHeight="13.2" x14ac:dyDescent="0.25"/>
  <cols>
    <col min="1" max="1" width="36.44140625" customWidth="1"/>
    <col min="2" max="3" width="47.44140625" customWidth="1"/>
    <col min="5" max="5" width="7.44140625" customWidth="1"/>
    <col min="6" max="6" width="5.5546875" customWidth="1"/>
    <col min="7" max="7" width="10.44140625" customWidth="1"/>
    <col min="8" max="10" width="12.44140625" customWidth="1"/>
    <col min="11" max="13" width="9.5546875" customWidth="1"/>
    <col min="14" max="14" width="11.44140625" customWidth="1"/>
  </cols>
  <sheetData>
    <row r="1" spans="1:14" s="347" customFormat="1" ht="21" x14ac:dyDescent="0.4">
      <c r="A1" s="347" t="s">
        <v>98</v>
      </c>
    </row>
    <row r="2" spans="1:14" ht="15.6" x14ac:dyDescent="0.3">
      <c r="A2" s="36" t="s">
        <v>162</v>
      </c>
      <c r="B2" s="36"/>
      <c r="C2" s="36"/>
      <c r="D2" s="36"/>
      <c r="E2" s="36"/>
      <c r="F2" s="36"/>
      <c r="G2" s="36"/>
      <c r="H2" s="36"/>
      <c r="I2" s="36"/>
      <c r="J2" s="36"/>
      <c r="K2" s="36"/>
      <c r="L2" s="36"/>
      <c r="M2" s="36"/>
    </row>
    <row r="3" spans="1:14" ht="15.6" x14ac:dyDescent="0.3">
      <c r="A3" s="36"/>
      <c r="B3" s="36"/>
      <c r="C3" s="36"/>
      <c r="D3" s="36"/>
      <c r="E3" s="36"/>
      <c r="F3" s="36"/>
      <c r="G3" s="36"/>
      <c r="H3" s="36"/>
      <c r="I3" s="36"/>
      <c r="J3" s="36"/>
      <c r="K3" s="36"/>
      <c r="L3" s="36"/>
      <c r="M3" s="36"/>
    </row>
    <row r="4" spans="1:14" ht="15.6" x14ac:dyDescent="0.3">
      <c r="A4" s="12" t="s">
        <v>102</v>
      </c>
      <c r="B4" s="244" t="str">
        <f>'Project data &amp; personnel '!$D$7</f>
        <v>Acronym</v>
      </c>
      <c r="C4" s="606"/>
      <c r="D4" s="607"/>
      <c r="E4" s="607"/>
      <c r="F4" s="36"/>
      <c r="G4" s="36"/>
      <c r="H4" s="36"/>
      <c r="I4" s="36"/>
      <c r="J4" s="36"/>
      <c r="K4" s="36"/>
      <c r="L4" s="36"/>
      <c r="M4" s="36"/>
    </row>
    <row r="5" spans="1:14" x14ac:dyDescent="0.25">
      <c r="A5" s="37"/>
      <c r="B5" s="37"/>
      <c r="C5" s="37"/>
      <c r="D5" s="37"/>
      <c r="E5" s="37"/>
      <c r="F5" s="37"/>
      <c r="G5" s="37"/>
      <c r="H5" s="37"/>
      <c r="I5" s="37"/>
      <c r="J5" s="37"/>
      <c r="K5" s="37"/>
      <c r="L5" s="37"/>
      <c r="M5" s="37"/>
    </row>
    <row r="6" spans="1:14" x14ac:dyDescent="0.25">
      <c r="A6" s="37" t="s">
        <v>163</v>
      </c>
      <c r="B6" s="483" t="s">
        <v>164</v>
      </c>
      <c r="C6" s="37"/>
      <c r="D6" s="37"/>
      <c r="E6" s="37"/>
      <c r="F6" s="37"/>
      <c r="G6" s="37"/>
      <c r="H6" s="37"/>
      <c r="I6" s="37"/>
      <c r="J6" s="37"/>
      <c r="K6" s="37"/>
      <c r="L6" s="37"/>
      <c r="M6" s="37"/>
    </row>
    <row r="7" spans="1:14" x14ac:dyDescent="0.25">
      <c r="A7" s="38" t="s">
        <v>165</v>
      </c>
      <c r="B7" s="483" t="s">
        <v>166</v>
      </c>
      <c r="C7" s="38"/>
      <c r="D7" s="38"/>
      <c r="E7" s="38"/>
      <c r="F7" s="38"/>
      <c r="G7" s="38"/>
      <c r="H7" s="38"/>
      <c r="I7" s="38"/>
      <c r="J7" s="38"/>
      <c r="K7" s="38"/>
      <c r="L7" s="38"/>
      <c r="M7" s="38"/>
    </row>
    <row r="8" spans="1:14" x14ac:dyDescent="0.25">
      <c r="A8" s="38" t="s">
        <v>167</v>
      </c>
      <c r="B8" s="38"/>
      <c r="C8" s="38"/>
      <c r="D8" s="38"/>
      <c r="E8" s="38"/>
      <c r="F8" s="38"/>
      <c r="G8" s="38"/>
      <c r="H8" s="38"/>
      <c r="I8" s="38"/>
      <c r="J8" s="38"/>
      <c r="K8" s="38"/>
      <c r="L8" s="38"/>
      <c r="M8" s="38"/>
    </row>
    <row r="9" spans="1:14" x14ac:dyDescent="0.25">
      <c r="A9" s="37"/>
      <c r="B9" s="37"/>
      <c r="C9" s="37"/>
      <c r="D9" s="37"/>
      <c r="E9" s="37"/>
      <c r="F9" s="37"/>
      <c r="G9" s="37"/>
      <c r="H9" s="37"/>
      <c r="I9" s="37"/>
      <c r="J9" s="37"/>
      <c r="K9" s="37"/>
      <c r="L9" s="37"/>
      <c r="M9" s="37"/>
    </row>
    <row r="10" spans="1:14" x14ac:dyDescent="0.25">
      <c r="A10" s="38"/>
      <c r="B10" s="38"/>
      <c r="C10" s="38"/>
      <c r="D10" s="38"/>
      <c r="E10" s="38"/>
      <c r="F10" s="38"/>
      <c r="G10" s="38"/>
      <c r="H10" s="38"/>
      <c r="I10" s="38"/>
      <c r="J10" s="38"/>
      <c r="K10" s="38"/>
      <c r="L10" s="38"/>
      <c r="M10" s="38"/>
    </row>
    <row r="11" spans="1:14" ht="16.2" thickBot="1" x14ac:dyDescent="0.35">
      <c r="A11" s="36" t="s">
        <v>168</v>
      </c>
      <c r="B11" s="36"/>
      <c r="C11" s="36"/>
      <c r="D11" s="36"/>
      <c r="E11" s="36"/>
      <c r="F11" s="36"/>
      <c r="G11" s="36"/>
      <c r="H11" s="36"/>
      <c r="I11" s="36"/>
      <c r="J11" s="36"/>
      <c r="K11" s="36"/>
      <c r="L11" s="36"/>
      <c r="M11" s="36"/>
    </row>
    <row r="12" spans="1:14" ht="16.2" thickBot="1" x14ac:dyDescent="0.35">
      <c r="A12" s="36"/>
      <c r="B12" s="36"/>
      <c r="C12" s="36"/>
      <c r="D12" s="36"/>
      <c r="E12" s="36"/>
      <c r="F12" s="36"/>
      <c r="G12" s="36"/>
      <c r="H12" s="36"/>
      <c r="I12" s="36"/>
      <c r="J12" s="36"/>
      <c r="K12" s="608" t="s">
        <v>131</v>
      </c>
      <c r="L12" s="609"/>
      <c r="M12" s="610"/>
    </row>
    <row r="13" spans="1:14" ht="24" x14ac:dyDescent="0.25">
      <c r="A13" s="310" t="s">
        <v>169</v>
      </c>
      <c r="B13" s="311" t="s">
        <v>170</v>
      </c>
      <c r="C13" s="311" t="s">
        <v>171</v>
      </c>
      <c r="D13" s="404" t="s">
        <v>137</v>
      </c>
      <c r="E13" s="404" t="s">
        <v>138</v>
      </c>
      <c r="F13" s="404" t="s">
        <v>172</v>
      </c>
      <c r="G13" s="404" t="s">
        <v>173</v>
      </c>
      <c r="H13" s="404" t="s">
        <v>174</v>
      </c>
      <c r="I13" s="404" t="s">
        <v>175</v>
      </c>
      <c r="J13" s="404" t="s">
        <v>176</v>
      </c>
      <c r="K13" s="404" t="s">
        <v>177</v>
      </c>
      <c r="L13" s="405" t="s">
        <v>144</v>
      </c>
      <c r="M13" s="406" t="s">
        <v>178</v>
      </c>
      <c r="N13" s="407" t="s">
        <v>179</v>
      </c>
    </row>
    <row r="14" spans="1:14" x14ac:dyDescent="0.25">
      <c r="A14" s="278" t="s">
        <v>180</v>
      </c>
      <c r="B14" s="255" t="s">
        <v>181</v>
      </c>
      <c r="C14" s="255" t="s">
        <v>182</v>
      </c>
      <c r="D14" s="254" t="s">
        <v>150</v>
      </c>
      <c r="E14" s="254" t="s">
        <v>151</v>
      </c>
      <c r="F14" s="254">
        <v>15</v>
      </c>
      <c r="G14" s="254">
        <v>2000</v>
      </c>
      <c r="H14" s="218">
        <f>F14*G14</f>
        <v>30000</v>
      </c>
      <c r="I14" s="247">
        <f>H14</f>
        <v>30000</v>
      </c>
      <c r="J14" s="218">
        <f>IF(OR($C14=Categories!$A$5,$C14=Categories!$A$11),$I14,$I14*(1+'Project data &amp; personnel '!$E$30))</f>
        <v>37500</v>
      </c>
      <c r="K14" s="254"/>
      <c r="L14" s="279"/>
      <c r="M14" s="356"/>
      <c r="N14" s="312">
        <f>H14-I14</f>
        <v>0</v>
      </c>
    </row>
    <row r="15" spans="1:14" x14ac:dyDescent="0.25">
      <c r="A15" s="278" t="s">
        <v>522</v>
      </c>
      <c r="B15" s="255" t="s">
        <v>523</v>
      </c>
      <c r="C15" s="255" t="s">
        <v>67</v>
      </c>
      <c r="D15" s="254" t="s">
        <v>150</v>
      </c>
      <c r="E15" s="254" t="s">
        <v>151</v>
      </c>
      <c r="F15" s="254">
        <v>5</v>
      </c>
      <c r="G15" s="254">
        <v>5000</v>
      </c>
      <c r="H15" s="218">
        <f>F15*G15</f>
        <v>25000</v>
      </c>
      <c r="I15" s="247">
        <f t="shared" ref="I15:I23" si="0">H15</f>
        <v>25000</v>
      </c>
      <c r="J15" s="218">
        <f>IF(OR($C15=Categories!$A$5,$C15=Categories!$A$11),$I15,$I15*(1+'Project data &amp; personnel '!$E$30))</f>
        <v>25000</v>
      </c>
      <c r="K15" s="254"/>
      <c r="L15" s="279"/>
      <c r="M15" s="356"/>
      <c r="N15" s="312">
        <f t="shared" ref="N15:N78" si="1">H15-I15</f>
        <v>0</v>
      </c>
    </row>
    <row r="16" spans="1:14" x14ac:dyDescent="0.25">
      <c r="A16" s="278"/>
      <c r="B16" s="255"/>
      <c r="C16" s="255"/>
      <c r="D16" s="254"/>
      <c r="E16" s="254"/>
      <c r="F16" s="254"/>
      <c r="G16" s="254"/>
      <c r="H16" s="218">
        <f>F16*G16</f>
        <v>0</v>
      </c>
      <c r="I16" s="247">
        <f t="shared" si="0"/>
        <v>0</v>
      </c>
      <c r="J16" s="218">
        <f>IF(OR($C16=Categories!$A$5,$C16=Categories!$A$11),$I16,$I16*(1+'Project data &amp; personnel '!$E$30))</f>
        <v>0</v>
      </c>
      <c r="K16" s="254"/>
      <c r="L16" s="279"/>
      <c r="M16" s="356"/>
      <c r="N16" s="312">
        <f t="shared" si="1"/>
        <v>0</v>
      </c>
    </row>
    <row r="17" spans="1:14" x14ac:dyDescent="0.25">
      <c r="A17" s="278"/>
      <c r="B17" s="255"/>
      <c r="C17" s="255"/>
      <c r="D17" s="254"/>
      <c r="E17" s="254"/>
      <c r="F17" s="254"/>
      <c r="G17" s="254"/>
      <c r="H17" s="218">
        <f>F17*G17</f>
        <v>0</v>
      </c>
      <c r="I17" s="247">
        <f t="shared" si="0"/>
        <v>0</v>
      </c>
      <c r="J17" s="218">
        <f>IF(OR($C17=Categories!$A$5,$C17=Categories!$A$11),$I17,$I17*(1+'Project data &amp; personnel '!$E$30))</f>
        <v>0</v>
      </c>
      <c r="K17" s="254"/>
      <c r="L17" s="279"/>
      <c r="M17" s="356"/>
      <c r="N17" s="312">
        <f t="shared" si="1"/>
        <v>0</v>
      </c>
    </row>
    <row r="18" spans="1:14" x14ac:dyDescent="0.25">
      <c r="A18" s="278"/>
      <c r="B18" s="255"/>
      <c r="C18" s="255"/>
      <c r="D18" s="254"/>
      <c r="E18" s="254"/>
      <c r="F18" s="254"/>
      <c r="G18" s="254"/>
      <c r="H18" s="218">
        <f>F18*G18</f>
        <v>0</v>
      </c>
      <c r="I18" s="247">
        <f t="shared" si="0"/>
        <v>0</v>
      </c>
      <c r="J18" s="218">
        <f>IF(OR($C18=Categories!$A$5,$C18=Categories!$A$11),$I18,$I18*(1+'Project data &amp; personnel '!$E$30))</f>
        <v>0</v>
      </c>
      <c r="K18" s="254"/>
      <c r="L18" s="279"/>
      <c r="M18" s="356"/>
      <c r="N18" s="312">
        <f t="shared" si="1"/>
        <v>0</v>
      </c>
    </row>
    <row r="19" spans="1:14" x14ac:dyDescent="0.25">
      <c r="A19" s="278"/>
      <c r="B19" s="255"/>
      <c r="C19" s="255"/>
      <c r="D19" s="254"/>
      <c r="E19" s="254"/>
      <c r="F19" s="254"/>
      <c r="G19" s="254"/>
      <c r="H19" s="218">
        <f t="shared" ref="H19:H22" si="2">F19*G19</f>
        <v>0</v>
      </c>
      <c r="I19" s="247">
        <f t="shared" si="0"/>
        <v>0</v>
      </c>
      <c r="J19" s="218">
        <f>IF(OR($C19=Categories!$A$5,$C19=Categories!$A$11),$I19,$I19*(1+'Project data &amp; personnel '!$E$30))</f>
        <v>0</v>
      </c>
      <c r="K19" s="254"/>
      <c r="L19" s="279"/>
      <c r="M19" s="356"/>
      <c r="N19" s="312">
        <f t="shared" si="1"/>
        <v>0</v>
      </c>
    </row>
    <row r="20" spans="1:14" x14ac:dyDescent="0.25">
      <c r="A20" s="278"/>
      <c r="B20" s="255"/>
      <c r="C20" s="255"/>
      <c r="D20" s="254"/>
      <c r="E20" s="254"/>
      <c r="F20" s="254"/>
      <c r="G20" s="254"/>
      <c r="H20" s="218">
        <f t="shared" si="2"/>
        <v>0</v>
      </c>
      <c r="I20" s="247">
        <f t="shared" si="0"/>
        <v>0</v>
      </c>
      <c r="J20" s="218">
        <f>IF(OR($C20=Categories!$A$5,$C20=Categories!$A$11),$I20,$I20*(1+'Project data &amp; personnel '!$E$30))</f>
        <v>0</v>
      </c>
      <c r="K20" s="254"/>
      <c r="L20" s="279"/>
      <c r="M20" s="356"/>
      <c r="N20" s="312">
        <f t="shared" si="1"/>
        <v>0</v>
      </c>
    </row>
    <row r="21" spans="1:14" x14ac:dyDescent="0.25">
      <c r="A21" s="278"/>
      <c r="B21" s="255"/>
      <c r="C21" s="255"/>
      <c r="D21" s="254"/>
      <c r="E21" s="254"/>
      <c r="F21" s="254"/>
      <c r="G21" s="254"/>
      <c r="H21" s="218">
        <f t="shared" si="2"/>
        <v>0</v>
      </c>
      <c r="I21" s="247">
        <f t="shared" si="0"/>
        <v>0</v>
      </c>
      <c r="J21" s="218">
        <f>IF(OR($C21=Categories!$A$5,$C21=Categories!$A$11),$I21,$I21*(1+'Project data &amp; personnel '!$E$30))</f>
        <v>0</v>
      </c>
      <c r="K21" s="254"/>
      <c r="L21" s="279"/>
      <c r="M21" s="356"/>
      <c r="N21" s="312">
        <f t="shared" si="1"/>
        <v>0</v>
      </c>
    </row>
    <row r="22" spans="1:14" x14ac:dyDescent="0.25">
      <c r="A22" s="278"/>
      <c r="B22" s="278"/>
      <c r="C22" s="255"/>
      <c r="D22" s="254"/>
      <c r="E22" s="254"/>
      <c r="F22" s="254"/>
      <c r="G22" s="254"/>
      <c r="H22" s="218">
        <f t="shared" si="2"/>
        <v>0</v>
      </c>
      <c r="I22" s="247">
        <f t="shared" si="0"/>
        <v>0</v>
      </c>
      <c r="J22" s="218">
        <f>IF(OR($C22=Categories!$A$5,$C22=Categories!$A$11),$I22,$I22*(1+'Project data &amp; personnel '!$E$30))</f>
        <v>0</v>
      </c>
      <c r="K22" s="254"/>
      <c r="L22" s="279"/>
      <c r="M22" s="356"/>
      <c r="N22" s="312">
        <f t="shared" si="1"/>
        <v>0</v>
      </c>
    </row>
    <row r="23" spans="1:14" x14ac:dyDescent="0.25">
      <c r="A23" s="278"/>
      <c r="B23" s="255"/>
      <c r="C23" s="255"/>
      <c r="D23" s="254"/>
      <c r="E23" s="254"/>
      <c r="F23" s="254"/>
      <c r="G23" s="254"/>
      <c r="H23" s="218">
        <f t="shared" ref="H23:H86" si="3">F23*G23</f>
        <v>0</v>
      </c>
      <c r="I23" s="247">
        <f t="shared" si="0"/>
        <v>0</v>
      </c>
      <c r="J23" s="218">
        <f>IF(OR($C23=Categories!$A$5,$C23=Categories!$A$11),$I23,$I23*(1+'Project data &amp; personnel '!$E$30))</f>
        <v>0</v>
      </c>
      <c r="K23" s="254"/>
      <c r="L23" s="279"/>
      <c r="M23" s="356"/>
      <c r="N23" s="312">
        <f t="shared" si="1"/>
        <v>0</v>
      </c>
    </row>
    <row r="24" spans="1:14" x14ac:dyDescent="0.25">
      <c r="A24" s="278"/>
      <c r="B24" s="255"/>
      <c r="C24" s="255"/>
      <c r="D24" s="254"/>
      <c r="E24" s="254"/>
      <c r="F24" s="254"/>
      <c r="G24" s="254"/>
      <c r="H24" s="218">
        <f t="shared" si="3"/>
        <v>0</v>
      </c>
      <c r="I24" s="247">
        <f t="shared" ref="I24:I86" si="4">H24</f>
        <v>0</v>
      </c>
      <c r="J24" s="218">
        <f>IF(OR($C24=Categories!$A$5,$C24=Categories!$A$11),$I24,$I24*(1+'Project data &amp; personnel '!$E$30))</f>
        <v>0</v>
      </c>
      <c r="K24" s="254"/>
      <c r="L24" s="279"/>
      <c r="M24" s="356"/>
      <c r="N24" s="312">
        <f t="shared" si="1"/>
        <v>0</v>
      </c>
    </row>
    <row r="25" spans="1:14" x14ac:dyDescent="0.25">
      <c r="A25" s="278"/>
      <c r="B25" s="255"/>
      <c r="C25" s="255"/>
      <c r="D25" s="254"/>
      <c r="E25" s="254"/>
      <c r="F25" s="254"/>
      <c r="G25" s="254"/>
      <c r="H25" s="218">
        <f t="shared" si="3"/>
        <v>0</v>
      </c>
      <c r="I25" s="247">
        <f t="shared" si="4"/>
        <v>0</v>
      </c>
      <c r="J25" s="218">
        <f>IF(OR($C25=Categories!$A$5,$C25=Categories!$A$11),$I25,$I25*(1+'Project data &amp; personnel '!$E$30))</f>
        <v>0</v>
      </c>
      <c r="K25" s="254"/>
      <c r="L25" s="279"/>
      <c r="M25" s="356"/>
      <c r="N25" s="312">
        <f t="shared" si="1"/>
        <v>0</v>
      </c>
    </row>
    <row r="26" spans="1:14" x14ac:dyDescent="0.25">
      <c r="A26" s="278"/>
      <c r="B26" s="255"/>
      <c r="C26" s="255"/>
      <c r="D26" s="254"/>
      <c r="E26" s="254"/>
      <c r="F26" s="254"/>
      <c r="G26" s="254"/>
      <c r="H26" s="218">
        <f t="shared" si="3"/>
        <v>0</v>
      </c>
      <c r="I26" s="247">
        <f t="shared" si="4"/>
        <v>0</v>
      </c>
      <c r="J26" s="218">
        <f>IF(OR($C26=Categories!$A$5,$C26=Categories!$A$11),$I26,$I26*(1+'Project data &amp; personnel '!$E$30))</f>
        <v>0</v>
      </c>
      <c r="K26" s="254"/>
      <c r="L26" s="279"/>
      <c r="M26" s="356"/>
      <c r="N26" s="312">
        <f t="shared" si="1"/>
        <v>0</v>
      </c>
    </row>
    <row r="27" spans="1:14" x14ac:dyDescent="0.25">
      <c r="A27" s="278"/>
      <c r="B27" s="255"/>
      <c r="C27" s="255"/>
      <c r="D27" s="254"/>
      <c r="E27" s="254"/>
      <c r="F27" s="254"/>
      <c r="G27" s="254"/>
      <c r="H27" s="218">
        <f t="shared" si="3"/>
        <v>0</v>
      </c>
      <c r="I27" s="247">
        <f t="shared" si="4"/>
        <v>0</v>
      </c>
      <c r="J27" s="218">
        <f>IF(OR($C27=Categories!$A$5,$C27=Categories!$A$11),$I27,$I27*(1+'Project data &amp; personnel '!$E$30))</f>
        <v>0</v>
      </c>
      <c r="K27" s="254"/>
      <c r="L27" s="279"/>
      <c r="M27" s="356"/>
      <c r="N27" s="312">
        <f t="shared" si="1"/>
        <v>0</v>
      </c>
    </row>
    <row r="28" spans="1:14" x14ac:dyDescent="0.25">
      <c r="A28" s="278"/>
      <c r="B28" s="255"/>
      <c r="C28" s="255"/>
      <c r="D28" s="254"/>
      <c r="E28" s="254"/>
      <c r="F28" s="254"/>
      <c r="G28" s="254"/>
      <c r="H28" s="218">
        <f t="shared" si="3"/>
        <v>0</v>
      </c>
      <c r="I28" s="247">
        <f t="shared" si="4"/>
        <v>0</v>
      </c>
      <c r="J28" s="218">
        <f>IF(OR($C28=Categories!$A$5,$C28=Categories!$A$11),$I28,$I28*(1+'Project data &amp; personnel '!$E$30))</f>
        <v>0</v>
      </c>
      <c r="K28" s="254"/>
      <c r="L28" s="279"/>
      <c r="M28" s="356"/>
      <c r="N28" s="312">
        <f t="shared" si="1"/>
        <v>0</v>
      </c>
    </row>
    <row r="29" spans="1:14" x14ac:dyDescent="0.25">
      <c r="A29" s="278"/>
      <c r="B29" s="255"/>
      <c r="C29" s="255"/>
      <c r="D29" s="254"/>
      <c r="E29" s="254"/>
      <c r="F29" s="254"/>
      <c r="G29" s="254"/>
      <c r="H29" s="218">
        <f t="shared" si="3"/>
        <v>0</v>
      </c>
      <c r="I29" s="247">
        <f t="shared" si="4"/>
        <v>0</v>
      </c>
      <c r="J29" s="218">
        <f>IF(OR($C29=Categories!$A$5,$C29=Categories!$A$11),$I29,$I29*(1+'Project data &amp; personnel '!$E$30))</f>
        <v>0</v>
      </c>
      <c r="K29" s="254"/>
      <c r="L29" s="279"/>
      <c r="M29" s="356"/>
      <c r="N29" s="312">
        <f t="shared" si="1"/>
        <v>0</v>
      </c>
    </row>
    <row r="30" spans="1:14" x14ac:dyDescent="0.25">
      <c r="A30" s="278"/>
      <c r="B30" s="255"/>
      <c r="C30" s="255"/>
      <c r="D30" s="254"/>
      <c r="E30" s="254"/>
      <c r="F30" s="254"/>
      <c r="G30" s="254"/>
      <c r="H30" s="218">
        <f t="shared" si="3"/>
        <v>0</v>
      </c>
      <c r="I30" s="247">
        <f t="shared" si="4"/>
        <v>0</v>
      </c>
      <c r="J30" s="218">
        <f>IF(OR($C30=Categories!$A$5,$C30=Categories!$A$11),$I30,$I30*(1+'Project data &amp; personnel '!$E$30))</f>
        <v>0</v>
      </c>
      <c r="K30" s="254"/>
      <c r="L30" s="279"/>
      <c r="M30" s="356"/>
      <c r="N30" s="312">
        <f t="shared" si="1"/>
        <v>0</v>
      </c>
    </row>
    <row r="31" spans="1:14" x14ac:dyDescent="0.25">
      <c r="A31" s="278"/>
      <c r="B31" s="255"/>
      <c r="C31" s="255"/>
      <c r="D31" s="254"/>
      <c r="E31" s="254"/>
      <c r="F31" s="254"/>
      <c r="G31" s="254"/>
      <c r="H31" s="218">
        <f t="shared" si="3"/>
        <v>0</v>
      </c>
      <c r="I31" s="247">
        <f t="shared" si="4"/>
        <v>0</v>
      </c>
      <c r="J31" s="218">
        <f>IF(OR($C31=Categories!$A$5,$C31=Categories!$A$11),$I31,$I31*(1+'Project data &amp; personnel '!$E$30))</f>
        <v>0</v>
      </c>
      <c r="K31" s="254"/>
      <c r="L31" s="279"/>
      <c r="M31" s="356"/>
      <c r="N31" s="312">
        <f t="shared" si="1"/>
        <v>0</v>
      </c>
    </row>
    <row r="32" spans="1:14" x14ac:dyDescent="0.25">
      <c r="A32" s="278"/>
      <c r="B32" s="255"/>
      <c r="C32" s="255"/>
      <c r="D32" s="254"/>
      <c r="E32" s="254"/>
      <c r="F32" s="254"/>
      <c r="G32" s="254"/>
      <c r="H32" s="218">
        <f t="shared" si="3"/>
        <v>0</v>
      </c>
      <c r="I32" s="247">
        <f t="shared" si="4"/>
        <v>0</v>
      </c>
      <c r="J32" s="218">
        <f>IF(OR($C32=Categories!$A$5,$C32=Categories!$A$11),$I32,$I32*(1+'Project data &amp; personnel '!$E$30))</f>
        <v>0</v>
      </c>
      <c r="K32" s="254"/>
      <c r="L32" s="279"/>
      <c r="M32" s="356"/>
      <c r="N32" s="312">
        <f t="shared" si="1"/>
        <v>0</v>
      </c>
    </row>
    <row r="33" spans="1:14" x14ac:dyDescent="0.25">
      <c r="A33" s="278"/>
      <c r="B33" s="255"/>
      <c r="C33" s="255"/>
      <c r="D33" s="254"/>
      <c r="E33" s="254"/>
      <c r="F33" s="254"/>
      <c r="G33" s="254"/>
      <c r="H33" s="218">
        <f t="shared" si="3"/>
        <v>0</v>
      </c>
      <c r="I33" s="247">
        <f t="shared" si="4"/>
        <v>0</v>
      </c>
      <c r="J33" s="218">
        <f>IF(OR($C33=Categories!$A$5,$C33=Categories!$A$11),$I33,$I33*(1+'Project data &amp; personnel '!$E$30))</f>
        <v>0</v>
      </c>
      <c r="K33" s="254"/>
      <c r="L33" s="279"/>
      <c r="M33" s="356"/>
      <c r="N33" s="312">
        <f t="shared" si="1"/>
        <v>0</v>
      </c>
    </row>
    <row r="34" spans="1:14" x14ac:dyDescent="0.25">
      <c r="A34" s="278"/>
      <c r="B34" s="255"/>
      <c r="C34" s="255"/>
      <c r="D34" s="254"/>
      <c r="E34" s="254"/>
      <c r="F34" s="254"/>
      <c r="G34" s="254"/>
      <c r="H34" s="218">
        <f t="shared" si="3"/>
        <v>0</v>
      </c>
      <c r="I34" s="247">
        <f t="shared" si="4"/>
        <v>0</v>
      </c>
      <c r="J34" s="218">
        <f>IF(OR($C34=Categories!$A$5,$C34=Categories!$A$11),$I34,$I34*(1+'Project data &amp; personnel '!$E$30))</f>
        <v>0</v>
      </c>
      <c r="K34" s="254"/>
      <c r="L34" s="279"/>
      <c r="M34" s="356"/>
      <c r="N34" s="312">
        <f t="shared" si="1"/>
        <v>0</v>
      </c>
    </row>
    <row r="35" spans="1:14" x14ac:dyDescent="0.25">
      <c r="A35" s="278"/>
      <c r="B35" s="255"/>
      <c r="C35" s="255"/>
      <c r="D35" s="254"/>
      <c r="E35" s="254"/>
      <c r="F35" s="254"/>
      <c r="G35" s="254"/>
      <c r="H35" s="218">
        <f t="shared" si="3"/>
        <v>0</v>
      </c>
      <c r="I35" s="247">
        <f t="shared" si="4"/>
        <v>0</v>
      </c>
      <c r="J35" s="218">
        <f>IF(OR($C35=Categories!$A$5,$C35=Categories!$A$11),$I35,$I35*(1+'Project data &amp; personnel '!$E$30))</f>
        <v>0</v>
      </c>
      <c r="K35" s="254"/>
      <c r="L35" s="279"/>
      <c r="M35" s="356"/>
      <c r="N35" s="312">
        <f t="shared" si="1"/>
        <v>0</v>
      </c>
    </row>
    <row r="36" spans="1:14" ht="15" customHeight="1" x14ac:dyDescent="0.25">
      <c r="A36" s="278"/>
      <c r="B36" s="255"/>
      <c r="C36" s="255"/>
      <c r="D36" s="254"/>
      <c r="E36" s="254"/>
      <c r="F36" s="254"/>
      <c r="G36" s="254"/>
      <c r="H36" s="218">
        <f t="shared" si="3"/>
        <v>0</v>
      </c>
      <c r="I36" s="247">
        <f t="shared" si="4"/>
        <v>0</v>
      </c>
      <c r="J36" s="218">
        <f>IF(OR($C36=Categories!$A$5,$C36=Categories!$A$11),$I36,$I36*(1+'Project data &amp; personnel '!$E$30))</f>
        <v>0</v>
      </c>
      <c r="K36" s="254"/>
      <c r="L36" s="279"/>
      <c r="M36" s="356"/>
      <c r="N36" s="312">
        <f t="shared" si="1"/>
        <v>0</v>
      </c>
    </row>
    <row r="37" spans="1:14" ht="15" customHeight="1" x14ac:dyDescent="0.25">
      <c r="A37" s="278"/>
      <c r="B37" s="255"/>
      <c r="C37" s="255"/>
      <c r="D37" s="254"/>
      <c r="E37" s="254"/>
      <c r="F37" s="254"/>
      <c r="G37" s="254"/>
      <c r="H37" s="218">
        <f t="shared" si="3"/>
        <v>0</v>
      </c>
      <c r="I37" s="247">
        <f t="shared" si="4"/>
        <v>0</v>
      </c>
      <c r="J37" s="218">
        <f>IF(OR($C37=Categories!$A$5,$C37=Categories!$A$11),$I37,$I37*(1+'Project data &amp; personnel '!$E$30))</f>
        <v>0</v>
      </c>
      <c r="K37" s="254"/>
      <c r="L37" s="279"/>
      <c r="M37" s="356"/>
      <c r="N37" s="312">
        <f t="shared" si="1"/>
        <v>0</v>
      </c>
    </row>
    <row r="38" spans="1:14" ht="15" customHeight="1" x14ac:dyDescent="0.25">
      <c r="A38" s="278"/>
      <c r="B38" s="255"/>
      <c r="C38" s="255"/>
      <c r="D38" s="254"/>
      <c r="E38" s="254"/>
      <c r="F38" s="254"/>
      <c r="G38" s="254"/>
      <c r="H38" s="218">
        <f t="shared" si="3"/>
        <v>0</v>
      </c>
      <c r="I38" s="247">
        <f t="shared" si="4"/>
        <v>0</v>
      </c>
      <c r="J38" s="218">
        <f>IF(OR($C38=Categories!$A$5,$C38=Categories!$A$11),$I38,$I38*(1+'Project data &amp; personnel '!$E$30))</f>
        <v>0</v>
      </c>
      <c r="K38" s="254"/>
      <c r="L38" s="279"/>
      <c r="M38" s="356"/>
      <c r="N38" s="312">
        <f t="shared" si="1"/>
        <v>0</v>
      </c>
    </row>
    <row r="39" spans="1:14" ht="15" customHeight="1" x14ac:dyDescent="0.25">
      <c r="A39" s="278"/>
      <c r="B39" s="255"/>
      <c r="C39" s="255"/>
      <c r="D39" s="254"/>
      <c r="E39" s="254"/>
      <c r="F39" s="254"/>
      <c r="G39" s="254"/>
      <c r="H39" s="218">
        <f t="shared" si="3"/>
        <v>0</v>
      </c>
      <c r="I39" s="247">
        <f t="shared" si="4"/>
        <v>0</v>
      </c>
      <c r="J39" s="218">
        <f>IF(OR($C39=Categories!$A$5,$C39=Categories!$A$11),$I39,$I39*(1+'Project data &amp; personnel '!$E$30))</f>
        <v>0</v>
      </c>
      <c r="K39" s="254"/>
      <c r="L39" s="279"/>
      <c r="M39" s="356"/>
      <c r="N39" s="312">
        <f t="shared" si="1"/>
        <v>0</v>
      </c>
    </row>
    <row r="40" spans="1:14" x14ac:dyDescent="0.25">
      <c r="A40" s="278"/>
      <c r="B40" s="255"/>
      <c r="C40" s="255"/>
      <c r="D40" s="254"/>
      <c r="E40" s="254"/>
      <c r="F40" s="254"/>
      <c r="G40" s="254"/>
      <c r="H40" s="218">
        <f t="shared" si="3"/>
        <v>0</v>
      </c>
      <c r="I40" s="247">
        <f t="shared" si="4"/>
        <v>0</v>
      </c>
      <c r="J40" s="218">
        <f>IF(OR($C40=Categories!$A$5,$C40=Categories!$A$11),$I40,$I40*(1+'Project data &amp; personnel '!$E$30))</f>
        <v>0</v>
      </c>
      <c r="K40" s="254"/>
      <c r="L40" s="279"/>
      <c r="M40" s="356"/>
      <c r="N40" s="312">
        <f t="shared" si="1"/>
        <v>0</v>
      </c>
    </row>
    <row r="41" spans="1:14" x14ac:dyDescent="0.25">
      <c r="A41" s="278"/>
      <c r="B41" s="255"/>
      <c r="C41" s="255"/>
      <c r="D41" s="254"/>
      <c r="E41" s="254"/>
      <c r="F41" s="254"/>
      <c r="G41" s="254"/>
      <c r="H41" s="218">
        <f t="shared" si="3"/>
        <v>0</v>
      </c>
      <c r="I41" s="247">
        <f t="shared" si="4"/>
        <v>0</v>
      </c>
      <c r="J41" s="218">
        <f>IF(OR($C41=Categories!$A$5,$C41=Categories!$A$11),$I41,$I41*(1+'Project data &amp; personnel '!$E$30))</f>
        <v>0</v>
      </c>
      <c r="K41" s="254"/>
      <c r="L41" s="279"/>
      <c r="M41" s="356"/>
      <c r="N41" s="312">
        <f t="shared" si="1"/>
        <v>0</v>
      </c>
    </row>
    <row r="42" spans="1:14" x14ac:dyDescent="0.25">
      <c r="A42" s="278"/>
      <c r="B42" s="255"/>
      <c r="C42" s="255"/>
      <c r="D42" s="254"/>
      <c r="E42" s="254"/>
      <c r="F42" s="254"/>
      <c r="G42" s="254"/>
      <c r="H42" s="218">
        <f t="shared" si="3"/>
        <v>0</v>
      </c>
      <c r="I42" s="247">
        <f t="shared" si="4"/>
        <v>0</v>
      </c>
      <c r="J42" s="218">
        <f>IF(OR($C42=Categories!$A$5,$C42=Categories!$A$11),$I42,$I42*(1+'Project data &amp; personnel '!$E$30))</f>
        <v>0</v>
      </c>
      <c r="K42" s="254"/>
      <c r="L42" s="279"/>
      <c r="M42" s="356"/>
      <c r="N42" s="312">
        <f t="shared" si="1"/>
        <v>0</v>
      </c>
    </row>
    <row r="43" spans="1:14" x14ac:dyDescent="0.25">
      <c r="A43" s="278"/>
      <c r="B43" s="255"/>
      <c r="C43" s="255"/>
      <c r="D43" s="254"/>
      <c r="E43" s="254"/>
      <c r="F43" s="254"/>
      <c r="G43" s="254"/>
      <c r="H43" s="218">
        <f t="shared" si="3"/>
        <v>0</v>
      </c>
      <c r="I43" s="247">
        <f t="shared" si="4"/>
        <v>0</v>
      </c>
      <c r="J43" s="218">
        <f>IF(OR($C43=Categories!$A$5,$C43=Categories!$A$11),$I43,$I43*(1+'Project data &amp; personnel '!$E$30))</f>
        <v>0</v>
      </c>
      <c r="K43" s="254"/>
      <c r="L43" s="279"/>
      <c r="M43" s="356"/>
      <c r="N43" s="312">
        <f t="shared" si="1"/>
        <v>0</v>
      </c>
    </row>
    <row r="44" spans="1:14" hidden="1" x14ac:dyDescent="0.25">
      <c r="A44" s="278"/>
      <c r="B44" s="255"/>
      <c r="C44" s="255"/>
      <c r="D44" s="254"/>
      <c r="E44" s="254"/>
      <c r="F44" s="254"/>
      <c r="G44" s="254"/>
      <c r="H44" s="218">
        <f t="shared" si="3"/>
        <v>0</v>
      </c>
      <c r="I44" s="247">
        <f t="shared" si="4"/>
        <v>0</v>
      </c>
      <c r="J44" s="218">
        <f>IF(OR($C44=Categories!$A$5,$C44=Categories!$A$11),$I44,$I44*(1+'Project data &amp; personnel '!$E$30))</f>
        <v>0</v>
      </c>
      <c r="K44" s="254"/>
      <c r="L44" s="279"/>
      <c r="M44" s="356"/>
      <c r="N44" s="312">
        <f t="shared" si="1"/>
        <v>0</v>
      </c>
    </row>
    <row r="45" spans="1:14" hidden="1" x14ac:dyDescent="0.25">
      <c r="A45" s="278"/>
      <c r="B45" s="255"/>
      <c r="C45" s="255"/>
      <c r="D45" s="254"/>
      <c r="E45" s="254"/>
      <c r="F45" s="254"/>
      <c r="G45" s="254"/>
      <c r="H45" s="218">
        <f t="shared" si="3"/>
        <v>0</v>
      </c>
      <c r="I45" s="247">
        <f t="shared" si="4"/>
        <v>0</v>
      </c>
      <c r="J45" s="218">
        <f>IF(OR($C45=Categories!$A$5,$C45=Categories!$A$11),$I45,$I45*(1+'Project data &amp; personnel '!$E$30))</f>
        <v>0</v>
      </c>
      <c r="K45" s="254"/>
      <c r="L45" s="279"/>
      <c r="M45" s="356"/>
      <c r="N45" s="312">
        <f t="shared" si="1"/>
        <v>0</v>
      </c>
    </row>
    <row r="46" spans="1:14" hidden="1" x14ac:dyDescent="0.25">
      <c r="A46" s="278"/>
      <c r="B46" s="255"/>
      <c r="C46" s="255"/>
      <c r="D46" s="254"/>
      <c r="E46" s="254"/>
      <c r="F46" s="254"/>
      <c r="G46" s="254"/>
      <c r="H46" s="218">
        <f t="shared" si="3"/>
        <v>0</v>
      </c>
      <c r="I46" s="247">
        <f t="shared" si="4"/>
        <v>0</v>
      </c>
      <c r="J46" s="218">
        <f>IF(OR($C46=Categories!$A$5,$C46=Categories!$A$11),$I46,$I46*(1+'Project data &amp; personnel '!$E$30))</f>
        <v>0</v>
      </c>
      <c r="K46" s="254"/>
      <c r="L46" s="279"/>
      <c r="M46" s="356"/>
      <c r="N46" s="312">
        <f t="shared" si="1"/>
        <v>0</v>
      </c>
    </row>
    <row r="47" spans="1:14" hidden="1" x14ac:dyDescent="0.25">
      <c r="A47" s="278"/>
      <c r="B47" s="255"/>
      <c r="C47" s="255"/>
      <c r="D47" s="254"/>
      <c r="E47" s="254"/>
      <c r="F47" s="254"/>
      <c r="G47" s="254"/>
      <c r="H47" s="218">
        <f t="shared" si="3"/>
        <v>0</v>
      </c>
      <c r="I47" s="247">
        <f t="shared" si="4"/>
        <v>0</v>
      </c>
      <c r="J47" s="218">
        <f>IF(OR($C47=Categories!$A$5,$C47=Categories!$A$11),$I47,$I47*(1+'Project data &amp; personnel '!$E$30))</f>
        <v>0</v>
      </c>
      <c r="K47" s="254"/>
      <c r="L47" s="279"/>
      <c r="M47" s="356"/>
      <c r="N47" s="312">
        <f t="shared" si="1"/>
        <v>0</v>
      </c>
    </row>
    <row r="48" spans="1:14" hidden="1" x14ac:dyDescent="0.25">
      <c r="A48" s="278"/>
      <c r="B48" s="255"/>
      <c r="C48" s="255"/>
      <c r="D48" s="254"/>
      <c r="E48" s="254"/>
      <c r="F48" s="254"/>
      <c r="G48" s="254"/>
      <c r="H48" s="218">
        <f t="shared" si="3"/>
        <v>0</v>
      </c>
      <c r="I48" s="247">
        <f t="shared" si="4"/>
        <v>0</v>
      </c>
      <c r="J48" s="218">
        <f>IF(OR($C48=Categories!$A$5,$C48=Categories!$A$11),$I48,$I48*(1+'Project data &amp; personnel '!$E$30))</f>
        <v>0</v>
      </c>
      <c r="K48" s="254"/>
      <c r="L48" s="279"/>
      <c r="M48" s="356"/>
      <c r="N48" s="312">
        <f t="shared" si="1"/>
        <v>0</v>
      </c>
    </row>
    <row r="49" spans="1:14" hidden="1" x14ac:dyDescent="0.25">
      <c r="A49" s="278"/>
      <c r="B49" s="255"/>
      <c r="C49" s="255"/>
      <c r="D49" s="254"/>
      <c r="E49" s="254"/>
      <c r="F49" s="254"/>
      <c r="G49" s="254"/>
      <c r="H49" s="218">
        <f t="shared" si="3"/>
        <v>0</v>
      </c>
      <c r="I49" s="247">
        <f t="shared" si="4"/>
        <v>0</v>
      </c>
      <c r="J49" s="218">
        <f>IF(OR($C49=Categories!$A$5,$C49=Categories!$A$11),$I49,$I49*(1+'Project data &amp; personnel '!$E$30))</f>
        <v>0</v>
      </c>
      <c r="K49" s="254"/>
      <c r="L49" s="279"/>
      <c r="M49" s="356"/>
      <c r="N49" s="312">
        <f t="shared" si="1"/>
        <v>0</v>
      </c>
    </row>
    <row r="50" spans="1:14" hidden="1" x14ac:dyDescent="0.25">
      <c r="A50" s="278"/>
      <c r="B50" s="255"/>
      <c r="C50" s="255"/>
      <c r="D50" s="254"/>
      <c r="E50" s="254"/>
      <c r="F50" s="254"/>
      <c r="G50" s="254"/>
      <c r="H50" s="218">
        <f t="shared" si="3"/>
        <v>0</v>
      </c>
      <c r="I50" s="247">
        <f t="shared" si="4"/>
        <v>0</v>
      </c>
      <c r="J50" s="218">
        <f>IF(OR($C50=Categories!$A$5,$C50=Categories!$A$11),$I50,$I50*(1+'Project data &amp; personnel '!$E$30))</f>
        <v>0</v>
      </c>
      <c r="K50" s="254"/>
      <c r="L50" s="279"/>
      <c r="M50" s="356"/>
      <c r="N50" s="312">
        <f t="shared" si="1"/>
        <v>0</v>
      </c>
    </row>
    <row r="51" spans="1:14" hidden="1" x14ac:dyDescent="0.25">
      <c r="A51" s="278"/>
      <c r="B51" s="255"/>
      <c r="C51" s="255"/>
      <c r="D51" s="254"/>
      <c r="E51" s="254"/>
      <c r="F51" s="254"/>
      <c r="G51" s="254"/>
      <c r="H51" s="218">
        <f t="shared" si="3"/>
        <v>0</v>
      </c>
      <c r="I51" s="247">
        <f t="shared" si="4"/>
        <v>0</v>
      </c>
      <c r="J51" s="218">
        <f>IF(OR($C51=Categories!$A$5,$C51=Categories!$A$11),$I51,$I51*(1+'Project data &amp; personnel '!$E$30))</f>
        <v>0</v>
      </c>
      <c r="K51" s="254"/>
      <c r="L51" s="279"/>
      <c r="M51" s="356"/>
      <c r="N51" s="312">
        <f t="shared" si="1"/>
        <v>0</v>
      </c>
    </row>
    <row r="52" spans="1:14" hidden="1" x14ac:dyDescent="0.25">
      <c r="A52" s="278"/>
      <c r="B52" s="255"/>
      <c r="C52" s="255"/>
      <c r="D52" s="254"/>
      <c r="E52" s="254"/>
      <c r="F52" s="254"/>
      <c r="G52" s="254"/>
      <c r="H52" s="218">
        <f t="shared" si="3"/>
        <v>0</v>
      </c>
      <c r="I52" s="247">
        <f t="shared" si="4"/>
        <v>0</v>
      </c>
      <c r="J52" s="218">
        <f>IF(OR($C52=Categories!$A$5,$C52=Categories!$A$11),$I52,$I52*(1+'Project data &amp; personnel '!$E$30))</f>
        <v>0</v>
      </c>
      <c r="K52" s="254"/>
      <c r="L52" s="279"/>
      <c r="M52" s="356"/>
      <c r="N52" s="312">
        <f t="shared" si="1"/>
        <v>0</v>
      </c>
    </row>
    <row r="53" spans="1:14" hidden="1" x14ac:dyDescent="0.25">
      <c r="A53" s="278"/>
      <c r="B53" s="255"/>
      <c r="C53" s="255"/>
      <c r="D53" s="254"/>
      <c r="E53" s="254"/>
      <c r="F53" s="254"/>
      <c r="G53" s="254"/>
      <c r="H53" s="218">
        <f t="shared" si="3"/>
        <v>0</v>
      </c>
      <c r="I53" s="247">
        <f t="shared" si="4"/>
        <v>0</v>
      </c>
      <c r="J53" s="218">
        <f>IF(OR($C53=Categories!$A$5,$C53=Categories!$A$11),$I53,$I53*(1+'Project data &amp; personnel '!$E$30))</f>
        <v>0</v>
      </c>
      <c r="K53" s="254"/>
      <c r="L53" s="279"/>
      <c r="M53" s="356"/>
      <c r="N53" s="312">
        <f t="shared" si="1"/>
        <v>0</v>
      </c>
    </row>
    <row r="54" spans="1:14" hidden="1" x14ac:dyDescent="0.25">
      <c r="A54" s="278"/>
      <c r="B54" s="255"/>
      <c r="C54" s="255"/>
      <c r="D54" s="254"/>
      <c r="E54" s="254"/>
      <c r="F54" s="254"/>
      <c r="G54" s="254"/>
      <c r="H54" s="218">
        <f t="shared" si="3"/>
        <v>0</v>
      </c>
      <c r="I54" s="247">
        <f t="shared" si="4"/>
        <v>0</v>
      </c>
      <c r="J54" s="218">
        <f>IF(OR($C54=Categories!$A$5,$C54=Categories!$A$11),$I54,$I54*(1+'Project data &amp; personnel '!$E$30))</f>
        <v>0</v>
      </c>
      <c r="K54" s="254"/>
      <c r="L54" s="279"/>
      <c r="M54" s="356"/>
      <c r="N54" s="312">
        <f t="shared" si="1"/>
        <v>0</v>
      </c>
    </row>
    <row r="55" spans="1:14" hidden="1" x14ac:dyDescent="0.25">
      <c r="A55" s="278"/>
      <c r="B55" s="255"/>
      <c r="C55" s="255"/>
      <c r="D55" s="254"/>
      <c r="E55" s="254"/>
      <c r="F55" s="254"/>
      <c r="G55" s="254"/>
      <c r="H55" s="218">
        <f t="shared" si="3"/>
        <v>0</v>
      </c>
      <c r="I55" s="247">
        <f t="shared" si="4"/>
        <v>0</v>
      </c>
      <c r="J55" s="218">
        <f>IF(OR($C55=Categories!$A$5,$C55=Categories!$A$11),$I55,$I55*(1+'Project data &amp; personnel '!$E$30))</f>
        <v>0</v>
      </c>
      <c r="K55" s="254"/>
      <c r="L55" s="279"/>
      <c r="M55" s="356"/>
      <c r="N55" s="312">
        <f t="shared" si="1"/>
        <v>0</v>
      </c>
    </row>
    <row r="56" spans="1:14" hidden="1" x14ac:dyDescent="0.25">
      <c r="A56" s="278"/>
      <c r="B56" s="255"/>
      <c r="C56" s="255"/>
      <c r="D56" s="254"/>
      <c r="E56" s="254"/>
      <c r="F56" s="254"/>
      <c r="G56" s="254"/>
      <c r="H56" s="218">
        <f t="shared" si="3"/>
        <v>0</v>
      </c>
      <c r="I56" s="247">
        <f t="shared" si="4"/>
        <v>0</v>
      </c>
      <c r="J56" s="218">
        <f>IF(OR($C56=Categories!$A$5,$C56=Categories!$A$11),$I56,$I56*(1+'Project data &amp; personnel '!$E$30))</f>
        <v>0</v>
      </c>
      <c r="K56" s="254"/>
      <c r="L56" s="279"/>
      <c r="M56" s="356"/>
      <c r="N56" s="312">
        <f t="shared" si="1"/>
        <v>0</v>
      </c>
    </row>
    <row r="57" spans="1:14" hidden="1" x14ac:dyDescent="0.25">
      <c r="A57" s="278"/>
      <c r="B57" s="255"/>
      <c r="C57" s="255"/>
      <c r="D57" s="254"/>
      <c r="E57" s="254"/>
      <c r="F57" s="254"/>
      <c r="G57" s="254"/>
      <c r="H57" s="218">
        <f t="shared" si="3"/>
        <v>0</v>
      </c>
      <c r="I57" s="247">
        <f t="shared" si="4"/>
        <v>0</v>
      </c>
      <c r="J57" s="218">
        <f>IF(OR($C57=Categories!$A$5,$C57=Categories!$A$11),$I57,$I57*(1+'Project data &amp; personnel '!$E$30))</f>
        <v>0</v>
      </c>
      <c r="K57" s="254"/>
      <c r="L57" s="279"/>
      <c r="M57" s="356"/>
      <c r="N57" s="312">
        <f t="shared" si="1"/>
        <v>0</v>
      </c>
    </row>
    <row r="58" spans="1:14" hidden="1" x14ac:dyDescent="0.25">
      <c r="A58" s="278"/>
      <c r="B58" s="255"/>
      <c r="C58" s="255"/>
      <c r="D58" s="254"/>
      <c r="E58" s="254"/>
      <c r="F58" s="254"/>
      <c r="G58" s="254"/>
      <c r="H58" s="218">
        <f t="shared" si="3"/>
        <v>0</v>
      </c>
      <c r="I58" s="247">
        <f t="shared" si="4"/>
        <v>0</v>
      </c>
      <c r="J58" s="218">
        <f>IF(OR($C58=Categories!$A$5,$C58=Categories!$A$11),$I58,$I58*(1+'Project data &amp; personnel '!$E$30))</f>
        <v>0</v>
      </c>
      <c r="K58" s="254"/>
      <c r="L58" s="279"/>
      <c r="M58" s="356"/>
      <c r="N58" s="312">
        <f t="shared" si="1"/>
        <v>0</v>
      </c>
    </row>
    <row r="59" spans="1:14" hidden="1" x14ac:dyDescent="0.25">
      <c r="A59" s="278"/>
      <c r="B59" s="255"/>
      <c r="C59" s="255"/>
      <c r="D59" s="254"/>
      <c r="E59" s="254"/>
      <c r="F59" s="254"/>
      <c r="G59" s="254"/>
      <c r="H59" s="218">
        <f t="shared" si="3"/>
        <v>0</v>
      </c>
      <c r="I59" s="247">
        <f t="shared" si="4"/>
        <v>0</v>
      </c>
      <c r="J59" s="218">
        <f>IF(OR($C59=Categories!$A$5,$C59=Categories!$A$11),$I59,$I59*(1+'Project data &amp; personnel '!$E$30))</f>
        <v>0</v>
      </c>
      <c r="K59" s="254"/>
      <c r="L59" s="279"/>
      <c r="M59" s="356"/>
      <c r="N59" s="312">
        <f t="shared" si="1"/>
        <v>0</v>
      </c>
    </row>
    <row r="60" spans="1:14" hidden="1" x14ac:dyDescent="0.25">
      <c r="A60" s="278"/>
      <c r="B60" s="255"/>
      <c r="C60" s="255"/>
      <c r="D60" s="254"/>
      <c r="E60" s="254"/>
      <c r="F60" s="254"/>
      <c r="G60" s="254"/>
      <c r="H60" s="218">
        <f t="shared" si="3"/>
        <v>0</v>
      </c>
      <c r="I60" s="247">
        <f t="shared" si="4"/>
        <v>0</v>
      </c>
      <c r="J60" s="218">
        <f>IF(OR($C60=Categories!$A$5,$C60=Categories!$A$11),$I60,$I60*(1+'Project data &amp; personnel '!$E$30))</f>
        <v>0</v>
      </c>
      <c r="K60" s="254"/>
      <c r="L60" s="279"/>
      <c r="M60" s="356"/>
      <c r="N60" s="312">
        <f t="shared" si="1"/>
        <v>0</v>
      </c>
    </row>
    <row r="61" spans="1:14" hidden="1" x14ac:dyDescent="0.25">
      <c r="A61" s="278"/>
      <c r="B61" s="255"/>
      <c r="C61" s="255"/>
      <c r="D61" s="254"/>
      <c r="E61" s="254"/>
      <c r="F61" s="254"/>
      <c r="G61" s="254"/>
      <c r="H61" s="218">
        <f t="shared" si="3"/>
        <v>0</v>
      </c>
      <c r="I61" s="247">
        <f t="shared" si="4"/>
        <v>0</v>
      </c>
      <c r="J61" s="218">
        <f>IF(OR($C61=Categories!$A$5,$C61=Categories!$A$11),$I61,$I61*(1+'Project data &amp; personnel '!$E$30))</f>
        <v>0</v>
      </c>
      <c r="K61" s="254"/>
      <c r="L61" s="279"/>
      <c r="M61" s="356"/>
      <c r="N61" s="312">
        <f t="shared" si="1"/>
        <v>0</v>
      </c>
    </row>
    <row r="62" spans="1:14" hidden="1" x14ac:dyDescent="0.25">
      <c r="A62" s="278"/>
      <c r="B62" s="255"/>
      <c r="C62" s="255"/>
      <c r="D62" s="254"/>
      <c r="E62" s="254"/>
      <c r="F62" s="254"/>
      <c r="G62" s="254"/>
      <c r="H62" s="218">
        <f t="shared" si="3"/>
        <v>0</v>
      </c>
      <c r="I62" s="247">
        <f t="shared" si="4"/>
        <v>0</v>
      </c>
      <c r="J62" s="218">
        <f>IF(OR($C62=Categories!$A$5,$C62=Categories!$A$11),$I62,$I62*(1+'Project data &amp; personnel '!$E$30))</f>
        <v>0</v>
      </c>
      <c r="K62" s="254"/>
      <c r="L62" s="279"/>
      <c r="M62" s="356"/>
      <c r="N62" s="312">
        <f t="shared" si="1"/>
        <v>0</v>
      </c>
    </row>
    <row r="63" spans="1:14" hidden="1" x14ac:dyDescent="0.25">
      <c r="A63" s="278"/>
      <c r="B63" s="255"/>
      <c r="C63" s="255"/>
      <c r="D63" s="254"/>
      <c r="E63" s="254"/>
      <c r="F63" s="254"/>
      <c r="G63" s="254"/>
      <c r="H63" s="218">
        <f t="shared" si="3"/>
        <v>0</v>
      </c>
      <c r="I63" s="247">
        <f t="shared" si="4"/>
        <v>0</v>
      </c>
      <c r="J63" s="218">
        <f>IF(OR($C63=Categories!$A$5,$C63=Categories!$A$11),$I63,$I63*(1+'Project data &amp; personnel '!$E$30))</f>
        <v>0</v>
      </c>
      <c r="K63" s="254"/>
      <c r="L63" s="279"/>
      <c r="M63" s="356"/>
      <c r="N63" s="312">
        <f t="shared" si="1"/>
        <v>0</v>
      </c>
    </row>
    <row r="64" spans="1:14" hidden="1" x14ac:dyDescent="0.25">
      <c r="A64" s="278"/>
      <c r="B64" s="255"/>
      <c r="C64" s="255"/>
      <c r="D64" s="254"/>
      <c r="E64" s="254"/>
      <c r="F64" s="254"/>
      <c r="G64" s="254"/>
      <c r="H64" s="218">
        <f t="shared" si="3"/>
        <v>0</v>
      </c>
      <c r="I64" s="247">
        <f t="shared" si="4"/>
        <v>0</v>
      </c>
      <c r="J64" s="218">
        <f>IF(OR($C64=Categories!$A$5,$C64=Categories!$A$11),$I64,$I64*(1+'Project data &amp; personnel '!$E$30))</f>
        <v>0</v>
      </c>
      <c r="K64" s="254"/>
      <c r="L64" s="279"/>
      <c r="M64" s="356"/>
      <c r="N64" s="312">
        <f t="shared" si="1"/>
        <v>0</v>
      </c>
    </row>
    <row r="65" spans="1:14" hidden="1" x14ac:dyDescent="0.25">
      <c r="A65" s="278"/>
      <c r="B65" s="255"/>
      <c r="C65" s="255"/>
      <c r="D65" s="254"/>
      <c r="E65" s="254"/>
      <c r="F65" s="254"/>
      <c r="G65" s="254"/>
      <c r="H65" s="218">
        <f t="shared" si="3"/>
        <v>0</v>
      </c>
      <c r="I65" s="247">
        <f t="shared" si="4"/>
        <v>0</v>
      </c>
      <c r="J65" s="218">
        <f>IF(OR($C65=Categories!$A$5,$C65=Categories!$A$11),$I65,$I65*(1+'Project data &amp; personnel '!$E$30))</f>
        <v>0</v>
      </c>
      <c r="K65" s="254"/>
      <c r="L65" s="279"/>
      <c r="M65" s="356"/>
      <c r="N65" s="312">
        <f t="shared" si="1"/>
        <v>0</v>
      </c>
    </row>
    <row r="66" spans="1:14" hidden="1" x14ac:dyDescent="0.25">
      <c r="A66" s="278"/>
      <c r="B66" s="255"/>
      <c r="C66" s="255"/>
      <c r="D66" s="254"/>
      <c r="E66" s="254"/>
      <c r="F66" s="254"/>
      <c r="G66" s="254"/>
      <c r="H66" s="218">
        <f t="shared" si="3"/>
        <v>0</v>
      </c>
      <c r="I66" s="247">
        <f t="shared" si="4"/>
        <v>0</v>
      </c>
      <c r="J66" s="218">
        <f>IF(OR($C66=Categories!$A$5,$C66=Categories!$A$11),$I66,$I66*(1+'Project data &amp; personnel '!$E$30))</f>
        <v>0</v>
      </c>
      <c r="K66" s="254"/>
      <c r="L66" s="279"/>
      <c r="M66" s="356"/>
      <c r="N66" s="312">
        <f t="shared" si="1"/>
        <v>0</v>
      </c>
    </row>
    <row r="67" spans="1:14" hidden="1" x14ac:dyDescent="0.25">
      <c r="A67" s="278"/>
      <c r="B67" s="255"/>
      <c r="C67" s="255"/>
      <c r="D67" s="254"/>
      <c r="E67" s="254"/>
      <c r="F67" s="254"/>
      <c r="G67" s="254"/>
      <c r="H67" s="218">
        <f t="shared" si="3"/>
        <v>0</v>
      </c>
      <c r="I67" s="247">
        <f t="shared" si="4"/>
        <v>0</v>
      </c>
      <c r="J67" s="218">
        <f>IF(OR($C67=Categories!$A$5,$C67=Categories!$A$11),$I67,$I67*(1+'Project data &amp; personnel '!$E$30))</f>
        <v>0</v>
      </c>
      <c r="K67" s="254"/>
      <c r="L67" s="279"/>
      <c r="M67" s="356"/>
      <c r="N67" s="312">
        <f t="shared" si="1"/>
        <v>0</v>
      </c>
    </row>
    <row r="68" spans="1:14" hidden="1" x14ac:dyDescent="0.25">
      <c r="A68" s="278"/>
      <c r="B68" s="255"/>
      <c r="C68" s="255"/>
      <c r="D68" s="254"/>
      <c r="E68" s="254"/>
      <c r="F68" s="254"/>
      <c r="G68" s="254"/>
      <c r="H68" s="218">
        <f t="shared" si="3"/>
        <v>0</v>
      </c>
      <c r="I68" s="247">
        <f t="shared" si="4"/>
        <v>0</v>
      </c>
      <c r="J68" s="218">
        <f>IF(OR($C68=Categories!$A$5,$C68=Categories!$A$11),$I68,$I68*(1+'Project data &amp; personnel '!$E$30))</f>
        <v>0</v>
      </c>
      <c r="K68" s="254"/>
      <c r="L68" s="279"/>
      <c r="M68" s="356"/>
      <c r="N68" s="312">
        <f t="shared" si="1"/>
        <v>0</v>
      </c>
    </row>
    <row r="69" spans="1:14" hidden="1" x14ac:dyDescent="0.25">
      <c r="A69" s="278"/>
      <c r="B69" s="255"/>
      <c r="C69" s="255"/>
      <c r="D69" s="254"/>
      <c r="E69" s="254"/>
      <c r="F69" s="254"/>
      <c r="G69" s="254"/>
      <c r="H69" s="218">
        <f t="shared" si="3"/>
        <v>0</v>
      </c>
      <c r="I69" s="247">
        <f t="shared" si="4"/>
        <v>0</v>
      </c>
      <c r="J69" s="218">
        <f>IF(OR($C69=Categories!$A$5,$C69=Categories!$A$11),$I69,$I69*(1+'Project data &amp; personnel '!$E$30))</f>
        <v>0</v>
      </c>
      <c r="K69" s="254"/>
      <c r="L69" s="279"/>
      <c r="M69" s="356"/>
      <c r="N69" s="312">
        <f t="shared" si="1"/>
        <v>0</v>
      </c>
    </row>
    <row r="70" spans="1:14" hidden="1" x14ac:dyDescent="0.25">
      <c r="A70" s="278"/>
      <c r="B70" s="255"/>
      <c r="C70" s="255"/>
      <c r="D70" s="254"/>
      <c r="E70" s="254"/>
      <c r="F70" s="254"/>
      <c r="G70" s="254"/>
      <c r="H70" s="218">
        <f t="shared" si="3"/>
        <v>0</v>
      </c>
      <c r="I70" s="247">
        <f t="shared" si="4"/>
        <v>0</v>
      </c>
      <c r="J70" s="218">
        <f>IF(OR($C70=Categories!$A$5,$C70=Categories!$A$11),$I70,$I70*(1+'Project data &amp; personnel '!$E$30))</f>
        <v>0</v>
      </c>
      <c r="K70" s="254"/>
      <c r="L70" s="279"/>
      <c r="M70" s="356"/>
      <c r="N70" s="312">
        <f t="shared" si="1"/>
        <v>0</v>
      </c>
    </row>
    <row r="71" spans="1:14" hidden="1" x14ac:dyDescent="0.25">
      <c r="A71" s="278"/>
      <c r="B71" s="255"/>
      <c r="C71" s="255"/>
      <c r="D71" s="254"/>
      <c r="E71" s="254"/>
      <c r="F71" s="254"/>
      <c r="G71" s="254"/>
      <c r="H71" s="218">
        <f t="shared" si="3"/>
        <v>0</v>
      </c>
      <c r="I71" s="247">
        <f t="shared" si="4"/>
        <v>0</v>
      </c>
      <c r="J71" s="218">
        <f>IF(OR($C71=Categories!$A$5,$C71=Categories!$A$11),$I71,$I71*(1+'Project data &amp; personnel '!$E$30))</f>
        <v>0</v>
      </c>
      <c r="K71" s="254"/>
      <c r="L71" s="279"/>
      <c r="M71" s="356"/>
      <c r="N71" s="312">
        <f t="shared" si="1"/>
        <v>0</v>
      </c>
    </row>
    <row r="72" spans="1:14" hidden="1" x14ac:dyDescent="0.25">
      <c r="A72" s="278"/>
      <c r="B72" s="255"/>
      <c r="C72" s="255"/>
      <c r="D72" s="254"/>
      <c r="E72" s="254"/>
      <c r="F72" s="254"/>
      <c r="G72" s="254"/>
      <c r="H72" s="218">
        <f t="shared" si="3"/>
        <v>0</v>
      </c>
      <c r="I72" s="247">
        <f t="shared" si="4"/>
        <v>0</v>
      </c>
      <c r="J72" s="218">
        <f>IF(OR($C72=Categories!$A$5,$C72=Categories!$A$11),$I72,$I72*(1+'Project data &amp; personnel '!$E$30))</f>
        <v>0</v>
      </c>
      <c r="K72" s="254"/>
      <c r="L72" s="279"/>
      <c r="M72" s="356"/>
      <c r="N72" s="312">
        <f t="shared" si="1"/>
        <v>0</v>
      </c>
    </row>
    <row r="73" spans="1:14" hidden="1" x14ac:dyDescent="0.25">
      <c r="A73" s="278"/>
      <c r="B73" s="255"/>
      <c r="C73" s="255"/>
      <c r="D73" s="254"/>
      <c r="E73" s="254"/>
      <c r="F73" s="254"/>
      <c r="G73" s="254"/>
      <c r="H73" s="218">
        <f t="shared" si="3"/>
        <v>0</v>
      </c>
      <c r="I73" s="247">
        <f t="shared" si="4"/>
        <v>0</v>
      </c>
      <c r="J73" s="218">
        <f>IF(OR($C73=Categories!$A$5,$C73=Categories!$A$11),$I73,$I73*(1+'Project data &amp; personnel '!$E$30))</f>
        <v>0</v>
      </c>
      <c r="K73" s="254"/>
      <c r="L73" s="279"/>
      <c r="M73" s="356"/>
      <c r="N73" s="312">
        <f t="shared" si="1"/>
        <v>0</v>
      </c>
    </row>
    <row r="74" spans="1:14" hidden="1" x14ac:dyDescent="0.25">
      <c r="A74" s="278"/>
      <c r="B74" s="255"/>
      <c r="C74" s="255"/>
      <c r="D74" s="254"/>
      <c r="E74" s="254"/>
      <c r="F74" s="254"/>
      <c r="G74" s="254"/>
      <c r="H74" s="218">
        <f t="shared" si="3"/>
        <v>0</v>
      </c>
      <c r="I74" s="247">
        <f t="shared" si="4"/>
        <v>0</v>
      </c>
      <c r="J74" s="218">
        <f>IF(OR($C74=Categories!$A$5,$C74=Categories!$A$11),$I74,$I74*(1+'Project data &amp; personnel '!$E$30))</f>
        <v>0</v>
      </c>
      <c r="K74" s="254"/>
      <c r="L74" s="279"/>
      <c r="M74" s="356"/>
      <c r="N74" s="312">
        <f t="shared" si="1"/>
        <v>0</v>
      </c>
    </row>
    <row r="75" spans="1:14" hidden="1" x14ac:dyDescent="0.25">
      <c r="A75" s="278"/>
      <c r="B75" s="255"/>
      <c r="C75" s="255"/>
      <c r="D75" s="254"/>
      <c r="E75" s="254"/>
      <c r="F75" s="254"/>
      <c r="G75" s="254"/>
      <c r="H75" s="218">
        <f t="shared" si="3"/>
        <v>0</v>
      </c>
      <c r="I75" s="247">
        <f t="shared" si="4"/>
        <v>0</v>
      </c>
      <c r="J75" s="218">
        <f>IF(OR($C75=Categories!$A$5,$C75=Categories!$A$11),$I75,$I75*(1+'Project data &amp; personnel '!$E$30))</f>
        <v>0</v>
      </c>
      <c r="K75" s="254"/>
      <c r="L75" s="279"/>
      <c r="M75" s="356"/>
      <c r="N75" s="312">
        <f t="shared" si="1"/>
        <v>0</v>
      </c>
    </row>
    <row r="76" spans="1:14" hidden="1" x14ac:dyDescent="0.25">
      <c r="A76" s="278"/>
      <c r="B76" s="255"/>
      <c r="C76" s="255"/>
      <c r="D76" s="254"/>
      <c r="E76" s="254"/>
      <c r="F76" s="254"/>
      <c r="G76" s="254"/>
      <c r="H76" s="218">
        <f t="shared" si="3"/>
        <v>0</v>
      </c>
      <c r="I76" s="247">
        <f t="shared" si="4"/>
        <v>0</v>
      </c>
      <c r="J76" s="218">
        <f>IF(OR($C76=Categories!$A$5,$C76=Categories!$A$11),$I76,$I76*(1+'Project data &amp; personnel '!$E$30))</f>
        <v>0</v>
      </c>
      <c r="K76" s="254"/>
      <c r="L76" s="279"/>
      <c r="M76" s="356"/>
      <c r="N76" s="312">
        <f t="shared" si="1"/>
        <v>0</v>
      </c>
    </row>
    <row r="77" spans="1:14" hidden="1" x14ac:dyDescent="0.25">
      <c r="A77" s="278"/>
      <c r="B77" s="255"/>
      <c r="C77" s="255"/>
      <c r="D77" s="254"/>
      <c r="E77" s="254"/>
      <c r="F77" s="254"/>
      <c r="G77" s="254"/>
      <c r="H77" s="218">
        <f t="shared" si="3"/>
        <v>0</v>
      </c>
      <c r="I77" s="247">
        <f t="shared" si="4"/>
        <v>0</v>
      </c>
      <c r="J77" s="218">
        <f>IF(OR($C77=Categories!$A$5,$C77=Categories!$A$11),$I77,$I77*(1+'Project data &amp; personnel '!$E$30))</f>
        <v>0</v>
      </c>
      <c r="K77" s="254"/>
      <c r="L77" s="279"/>
      <c r="M77" s="356"/>
      <c r="N77" s="312">
        <f t="shared" si="1"/>
        <v>0</v>
      </c>
    </row>
    <row r="78" spans="1:14" hidden="1" x14ac:dyDescent="0.25">
      <c r="A78" s="278"/>
      <c r="B78" s="255"/>
      <c r="C78" s="255"/>
      <c r="D78" s="254"/>
      <c r="E78" s="254"/>
      <c r="F78" s="254"/>
      <c r="G78" s="254"/>
      <c r="H78" s="218">
        <f t="shared" si="3"/>
        <v>0</v>
      </c>
      <c r="I78" s="247">
        <f t="shared" si="4"/>
        <v>0</v>
      </c>
      <c r="J78" s="218">
        <f>IF(OR($C78=Categories!$A$5,$C78=Categories!$A$11),$I78,$I78*(1+'Project data &amp; personnel '!$E$30))</f>
        <v>0</v>
      </c>
      <c r="K78" s="254"/>
      <c r="L78" s="279"/>
      <c r="M78" s="356"/>
      <c r="N78" s="312">
        <f t="shared" si="1"/>
        <v>0</v>
      </c>
    </row>
    <row r="79" spans="1:14" hidden="1" x14ac:dyDescent="0.25">
      <c r="A79" s="278"/>
      <c r="B79" s="255"/>
      <c r="C79" s="255"/>
      <c r="D79" s="254"/>
      <c r="E79" s="254"/>
      <c r="F79" s="254"/>
      <c r="G79" s="254"/>
      <c r="H79" s="218">
        <f t="shared" si="3"/>
        <v>0</v>
      </c>
      <c r="I79" s="247">
        <f t="shared" si="4"/>
        <v>0</v>
      </c>
      <c r="J79" s="218">
        <f>IF(OR($C79=Categories!$A$5,$C79=Categories!$A$11),$I79,$I79*(1+'Project data &amp; personnel '!$E$30))</f>
        <v>0</v>
      </c>
      <c r="K79" s="254"/>
      <c r="L79" s="279"/>
      <c r="M79" s="356"/>
      <c r="N79" s="312">
        <f t="shared" ref="N79:N142" si="5">H79-I79</f>
        <v>0</v>
      </c>
    </row>
    <row r="80" spans="1:14" hidden="1" x14ac:dyDescent="0.25">
      <c r="A80" s="278"/>
      <c r="B80" s="255"/>
      <c r="C80" s="255"/>
      <c r="D80" s="254"/>
      <c r="E80" s="254"/>
      <c r="F80" s="254"/>
      <c r="G80" s="254"/>
      <c r="H80" s="218">
        <f t="shared" si="3"/>
        <v>0</v>
      </c>
      <c r="I80" s="247">
        <f t="shared" si="4"/>
        <v>0</v>
      </c>
      <c r="J80" s="218">
        <f>IF(OR($C80=Categories!$A$5,$C80=Categories!$A$11),$I80,$I80*(1+'Project data &amp; personnel '!$E$30))</f>
        <v>0</v>
      </c>
      <c r="K80" s="254"/>
      <c r="L80" s="279"/>
      <c r="M80" s="356"/>
      <c r="N80" s="312">
        <f t="shared" si="5"/>
        <v>0</v>
      </c>
    </row>
    <row r="81" spans="1:14" hidden="1" x14ac:dyDescent="0.25">
      <c r="A81" s="278"/>
      <c r="B81" s="255"/>
      <c r="C81" s="255"/>
      <c r="D81" s="254"/>
      <c r="E81" s="254"/>
      <c r="F81" s="254"/>
      <c r="G81" s="254"/>
      <c r="H81" s="218">
        <f t="shared" si="3"/>
        <v>0</v>
      </c>
      <c r="I81" s="247">
        <f t="shared" si="4"/>
        <v>0</v>
      </c>
      <c r="J81" s="218">
        <f>IF(OR($C81=Categories!$A$5,$C81=Categories!$A$11),$I81,$I81*(1+'Project data &amp; personnel '!$E$30))</f>
        <v>0</v>
      </c>
      <c r="K81" s="254"/>
      <c r="L81" s="279"/>
      <c r="M81" s="356"/>
      <c r="N81" s="312">
        <f t="shared" si="5"/>
        <v>0</v>
      </c>
    </row>
    <row r="82" spans="1:14" hidden="1" x14ac:dyDescent="0.25">
      <c r="A82" s="278"/>
      <c r="B82" s="255"/>
      <c r="C82" s="255"/>
      <c r="D82" s="254"/>
      <c r="E82" s="254"/>
      <c r="F82" s="254"/>
      <c r="G82" s="254"/>
      <c r="H82" s="218">
        <f t="shared" si="3"/>
        <v>0</v>
      </c>
      <c r="I82" s="247">
        <f t="shared" si="4"/>
        <v>0</v>
      </c>
      <c r="J82" s="218">
        <f>IF(OR($C82=Categories!$A$5,$C82=Categories!$A$11),$I82,$I82*(1+'Project data &amp; personnel '!$E$30))</f>
        <v>0</v>
      </c>
      <c r="K82" s="254"/>
      <c r="L82" s="279"/>
      <c r="M82" s="356"/>
      <c r="N82" s="312">
        <f t="shared" si="5"/>
        <v>0</v>
      </c>
    </row>
    <row r="83" spans="1:14" hidden="1" x14ac:dyDescent="0.25">
      <c r="A83" s="278"/>
      <c r="B83" s="255"/>
      <c r="C83" s="255"/>
      <c r="D83" s="254"/>
      <c r="E83" s="254"/>
      <c r="F83" s="254"/>
      <c r="G83" s="254"/>
      <c r="H83" s="218">
        <f t="shared" si="3"/>
        <v>0</v>
      </c>
      <c r="I83" s="247">
        <f t="shared" si="4"/>
        <v>0</v>
      </c>
      <c r="J83" s="218">
        <f>IF(OR($C83=Categories!$A$5,$C83=Categories!$A$11),$I83,$I83*(1+'Project data &amp; personnel '!$E$30))</f>
        <v>0</v>
      </c>
      <c r="K83" s="254"/>
      <c r="L83" s="279"/>
      <c r="M83" s="356"/>
      <c r="N83" s="312">
        <f t="shared" si="5"/>
        <v>0</v>
      </c>
    </row>
    <row r="84" spans="1:14" hidden="1" x14ac:dyDescent="0.25">
      <c r="A84" s="278"/>
      <c r="B84" s="255"/>
      <c r="C84" s="255"/>
      <c r="D84" s="254"/>
      <c r="E84" s="254"/>
      <c r="F84" s="254"/>
      <c r="G84" s="254"/>
      <c r="H84" s="218">
        <f t="shared" si="3"/>
        <v>0</v>
      </c>
      <c r="I84" s="247">
        <f t="shared" si="4"/>
        <v>0</v>
      </c>
      <c r="J84" s="218">
        <f>IF(OR($C84=Categories!$A$5,$C84=Categories!$A$11),$I84,$I84*(1+'Project data &amp; personnel '!$E$30))</f>
        <v>0</v>
      </c>
      <c r="K84" s="254"/>
      <c r="L84" s="279"/>
      <c r="M84" s="356"/>
      <c r="N84" s="312">
        <f t="shared" si="5"/>
        <v>0</v>
      </c>
    </row>
    <row r="85" spans="1:14" hidden="1" x14ac:dyDescent="0.25">
      <c r="A85" s="278"/>
      <c r="B85" s="255"/>
      <c r="C85" s="255"/>
      <c r="D85" s="254"/>
      <c r="E85" s="254"/>
      <c r="F85" s="254"/>
      <c r="G85" s="254"/>
      <c r="H85" s="218">
        <f t="shared" si="3"/>
        <v>0</v>
      </c>
      <c r="I85" s="247">
        <f t="shared" si="4"/>
        <v>0</v>
      </c>
      <c r="J85" s="218">
        <f>IF(OR($C85=Categories!$A$5,$C85=Categories!$A$11),$I85,$I85*(1+'Project data &amp; personnel '!$E$30))</f>
        <v>0</v>
      </c>
      <c r="K85" s="254"/>
      <c r="L85" s="279"/>
      <c r="M85" s="356"/>
      <c r="N85" s="312">
        <f t="shared" si="5"/>
        <v>0</v>
      </c>
    </row>
    <row r="86" spans="1:14" hidden="1" x14ac:dyDescent="0.25">
      <c r="A86" s="278"/>
      <c r="B86" s="255"/>
      <c r="C86" s="255"/>
      <c r="D86" s="254"/>
      <c r="E86" s="254"/>
      <c r="F86" s="254"/>
      <c r="G86" s="254"/>
      <c r="H86" s="218">
        <f t="shared" si="3"/>
        <v>0</v>
      </c>
      <c r="I86" s="247">
        <f t="shared" si="4"/>
        <v>0</v>
      </c>
      <c r="J86" s="218">
        <f>IF(OR($C86=Categories!$A$5,$C86=Categories!$A$11),$I86,$I86*(1+'Project data &amp; personnel '!$E$30))</f>
        <v>0</v>
      </c>
      <c r="K86" s="254"/>
      <c r="L86" s="279"/>
      <c r="M86" s="356"/>
      <c r="N86" s="312">
        <f t="shared" si="5"/>
        <v>0</v>
      </c>
    </row>
    <row r="87" spans="1:14" hidden="1" x14ac:dyDescent="0.25">
      <c r="A87" s="278"/>
      <c r="B87" s="255"/>
      <c r="C87" s="255"/>
      <c r="D87" s="254"/>
      <c r="E87" s="254"/>
      <c r="F87" s="254"/>
      <c r="G87" s="254"/>
      <c r="H87" s="218">
        <f t="shared" ref="H87:H150" si="6">F87*G87</f>
        <v>0</v>
      </c>
      <c r="I87" s="247">
        <f t="shared" ref="I87:I150" si="7">H87</f>
        <v>0</v>
      </c>
      <c r="J87" s="218">
        <f>IF(OR($C87=Categories!$A$5,$C87=Categories!$A$11),$I87,$I87*(1+'Project data &amp; personnel '!$E$30))</f>
        <v>0</v>
      </c>
      <c r="K87" s="254"/>
      <c r="L87" s="279"/>
      <c r="M87" s="356"/>
      <c r="N87" s="312">
        <f t="shared" si="5"/>
        <v>0</v>
      </c>
    </row>
    <row r="88" spans="1:14" hidden="1" x14ac:dyDescent="0.25">
      <c r="A88" s="278"/>
      <c r="B88" s="255"/>
      <c r="C88" s="255"/>
      <c r="D88" s="254"/>
      <c r="E88" s="254"/>
      <c r="F88" s="254"/>
      <c r="G88" s="254"/>
      <c r="H88" s="218">
        <f t="shared" si="6"/>
        <v>0</v>
      </c>
      <c r="I88" s="247">
        <f t="shared" si="7"/>
        <v>0</v>
      </c>
      <c r="J88" s="218">
        <f>IF(OR($C88=Categories!$A$5,$C88=Categories!$A$11),$I88,$I88*(1+'Project data &amp; personnel '!$E$30))</f>
        <v>0</v>
      </c>
      <c r="K88" s="254"/>
      <c r="L88" s="279"/>
      <c r="M88" s="356"/>
      <c r="N88" s="312">
        <f t="shared" si="5"/>
        <v>0</v>
      </c>
    </row>
    <row r="89" spans="1:14" hidden="1" x14ac:dyDescent="0.25">
      <c r="A89" s="278"/>
      <c r="B89" s="255"/>
      <c r="C89" s="255"/>
      <c r="D89" s="254"/>
      <c r="E89" s="254"/>
      <c r="F89" s="254"/>
      <c r="G89" s="254"/>
      <c r="H89" s="218">
        <f t="shared" si="6"/>
        <v>0</v>
      </c>
      <c r="I89" s="247">
        <f t="shared" si="7"/>
        <v>0</v>
      </c>
      <c r="J89" s="218">
        <f>IF(OR($C89=Categories!$A$5,$C89=Categories!$A$11),$I89,$I89*(1+'Project data &amp; personnel '!$E$30))</f>
        <v>0</v>
      </c>
      <c r="K89" s="254"/>
      <c r="L89" s="279"/>
      <c r="M89" s="356"/>
      <c r="N89" s="312">
        <f t="shared" si="5"/>
        <v>0</v>
      </c>
    </row>
    <row r="90" spans="1:14" hidden="1" x14ac:dyDescent="0.25">
      <c r="A90" s="278"/>
      <c r="B90" s="255"/>
      <c r="C90" s="255"/>
      <c r="D90" s="254"/>
      <c r="E90" s="254"/>
      <c r="F90" s="254"/>
      <c r="G90" s="254"/>
      <c r="H90" s="218">
        <f t="shared" si="6"/>
        <v>0</v>
      </c>
      <c r="I90" s="247">
        <f t="shared" si="7"/>
        <v>0</v>
      </c>
      <c r="J90" s="218">
        <f>IF(OR($C90=Categories!$A$5,$C90=Categories!$A$11),$I90,$I90*(1+'Project data &amp; personnel '!$E$30))</f>
        <v>0</v>
      </c>
      <c r="K90" s="254"/>
      <c r="L90" s="279"/>
      <c r="M90" s="356"/>
      <c r="N90" s="312">
        <f t="shared" si="5"/>
        <v>0</v>
      </c>
    </row>
    <row r="91" spans="1:14" hidden="1" x14ac:dyDescent="0.25">
      <c r="A91" s="278"/>
      <c r="B91" s="255"/>
      <c r="C91" s="255"/>
      <c r="D91" s="254"/>
      <c r="E91" s="254"/>
      <c r="F91" s="254"/>
      <c r="G91" s="254"/>
      <c r="H91" s="218">
        <f t="shared" si="6"/>
        <v>0</v>
      </c>
      <c r="I91" s="247">
        <f t="shared" si="7"/>
        <v>0</v>
      </c>
      <c r="J91" s="218">
        <f>IF(OR($C91=Categories!$A$5,$C91=Categories!$A$11),$I91,$I91*(1+'Project data &amp; personnel '!$E$30))</f>
        <v>0</v>
      </c>
      <c r="K91" s="254"/>
      <c r="L91" s="279"/>
      <c r="M91" s="356"/>
      <c r="N91" s="312">
        <f t="shared" si="5"/>
        <v>0</v>
      </c>
    </row>
    <row r="92" spans="1:14" hidden="1" x14ac:dyDescent="0.25">
      <c r="A92" s="278"/>
      <c r="B92" s="255"/>
      <c r="C92" s="255"/>
      <c r="D92" s="254"/>
      <c r="E92" s="254"/>
      <c r="F92" s="254"/>
      <c r="G92" s="254"/>
      <c r="H92" s="218">
        <f t="shared" si="6"/>
        <v>0</v>
      </c>
      <c r="I92" s="247">
        <f t="shared" si="7"/>
        <v>0</v>
      </c>
      <c r="J92" s="218">
        <f>IF(OR($C92=Categories!$A$5,$C92=Categories!$A$11),$I92,$I92*(1+'Project data &amp; personnel '!$E$30))</f>
        <v>0</v>
      </c>
      <c r="K92" s="254"/>
      <c r="L92" s="279"/>
      <c r="M92" s="356"/>
      <c r="N92" s="312">
        <f t="shared" si="5"/>
        <v>0</v>
      </c>
    </row>
    <row r="93" spans="1:14" hidden="1" x14ac:dyDescent="0.25">
      <c r="A93" s="278"/>
      <c r="B93" s="255"/>
      <c r="C93" s="255"/>
      <c r="D93" s="254"/>
      <c r="E93" s="254"/>
      <c r="F93" s="254"/>
      <c r="G93" s="254"/>
      <c r="H93" s="218">
        <f t="shared" si="6"/>
        <v>0</v>
      </c>
      <c r="I93" s="247">
        <f t="shared" si="7"/>
        <v>0</v>
      </c>
      <c r="J93" s="218">
        <f>IF(OR($C93=Categories!$A$5,$C93=Categories!$A$11),$I93,$I93*(1+'Project data &amp; personnel '!$E$30))</f>
        <v>0</v>
      </c>
      <c r="K93" s="254"/>
      <c r="L93" s="279"/>
      <c r="M93" s="356"/>
      <c r="N93" s="312">
        <f t="shared" si="5"/>
        <v>0</v>
      </c>
    </row>
    <row r="94" spans="1:14" hidden="1" x14ac:dyDescent="0.25">
      <c r="A94" s="278"/>
      <c r="B94" s="255"/>
      <c r="C94" s="255"/>
      <c r="D94" s="254"/>
      <c r="E94" s="254"/>
      <c r="F94" s="254"/>
      <c r="G94" s="254"/>
      <c r="H94" s="218">
        <f t="shared" si="6"/>
        <v>0</v>
      </c>
      <c r="I94" s="247">
        <f t="shared" si="7"/>
        <v>0</v>
      </c>
      <c r="J94" s="218">
        <f>IF(OR($C94=Categories!$A$5,$C94=Categories!$A$11),$I94,$I94*(1+'Project data &amp; personnel '!$E$30))</f>
        <v>0</v>
      </c>
      <c r="K94" s="254"/>
      <c r="L94" s="279"/>
      <c r="M94" s="356"/>
      <c r="N94" s="312">
        <f t="shared" si="5"/>
        <v>0</v>
      </c>
    </row>
    <row r="95" spans="1:14" hidden="1" x14ac:dyDescent="0.25">
      <c r="A95" s="278"/>
      <c r="B95" s="255"/>
      <c r="C95" s="255"/>
      <c r="D95" s="254"/>
      <c r="E95" s="254"/>
      <c r="F95" s="254"/>
      <c r="G95" s="254"/>
      <c r="H95" s="218">
        <f t="shared" si="6"/>
        <v>0</v>
      </c>
      <c r="I95" s="247">
        <f t="shared" si="7"/>
        <v>0</v>
      </c>
      <c r="J95" s="218">
        <f>IF(OR($C95=Categories!$A$5,$C95=Categories!$A$11),$I95,$I95*(1+'Project data &amp; personnel '!$E$30))</f>
        <v>0</v>
      </c>
      <c r="K95" s="254"/>
      <c r="L95" s="279"/>
      <c r="M95" s="356"/>
      <c r="N95" s="312">
        <f t="shared" si="5"/>
        <v>0</v>
      </c>
    </row>
    <row r="96" spans="1:14" hidden="1" x14ac:dyDescent="0.25">
      <c r="A96" s="278"/>
      <c r="B96" s="255"/>
      <c r="C96" s="255"/>
      <c r="D96" s="254"/>
      <c r="E96" s="254"/>
      <c r="F96" s="254"/>
      <c r="G96" s="254"/>
      <c r="H96" s="218">
        <f t="shared" si="6"/>
        <v>0</v>
      </c>
      <c r="I96" s="247">
        <f t="shared" si="7"/>
        <v>0</v>
      </c>
      <c r="J96" s="218">
        <f>IF(OR($C96=Categories!$A$5,$C96=Categories!$A$11),$I96,$I96*(1+'Project data &amp; personnel '!$E$30))</f>
        <v>0</v>
      </c>
      <c r="K96" s="254"/>
      <c r="L96" s="279"/>
      <c r="M96" s="356"/>
      <c r="N96" s="312">
        <f t="shared" si="5"/>
        <v>0</v>
      </c>
    </row>
    <row r="97" spans="1:14" hidden="1" x14ac:dyDescent="0.25">
      <c r="A97" s="278"/>
      <c r="B97" s="255"/>
      <c r="C97" s="255"/>
      <c r="D97" s="254"/>
      <c r="E97" s="254"/>
      <c r="F97" s="254"/>
      <c r="G97" s="254"/>
      <c r="H97" s="218">
        <f t="shared" si="6"/>
        <v>0</v>
      </c>
      <c r="I97" s="247">
        <f t="shared" si="7"/>
        <v>0</v>
      </c>
      <c r="J97" s="218">
        <f>IF(OR($C97=Categories!$A$5,$C97=Categories!$A$11),$I97,$I97*(1+'Project data &amp; personnel '!$E$30))</f>
        <v>0</v>
      </c>
      <c r="K97" s="254"/>
      <c r="L97" s="279"/>
      <c r="M97" s="356"/>
      <c r="N97" s="312">
        <f t="shared" si="5"/>
        <v>0</v>
      </c>
    </row>
    <row r="98" spans="1:14" hidden="1" x14ac:dyDescent="0.25">
      <c r="A98" s="278"/>
      <c r="B98" s="255"/>
      <c r="C98" s="255"/>
      <c r="D98" s="254"/>
      <c r="E98" s="254"/>
      <c r="F98" s="254"/>
      <c r="G98" s="254"/>
      <c r="H98" s="218">
        <f t="shared" si="6"/>
        <v>0</v>
      </c>
      <c r="I98" s="247">
        <f t="shared" si="7"/>
        <v>0</v>
      </c>
      <c r="J98" s="218">
        <f>IF(OR($C98=Categories!$A$5,$C98=Categories!$A$11),$I98,$I98*(1+'Project data &amp; personnel '!$E$30))</f>
        <v>0</v>
      </c>
      <c r="K98" s="254"/>
      <c r="L98" s="279"/>
      <c r="M98" s="356"/>
      <c r="N98" s="312">
        <f t="shared" si="5"/>
        <v>0</v>
      </c>
    </row>
    <row r="99" spans="1:14" hidden="1" x14ac:dyDescent="0.25">
      <c r="A99" s="278"/>
      <c r="B99" s="255"/>
      <c r="C99" s="255"/>
      <c r="D99" s="254"/>
      <c r="E99" s="254"/>
      <c r="F99" s="254"/>
      <c r="G99" s="254"/>
      <c r="H99" s="218">
        <f t="shared" si="6"/>
        <v>0</v>
      </c>
      <c r="I99" s="247">
        <f t="shared" si="7"/>
        <v>0</v>
      </c>
      <c r="J99" s="218">
        <f>IF(OR($C99=Categories!$A$5,$C99=Categories!$A$11),$I99,$I99*(1+'Project data &amp; personnel '!$E$30))</f>
        <v>0</v>
      </c>
      <c r="K99" s="254"/>
      <c r="L99" s="279"/>
      <c r="M99" s="356"/>
      <c r="N99" s="312">
        <f t="shared" si="5"/>
        <v>0</v>
      </c>
    </row>
    <row r="100" spans="1:14" hidden="1" x14ac:dyDescent="0.25">
      <c r="A100" s="278"/>
      <c r="B100" s="255"/>
      <c r="C100" s="255"/>
      <c r="D100" s="254"/>
      <c r="E100" s="254"/>
      <c r="F100" s="254"/>
      <c r="G100" s="254"/>
      <c r="H100" s="218">
        <f t="shared" si="6"/>
        <v>0</v>
      </c>
      <c r="I100" s="247">
        <f t="shared" si="7"/>
        <v>0</v>
      </c>
      <c r="J100" s="218">
        <f>IF(OR($C100=Categories!$A$5,$C100=Categories!$A$11),$I100,$I100*(1+'Project data &amp; personnel '!$E$30))</f>
        <v>0</v>
      </c>
      <c r="K100" s="254"/>
      <c r="L100" s="279"/>
      <c r="M100" s="356"/>
      <c r="N100" s="312">
        <f t="shared" si="5"/>
        <v>0</v>
      </c>
    </row>
    <row r="101" spans="1:14" hidden="1" x14ac:dyDescent="0.25">
      <c r="A101" s="278"/>
      <c r="B101" s="255"/>
      <c r="C101" s="255"/>
      <c r="D101" s="254"/>
      <c r="E101" s="254"/>
      <c r="F101" s="254"/>
      <c r="G101" s="254"/>
      <c r="H101" s="218">
        <f t="shared" si="6"/>
        <v>0</v>
      </c>
      <c r="I101" s="247">
        <f t="shared" si="7"/>
        <v>0</v>
      </c>
      <c r="J101" s="218">
        <f>IF(OR($C101=Categories!$A$5,$C101=Categories!$A$11),$I101,$I101*(1+'Project data &amp; personnel '!$E$30))</f>
        <v>0</v>
      </c>
      <c r="K101" s="254"/>
      <c r="L101" s="279"/>
      <c r="M101" s="356"/>
      <c r="N101" s="312">
        <f t="shared" si="5"/>
        <v>0</v>
      </c>
    </row>
    <row r="102" spans="1:14" hidden="1" x14ac:dyDescent="0.25">
      <c r="A102" s="278"/>
      <c r="B102" s="255"/>
      <c r="C102" s="255"/>
      <c r="D102" s="254"/>
      <c r="E102" s="254"/>
      <c r="F102" s="254"/>
      <c r="G102" s="254"/>
      <c r="H102" s="218">
        <f t="shared" si="6"/>
        <v>0</v>
      </c>
      <c r="I102" s="247">
        <f t="shared" si="7"/>
        <v>0</v>
      </c>
      <c r="J102" s="218">
        <f>IF(OR($C102=Categories!$A$5,$C102=Categories!$A$11),$I102,$I102*(1+'Project data &amp; personnel '!$E$30))</f>
        <v>0</v>
      </c>
      <c r="K102" s="254"/>
      <c r="L102" s="279"/>
      <c r="M102" s="356"/>
      <c r="N102" s="312">
        <f t="shared" si="5"/>
        <v>0</v>
      </c>
    </row>
    <row r="103" spans="1:14" hidden="1" x14ac:dyDescent="0.25">
      <c r="A103" s="278"/>
      <c r="B103" s="255"/>
      <c r="C103" s="255"/>
      <c r="D103" s="254"/>
      <c r="E103" s="254"/>
      <c r="F103" s="254"/>
      <c r="G103" s="254"/>
      <c r="H103" s="218">
        <f t="shared" si="6"/>
        <v>0</v>
      </c>
      <c r="I103" s="247">
        <f t="shared" si="7"/>
        <v>0</v>
      </c>
      <c r="J103" s="218">
        <f>IF(OR($C103=Categories!$A$5,$C103=Categories!$A$11),$I103,$I103*(1+'Project data &amp; personnel '!$E$30))</f>
        <v>0</v>
      </c>
      <c r="K103" s="254"/>
      <c r="L103" s="279"/>
      <c r="M103" s="356"/>
      <c r="N103" s="312">
        <f t="shared" si="5"/>
        <v>0</v>
      </c>
    </row>
    <row r="104" spans="1:14" hidden="1" x14ac:dyDescent="0.25">
      <c r="A104" s="278"/>
      <c r="B104" s="255"/>
      <c r="C104" s="255"/>
      <c r="D104" s="254"/>
      <c r="E104" s="254"/>
      <c r="F104" s="254"/>
      <c r="G104" s="254"/>
      <c r="H104" s="218">
        <f t="shared" si="6"/>
        <v>0</v>
      </c>
      <c r="I104" s="247">
        <f t="shared" si="7"/>
        <v>0</v>
      </c>
      <c r="J104" s="218">
        <f>IF(OR($C104=Categories!$A$5,$C104=Categories!$A$11),$I104,$I104*(1+'Project data &amp; personnel '!$E$30))</f>
        <v>0</v>
      </c>
      <c r="K104" s="254"/>
      <c r="L104" s="279"/>
      <c r="M104" s="356"/>
      <c r="N104" s="312">
        <f t="shared" si="5"/>
        <v>0</v>
      </c>
    </row>
    <row r="105" spans="1:14" hidden="1" x14ac:dyDescent="0.25">
      <c r="A105" s="278"/>
      <c r="B105" s="255"/>
      <c r="C105" s="255"/>
      <c r="D105" s="254"/>
      <c r="E105" s="254"/>
      <c r="F105" s="254"/>
      <c r="G105" s="254"/>
      <c r="H105" s="218">
        <f t="shared" si="6"/>
        <v>0</v>
      </c>
      <c r="I105" s="247">
        <f t="shared" si="7"/>
        <v>0</v>
      </c>
      <c r="J105" s="218">
        <f>IF(OR($C105=Categories!$A$5,$C105=Categories!$A$11),$I105,$I105*(1+'Project data &amp; personnel '!$E$30))</f>
        <v>0</v>
      </c>
      <c r="K105" s="254"/>
      <c r="L105" s="279"/>
      <c r="M105" s="356"/>
      <c r="N105" s="312">
        <f t="shared" si="5"/>
        <v>0</v>
      </c>
    </row>
    <row r="106" spans="1:14" hidden="1" x14ac:dyDescent="0.25">
      <c r="A106" s="278"/>
      <c r="B106" s="255"/>
      <c r="C106" s="255"/>
      <c r="D106" s="254"/>
      <c r="E106" s="254"/>
      <c r="F106" s="254"/>
      <c r="G106" s="254"/>
      <c r="H106" s="218">
        <f t="shared" si="6"/>
        <v>0</v>
      </c>
      <c r="I106" s="247">
        <f t="shared" si="7"/>
        <v>0</v>
      </c>
      <c r="J106" s="218">
        <f>IF(OR($C106=Categories!$A$5,$C106=Categories!$A$11),$I106,$I106*(1+'Project data &amp; personnel '!$E$30))</f>
        <v>0</v>
      </c>
      <c r="K106" s="254"/>
      <c r="L106" s="279"/>
      <c r="M106" s="356"/>
      <c r="N106" s="312">
        <f t="shared" si="5"/>
        <v>0</v>
      </c>
    </row>
    <row r="107" spans="1:14" hidden="1" x14ac:dyDescent="0.25">
      <c r="A107" s="278"/>
      <c r="B107" s="255"/>
      <c r="C107" s="255"/>
      <c r="D107" s="254"/>
      <c r="E107" s="254"/>
      <c r="F107" s="254"/>
      <c r="G107" s="254"/>
      <c r="H107" s="218">
        <f t="shared" si="6"/>
        <v>0</v>
      </c>
      <c r="I107" s="247">
        <f t="shared" si="7"/>
        <v>0</v>
      </c>
      <c r="J107" s="218">
        <f>IF(OR($C107=Categories!$A$5,$C107=Categories!$A$11),$I107,$I107*(1+'Project data &amp; personnel '!$E$30))</f>
        <v>0</v>
      </c>
      <c r="K107" s="254"/>
      <c r="L107" s="279"/>
      <c r="M107" s="356"/>
      <c r="N107" s="312">
        <f t="shared" si="5"/>
        <v>0</v>
      </c>
    </row>
    <row r="108" spans="1:14" hidden="1" x14ac:dyDescent="0.25">
      <c r="A108" s="278"/>
      <c r="B108" s="255"/>
      <c r="C108" s="255"/>
      <c r="D108" s="254"/>
      <c r="E108" s="254"/>
      <c r="F108" s="254"/>
      <c r="G108" s="254"/>
      <c r="H108" s="218">
        <f t="shared" si="6"/>
        <v>0</v>
      </c>
      <c r="I108" s="247">
        <f t="shared" si="7"/>
        <v>0</v>
      </c>
      <c r="J108" s="218">
        <f>IF(OR($C108=Categories!$A$5,$C108=Categories!$A$11),$I108,$I108*(1+'Project data &amp; personnel '!$E$30))</f>
        <v>0</v>
      </c>
      <c r="K108" s="254"/>
      <c r="L108" s="279"/>
      <c r="M108" s="356"/>
      <c r="N108" s="312">
        <f t="shared" si="5"/>
        <v>0</v>
      </c>
    </row>
    <row r="109" spans="1:14" hidden="1" x14ac:dyDescent="0.25">
      <c r="A109" s="278"/>
      <c r="B109" s="255"/>
      <c r="C109" s="255"/>
      <c r="D109" s="254"/>
      <c r="E109" s="254"/>
      <c r="F109" s="254"/>
      <c r="G109" s="254"/>
      <c r="H109" s="218">
        <f t="shared" si="6"/>
        <v>0</v>
      </c>
      <c r="I109" s="247">
        <f t="shared" si="7"/>
        <v>0</v>
      </c>
      <c r="J109" s="218">
        <f>IF(OR($C109=Categories!$A$5,$C109=Categories!$A$11),$I109,$I109*(1+'Project data &amp; personnel '!$E$30))</f>
        <v>0</v>
      </c>
      <c r="K109" s="254"/>
      <c r="L109" s="279"/>
      <c r="M109" s="356"/>
      <c r="N109" s="312">
        <f t="shared" si="5"/>
        <v>0</v>
      </c>
    </row>
    <row r="110" spans="1:14" hidden="1" x14ac:dyDescent="0.25">
      <c r="A110" s="278"/>
      <c r="B110" s="255"/>
      <c r="C110" s="255"/>
      <c r="D110" s="254"/>
      <c r="E110" s="254"/>
      <c r="F110" s="254"/>
      <c r="G110" s="254"/>
      <c r="H110" s="218">
        <f t="shared" si="6"/>
        <v>0</v>
      </c>
      <c r="I110" s="247">
        <f t="shared" si="7"/>
        <v>0</v>
      </c>
      <c r="J110" s="218">
        <f>IF(OR($C110=Categories!$A$5,$C110=Categories!$A$11),$I110,$I110*(1+'Project data &amp; personnel '!$E$30))</f>
        <v>0</v>
      </c>
      <c r="K110" s="254"/>
      <c r="L110" s="279"/>
      <c r="M110" s="356"/>
      <c r="N110" s="312">
        <f t="shared" si="5"/>
        <v>0</v>
      </c>
    </row>
    <row r="111" spans="1:14" hidden="1" x14ac:dyDescent="0.25">
      <c r="A111" s="278"/>
      <c r="B111" s="255"/>
      <c r="C111" s="255"/>
      <c r="D111" s="254"/>
      <c r="E111" s="254"/>
      <c r="F111" s="254"/>
      <c r="G111" s="254"/>
      <c r="H111" s="218">
        <f t="shared" si="6"/>
        <v>0</v>
      </c>
      <c r="I111" s="247">
        <f t="shared" si="7"/>
        <v>0</v>
      </c>
      <c r="J111" s="218">
        <f>IF(OR($C111=Categories!$A$5,$C111=Categories!$A$11),$I111,$I111*(1+'Project data &amp; personnel '!$E$30))</f>
        <v>0</v>
      </c>
      <c r="K111" s="254"/>
      <c r="L111" s="279"/>
      <c r="M111" s="356"/>
      <c r="N111" s="312">
        <f t="shared" si="5"/>
        <v>0</v>
      </c>
    </row>
    <row r="112" spans="1:14" hidden="1" x14ac:dyDescent="0.25">
      <c r="A112" s="278"/>
      <c r="B112" s="255"/>
      <c r="C112" s="255"/>
      <c r="D112" s="254"/>
      <c r="E112" s="254"/>
      <c r="F112" s="254"/>
      <c r="G112" s="254"/>
      <c r="H112" s="218">
        <f t="shared" si="6"/>
        <v>0</v>
      </c>
      <c r="I112" s="247">
        <f t="shared" si="7"/>
        <v>0</v>
      </c>
      <c r="J112" s="218">
        <f>IF(OR($C112=Categories!$A$5,$C112=Categories!$A$11),$I112,$I112*(1+'Project data &amp; personnel '!$E$30))</f>
        <v>0</v>
      </c>
      <c r="K112" s="254"/>
      <c r="L112" s="279"/>
      <c r="M112" s="356"/>
      <c r="N112" s="312">
        <f t="shared" si="5"/>
        <v>0</v>
      </c>
    </row>
    <row r="113" spans="1:14" hidden="1" x14ac:dyDescent="0.25">
      <c r="A113" s="278"/>
      <c r="B113" s="255"/>
      <c r="C113" s="255"/>
      <c r="D113" s="254"/>
      <c r="E113" s="254"/>
      <c r="F113" s="254"/>
      <c r="G113" s="254"/>
      <c r="H113" s="218">
        <f t="shared" si="6"/>
        <v>0</v>
      </c>
      <c r="I113" s="247">
        <f t="shared" si="7"/>
        <v>0</v>
      </c>
      <c r="J113" s="218">
        <f>IF(OR($C113=Categories!$A$5,$C113=Categories!$A$11),$I113,$I113*(1+'Project data &amp; personnel '!$E$30))</f>
        <v>0</v>
      </c>
      <c r="K113" s="254"/>
      <c r="L113" s="279"/>
      <c r="M113" s="356"/>
      <c r="N113" s="312">
        <f t="shared" si="5"/>
        <v>0</v>
      </c>
    </row>
    <row r="114" spans="1:14" hidden="1" x14ac:dyDescent="0.25">
      <c r="A114" s="278"/>
      <c r="B114" s="255"/>
      <c r="C114" s="255"/>
      <c r="D114" s="254"/>
      <c r="E114" s="254"/>
      <c r="F114" s="254"/>
      <c r="G114" s="254"/>
      <c r="H114" s="218">
        <f t="shared" si="6"/>
        <v>0</v>
      </c>
      <c r="I114" s="247">
        <f t="shared" si="7"/>
        <v>0</v>
      </c>
      <c r="J114" s="218">
        <f>IF(OR($C114=Categories!$A$5,$C114=Categories!$A$11),$I114,$I114*(1+'Project data &amp; personnel '!$E$30))</f>
        <v>0</v>
      </c>
      <c r="K114" s="254"/>
      <c r="L114" s="279"/>
      <c r="M114" s="356"/>
      <c r="N114" s="312">
        <f t="shared" si="5"/>
        <v>0</v>
      </c>
    </row>
    <row r="115" spans="1:14" hidden="1" x14ac:dyDescent="0.25">
      <c r="A115" s="278"/>
      <c r="B115" s="255"/>
      <c r="C115" s="255"/>
      <c r="D115" s="254"/>
      <c r="E115" s="254"/>
      <c r="F115" s="254"/>
      <c r="G115" s="254"/>
      <c r="H115" s="218">
        <f t="shared" si="6"/>
        <v>0</v>
      </c>
      <c r="I115" s="247">
        <f t="shared" si="7"/>
        <v>0</v>
      </c>
      <c r="J115" s="218">
        <f>IF(OR($C115=Categories!$A$5,$C115=Categories!$A$11),$I115,$I115*(1+'Project data &amp; personnel '!$E$30))</f>
        <v>0</v>
      </c>
      <c r="K115" s="254"/>
      <c r="L115" s="279"/>
      <c r="M115" s="356"/>
      <c r="N115" s="312">
        <f t="shared" si="5"/>
        <v>0</v>
      </c>
    </row>
    <row r="116" spans="1:14" hidden="1" x14ac:dyDescent="0.25">
      <c r="A116" s="278"/>
      <c r="B116" s="255"/>
      <c r="C116" s="255"/>
      <c r="D116" s="254"/>
      <c r="E116" s="254"/>
      <c r="F116" s="254"/>
      <c r="G116" s="254"/>
      <c r="H116" s="218">
        <f t="shared" si="6"/>
        <v>0</v>
      </c>
      <c r="I116" s="247">
        <f t="shared" si="7"/>
        <v>0</v>
      </c>
      <c r="J116" s="218">
        <f>IF(OR($C116=Categories!$A$5,$C116=Categories!$A$11),$I116,$I116*(1+'Project data &amp; personnel '!$E$30))</f>
        <v>0</v>
      </c>
      <c r="K116" s="254"/>
      <c r="L116" s="279"/>
      <c r="M116" s="356"/>
      <c r="N116" s="312">
        <f t="shared" si="5"/>
        <v>0</v>
      </c>
    </row>
    <row r="117" spans="1:14" hidden="1" x14ac:dyDescent="0.25">
      <c r="A117" s="278"/>
      <c r="B117" s="255"/>
      <c r="C117" s="255"/>
      <c r="D117" s="254"/>
      <c r="E117" s="254"/>
      <c r="F117" s="254"/>
      <c r="G117" s="254"/>
      <c r="H117" s="218">
        <f t="shared" si="6"/>
        <v>0</v>
      </c>
      <c r="I117" s="247">
        <f t="shared" si="7"/>
        <v>0</v>
      </c>
      <c r="J117" s="218">
        <f>IF(OR($C117=Categories!$A$5,$C117=Categories!$A$11),$I117,$I117*(1+'Project data &amp; personnel '!$E$30))</f>
        <v>0</v>
      </c>
      <c r="K117" s="254"/>
      <c r="L117" s="279"/>
      <c r="M117" s="356"/>
      <c r="N117" s="312">
        <f t="shared" si="5"/>
        <v>0</v>
      </c>
    </row>
    <row r="118" spans="1:14" hidden="1" x14ac:dyDescent="0.25">
      <c r="A118" s="278"/>
      <c r="B118" s="255"/>
      <c r="C118" s="255"/>
      <c r="D118" s="254"/>
      <c r="E118" s="254"/>
      <c r="F118" s="254"/>
      <c r="G118" s="254"/>
      <c r="H118" s="218">
        <f t="shared" si="6"/>
        <v>0</v>
      </c>
      <c r="I118" s="247">
        <f t="shared" si="7"/>
        <v>0</v>
      </c>
      <c r="J118" s="218">
        <f>IF(OR($C118=Categories!$A$5,$C118=Categories!$A$11),$I118,$I118*(1+'Project data &amp; personnel '!$E$30))</f>
        <v>0</v>
      </c>
      <c r="K118" s="254"/>
      <c r="L118" s="279"/>
      <c r="M118" s="356"/>
      <c r="N118" s="312">
        <f t="shared" si="5"/>
        <v>0</v>
      </c>
    </row>
    <row r="119" spans="1:14" hidden="1" x14ac:dyDescent="0.25">
      <c r="A119" s="278"/>
      <c r="B119" s="255"/>
      <c r="C119" s="255"/>
      <c r="D119" s="254"/>
      <c r="E119" s="254"/>
      <c r="F119" s="254"/>
      <c r="G119" s="254"/>
      <c r="H119" s="218">
        <f t="shared" si="6"/>
        <v>0</v>
      </c>
      <c r="I119" s="247">
        <f t="shared" si="7"/>
        <v>0</v>
      </c>
      <c r="J119" s="218">
        <f>IF(OR($C119=Categories!$A$5,$C119=Categories!$A$11),$I119,$I119*(1+'Project data &amp; personnel '!$E$30))</f>
        <v>0</v>
      </c>
      <c r="K119" s="254"/>
      <c r="L119" s="279"/>
      <c r="M119" s="356"/>
      <c r="N119" s="312">
        <f t="shared" si="5"/>
        <v>0</v>
      </c>
    </row>
    <row r="120" spans="1:14" hidden="1" x14ac:dyDescent="0.25">
      <c r="A120" s="278"/>
      <c r="B120" s="255"/>
      <c r="C120" s="255"/>
      <c r="D120" s="254"/>
      <c r="E120" s="254"/>
      <c r="F120" s="254"/>
      <c r="G120" s="254"/>
      <c r="H120" s="218">
        <f t="shared" si="6"/>
        <v>0</v>
      </c>
      <c r="I120" s="247">
        <f t="shared" si="7"/>
        <v>0</v>
      </c>
      <c r="J120" s="218">
        <f>IF(OR($C120=Categories!$A$5,$C120=Categories!$A$11),$I120,$I120*(1+'Project data &amp; personnel '!$E$30))</f>
        <v>0</v>
      </c>
      <c r="K120" s="254"/>
      <c r="L120" s="279"/>
      <c r="M120" s="356"/>
      <c r="N120" s="312">
        <f t="shared" si="5"/>
        <v>0</v>
      </c>
    </row>
    <row r="121" spans="1:14" hidden="1" x14ac:dyDescent="0.25">
      <c r="A121" s="278"/>
      <c r="B121" s="255"/>
      <c r="C121" s="255"/>
      <c r="D121" s="254"/>
      <c r="E121" s="254"/>
      <c r="F121" s="254"/>
      <c r="G121" s="254"/>
      <c r="H121" s="218">
        <f t="shared" si="6"/>
        <v>0</v>
      </c>
      <c r="I121" s="247">
        <f t="shared" si="7"/>
        <v>0</v>
      </c>
      <c r="J121" s="218">
        <f>IF(OR($C121=Categories!$A$5,$C121=Categories!$A$11),$I121,$I121*(1+'Project data &amp; personnel '!$E$30))</f>
        <v>0</v>
      </c>
      <c r="K121" s="254"/>
      <c r="L121" s="279"/>
      <c r="M121" s="356"/>
      <c r="N121" s="312">
        <f t="shared" si="5"/>
        <v>0</v>
      </c>
    </row>
    <row r="122" spans="1:14" hidden="1" x14ac:dyDescent="0.25">
      <c r="A122" s="278"/>
      <c r="B122" s="255"/>
      <c r="C122" s="255"/>
      <c r="D122" s="254"/>
      <c r="E122" s="254"/>
      <c r="F122" s="254"/>
      <c r="G122" s="254"/>
      <c r="H122" s="218">
        <f t="shared" si="6"/>
        <v>0</v>
      </c>
      <c r="I122" s="247">
        <f t="shared" si="7"/>
        <v>0</v>
      </c>
      <c r="J122" s="218">
        <f>IF(OR($C122=Categories!$A$5,$C122=Categories!$A$11),$I122,$I122*(1+'Project data &amp; personnel '!$E$30))</f>
        <v>0</v>
      </c>
      <c r="K122" s="254"/>
      <c r="L122" s="279"/>
      <c r="M122" s="356"/>
      <c r="N122" s="312">
        <f t="shared" si="5"/>
        <v>0</v>
      </c>
    </row>
    <row r="123" spans="1:14" hidden="1" x14ac:dyDescent="0.25">
      <c r="A123" s="278"/>
      <c r="B123" s="255"/>
      <c r="C123" s="255"/>
      <c r="D123" s="254"/>
      <c r="E123" s="254"/>
      <c r="F123" s="254"/>
      <c r="G123" s="254"/>
      <c r="H123" s="218">
        <f t="shared" si="6"/>
        <v>0</v>
      </c>
      <c r="I123" s="247">
        <f t="shared" si="7"/>
        <v>0</v>
      </c>
      <c r="J123" s="218">
        <f>IF(OR($C123=Categories!$A$5,$C123=Categories!$A$11),$I123,$I123*(1+'Project data &amp; personnel '!$E$30))</f>
        <v>0</v>
      </c>
      <c r="K123" s="254"/>
      <c r="L123" s="279"/>
      <c r="M123" s="356"/>
      <c r="N123" s="312">
        <f t="shared" si="5"/>
        <v>0</v>
      </c>
    </row>
    <row r="124" spans="1:14" hidden="1" x14ac:dyDescent="0.25">
      <c r="A124" s="278"/>
      <c r="B124" s="255"/>
      <c r="C124" s="255"/>
      <c r="D124" s="254"/>
      <c r="E124" s="254"/>
      <c r="F124" s="254"/>
      <c r="G124" s="254"/>
      <c r="H124" s="218">
        <f t="shared" si="6"/>
        <v>0</v>
      </c>
      <c r="I124" s="247">
        <f t="shared" si="7"/>
        <v>0</v>
      </c>
      <c r="J124" s="218">
        <f>IF(OR($C124=Categories!$A$5,$C124=Categories!$A$11),$I124,$I124*(1+'Project data &amp; personnel '!$E$30))</f>
        <v>0</v>
      </c>
      <c r="K124" s="254"/>
      <c r="L124" s="279"/>
      <c r="M124" s="356"/>
      <c r="N124" s="312">
        <f t="shared" si="5"/>
        <v>0</v>
      </c>
    </row>
    <row r="125" spans="1:14" hidden="1" x14ac:dyDescent="0.25">
      <c r="A125" s="278"/>
      <c r="B125" s="255"/>
      <c r="C125" s="255"/>
      <c r="D125" s="254"/>
      <c r="E125" s="254"/>
      <c r="F125" s="254"/>
      <c r="G125" s="254"/>
      <c r="H125" s="218">
        <f t="shared" si="6"/>
        <v>0</v>
      </c>
      <c r="I125" s="247">
        <f t="shared" si="7"/>
        <v>0</v>
      </c>
      <c r="J125" s="218">
        <f>IF(OR($C125=Categories!$A$5,$C125=Categories!$A$11),$I125,$I125*(1+'Project data &amp; personnel '!$E$30))</f>
        <v>0</v>
      </c>
      <c r="K125" s="254"/>
      <c r="L125" s="279"/>
      <c r="M125" s="356"/>
      <c r="N125" s="312">
        <f t="shared" si="5"/>
        <v>0</v>
      </c>
    </row>
    <row r="126" spans="1:14" hidden="1" x14ac:dyDescent="0.25">
      <c r="A126" s="278"/>
      <c r="B126" s="255"/>
      <c r="C126" s="255"/>
      <c r="D126" s="254"/>
      <c r="E126" s="254"/>
      <c r="F126" s="254"/>
      <c r="G126" s="254"/>
      <c r="H126" s="218">
        <f t="shared" si="6"/>
        <v>0</v>
      </c>
      <c r="I126" s="247">
        <f t="shared" si="7"/>
        <v>0</v>
      </c>
      <c r="J126" s="218">
        <f>IF(OR($C126=Categories!$A$5,$C126=Categories!$A$11),$I126,$I126*(1+'Project data &amp; personnel '!$E$30))</f>
        <v>0</v>
      </c>
      <c r="K126" s="254"/>
      <c r="L126" s="279"/>
      <c r="M126" s="356"/>
      <c r="N126" s="312">
        <f t="shared" si="5"/>
        <v>0</v>
      </c>
    </row>
    <row r="127" spans="1:14" hidden="1" x14ac:dyDescent="0.25">
      <c r="A127" s="278"/>
      <c r="B127" s="255"/>
      <c r="C127" s="255"/>
      <c r="D127" s="254"/>
      <c r="E127" s="254"/>
      <c r="F127" s="254"/>
      <c r="G127" s="254"/>
      <c r="H127" s="218">
        <f t="shared" si="6"/>
        <v>0</v>
      </c>
      <c r="I127" s="247">
        <f t="shared" si="7"/>
        <v>0</v>
      </c>
      <c r="J127" s="218">
        <f>IF(OR($C127=Categories!$A$5,$C127=Categories!$A$11),$I127,$I127*(1+'Project data &amp; personnel '!$E$30))</f>
        <v>0</v>
      </c>
      <c r="K127" s="254"/>
      <c r="L127" s="279"/>
      <c r="M127" s="356"/>
      <c r="N127" s="312">
        <f t="shared" si="5"/>
        <v>0</v>
      </c>
    </row>
    <row r="128" spans="1:14" hidden="1" x14ac:dyDescent="0.25">
      <c r="A128" s="278"/>
      <c r="B128" s="255"/>
      <c r="C128" s="255"/>
      <c r="D128" s="254"/>
      <c r="E128" s="254"/>
      <c r="F128" s="254"/>
      <c r="G128" s="254"/>
      <c r="H128" s="218">
        <f t="shared" si="6"/>
        <v>0</v>
      </c>
      <c r="I128" s="247">
        <f t="shared" si="7"/>
        <v>0</v>
      </c>
      <c r="J128" s="218">
        <f>IF(OR($C128=Categories!$A$5,$C128=Categories!$A$11),$I128,$I128*(1+'Project data &amp; personnel '!$E$30))</f>
        <v>0</v>
      </c>
      <c r="K128" s="254"/>
      <c r="L128" s="279"/>
      <c r="M128" s="356"/>
      <c r="N128" s="312">
        <f t="shared" si="5"/>
        <v>0</v>
      </c>
    </row>
    <row r="129" spans="1:14" hidden="1" x14ac:dyDescent="0.25">
      <c r="A129" s="278"/>
      <c r="B129" s="255"/>
      <c r="C129" s="255"/>
      <c r="D129" s="254"/>
      <c r="E129" s="254"/>
      <c r="F129" s="254"/>
      <c r="G129" s="254"/>
      <c r="H129" s="218">
        <f t="shared" si="6"/>
        <v>0</v>
      </c>
      <c r="I129" s="247">
        <f t="shared" si="7"/>
        <v>0</v>
      </c>
      <c r="J129" s="218">
        <f>IF(OR($C129=Categories!$A$5,$C129=Categories!$A$11),$I129,$I129*(1+'Project data &amp; personnel '!$E$30))</f>
        <v>0</v>
      </c>
      <c r="K129" s="254"/>
      <c r="L129" s="279"/>
      <c r="M129" s="356"/>
      <c r="N129" s="312">
        <f t="shared" si="5"/>
        <v>0</v>
      </c>
    </row>
    <row r="130" spans="1:14" hidden="1" x14ac:dyDescent="0.25">
      <c r="A130" s="278"/>
      <c r="B130" s="255"/>
      <c r="C130" s="255"/>
      <c r="D130" s="254"/>
      <c r="E130" s="254"/>
      <c r="F130" s="254"/>
      <c r="G130" s="254"/>
      <c r="H130" s="218">
        <f t="shared" si="6"/>
        <v>0</v>
      </c>
      <c r="I130" s="247">
        <f t="shared" si="7"/>
        <v>0</v>
      </c>
      <c r="J130" s="218">
        <f>IF(OR($C130=Categories!$A$5,$C130=Categories!$A$11),$I130,$I130*(1+'Project data &amp; personnel '!$E$30))</f>
        <v>0</v>
      </c>
      <c r="K130" s="254"/>
      <c r="L130" s="279"/>
      <c r="M130" s="356"/>
      <c r="N130" s="312">
        <f t="shared" si="5"/>
        <v>0</v>
      </c>
    </row>
    <row r="131" spans="1:14" hidden="1" x14ac:dyDescent="0.25">
      <c r="A131" s="278"/>
      <c r="B131" s="255"/>
      <c r="C131" s="255"/>
      <c r="D131" s="254"/>
      <c r="E131" s="254"/>
      <c r="F131" s="254"/>
      <c r="G131" s="254"/>
      <c r="H131" s="218">
        <f t="shared" si="6"/>
        <v>0</v>
      </c>
      <c r="I131" s="247">
        <f t="shared" si="7"/>
        <v>0</v>
      </c>
      <c r="J131" s="218">
        <f>IF(OR($C131=Categories!$A$5,$C131=Categories!$A$11),$I131,$I131*(1+'Project data &amp; personnel '!$E$30))</f>
        <v>0</v>
      </c>
      <c r="K131" s="254"/>
      <c r="L131" s="279"/>
      <c r="M131" s="356"/>
      <c r="N131" s="312">
        <f t="shared" si="5"/>
        <v>0</v>
      </c>
    </row>
    <row r="132" spans="1:14" hidden="1" x14ac:dyDescent="0.25">
      <c r="A132" s="278"/>
      <c r="B132" s="255"/>
      <c r="C132" s="255"/>
      <c r="D132" s="254"/>
      <c r="E132" s="254"/>
      <c r="F132" s="254"/>
      <c r="G132" s="254"/>
      <c r="H132" s="218">
        <f t="shared" si="6"/>
        <v>0</v>
      </c>
      <c r="I132" s="247">
        <f t="shared" si="7"/>
        <v>0</v>
      </c>
      <c r="J132" s="218">
        <f>IF(OR($C132=Categories!$A$5,$C132=Categories!$A$11),$I132,$I132*(1+'Project data &amp; personnel '!$E$30))</f>
        <v>0</v>
      </c>
      <c r="K132" s="254"/>
      <c r="L132" s="279"/>
      <c r="M132" s="356"/>
      <c r="N132" s="312">
        <f t="shared" si="5"/>
        <v>0</v>
      </c>
    </row>
    <row r="133" spans="1:14" hidden="1" x14ac:dyDescent="0.25">
      <c r="A133" s="278"/>
      <c r="B133" s="255"/>
      <c r="C133" s="255"/>
      <c r="D133" s="254"/>
      <c r="E133" s="254"/>
      <c r="F133" s="254"/>
      <c r="G133" s="254"/>
      <c r="H133" s="218">
        <f t="shared" si="6"/>
        <v>0</v>
      </c>
      <c r="I133" s="247">
        <f t="shared" si="7"/>
        <v>0</v>
      </c>
      <c r="J133" s="218">
        <f>IF(OR($C133=Categories!$A$5,$C133=Categories!$A$11),$I133,$I133*(1+'Project data &amp; personnel '!$E$30))</f>
        <v>0</v>
      </c>
      <c r="K133" s="254"/>
      <c r="L133" s="279"/>
      <c r="M133" s="356"/>
      <c r="N133" s="312">
        <f t="shared" si="5"/>
        <v>0</v>
      </c>
    </row>
    <row r="134" spans="1:14" hidden="1" x14ac:dyDescent="0.25">
      <c r="A134" s="278"/>
      <c r="B134" s="255"/>
      <c r="C134" s="255"/>
      <c r="D134" s="254"/>
      <c r="E134" s="254"/>
      <c r="F134" s="254"/>
      <c r="G134" s="254"/>
      <c r="H134" s="218">
        <f t="shared" si="6"/>
        <v>0</v>
      </c>
      <c r="I134" s="247">
        <f t="shared" si="7"/>
        <v>0</v>
      </c>
      <c r="J134" s="218">
        <f>IF(OR($C134=Categories!$A$5,$C134=Categories!$A$11),$I134,$I134*(1+'Project data &amp; personnel '!$E$30))</f>
        <v>0</v>
      </c>
      <c r="K134" s="254"/>
      <c r="L134" s="279"/>
      <c r="M134" s="356"/>
      <c r="N134" s="312">
        <f t="shared" si="5"/>
        <v>0</v>
      </c>
    </row>
    <row r="135" spans="1:14" hidden="1" x14ac:dyDescent="0.25">
      <c r="A135" s="278"/>
      <c r="B135" s="255"/>
      <c r="C135" s="255"/>
      <c r="D135" s="254"/>
      <c r="E135" s="254"/>
      <c r="F135" s="254"/>
      <c r="G135" s="254"/>
      <c r="H135" s="218">
        <f t="shared" si="6"/>
        <v>0</v>
      </c>
      <c r="I135" s="247">
        <f t="shared" si="7"/>
        <v>0</v>
      </c>
      <c r="J135" s="218">
        <f>IF(OR($C135=Categories!$A$5,$C135=Categories!$A$11),$I135,$I135*(1+'Project data &amp; personnel '!$E$30))</f>
        <v>0</v>
      </c>
      <c r="K135" s="254"/>
      <c r="L135" s="279"/>
      <c r="M135" s="356"/>
      <c r="N135" s="312">
        <f t="shared" si="5"/>
        <v>0</v>
      </c>
    </row>
    <row r="136" spans="1:14" hidden="1" x14ac:dyDescent="0.25">
      <c r="A136" s="278"/>
      <c r="B136" s="255"/>
      <c r="C136" s="255"/>
      <c r="D136" s="254"/>
      <c r="E136" s="254"/>
      <c r="F136" s="254"/>
      <c r="G136" s="254"/>
      <c r="H136" s="218">
        <f t="shared" si="6"/>
        <v>0</v>
      </c>
      <c r="I136" s="247">
        <f t="shared" si="7"/>
        <v>0</v>
      </c>
      <c r="J136" s="218">
        <f>IF(OR($C136=Categories!$A$5,$C136=Categories!$A$11),$I136,$I136*(1+'Project data &amp; personnel '!$E$30))</f>
        <v>0</v>
      </c>
      <c r="K136" s="254"/>
      <c r="L136" s="279"/>
      <c r="M136" s="356"/>
      <c r="N136" s="312">
        <f t="shared" si="5"/>
        <v>0</v>
      </c>
    </row>
    <row r="137" spans="1:14" hidden="1" x14ac:dyDescent="0.25">
      <c r="A137" s="278"/>
      <c r="B137" s="255"/>
      <c r="C137" s="255"/>
      <c r="D137" s="254"/>
      <c r="E137" s="254"/>
      <c r="F137" s="254"/>
      <c r="G137" s="254"/>
      <c r="H137" s="218">
        <f t="shared" si="6"/>
        <v>0</v>
      </c>
      <c r="I137" s="247">
        <f t="shared" si="7"/>
        <v>0</v>
      </c>
      <c r="J137" s="218">
        <f>IF(OR($C137=Categories!$A$5,$C137=Categories!$A$11),$I137,$I137*(1+'Project data &amp; personnel '!$E$30))</f>
        <v>0</v>
      </c>
      <c r="K137" s="254"/>
      <c r="L137" s="279"/>
      <c r="M137" s="356"/>
      <c r="N137" s="312">
        <f t="shared" si="5"/>
        <v>0</v>
      </c>
    </row>
    <row r="138" spans="1:14" hidden="1" x14ac:dyDescent="0.25">
      <c r="A138" s="278"/>
      <c r="B138" s="255"/>
      <c r="C138" s="255"/>
      <c r="D138" s="254"/>
      <c r="E138" s="254"/>
      <c r="F138" s="254"/>
      <c r="G138" s="254"/>
      <c r="H138" s="218">
        <f t="shared" si="6"/>
        <v>0</v>
      </c>
      <c r="I138" s="247">
        <f t="shared" si="7"/>
        <v>0</v>
      </c>
      <c r="J138" s="218">
        <f>IF(OR($C138=Categories!$A$5,$C138=Categories!$A$11),$I138,$I138*(1+'Project data &amp; personnel '!$E$30))</f>
        <v>0</v>
      </c>
      <c r="K138" s="254"/>
      <c r="L138" s="279"/>
      <c r="M138" s="356"/>
      <c r="N138" s="312">
        <f t="shared" si="5"/>
        <v>0</v>
      </c>
    </row>
    <row r="139" spans="1:14" hidden="1" x14ac:dyDescent="0.25">
      <c r="A139" s="278"/>
      <c r="B139" s="255"/>
      <c r="C139" s="255"/>
      <c r="D139" s="254"/>
      <c r="E139" s="254"/>
      <c r="F139" s="254"/>
      <c r="G139" s="254"/>
      <c r="H139" s="218">
        <f t="shared" si="6"/>
        <v>0</v>
      </c>
      <c r="I139" s="247">
        <f t="shared" si="7"/>
        <v>0</v>
      </c>
      <c r="J139" s="218">
        <f>IF(OR($C139=Categories!$A$5,$C139=Categories!$A$11),$I139,$I139*(1+'Project data &amp; personnel '!$E$30))</f>
        <v>0</v>
      </c>
      <c r="K139" s="254"/>
      <c r="L139" s="279"/>
      <c r="M139" s="356"/>
      <c r="N139" s="312">
        <f t="shared" si="5"/>
        <v>0</v>
      </c>
    </row>
    <row r="140" spans="1:14" hidden="1" x14ac:dyDescent="0.25">
      <c r="A140" s="278"/>
      <c r="B140" s="255"/>
      <c r="C140" s="255"/>
      <c r="D140" s="254"/>
      <c r="E140" s="254"/>
      <c r="F140" s="254"/>
      <c r="G140" s="254"/>
      <c r="H140" s="218">
        <f t="shared" si="6"/>
        <v>0</v>
      </c>
      <c r="I140" s="247">
        <f t="shared" si="7"/>
        <v>0</v>
      </c>
      <c r="J140" s="218">
        <f>IF(OR($C140=Categories!$A$5,$C140=Categories!$A$11),$I140,$I140*(1+'Project data &amp; personnel '!$E$30))</f>
        <v>0</v>
      </c>
      <c r="K140" s="254"/>
      <c r="L140" s="279"/>
      <c r="M140" s="356"/>
      <c r="N140" s="312">
        <f t="shared" si="5"/>
        <v>0</v>
      </c>
    </row>
    <row r="141" spans="1:14" hidden="1" x14ac:dyDescent="0.25">
      <c r="A141" s="278"/>
      <c r="B141" s="255"/>
      <c r="C141" s="255"/>
      <c r="D141" s="254"/>
      <c r="E141" s="254"/>
      <c r="F141" s="254"/>
      <c r="G141" s="254"/>
      <c r="H141" s="218">
        <f t="shared" si="6"/>
        <v>0</v>
      </c>
      <c r="I141" s="247">
        <f t="shared" si="7"/>
        <v>0</v>
      </c>
      <c r="J141" s="218">
        <f>IF(OR($C141=Categories!$A$5,$C141=Categories!$A$11),$I141,$I141*(1+'Project data &amp; personnel '!$E$30))</f>
        <v>0</v>
      </c>
      <c r="K141" s="254"/>
      <c r="L141" s="279"/>
      <c r="M141" s="356"/>
      <c r="N141" s="312">
        <f t="shared" si="5"/>
        <v>0</v>
      </c>
    </row>
    <row r="142" spans="1:14" hidden="1" x14ac:dyDescent="0.25">
      <c r="A142" s="278"/>
      <c r="B142" s="255"/>
      <c r="C142" s="255"/>
      <c r="D142" s="254"/>
      <c r="E142" s="254"/>
      <c r="F142" s="254"/>
      <c r="G142" s="254"/>
      <c r="H142" s="218">
        <f t="shared" si="6"/>
        <v>0</v>
      </c>
      <c r="I142" s="247">
        <f t="shared" si="7"/>
        <v>0</v>
      </c>
      <c r="J142" s="218">
        <f>IF(OR($C142=Categories!$A$5,$C142=Categories!$A$11),$I142,$I142*(1+'Project data &amp; personnel '!$E$30))</f>
        <v>0</v>
      </c>
      <c r="K142" s="254"/>
      <c r="L142" s="279"/>
      <c r="M142" s="356"/>
      <c r="N142" s="312">
        <f t="shared" si="5"/>
        <v>0</v>
      </c>
    </row>
    <row r="143" spans="1:14" hidden="1" x14ac:dyDescent="0.25">
      <c r="A143" s="278"/>
      <c r="B143" s="255"/>
      <c r="C143" s="255"/>
      <c r="D143" s="254"/>
      <c r="E143" s="254"/>
      <c r="F143" s="254"/>
      <c r="G143" s="254"/>
      <c r="H143" s="218">
        <f t="shared" si="6"/>
        <v>0</v>
      </c>
      <c r="I143" s="247">
        <f t="shared" si="7"/>
        <v>0</v>
      </c>
      <c r="J143" s="218">
        <f>IF(OR($C143=Categories!$A$5,$C143=Categories!$A$11),$I143,$I143*(1+'Project data &amp; personnel '!$E$30))</f>
        <v>0</v>
      </c>
      <c r="K143" s="254"/>
      <c r="L143" s="279"/>
      <c r="M143" s="356"/>
      <c r="N143" s="312">
        <f t="shared" ref="N143:N151" si="8">H143-I143</f>
        <v>0</v>
      </c>
    </row>
    <row r="144" spans="1:14" hidden="1" x14ac:dyDescent="0.25">
      <c r="A144" s="278"/>
      <c r="B144" s="255"/>
      <c r="C144" s="255"/>
      <c r="D144" s="254"/>
      <c r="E144" s="254"/>
      <c r="F144" s="254"/>
      <c r="G144" s="254"/>
      <c r="H144" s="218">
        <f t="shared" si="6"/>
        <v>0</v>
      </c>
      <c r="I144" s="247">
        <f t="shared" si="7"/>
        <v>0</v>
      </c>
      <c r="J144" s="218">
        <f>IF(OR($C144=Categories!$A$5,$C144=Categories!$A$11),$I144,$I144*(1+'Project data &amp; personnel '!$E$30))</f>
        <v>0</v>
      </c>
      <c r="K144" s="254"/>
      <c r="L144" s="279"/>
      <c r="M144" s="356"/>
      <c r="N144" s="312">
        <f t="shared" si="8"/>
        <v>0</v>
      </c>
    </row>
    <row r="145" spans="1:14" hidden="1" x14ac:dyDescent="0.25">
      <c r="A145" s="278"/>
      <c r="B145" s="255"/>
      <c r="C145" s="255"/>
      <c r="D145" s="254"/>
      <c r="E145" s="254"/>
      <c r="F145" s="254"/>
      <c r="G145" s="254"/>
      <c r="H145" s="218">
        <f t="shared" si="6"/>
        <v>0</v>
      </c>
      <c r="I145" s="247">
        <f t="shared" si="7"/>
        <v>0</v>
      </c>
      <c r="J145" s="218">
        <f>IF(OR($C145=Categories!$A$5,$C145=Categories!$A$11),$I145,$I145*(1+'Project data &amp; personnel '!$E$30))</f>
        <v>0</v>
      </c>
      <c r="K145" s="254"/>
      <c r="L145" s="279"/>
      <c r="M145" s="356"/>
      <c r="N145" s="312">
        <f t="shared" si="8"/>
        <v>0</v>
      </c>
    </row>
    <row r="146" spans="1:14" hidden="1" x14ac:dyDescent="0.25">
      <c r="A146" s="278"/>
      <c r="B146" s="255"/>
      <c r="C146" s="255"/>
      <c r="D146" s="254"/>
      <c r="E146" s="254"/>
      <c r="F146" s="254"/>
      <c r="G146" s="254"/>
      <c r="H146" s="218">
        <f t="shared" si="6"/>
        <v>0</v>
      </c>
      <c r="I146" s="247">
        <f t="shared" si="7"/>
        <v>0</v>
      </c>
      <c r="J146" s="218">
        <f>IF(OR($C146=Categories!$A$5,$C146=Categories!$A$11),$I146,$I146*(1+'Project data &amp; personnel '!$E$30))</f>
        <v>0</v>
      </c>
      <c r="K146" s="254"/>
      <c r="L146" s="279"/>
      <c r="M146" s="356"/>
      <c r="N146" s="312">
        <f t="shared" si="8"/>
        <v>0</v>
      </c>
    </row>
    <row r="147" spans="1:14" hidden="1" x14ac:dyDescent="0.25">
      <c r="A147" s="278"/>
      <c r="B147" s="255"/>
      <c r="C147" s="255"/>
      <c r="D147" s="254"/>
      <c r="E147" s="254"/>
      <c r="F147" s="254"/>
      <c r="G147" s="254"/>
      <c r="H147" s="218">
        <f t="shared" si="6"/>
        <v>0</v>
      </c>
      <c r="I147" s="247">
        <f t="shared" si="7"/>
        <v>0</v>
      </c>
      <c r="J147" s="218">
        <f>IF(OR($C147=Categories!$A$5,$C147=Categories!$A$11),$I147,$I147*(1+'Project data &amp; personnel '!$E$30))</f>
        <v>0</v>
      </c>
      <c r="K147" s="254"/>
      <c r="L147" s="279"/>
      <c r="M147" s="356"/>
      <c r="N147" s="312">
        <f t="shared" si="8"/>
        <v>0</v>
      </c>
    </row>
    <row r="148" spans="1:14" hidden="1" x14ac:dyDescent="0.25">
      <c r="A148" s="278"/>
      <c r="B148" s="255"/>
      <c r="C148" s="255"/>
      <c r="D148" s="254"/>
      <c r="E148" s="254"/>
      <c r="F148" s="254"/>
      <c r="G148" s="254"/>
      <c r="H148" s="218">
        <f t="shared" si="6"/>
        <v>0</v>
      </c>
      <c r="I148" s="247">
        <f t="shared" si="7"/>
        <v>0</v>
      </c>
      <c r="J148" s="218">
        <f>IF(OR($C148=Categories!$A$5,$C148=Categories!$A$11),$I148,$I148*(1+'Project data &amp; personnel '!$E$30))</f>
        <v>0</v>
      </c>
      <c r="K148" s="254"/>
      <c r="L148" s="279"/>
      <c r="M148" s="356"/>
      <c r="N148" s="312">
        <f t="shared" si="8"/>
        <v>0</v>
      </c>
    </row>
    <row r="149" spans="1:14" hidden="1" x14ac:dyDescent="0.25">
      <c r="A149" s="278"/>
      <c r="B149" s="255"/>
      <c r="C149" s="255"/>
      <c r="D149" s="254"/>
      <c r="E149" s="254"/>
      <c r="F149" s="254"/>
      <c r="G149" s="254"/>
      <c r="H149" s="218">
        <f t="shared" si="6"/>
        <v>0</v>
      </c>
      <c r="I149" s="247">
        <f t="shared" si="7"/>
        <v>0</v>
      </c>
      <c r="J149" s="218">
        <f>IF(OR($C149=Categories!$A$5,$C149=Categories!$A$11),$I149,$I149*(1+'Project data &amp; personnel '!$E$30))</f>
        <v>0</v>
      </c>
      <c r="K149" s="254"/>
      <c r="L149" s="279"/>
      <c r="M149" s="356"/>
      <c r="N149" s="312">
        <f t="shared" si="8"/>
        <v>0</v>
      </c>
    </row>
    <row r="150" spans="1:14" hidden="1" x14ac:dyDescent="0.25">
      <c r="A150" s="278"/>
      <c r="B150" s="255"/>
      <c r="C150" s="255"/>
      <c r="D150" s="254"/>
      <c r="E150" s="254"/>
      <c r="F150" s="254"/>
      <c r="G150" s="254"/>
      <c r="H150" s="218">
        <f t="shared" si="6"/>
        <v>0</v>
      </c>
      <c r="I150" s="247">
        <f t="shared" si="7"/>
        <v>0</v>
      </c>
      <c r="J150" s="218">
        <f>IF(OR($C150=Categories!$A$5,$C150=Categories!$A$11),$I150,$I150*(1+'Project data &amp; personnel '!$E$30))</f>
        <v>0</v>
      </c>
      <c r="K150" s="254"/>
      <c r="L150" s="279"/>
      <c r="M150" s="356"/>
      <c r="N150" s="312">
        <f t="shared" si="8"/>
        <v>0</v>
      </c>
    </row>
    <row r="151" spans="1:14" x14ac:dyDescent="0.25">
      <c r="A151" s="278"/>
      <c r="B151" s="255"/>
      <c r="C151" s="255"/>
      <c r="D151" s="254"/>
      <c r="E151" s="254"/>
      <c r="F151" s="254"/>
      <c r="G151" s="254"/>
      <c r="H151" s="218">
        <f t="shared" ref="H151" si="9">F151*G151</f>
        <v>0</v>
      </c>
      <c r="I151" s="247">
        <f t="shared" ref="I151" si="10">H151</f>
        <v>0</v>
      </c>
      <c r="J151" s="218">
        <f>IF(OR($C151=Categories!$A$5,$C151=Categories!$A$11),$I151,$I151*(1+'Project data &amp; personnel '!$E$30))</f>
        <v>0</v>
      </c>
      <c r="K151" s="254"/>
      <c r="L151" s="279"/>
      <c r="M151" s="356"/>
      <c r="N151" s="312">
        <f t="shared" si="8"/>
        <v>0</v>
      </c>
    </row>
    <row r="152" spans="1:14" ht="13.8" thickBot="1" x14ac:dyDescent="0.3">
      <c r="A152" s="280" t="s">
        <v>184</v>
      </c>
      <c r="B152" s="281" t="s">
        <v>41</v>
      </c>
      <c r="C152" s="281" t="s">
        <v>41</v>
      </c>
      <c r="D152" s="281" t="s">
        <v>41</v>
      </c>
      <c r="E152" s="281" t="s">
        <v>41</v>
      </c>
      <c r="F152" s="281" t="s">
        <v>41</v>
      </c>
      <c r="G152" s="281" t="s">
        <v>41</v>
      </c>
      <c r="H152" s="408">
        <f>SUM(H14:H151)</f>
        <v>55000</v>
      </c>
      <c r="I152" s="408">
        <f>SUM(I14:I151)</f>
        <v>55000</v>
      </c>
      <c r="J152" s="408">
        <f>SUM(J14:J151)</f>
        <v>62500</v>
      </c>
      <c r="K152" s="408">
        <f>SUMIF(K$14:K$151,"Yes",$J$14:$J$151)</f>
        <v>0</v>
      </c>
      <c r="L152" s="409">
        <f>SUMIF(L$14:L$151,"Yes",$J$14:$J$151)</f>
        <v>0</v>
      </c>
      <c r="M152" s="409">
        <f>SUMIF(M$14:M$151,"Yes",$J$14:$J$151)</f>
        <v>0</v>
      </c>
      <c r="N152" s="410">
        <f>SUM(N14:N151)</f>
        <v>0</v>
      </c>
    </row>
    <row r="153" spans="1:14" x14ac:dyDescent="0.25">
      <c r="A153" s="298" t="s">
        <v>158</v>
      </c>
      <c r="B153" s="299"/>
      <c r="C153" s="299"/>
      <c r="D153" s="299"/>
      <c r="E153" s="299"/>
      <c r="F153" s="299"/>
      <c r="G153" s="289"/>
      <c r="H153" s="411">
        <f>SUMIF($L$14:$L$151,"&lt;&gt;"&amp;"Yes",'Non-personnel costs'!H$14:H$151)</f>
        <v>55000</v>
      </c>
      <c r="I153" s="411">
        <f>SUMIF($L$14:$L$151,"&lt;&gt;"&amp;"Yes",'Non-personnel costs'!I$14:I$151)</f>
        <v>55000</v>
      </c>
      <c r="J153" s="411">
        <f>SUMIF($L$14:$L$151,"&lt;&gt;"&amp;"Yes",'Non-personnel costs'!J$14:J$151)</f>
        <v>62500</v>
      </c>
      <c r="K153" s="411"/>
      <c r="L153" s="412"/>
      <c r="M153" s="412"/>
    </row>
    <row r="154" spans="1:14" x14ac:dyDescent="0.25">
      <c r="A154" s="302" t="s">
        <v>159</v>
      </c>
      <c r="B154" s="303"/>
      <c r="C154" s="303"/>
      <c r="D154" s="303"/>
      <c r="E154" s="303"/>
      <c r="F154" s="303"/>
      <c r="G154" s="290"/>
      <c r="H154" s="413">
        <f>SUMIF($L$14:$L$151,"Yes",'Non-personnel costs'!H$14:H$151)</f>
        <v>0</v>
      </c>
      <c r="I154" s="413">
        <f>SUMIF($L$14:$L$151,"Yes",'Non-personnel costs'!I$14:I$151)</f>
        <v>0</v>
      </c>
      <c r="J154" s="413">
        <f>SUMIF($L$14:$L$151,"Yes",'Non-personnel costs'!J$14:J$151)</f>
        <v>0</v>
      </c>
      <c r="K154" s="413"/>
      <c r="L154" s="414"/>
      <c r="M154" s="414"/>
    </row>
    <row r="155" spans="1:14" x14ac:dyDescent="0.25">
      <c r="A155" s="366" t="s">
        <v>160</v>
      </c>
      <c r="B155" s="367"/>
      <c r="C155" s="367"/>
      <c r="D155" s="367"/>
      <c r="E155" s="367"/>
      <c r="F155" s="367"/>
      <c r="G155" s="403"/>
      <c r="H155" s="415">
        <f>SUMIF($M$14:$M$151,"Yes",'Non-personnel costs'!H$14:H$151)</f>
        <v>0</v>
      </c>
      <c r="I155" s="415">
        <f>SUMIF($M$14:$M$151,"Yes",'Non-personnel costs'!I$14:I$151)</f>
        <v>0</v>
      </c>
      <c r="J155" s="415">
        <f>SUMIF($M$14:$M$151,"Yes",'Non-personnel costs'!J$14:J$151)</f>
        <v>0</v>
      </c>
      <c r="K155" s="415"/>
      <c r="L155" s="416"/>
      <c r="M155" s="416"/>
    </row>
    <row r="156" spans="1:14" ht="13.8" thickBot="1" x14ac:dyDescent="0.3">
      <c r="A156" s="306" t="s">
        <v>161</v>
      </c>
      <c r="B156" s="307"/>
      <c r="C156" s="307"/>
      <c r="D156" s="307"/>
      <c r="E156" s="307"/>
      <c r="F156" s="307"/>
      <c r="G156" s="291"/>
      <c r="H156" s="417">
        <f t="shared" ref="H156:I156" si="11">SUM(H153:H154)</f>
        <v>55000</v>
      </c>
      <c r="I156" s="417">
        <f t="shared" si="11"/>
        <v>55000</v>
      </c>
      <c r="J156" s="417">
        <f>SUM(J153:J154)</f>
        <v>62500</v>
      </c>
      <c r="K156" s="417"/>
      <c r="L156" s="418"/>
      <c r="M156" s="418"/>
    </row>
    <row r="157" spans="1:14" x14ac:dyDescent="0.25">
      <c r="H157" s="220"/>
      <c r="J157" s="220"/>
    </row>
  </sheetData>
  <sheetProtection algorithmName="SHA-512" hashValue="Kk1fa6VU/5xAH+Q7jRg+XXIbc75IoMnkifjKgkwm3QKVG0fF+kK8qQ10SGGML09hDYNNY3VyKeMVRpOEKcUGUw==" saltValue="NVRek0iU5wFp2RiNghBwXw==" spinCount="100000" sheet="1" objects="1" scenarios="1"/>
  <autoFilter ref="A13:N151" xr:uid="{D8E2015E-8AFD-4D2A-B830-2F788376A688}"/>
  <mergeCells count="2">
    <mergeCell ref="C4:E4"/>
    <mergeCell ref="K12:M12"/>
  </mergeCells>
  <dataValidations count="1">
    <dataValidation type="list" allowBlank="1" showInputMessage="1" showErrorMessage="1" sqref="K14:M151" xr:uid="{00000000-0002-0000-0300-000003000000}">
      <formula1>"Yes,No"</formula1>
    </dataValidation>
  </dataValidations>
  <pageMargins left="0.7" right="0.7" top="0.75" bottom="0.75" header="0.3" footer="0.3"/>
  <pageSetup orientation="portrait" r:id="rId1"/>
  <ignoredErrors>
    <ignoredError sqref="I14:I22" unlockedFormula="1"/>
  </ignoredErrors>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300-000001000000}">
          <x14:formula1>
            <xm:f>'Org''enheter'!#REF!</xm:f>
          </x14:formula1>
          <xm:sqref>D41:E151</xm:sqref>
        </x14:dataValidation>
        <x14:dataValidation type="list" allowBlank="1" showInputMessage="1" showErrorMessage="1" xr:uid="{4CBCB580-508F-4B75-980C-9690FF086460}">
          <x14:formula1>
            <xm:f>'Org''enheter'!$F$4:$F$14</xm:f>
          </x14:formula1>
          <xm:sqref>D14:D40</xm:sqref>
        </x14:dataValidation>
        <x14:dataValidation type="list" allowBlank="1" showInputMessage="1" showErrorMessage="1" xr:uid="{A663D528-1164-4C68-86AA-9394953EF70C}">
          <x14:formula1>
            <xm:f>'Org''enheter'!$G$4:$G$60</xm:f>
          </x14:formula1>
          <xm:sqref>E14:E40</xm:sqref>
        </x14:dataValidation>
        <x14:dataValidation type="list" allowBlank="1" showInputMessage="1" showErrorMessage="1" xr:uid="{00000000-0002-0000-0300-000000000000}">
          <x14:formula1>
            <xm:f>Categories!$A$5:$A$12</xm:f>
          </x14:formula1>
          <xm:sqref>C14:C151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AFED1-CB05-4A9A-B047-4404986C397A}">
  <sheetPr>
    <tabColor theme="6" tint="0.59999389629810485"/>
    <pageSetUpPr fitToPage="1"/>
  </sheetPr>
  <dimension ref="A1:S34"/>
  <sheetViews>
    <sheetView tabSelected="1" zoomScale="69" zoomScaleNormal="69" workbookViewId="0">
      <selection activeCell="H30" sqref="H30"/>
    </sheetView>
  </sheetViews>
  <sheetFormatPr defaultColWidth="11.5546875" defaultRowHeight="10.199999999999999" x14ac:dyDescent="0.2"/>
  <cols>
    <col min="1" max="1" width="15.44140625" style="349" customWidth="1"/>
    <col min="2" max="6" width="10.5546875" style="349" customWidth="1"/>
    <col min="7" max="7" width="11.5546875" style="349" bestFit="1" customWidth="1"/>
    <col min="8" max="8" width="12.5546875" style="349" customWidth="1"/>
    <col min="9" max="9" width="10.5546875" style="349" customWidth="1"/>
    <col min="10" max="10" width="13.44140625" style="349" bestFit="1" customWidth="1"/>
    <col min="11" max="11" width="12.44140625" style="349" bestFit="1" customWidth="1"/>
    <col min="12" max="12" width="14.44140625" style="349" bestFit="1" customWidth="1"/>
    <col min="13" max="13" width="10.5546875" style="349" customWidth="1"/>
    <col min="14" max="15" width="11.5546875" style="349"/>
    <col min="16" max="16" width="12.44140625" style="349" bestFit="1" customWidth="1"/>
    <col min="17" max="18" width="10.5546875" style="349" bestFit="1" customWidth="1"/>
    <col min="19" max="19" width="11.44140625" style="349" customWidth="1"/>
    <col min="20" max="21" width="15.44140625" style="349" customWidth="1"/>
    <col min="22" max="16384" width="11.5546875" style="349"/>
  </cols>
  <sheetData>
    <row r="1" spans="1:19" s="347" customFormat="1" ht="21" x14ac:dyDescent="0.4">
      <c r="A1" s="347" t="s">
        <v>98</v>
      </c>
    </row>
    <row r="2" spans="1:19" s="348" customFormat="1" ht="21" x14ac:dyDescent="0.4">
      <c r="A2" s="347" t="s">
        <v>185</v>
      </c>
    </row>
    <row r="3" spans="1:19" s="327" customFormat="1" ht="13.8" x14ac:dyDescent="0.3"/>
    <row r="4" spans="1:19" s="330" customFormat="1" ht="13.8" x14ac:dyDescent="0.3">
      <c r="A4" s="330" t="s">
        <v>186</v>
      </c>
    </row>
    <row r="5" spans="1:19" s="327" customFormat="1" ht="13.5" customHeight="1" x14ac:dyDescent="0.3"/>
    <row r="6" spans="1:19" s="327" customFormat="1" ht="13.5" customHeight="1" thickBot="1" x14ac:dyDescent="0.35"/>
    <row r="7" spans="1:19" s="327" customFormat="1" ht="55.8" thickBot="1" x14ac:dyDescent="0.35">
      <c r="A7" s="438" t="s">
        <v>187</v>
      </c>
      <c r="B7" s="439" t="s">
        <v>149</v>
      </c>
      <c r="C7" s="440" t="s">
        <v>188</v>
      </c>
      <c r="D7" s="440" t="s">
        <v>154</v>
      </c>
      <c r="E7" s="440" t="s">
        <v>157</v>
      </c>
      <c r="F7" s="441" t="s">
        <v>189</v>
      </c>
      <c r="G7" s="441" t="s">
        <v>190</v>
      </c>
      <c r="H7" s="441" t="s">
        <v>68</v>
      </c>
      <c r="I7" s="442" t="s">
        <v>182</v>
      </c>
      <c r="J7" s="441" t="s">
        <v>63</v>
      </c>
      <c r="K7" s="441" t="s">
        <v>64</v>
      </c>
      <c r="L7" s="441" t="s">
        <v>183</v>
      </c>
      <c r="M7" s="441" t="s">
        <v>66</v>
      </c>
      <c r="N7" s="443" t="s">
        <v>191</v>
      </c>
      <c r="O7" s="441" t="s">
        <v>192</v>
      </c>
      <c r="P7" s="441" t="s">
        <v>67</v>
      </c>
      <c r="Q7" s="441" t="s">
        <v>193</v>
      </c>
      <c r="R7" s="441" t="s">
        <v>194</v>
      </c>
      <c r="S7" s="444" t="s">
        <v>195</v>
      </c>
    </row>
    <row r="8" spans="1:19" s="421" customFormat="1" ht="26.25" customHeight="1" x14ac:dyDescent="0.25">
      <c r="A8" s="434" t="s">
        <v>196</v>
      </c>
      <c r="B8" s="435">
        <f>SUMIF('Project data &amp; personnel '!$E$39:$E$60,B$7,'Project data &amp; personnel '!$M$39:$M$60)</f>
        <v>361004.70758259215</v>
      </c>
      <c r="C8" s="435">
        <f>SUMIF('Project data &amp; personnel '!$E$39:$E$60,C$7,'Project data &amp; personnel '!$M$39:$M$60)</f>
        <v>0</v>
      </c>
      <c r="D8" s="435">
        <f>SUMIF('Project data &amp; personnel '!$E$39:$E$60,D$7,'Project data &amp; personnel '!$M$39:$M$60)</f>
        <v>541224.14232405869</v>
      </c>
      <c r="E8" s="435">
        <f>SUMIF('Project data &amp; personnel '!$E$39:$E$60,E$7,'Project data &amp; personnel '!$M$39:$M$60)</f>
        <v>248072.85352560313</v>
      </c>
      <c r="F8" s="435">
        <f>SUMIF('Project data &amp; personnel '!$E$39:$E$60,F$7,'Project data &amp; personnel '!$M$39:$M$60)</f>
        <v>0</v>
      </c>
      <c r="G8" s="436">
        <f>SUM(B8:F8)</f>
        <v>1150301.703432254</v>
      </c>
      <c r="H8" s="435">
        <f>SUMIF('Non-personnel costs'!$C$14:$C$151,H$7,'Non-personnel costs'!$I$14:$I$151)</f>
        <v>0</v>
      </c>
      <c r="I8" s="435">
        <f>SUMIF('Non-personnel costs'!$C$14:$C$151,I$7,'Non-personnel costs'!$I$14:$I$151)</f>
        <v>30000</v>
      </c>
      <c r="J8" s="435">
        <f>SUMIF('Non-personnel costs'!$C$14:$C$151,J$7,'Non-personnel costs'!$I$14:$I$151)</f>
        <v>0</v>
      </c>
      <c r="K8" s="435">
        <f>SUMIF('Non-personnel costs'!$C$14:$C$151,K$7,'Non-personnel costs'!$I$14:$I$151)</f>
        <v>0</v>
      </c>
      <c r="L8" s="435">
        <f>SUMIF('Non-personnel costs'!$C$14:$C$151,L$7,'Non-personnel costs'!$I$14:$I$151)</f>
        <v>0</v>
      </c>
      <c r="M8" s="435">
        <f>SUMIF('Non-personnel costs'!$C$14:$C$151,M$7,'Non-personnel costs'!$I$14:$I$151)</f>
        <v>0</v>
      </c>
      <c r="N8" s="436">
        <f>SUM(K8:M8)</f>
        <v>0</v>
      </c>
      <c r="O8" s="436">
        <f>SUM(I8:M8)</f>
        <v>30000</v>
      </c>
      <c r="P8" s="435">
        <f>SUMIF('Non-personnel costs'!$C$14:$C$151,P$7,'Non-personnel costs'!$I$14:$I$151)</f>
        <v>25000</v>
      </c>
      <c r="Q8" s="436">
        <f>SUM(G8,O8)*'Project data &amp; personnel '!$E$30</f>
        <v>295075.42585806351</v>
      </c>
      <c r="R8" s="436">
        <f>SUM(G8:H8,O8:Q8)</f>
        <v>1500377.1292903177</v>
      </c>
      <c r="S8" s="437">
        <f>'Internal NTNU budget'!C35</f>
        <v>1500000</v>
      </c>
    </row>
    <row r="9" spans="1:19" s="421" customFormat="1" ht="26.25" customHeight="1" thickBot="1" x14ac:dyDescent="0.3">
      <c r="A9" s="445"/>
      <c r="B9" s="446"/>
      <c r="C9" s="446"/>
      <c r="D9" s="446"/>
      <c r="E9" s="446"/>
      <c r="F9" s="446"/>
      <c r="G9" s="447"/>
      <c r="H9" s="446"/>
      <c r="I9" s="446"/>
      <c r="J9" s="446"/>
      <c r="K9" s="446"/>
      <c r="L9" s="446"/>
      <c r="M9" s="446"/>
      <c r="N9" s="447"/>
      <c r="O9" s="447"/>
      <c r="P9" s="446"/>
      <c r="Q9" s="447"/>
      <c r="R9" s="447"/>
      <c r="S9" s="448"/>
    </row>
    <row r="10" spans="1:19" s="421" customFormat="1" ht="26.25" customHeight="1" thickBot="1" x14ac:dyDescent="0.3">
      <c r="A10" s="449" t="s">
        <v>197</v>
      </c>
      <c r="B10" s="450"/>
      <c r="C10" s="450"/>
      <c r="D10" s="450"/>
      <c r="E10" s="450"/>
      <c r="F10" s="450"/>
      <c r="G10" s="451"/>
      <c r="H10" s="450"/>
      <c r="I10" s="450"/>
      <c r="J10" s="450"/>
      <c r="K10" s="450"/>
      <c r="L10" s="450"/>
      <c r="M10" s="450"/>
      <c r="N10" s="451"/>
      <c r="O10" s="451"/>
      <c r="P10" s="450"/>
      <c r="Q10" s="451"/>
      <c r="R10" s="451"/>
      <c r="S10" s="452"/>
    </row>
    <row r="11" spans="1:19" s="421" customFormat="1" ht="45" customHeight="1" x14ac:dyDescent="0.25">
      <c r="A11" s="434" t="s">
        <v>198</v>
      </c>
      <c r="B11" s="435">
        <f>SUMIFS('Project data &amp; personnel '!$M$39:$M$60,'Project data &amp; personnel '!$E$39:$E$60,B$7,'Project data &amp; personnel '!$O$39:$O$60,"Yes")</f>
        <v>0</v>
      </c>
      <c r="C11" s="435">
        <f>SUMIFS('Project data &amp; personnel '!$M$39:$M$60,'Project data &amp; personnel '!$E$39:$E$60,C$7,'Project data &amp; personnel '!$O$39:$O$60,"Yes")</f>
        <v>0</v>
      </c>
      <c r="D11" s="435">
        <f>SUMIFS('Project data &amp; personnel '!$M$39:$M$60,'Project data &amp; personnel '!$E$39:$E$60,D$7,'Project data &amp; personnel '!$O$39:$O$60,"Yes")</f>
        <v>0</v>
      </c>
      <c r="E11" s="435">
        <f>SUMIFS('Project data &amp; personnel '!$M$39:$M$60,'Project data &amp; personnel '!$E$39:$E$60,E$7,'Project data &amp; personnel '!$O$39:$O$60,"Yes")</f>
        <v>0</v>
      </c>
      <c r="F11" s="435">
        <f>SUMIFS('Project data &amp; personnel '!$M$39:$M$60,'Project data &amp; personnel '!$E$39:$E$60,F$7,'Project data &amp; personnel '!$O$39:$O$60,"Yes")</f>
        <v>0</v>
      </c>
      <c r="G11" s="436">
        <f t="shared" ref="G11:G12" si="0">SUM(B11:F11)</f>
        <v>0</v>
      </c>
      <c r="H11" s="435">
        <f>SUMIFS('Non-personnel costs'!$I$14:$I$151,'Non-personnel costs'!$C$14:$C$151,H$7,'Non-personnel costs'!$L$14:$L$151,"Yes")</f>
        <v>0</v>
      </c>
      <c r="I11" s="435">
        <f>SUMIFS('Non-personnel costs'!$I$14:$I$151,'Non-personnel costs'!$C$14:$C$151,I$7,'Non-personnel costs'!$L$14:$L$151,"Yes")</f>
        <v>0</v>
      </c>
      <c r="J11" s="435">
        <f>SUMIFS('Non-personnel costs'!$I$14:$I$151,'Non-personnel costs'!$C$14:$C$151,J$7,'Non-personnel costs'!$L$14:$L$151,"Yes")</f>
        <v>0</v>
      </c>
      <c r="K11" s="435">
        <f>SUMIFS('Non-personnel costs'!$I$14:$I$151,'Non-personnel costs'!$C$14:$C$151,K$7,'Non-personnel costs'!$L$14:$L$151,"Yes")</f>
        <v>0</v>
      </c>
      <c r="L11" s="435">
        <f>SUMIFS('Non-personnel costs'!$I$14:$I$151,'Non-personnel costs'!$C$14:$C$151,L$7,'Non-personnel costs'!$L$14:$L$151,"Yes")</f>
        <v>0</v>
      </c>
      <c r="M11" s="435">
        <f>SUMIFS('Non-personnel costs'!$I$14:$I$151,'Non-personnel costs'!$C$14:$C$151,M$7,'Non-personnel costs'!$L$14:$L$151,"Yes")</f>
        <v>0</v>
      </c>
      <c r="N11" s="436">
        <f t="shared" ref="N11:N12" si="1">SUM(K11:M11)</f>
        <v>0</v>
      </c>
      <c r="O11" s="436">
        <f t="shared" ref="O11:O12" si="2">SUM(I11:M11)</f>
        <v>0</v>
      </c>
      <c r="P11" s="435">
        <f>SUMIFS('Non-personnel costs'!$I$14:$I$151,'Non-personnel costs'!$C$14:$C$151,P$7,'Non-personnel costs'!$L$14:$L$151,"Yes")</f>
        <v>0</v>
      </c>
      <c r="Q11" s="436">
        <f>SUM(G11,O11)*'Project data &amp; personnel '!$E$30</f>
        <v>0</v>
      </c>
      <c r="R11" s="436">
        <f t="shared" ref="R11:R12" si="3">SUM(G11:H11,O11:Q11)</f>
        <v>0</v>
      </c>
      <c r="S11" s="437">
        <f>'Internal NTNU budget'!C43</f>
        <v>0</v>
      </c>
    </row>
    <row r="12" spans="1:19" s="421" customFormat="1" ht="43.2" x14ac:dyDescent="0.25">
      <c r="A12" s="427" t="s">
        <v>199</v>
      </c>
      <c r="B12" s="419">
        <f>SUMIFS('Project data &amp; personnel '!$M$39:$M$60,'Project data &amp; personnel '!$E$39:$E$60,B$7,'Project data &amp; personnel '!$P$39:$P$60,"Yes")</f>
        <v>0</v>
      </c>
      <c r="C12" s="419">
        <f>SUMIFS('Project data &amp; personnel '!$M$39:$M$60,'Project data &amp; personnel '!$E$39:$E$60,C$7,'Project data &amp; personnel '!$P$39:$P$60,"Yes")</f>
        <v>0</v>
      </c>
      <c r="D12" s="419">
        <f>SUMIFS('Project data &amp; personnel '!$M$39:$M$60,'Project data &amp; personnel '!$E$39:$E$60,D$7,'Project data &amp; personnel '!$P$39:$P$60,"Yes")</f>
        <v>0</v>
      </c>
      <c r="E12" s="419">
        <f>SUMIFS('Project data &amp; personnel '!$M$39:$M$60,'Project data &amp; personnel '!$E$39:$E$60,E$7,'Project data &amp; personnel '!$P$39:$P$60,"Yes")</f>
        <v>0</v>
      </c>
      <c r="F12" s="419">
        <f>SUMIFS('Project data &amp; personnel '!$M$39:$M$60,'Project data &amp; personnel '!$E$39:$E$60,F$7,'Project data &amp; personnel '!$P$39:$P$60,"Yes")</f>
        <v>0</v>
      </c>
      <c r="G12" s="420">
        <f t="shared" si="0"/>
        <v>0</v>
      </c>
      <c r="H12" s="419">
        <f>SUMIFS('Non-personnel costs'!$I$14:$I$151,'Non-personnel costs'!$C$14:$C$151,H$7,'Non-personnel costs'!$M$14:$M$151,"Yes")</f>
        <v>0</v>
      </c>
      <c r="I12" s="419">
        <f>SUMIFS('Non-personnel costs'!$I$14:$I$151,'Non-personnel costs'!$C$14:$C$151,I$7,'Non-personnel costs'!$M$14:$M$151,"Yes")</f>
        <v>0</v>
      </c>
      <c r="J12" s="419">
        <f>SUMIFS('Non-personnel costs'!$I$14:$I$151,'Non-personnel costs'!$C$14:$C$151,J$7,'Non-personnel costs'!$M$14:$M$151,"Yes")</f>
        <v>0</v>
      </c>
      <c r="K12" s="419">
        <f>SUMIFS('Non-personnel costs'!$I$14:$I$151,'Non-personnel costs'!$C$14:$C$151,K$7,'Non-personnel costs'!$M$14:$M$151,"Yes")</f>
        <v>0</v>
      </c>
      <c r="L12" s="419">
        <f>SUMIFS('Non-personnel costs'!$I$14:$I$151,'Non-personnel costs'!$C$14:$C$151,L$7,'Non-personnel costs'!$M$14:$M$151,"Yes")</f>
        <v>0</v>
      </c>
      <c r="M12" s="419">
        <f>SUMIFS('Non-personnel costs'!$I$14:$I$151,'Non-personnel costs'!$C$14:$C$151,M$7,'Non-personnel costs'!$M$14:$M$151,"Yes")</f>
        <v>0</v>
      </c>
      <c r="N12" s="420">
        <f t="shared" si="1"/>
        <v>0</v>
      </c>
      <c r="O12" s="420">
        <f t="shared" si="2"/>
        <v>0</v>
      </c>
      <c r="P12" s="419">
        <f>SUMIFS('Non-personnel costs'!$I$14:$I$151,'Non-personnel costs'!$C$14:$C$151,P$7,'Non-personnel costs'!$M$14:$M$151,"Yes")</f>
        <v>0</v>
      </c>
      <c r="Q12" s="420">
        <f>SUM(G12,O12)*'Project data &amp; personnel '!$E$30</f>
        <v>0</v>
      </c>
      <c r="R12" s="420">
        <f t="shared" si="3"/>
        <v>0</v>
      </c>
      <c r="S12" s="428">
        <f>'Internal NTNU budget'!C44</f>
        <v>0</v>
      </c>
    </row>
    <row r="13" spans="1:19" s="421" customFormat="1" ht="29.25" customHeight="1" x14ac:dyDescent="0.25">
      <c r="A13" s="427" t="s">
        <v>200</v>
      </c>
      <c r="B13" s="422"/>
      <c r="C13" s="423"/>
      <c r="D13" s="423"/>
      <c r="E13" s="423"/>
      <c r="F13" s="423"/>
      <c r="G13" s="424"/>
      <c r="H13" s="423"/>
      <c r="I13" s="423"/>
      <c r="J13" s="423"/>
      <c r="K13" s="423"/>
      <c r="L13" s="423"/>
      <c r="M13" s="423"/>
      <c r="N13" s="424"/>
      <c r="O13" s="424"/>
      <c r="P13" s="424"/>
      <c r="Q13" s="425"/>
      <c r="R13" s="426">
        <f>$R$8-SUM(R$12,R$14)</f>
        <v>377.12929031765088</v>
      </c>
      <c r="S13" s="429"/>
    </row>
    <row r="14" spans="1:19" s="421" customFormat="1" ht="29.25" customHeight="1" x14ac:dyDescent="0.25">
      <c r="A14" s="427" t="str">
        <f>$S$7</f>
        <v>Requested EU contribution</v>
      </c>
      <c r="B14" s="422"/>
      <c r="C14" s="423"/>
      <c r="D14" s="423"/>
      <c r="E14" s="423"/>
      <c r="F14" s="423"/>
      <c r="G14" s="424"/>
      <c r="H14" s="423"/>
      <c r="I14" s="423"/>
      <c r="J14" s="423"/>
      <c r="K14" s="423"/>
      <c r="L14" s="423"/>
      <c r="M14" s="423"/>
      <c r="N14" s="424"/>
      <c r="O14" s="424"/>
      <c r="P14" s="424"/>
      <c r="Q14" s="425"/>
      <c r="R14" s="420">
        <f>$S$8</f>
        <v>1500000</v>
      </c>
      <c r="S14" s="429"/>
    </row>
    <row r="15" spans="1:19" s="421" customFormat="1" ht="22.5" customHeight="1" thickBot="1" x14ac:dyDescent="0.3">
      <c r="A15" s="430" t="s">
        <v>161</v>
      </c>
      <c r="B15" s="431">
        <f t="shared" ref="B15:S15" si="4">SUM(B8)</f>
        <v>361004.70758259215</v>
      </c>
      <c r="C15" s="431">
        <f t="shared" si="4"/>
        <v>0</v>
      </c>
      <c r="D15" s="431">
        <f t="shared" si="4"/>
        <v>541224.14232405869</v>
      </c>
      <c r="E15" s="431">
        <f t="shared" si="4"/>
        <v>248072.85352560313</v>
      </c>
      <c r="F15" s="431">
        <f t="shared" si="4"/>
        <v>0</v>
      </c>
      <c r="G15" s="432">
        <f t="shared" si="4"/>
        <v>1150301.703432254</v>
      </c>
      <c r="H15" s="431">
        <f t="shared" si="4"/>
        <v>0</v>
      </c>
      <c r="I15" s="431">
        <f t="shared" si="4"/>
        <v>30000</v>
      </c>
      <c r="J15" s="431">
        <f t="shared" si="4"/>
        <v>0</v>
      </c>
      <c r="K15" s="431">
        <f t="shared" si="4"/>
        <v>0</v>
      </c>
      <c r="L15" s="431">
        <f t="shared" si="4"/>
        <v>0</v>
      </c>
      <c r="M15" s="431">
        <f t="shared" si="4"/>
        <v>0</v>
      </c>
      <c r="N15" s="432">
        <f t="shared" si="4"/>
        <v>0</v>
      </c>
      <c r="O15" s="432">
        <f t="shared" si="4"/>
        <v>30000</v>
      </c>
      <c r="P15" s="432">
        <f t="shared" si="4"/>
        <v>25000</v>
      </c>
      <c r="Q15" s="432">
        <f t="shared" si="4"/>
        <v>295075.42585806351</v>
      </c>
      <c r="R15" s="432">
        <f t="shared" si="4"/>
        <v>1500377.1292903177</v>
      </c>
      <c r="S15" s="433">
        <f t="shared" si="4"/>
        <v>1500000</v>
      </c>
    </row>
    <row r="16" spans="1:19" s="327" customFormat="1" ht="13.8" x14ac:dyDescent="0.3"/>
    <row r="17" spans="1:19" s="327" customFormat="1" ht="13.8" x14ac:dyDescent="0.3"/>
    <row r="18" spans="1:19" s="351" customFormat="1" ht="15.6" x14ac:dyDescent="0.3">
      <c r="A18" s="493" t="s">
        <v>201</v>
      </c>
      <c r="B18" s="350"/>
      <c r="C18" s="350"/>
      <c r="D18" s="350"/>
      <c r="E18" s="350"/>
      <c r="F18" s="350"/>
      <c r="G18" s="350"/>
      <c r="H18" s="350"/>
      <c r="I18" s="350"/>
      <c r="J18" s="350"/>
      <c r="K18" s="350"/>
      <c r="L18" s="350"/>
      <c r="M18" s="350"/>
      <c r="N18" s="350"/>
      <c r="O18" s="350"/>
      <c r="P18" s="350"/>
      <c r="Q18" s="350"/>
      <c r="R18" s="350"/>
      <c r="S18" s="350"/>
    </row>
    <row r="19" spans="1:19" s="351" customFormat="1" ht="14.4" x14ac:dyDescent="0.3">
      <c r="A19" s="350"/>
      <c r="B19" s="350"/>
      <c r="C19" s="350"/>
      <c r="D19" s="350"/>
      <c r="E19" s="350"/>
      <c r="F19" s="350"/>
      <c r="G19" s="350"/>
      <c r="H19" s="350"/>
      <c r="I19" s="350"/>
      <c r="J19" s="350"/>
      <c r="K19" s="350"/>
      <c r="L19" s="350"/>
      <c r="M19" s="350"/>
      <c r="N19" s="350"/>
      <c r="O19" s="350"/>
      <c r="P19" s="350"/>
      <c r="Q19" s="350"/>
      <c r="R19" s="350"/>
      <c r="S19" s="350"/>
    </row>
    <row r="20" spans="1:19" s="496" customFormat="1" ht="14.4" x14ac:dyDescent="0.3">
      <c r="A20" s="494" t="s">
        <v>202</v>
      </c>
      <c r="B20" s="495"/>
      <c r="C20" s="495"/>
      <c r="D20" s="495"/>
      <c r="E20" s="495"/>
      <c r="F20" s="495"/>
      <c r="G20" s="495"/>
      <c r="H20" s="495"/>
      <c r="I20" s="495"/>
      <c r="J20" s="495"/>
      <c r="K20" s="495"/>
      <c r="L20" s="495"/>
      <c r="M20" s="495"/>
      <c r="N20" s="495"/>
      <c r="O20" s="495"/>
      <c r="P20" s="495"/>
      <c r="Q20" s="495"/>
      <c r="R20" s="495"/>
      <c r="S20" s="495"/>
    </row>
    <row r="21" spans="1:19" s="496" customFormat="1" ht="14.4" x14ac:dyDescent="0.3">
      <c r="A21" s="495" t="s">
        <v>203</v>
      </c>
      <c r="B21" s="495"/>
      <c r="C21" s="495"/>
      <c r="D21" s="495"/>
      <c r="E21" s="495"/>
      <c r="F21" s="495"/>
      <c r="G21" s="495"/>
      <c r="H21" s="495"/>
      <c r="I21" s="495"/>
      <c r="J21" s="495"/>
      <c r="K21" s="495"/>
      <c r="L21" s="495"/>
      <c r="M21" s="495"/>
      <c r="N21" s="495"/>
      <c r="O21" s="495"/>
      <c r="P21" s="495"/>
      <c r="Q21" s="495"/>
      <c r="R21" s="495"/>
      <c r="S21" s="495"/>
    </row>
    <row r="22" spans="1:19" s="496" customFormat="1" ht="14.4" x14ac:dyDescent="0.3">
      <c r="A22" s="495" t="s">
        <v>204</v>
      </c>
      <c r="B22" s="495"/>
      <c r="C22" s="495"/>
      <c r="D22" s="495"/>
      <c r="E22" s="495"/>
      <c r="F22" s="495"/>
      <c r="G22" s="495"/>
      <c r="H22" s="495"/>
      <c r="I22" s="495"/>
      <c r="J22" s="495"/>
      <c r="K22" s="495"/>
      <c r="L22" s="495"/>
      <c r="M22" s="495"/>
      <c r="N22" s="495"/>
      <c r="O22" s="495"/>
      <c r="P22" s="495"/>
      <c r="Q22" s="495"/>
      <c r="R22" s="495"/>
      <c r="S22" s="495"/>
    </row>
    <row r="23" spans="1:19" s="496" customFormat="1" ht="14.4" x14ac:dyDescent="0.3">
      <c r="A23" s="495"/>
      <c r="B23" s="495"/>
      <c r="C23" s="495"/>
      <c r="D23" s="495"/>
      <c r="E23" s="495"/>
      <c r="F23" s="495"/>
      <c r="G23" s="495"/>
      <c r="H23" s="495"/>
      <c r="I23" s="495"/>
      <c r="J23" s="495"/>
      <c r="K23" s="495"/>
      <c r="L23" s="495"/>
      <c r="M23" s="495"/>
      <c r="N23" s="495"/>
      <c r="O23" s="495"/>
      <c r="P23" s="495"/>
      <c r="Q23" s="495"/>
      <c r="R23" s="495"/>
      <c r="S23" s="495"/>
    </row>
    <row r="24" spans="1:19" s="496" customFormat="1" ht="14.4" x14ac:dyDescent="0.3">
      <c r="A24" s="495" t="s">
        <v>205</v>
      </c>
      <c r="B24" s="495"/>
      <c r="C24" s="495"/>
      <c r="D24" s="495"/>
      <c r="E24" s="495"/>
      <c r="F24" s="495"/>
      <c r="G24" s="495"/>
      <c r="H24" s="495"/>
      <c r="I24" s="495"/>
      <c r="J24" s="495"/>
      <c r="K24" s="495"/>
      <c r="L24" s="495"/>
      <c r="M24" s="495"/>
      <c r="N24" s="495"/>
      <c r="O24" s="495"/>
      <c r="P24" s="495"/>
      <c r="Q24" s="495"/>
      <c r="R24" s="495"/>
      <c r="S24" s="495"/>
    </row>
    <row r="25" spans="1:19" s="496" customFormat="1" ht="14.4" x14ac:dyDescent="0.3">
      <c r="A25" s="495"/>
      <c r="B25" s="495"/>
      <c r="C25" s="495"/>
      <c r="D25" s="495"/>
      <c r="E25" s="495"/>
      <c r="F25" s="495"/>
      <c r="G25" s="495"/>
      <c r="H25" s="495"/>
      <c r="I25" s="495"/>
      <c r="J25" s="495"/>
      <c r="K25" s="495"/>
      <c r="L25" s="495"/>
      <c r="M25" s="495"/>
      <c r="N25" s="495"/>
      <c r="O25" s="495"/>
      <c r="P25" s="495"/>
      <c r="Q25" s="495"/>
      <c r="R25" s="495"/>
      <c r="S25" s="495"/>
    </row>
    <row r="26" spans="1:19" s="496" customFormat="1" ht="14.4" x14ac:dyDescent="0.3">
      <c r="A26" s="350" t="s">
        <v>206</v>
      </c>
      <c r="B26" s="495"/>
      <c r="C26" s="495"/>
      <c r="D26" s="495"/>
      <c r="E26" s="495"/>
      <c r="F26" s="495"/>
      <c r="G26" s="495"/>
      <c r="H26" s="495"/>
      <c r="I26" s="495"/>
      <c r="J26" s="495"/>
      <c r="K26" s="495"/>
      <c r="L26" s="495"/>
      <c r="M26" s="495"/>
      <c r="N26" s="495"/>
      <c r="O26" s="495"/>
      <c r="P26" s="495"/>
      <c r="Q26" s="495"/>
      <c r="R26" s="495"/>
      <c r="S26" s="495"/>
    </row>
    <row r="27" spans="1:19" s="496" customFormat="1" ht="14.4" x14ac:dyDescent="0.3">
      <c r="A27" s="495" t="s">
        <v>207</v>
      </c>
      <c r="B27" s="495"/>
      <c r="C27" s="495"/>
      <c r="D27" s="495"/>
      <c r="E27" s="495"/>
      <c r="F27" s="495"/>
      <c r="G27" s="495"/>
      <c r="H27" s="495"/>
      <c r="I27" s="495"/>
      <c r="J27" s="495"/>
      <c r="K27" s="495"/>
      <c r="L27" s="495"/>
      <c r="M27" s="495"/>
      <c r="N27" s="495"/>
      <c r="O27" s="495"/>
      <c r="P27" s="495"/>
      <c r="Q27" s="495"/>
      <c r="R27" s="495"/>
      <c r="S27" s="495"/>
    </row>
    <row r="28" spans="1:19" s="496" customFormat="1" ht="14.4" x14ac:dyDescent="0.3">
      <c r="A28" s="495"/>
      <c r="B28" s="495"/>
      <c r="C28" s="495"/>
      <c r="D28" s="495"/>
      <c r="E28" s="495"/>
      <c r="F28" s="495"/>
      <c r="G28" s="495"/>
      <c r="H28" s="495"/>
      <c r="I28" s="495"/>
      <c r="J28" s="495"/>
      <c r="K28" s="495"/>
      <c r="L28" s="495"/>
      <c r="M28" s="495"/>
      <c r="N28" s="495"/>
      <c r="O28" s="495"/>
      <c r="P28" s="495"/>
      <c r="Q28" s="495"/>
      <c r="R28" s="495"/>
      <c r="S28" s="495"/>
    </row>
    <row r="29" spans="1:19" s="496" customFormat="1" ht="14.4" x14ac:dyDescent="0.3">
      <c r="A29" s="350" t="s">
        <v>208</v>
      </c>
      <c r="B29" s="495"/>
      <c r="C29" s="495"/>
      <c r="D29" s="495"/>
      <c r="E29" s="495"/>
      <c r="F29" s="495"/>
      <c r="G29" s="495"/>
      <c r="H29" s="495"/>
      <c r="I29" s="495"/>
      <c r="J29" s="495"/>
      <c r="K29" s="495"/>
      <c r="L29" s="495"/>
      <c r="M29" s="495"/>
      <c r="N29" s="495"/>
      <c r="O29" s="495"/>
      <c r="P29" s="495"/>
      <c r="Q29" s="495"/>
      <c r="R29" s="495"/>
      <c r="S29" s="495"/>
    </row>
    <row r="30" spans="1:19" s="496" customFormat="1" ht="14.4" x14ac:dyDescent="0.3">
      <c r="A30" s="495" t="s">
        <v>209</v>
      </c>
      <c r="B30" s="495"/>
      <c r="C30" s="495"/>
      <c r="D30" s="495"/>
      <c r="E30" s="495"/>
      <c r="F30" s="495"/>
      <c r="G30" s="495"/>
      <c r="H30" s="495"/>
      <c r="I30" s="495"/>
      <c r="J30" s="495"/>
      <c r="K30" s="495"/>
      <c r="L30" s="495"/>
      <c r="M30" s="495"/>
      <c r="N30" s="495"/>
      <c r="O30" s="495"/>
      <c r="P30" s="495"/>
      <c r="Q30" s="495"/>
      <c r="R30" s="495"/>
      <c r="S30" s="495"/>
    </row>
    <row r="31" spans="1:19" s="496" customFormat="1" ht="14.4" x14ac:dyDescent="0.3">
      <c r="A31" s="495"/>
      <c r="B31" s="495"/>
      <c r="C31" s="495"/>
      <c r="D31" s="495"/>
      <c r="E31" s="495"/>
      <c r="F31" s="495"/>
      <c r="G31" s="495"/>
      <c r="H31" s="495"/>
      <c r="I31" s="495"/>
      <c r="J31" s="495"/>
      <c r="K31" s="495"/>
      <c r="L31" s="495"/>
      <c r="M31" s="495"/>
      <c r="N31" s="495"/>
      <c r="O31" s="495"/>
      <c r="P31" s="495"/>
      <c r="Q31" s="495"/>
      <c r="R31" s="495"/>
      <c r="S31" s="495"/>
    </row>
    <row r="32" spans="1:19" s="496" customFormat="1" ht="14.4" x14ac:dyDescent="0.3">
      <c r="A32" s="350" t="s">
        <v>210</v>
      </c>
      <c r="B32" s="495"/>
      <c r="C32" s="495"/>
      <c r="D32" s="495"/>
      <c r="E32" s="495"/>
      <c r="F32" s="495"/>
      <c r="G32" s="495"/>
      <c r="H32" s="495"/>
      <c r="I32" s="495"/>
      <c r="J32" s="495"/>
      <c r="K32" s="495"/>
      <c r="L32" s="495"/>
      <c r="M32" s="495"/>
      <c r="N32" s="495"/>
      <c r="O32" s="495"/>
      <c r="P32" s="495"/>
      <c r="Q32" s="495"/>
      <c r="R32" s="495"/>
      <c r="S32" s="495"/>
    </row>
    <row r="33" spans="1:19" s="496" customFormat="1" ht="14.4" x14ac:dyDescent="0.3">
      <c r="A33" s="495" t="s">
        <v>211</v>
      </c>
      <c r="B33" s="495"/>
      <c r="C33" s="495"/>
      <c r="D33" s="495"/>
      <c r="E33" s="495"/>
      <c r="F33" s="495"/>
      <c r="G33" s="495"/>
      <c r="H33" s="495"/>
      <c r="I33" s="495"/>
      <c r="J33" s="495"/>
      <c r="K33" s="495"/>
      <c r="L33" s="495"/>
      <c r="M33" s="495"/>
      <c r="N33" s="495"/>
      <c r="O33" s="495"/>
      <c r="P33" s="495"/>
      <c r="Q33" s="495"/>
      <c r="R33" s="495"/>
      <c r="S33" s="495"/>
    </row>
    <row r="34" spans="1:19" s="496" customFormat="1" ht="14.4" x14ac:dyDescent="0.3">
      <c r="A34" s="495"/>
      <c r="B34" s="495"/>
      <c r="C34" s="495"/>
      <c r="D34" s="495"/>
      <c r="E34" s="495"/>
      <c r="F34" s="495"/>
      <c r="G34" s="495"/>
      <c r="H34" s="495"/>
      <c r="I34" s="495"/>
      <c r="J34" s="495"/>
      <c r="K34" s="495"/>
      <c r="L34" s="495"/>
      <c r="M34" s="495"/>
      <c r="N34" s="495"/>
      <c r="O34" s="495"/>
      <c r="P34" s="495"/>
      <c r="Q34" s="495"/>
      <c r="R34" s="495"/>
      <c r="S34" s="495"/>
    </row>
  </sheetData>
  <sheetProtection algorithmName="SHA-512" hashValue="WSQTf16VqSABBqUyjkFDu5pLsliVMKDPnOxp8BFqSW1FaF6ffxFRJ8G1RxaCU1MX5XsB9kxMkiuijrWT5snOMQ==" saltValue="sw5OLk472asWhM/dGXtMzg==" spinCount="100000" sheet="1" objects="1" scenarios="1"/>
  <pageMargins left="0.70866141732283472" right="0.70866141732283472" top="0.74803149606299213" bottom="0.74803149606299213" header="0.31496062992125984" footer="0.31496062992125984"/>
  <pageSetup scale="5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17DEF-A7E7-40B8-AE0E-B59C88D4E205}">
  <sheetPr>
    <tabColor theme="6" tint="0.59999389629810485"/>
    <pageSetUpPr fitToPage="1"/>
  </sheetPr>
  <dimension ref="A1:B24"/>
  <sheetViews>
    <sheetView zoomScale="115" zoomScaleNormal="115" workbookViewId="0">
      <selection activeCell="B15" sqref="B15"/>
    </sheetView>
  </sheetViews>
  <sheetFormatPr defaultColWidth="11.44140625" defaultRowHeight="13.2" x14ac:dyDescent="0.25"/>
  <cols>
    <col min="1" max="1" width="3.5546875" customWidth="1"/>
    <col min="2" max="2" width="101.5546875" style="41" customWidth="1"/>
  </cols>
  <sheetData>
    <row r="1" spans="1:2" s="347" customFormat="1" ht="21" x14ac:dyDescent="0.4">
      <c r="B1" s="352" t="s">
        <v>98</v>
      </c>
    </row>
    <row r="3" spans="1:2" s="12" customFormat="1" ht="15.6" x14ac:dyDescent="0.3">
      <c r="B3" s="353" t="s">
        <v>212</v>
      </c>
    </row>
    <row r="6" spans="1:2" s="12" customFormat="1" ht="15.6" x14ac:dyDescent="0.3">
      <c r="B6" s="353" t="s">
        <v>213</v>
      </c>
    </row>
    <row r="7" spans="1:2" s="12" customFormat="1" ht="15.6" x14ac:dyDescent="0.3">
      <c r="B7" s="353" t="s">
        <v>214</v>
      </c>
    </row>
    <row r="9" spans="1:2" x14ac:dyDescent="0.25">
      <c r="B9" s="355" t="s">
        <v>215</v>
      </c>
    </row>
    <row r="10" spans="1:2" ht="52.8" x14ac:dyDescent="0.25">
      <c r="A10" s="354" t="s">
        <v>12</v>
      </c>
      <c r="B10" s="221" t="s">
        <v>216</v>
      </c>
    </row>
    <row r="11" spans="1:2" ht="52.8" x14ac:dyDescent="0.25">
      <c r="A11" s="354" t="s">
        <v>14</v>
      </c>
      <c r="B11" s="221" t="s">
        <v>217</v>
      </c>
    </row>
    <row r="12" spans="1:2" ht="39.6" x14ac:dyDescent="0.25">
      <c r="A12" s="354" t="s">
        <v>16</v>
      </c>
      <c r="B12" s="221" t="s">
        <v>218</v>
      </c>
    </row>
    <row r="13" spans="1:2" ht="26.4" x14ac:dyDescent="0.25">
      <c r="A13" s="354" t="s">
        <v>19</v>
      </c>
      <c r="B13" s="221" t="s">
        <v>219</v>
      </c>
    </row>
    <row r="14" spans="1:2" ht="39.6" x14ac:dyDescent="0.25">
      <c r="A14" s="354" t="s">
        <v>26</v>
      </c>
      <c r="B14" s="221" t="s">
        <v>220</v>
      </c>
    </row>
    <row r="15" spans="1:2" ht="26.4" x14ac:dyDescent="0.25">
      <c r="A15" s="354" t="s">
        <v>221</v>
      </c>
      <c r="B15" s="221" t="s">
        <v>222</v>
      </c>
    </row>
    <row r="16" spans="1:2" ht="26.4" x14ac:dyDescent="0.25">
      <c r="A16" s="354" t="s">
        <v>223</v>
      </c>
      <c r="B16" s="221" t="s">
        <v>224</v>
      </c>
    </row>
    <row r="19" spans="2:2" s="364" customFormat="1" ht="17.399999999999999" x14ac:dyDescent="0.3">
      <c r="B19" s="363" t="s">
        <v>225</v>
      </c>
    </row>
    <row r="20" spans="2:2" ht="39.6" x14ac:dyDescent="0.25">
      <c r="B20" s="221" t="s">
        <v>226</v>
      </c>
    </row>
    <row r="21" spans="2:2" ht="39.6" x14ac:dyDescent="0.25">
      <c r="B21" s="221" t="s">
        <v>227</v>
      </c>
    </row>
    <row r="22" spans="2:2" x14ac:dyDescent="0.25">
      <c r="B22" s="221" t="s">
        <v>228</v>
      </c>
    </row>
    <row r="23" spans="2:2" ht="26.4" x14ac:dyDescent="0.25">
      <c r="B23" s="221" t="s">
        <v>229</v>
      </c>
    </row>
    <row r="24" spans="2:2" x14ac:dyDescent="0.25">
      <c r="B24" s="221" t="s">
        <v>230</v>
      </c>
    </row>
  </sheetData>
  <sheetProtection algorithmName="SHA-512" hashValue="7vIM6PDh4Cvt8w+J6goFHXMpAfXEeArWysYaHj61G1jQZvi8fgXb13Xtcgi9JBv67LLZxc8CU3Roi8vfFNd6hw==" saltValue="liWyzTTqkDM5Rj7VFJaplQ==" spinCount="100000" sheet="1" objects="1" scenarios="1"/>
  <phoneticPr fontId="7" type="noConversion"/>
  <pageMargins left="0.39370078740157483" right="0.39370078740157483" top="0.98425196850393704" bottom="0.59055118110236227" header="0.59055118110236227"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18F4-0D0F-4AE9-B0E1-200BD37671B0}">
  <sheetPr>
    <tabColor theme="9" tint="0.59999389629810485"/>
    <pageSetUpPr fitToPage="1"/>
  </sheetPr>
  <dimension ref="A1:U90"/>
  <sheetViews>
    <sheetView topLeftCell="A32" zoomScaleNormal="100" workbookViewId="0">
      <selection activeCell="C83" sqref="C83"/>
    </sheetView>
  </sheetViews>
  <sheetFormatPr defaultColWidth="11.5546875" defaultRowHeight="10.199999999999999" x14ac:dyDescent="0.2"/>
  <cols>
    <col min="1" max="1" width="58.5546875" style="4" customWidth="1"/>
    <col min="2" max="2" width="1.5546875" style="4" customWidth="1"/>
    <col min="3" max="3" width="11.44140625" style="4" customWidth="1"/>
    <col min="4" max="18" width="9.5546875" style="4" customWidth="1"/>
    <col min="19" max="19" width="12.44140625" style="4" customWidth="1"/>
    <col min="20" max="20" width="12.5546875" style="4" bestFit="1" customWidth="1"/>
    <col min="21" max="16384" width="11.5546875" style="4"/>
  </cols>
  <sheetData>
    <row r="1" spans="1:21" s="347" customFormat="1" ht="21" x14ac:dyDescent="0.4">
      <c r="A1" s="347" t="s">
        <v>98</v>
      </c>
      <c r="U1" s="484"/>
    </row>
    <row r="2" spans="1:21" s="6" customFormat="1" ht="21" x14ac:dyDescent="0.4">
      <c r="A2" s="5" t="s">
        <v>231</v>
      </c>
      <c r="B2" s="5"/>
    </row>
    <row r="3" spans="1:21" s="6" customFormat="1" ht="21" x14ac:dyDescent="0.4">
      <c r="A3" s="5"/>
      <c r="B3" s="5"/>
    </row>
    <row r="4" spans="1:21" s="6" customFormat="1" ht="20.399999999999999" x14ac:dyDescent="0.35">
      <c r="A4" s="12" t="s">
        <v>102</v>
      </c>
      <c r="C4" s="620" t="str">
        <f>'Project data &amp; personnel '!$D$7</f>
        <v>Acronym</v>
      </c>
      <c r="D4" s="621"/>
    </row>
    <row r="5" spans="1:21" s="13" customFormat="1" ht="11.4" x14ac:dyDescent="0.2">
      <c r="C5" s="530"/>
      <c r="D5" s="530"/>
      <c r="E5" s="530"/>
      <c r="F5" s="530"/>
      <c r="G5" s="530"/>
      <c r="H5" s="530"/>
      <c r="I5" s="530"/>
      <c r="J5" s="530"/>
      <c r="K5" s="530"/>
      <c r="L5" s="530"/>
      <c r="M5" s="530"/>
      <c r="N5" s="530"/>
      <c r="O5" s="530"/>
      <c r="P5" s="530"/>
      <c r="Q5" s="530"/>
      <c r="R5" s="530"/>
      <c r="S5" s="530"/>
      <c r="T5" s="530"/>
      <c r="U5" s="530"/>
    </row>
    <row r="6" spans="1:21" s="2" customFormat="1" ht="13.2" x14ac:dyDescent="0.25">
      <c r="A6" s="1" t="s">
        <v>100</v>
      </c>
      <c r="C6" s="527"/>
      <c r="D6" s="530"/>
      <c r="E6" s="530"/>
    </row>
    <row r="7" spans="1:21" s="1" customFormat="1" ht="13.2" x14ac:dyDescent="0.25"/>
    <row r="8" spans="1:21" s="1" customFormat="1" ht="15.6" x14ac:dyDescent="0.3">
      <c r="A8" s="12" t="s">
        <v>232</v>
      </c>
    </row>
    <row r="9" spans="1:21" s="2" customFormat="1" ht="13.2" x14ac:dyDescent="0.25">
      <c r="A9" s="13"/>
      <c r="B9" s="13"/>
      <c r="C9" s="13"/>
      <c r="D9" s="13"/>
      <c r="E9" s="13"/>
      <c r="F9" s="13"/>
      <c r="G9" s="13"/>
      <c r="H9" s="13"/>
      <c r="I9" s="13"/>
      <c r="J9" s="13"/>
      <c r="K9" s="13"/>
      <c r="L9" s="13"/>
      <c r="M9" s="13"/>
      <c r="N9" s="13"/>
      <c r="O9" s="13"/>
      <c r="P9" s="13"/>
      <c r="Q9" s="13"/>
      <c r="R9" s="13"/>
    </row>
    <row r="10" spans="1:21" s="12" customFormat="1" ht="16.2" thickBot="1" x14ac:dyDescent="0.35">
      <c r="A10" s="28" t="s">
        <v>233</v>
      </c>
      <c r="B10" s="28"/>
      <c r="C10" s="28"/>
      <c r="D10" s="28"/>
      <c r="E10" s="28"/>
      <c r="F10" s="28"/>
      <c r="G10" s="28"/>
      <c r="H10" s="28"/>
      <c r="I10" s="28"/>
      <c r="J10" s="28"/>
      <c r="K10" s="28"/>
      <c r="L10" s="28"/>
      <c r="M10" s="28"/>
      <c r="N10" s="28"/>
      <c r="O10" s="28"/>
      <c r="P10" s="28"/>
      <c r="Q10" s="28"/>
      <c r="R10" s="28"/>
    </row>
    <row r="11" spans="1:21" s="1" customFormat="1" ht="13.2" x14ac:dyDescent="0.25">
      <c r="A11" s="381" t="s">
        <v>137</v>
      </c>
      <c r="B11" s="382"/>
      <c r="C11" s="383" t="s">
        <v>196</v>
      </c>
      <c r="D11" s="384" t="s">
        <v>150</v>
      </c>
      <c r="E11" s="384"/>
      <c r="F11" s="384"/>
      <c r="G11" s="384"/>
      <c r="H11" s="384"/>
      <c r="I11" s="384"/>
      <c r="J11" s="384"/>
      <c r="K11" s="384"/>
      <c r="L11" s="384"/>
      <c r="M11" s="384"/>
      <c r="N11" s="384"/>
      <c r="O11" s="384"/>
      <c r="P11" s="384"/>
      <c r="Q11" s="384"/>
      <c r="R11" s="384"/>
      <c r="S11" s="622" t="s">
        <v>234</v>
      </c>
      <c r="T11" s="622" t="s">
        <v>235</v>
      </c>
      <c r="U11" s="625" t="s">
        <v>161</v>
      </c>
    </row>
    <row r="12" spans="1:21" s="1" customFormat="1" ht="13.2" x14ac:dyDescent="0.25">
      <c r="A12" s="385" t="s">
        <v>138</v>
      </c>
      <c r="B12" s="222"/>
      <c r="C12" s="223" t="s">
        <v>236</v>
      </c>
      <c r="D12" s="274" t="s">
        <v>237</v>
      </c>
      <c r="E12" s="274"/>
      <c r="F12" s="274"/>
      <c r="G12" s="274"/>
      <c r="H12" s="274"/>
      <c r="I12" s="274"/>
      <c r="J12" s="274"/>
      <c r="K12" s="274"/>
      <c r="L12" s="274"/>
      <c r="M12" s="274"/>
      <c r="N12" s="274"/>
      <c r="O12" s="274"/>
      <c r="P12" s="274"/>
      <c r="Q12" s="274"/>
      <c r="R12" s="274"/>
      <c r="S12" s="623"/>
      <c r="T12" s="623"/>
      <c r="U12" s="626"/>
    </row>
    <row r="13" spans="1:21" s="31" customFormat="1" ht="13.8" thickBot="1" x14ac:dyDescent="0.3">
      <c r="A13" s="399" t="s">
        <v>238</v>
      </c>
      <c r="B13" s="400"/>
      <c r="C13" s="401"/>
      <c r="D13" s="402"/>
      <c r="E13" s="402"/>
      <c r="F13" s="402"/>
      <c r="G13" s="402"/>
      <c r="H13" s="402"/>
      <c r="I13" s="402"/>
      <c r="J13" s="402"/>
      <c r="K13" s="402"/>
      <c r="L13" s="402"/>
      <c r="M13" s="402"/>
      <c r="N13" s="402"/>
      <c r="O13" s="402"/>
      <c r="P13" s="402"/>
      <c r="Q13" s="402"/>
      <c r="R13" s="402"/>
      <c r="S13" s="624"/>
      <c r="T13" s="624"/>
      <c r="U13" s="627"/>
    </row>
    <row r="14" spans="1:21" s="13" customFormat="1" ht="11.4" x14ac:dyDescent="0.2">
      <c r="A14" s="395" t="str">
        <f>'HE Application Form A3 - Budget'!$B$7</f>
        <v>Pl</v>
      </c>
      <c r="B14" s="396"/>
      <c r="C14" s="397">
        <f t="array" ref="C14">SUM((('Project data &amp; personnel '!$E$39:$E$60=$A14)*'Project data &amp; personnel '!$M$39:$M$60))</f>
        <v>361004.70758259215</v>
      </c>
      <c r="D14" s="396">
        <f t="array" ref="D14">IF(D$12="",SUM((('Project data &amp; personnel '!$E$39:$E$60=$A14)*('Project data &amp; personnel '!$H$39:$H$60=D$11)*'Project data &amp; personnel '!$M$39:$M$60)),SUM((('Project data &amp; personnel '!$E$39:$E$60=$A14)*('Project data &amp; personnel '!$I$39:$I$60=D$12)*'Project data &amp; personnel '!$M$39:$M$60)))</f>
        <v>0</v>
      </c>
      <c r="E14" s="396">
        <f t="array" ref="E14">IF(E$12="",SUM((('Project data &amp; personnel '!$E$39:$E$60=$A14)*('Project data &amp; personnel '!$H$39:$H$60=E$11)*'Project data &amp; personnel '!$M$39:$M$60)),SUM((('Project data &amp; personnel '!$E$39:$E$60=$A14)*('Project data &amp; personnel '!$I$39:$I$60=E$12)*'Project data &amp; personnel '!$M$39:$M$60)))</f>
        <v>0</v>
      </c>
      <c r="F14" s="396">
        <f t="array" ref="F14">IF(F$12="",SUM((('Project data &amp; personnel '!$E$39:$E$60=$A14)*('Project data &amp; personnel '!$H$39:$H$60=F$11)*'Project data &amp; personnel '!$M$39:$M$60)),SUM((('Project data &amp; personnel '!$E$39:$E$60=$A14)*('Project data &amp; personnel '!$I$39:$I$60=F$12)*'Project data &amp; personnel '!$M$39:$M$60)))</f>
        <v>0</v>
      </c>
      <c r="G14" s="396">
        <f t="array" ref="G14">IF(G$12="",SUM((('Project data &amp; personnel '!$E$39:$E$60=$A14)*('Project data &amp; personnel '!$H$39:$H$60=G$11)*'Project data &amp; personnel '!$M$39:$M$60)),SUM((('Project data &amp; personnel '!$E$39:$E$60=$A14)*('Project data &amp; personnel '!$I$39:$I$60=G$12)*'Project data &amp; personnel '!$M$39:$M$60)))</f>
        <v>0</v>
      </c>
      <c r="H14" s="396">
        <f t="array" ref="H14">IF(H$12="",SUM((('Project data &amp; personnel '!$E$39:$E$60=$A14)*('Project data &amp; personnel '!$H$39:$H$60=H$11)*'Project data &amp; personnel '!$M$39:$M$60)),SUM((('Project data &amp; personnel '!$E$39:$E$60=$A14)*('Project data &amp; personnel '!$I$39:$I$60=H$12)*'Project data &amp; personnel '!$M$39:$M$60)))</f>
        <v>0</v>
      </c>
      <c r="I14" s="396">
        <f t="array" ref="I14">IF(I$12="",SUM((('Project data &amp; personnel '!$E$39:$E$60=$A14)*('Project data &amp; personnel '!$H$39:$H$60=I$11)*'Project data &amp; personnel '!$M$39:$M$60)),SUM((('Project data &amp; personnel '!$E$39:$E$60=$A14)*('Project data &amp; personnel '!$I$39:$I$60=I$12)*'Project data &amp; personnel '!$M$39:$M$60)))</f>
        <v>0</v>
      </c>
      <c r="J14" s="396">
        <f t="array" ref="J14">IF(J$12="",SUM((('Project data &amp; personnel '!$E$39:$E$60=$A14)*('Project data &amp; personnel '!$H$39:$H$60=J$11)*'Project data &amp; personnel '!$M$39:$M$60)),SUM((('Project data &amp; personnel '!$E$39:$E$60=$A14)*('Project data &amp; personnel '!$I$39:$I$60=J$12)*'Project data &amp; personnel '!$M$39:$M$60)))</f>
        <v>0</v>
      </c>
      <c r="K14" s="396">
        <f t="array" ref="K14">IF(K$12="",SUM((('Project data &amp; personnel '!$E$39:$E$60=$A14)*('Project data &amp; personnel '!$H$39:$H$60=K$11)*'Project data &amp; personnel '!$M$39:$M$60)),SUM((('Project data &amp; personnel '!$E$39:$E$60=$A14)*('Project data &amp; personnel '!$I$39:$I$60=K$12)*'Project data &amp; personnel '!$M$39:$M$60)))</f>
        <v>0</v>
      </c>
      <c r="L14" s="396">
        <f t="array" ref="L14">IF(L$12="",SUM((('Project data &amp; personnel '!$E$39:$E$60=$A14)*('Project data &amp; personnel '!$H$39:$H$60=L$11)*'Project data &amp; personnel '!$M$39:$M$60)),SUM((('Project data &amp; personnel '!$E$39:$E$60=$A14)*('Project data &amp; personnel '!$I$39:$I$60=L$12)*'Project data &amp; personnel '!$M$39:$M$60)))</f>
        <v>0</v>
      </c>
      <c r="M14" s="396">
        <f t="array" ref="M14">IF(M$12="",SUM((('Project data &amp; personnel '!$E$39:$E$60=$A14)*('Project data &amp; personnel '!$H$39:$H$60=M$11)*'Project data &amp; personnel '!$M$39:$M$60)),SUM((('Project data &amp; personnel '!$E$39:$E$60=$A14)*('Project data &amp; personnel '!$I$39:$I$60=M$12)*'Project data &amp; personnel '!$M$39:$M$60)))</f>
        <v>0</v>
      </c>
      <c r="N14" s="396">
        <f t="array" ref="N14">IF(N$12="",SUM((('Project data &amp; personnel '!$E$39:$E$60=$A14)*('Project data &amp; personnel '!$H$39:$H$60=N$11)*'Project data &amp; personnel '!$M$39:$M$60)),SUM((('Project data &amp; personnel '!$E$39:$E$60=$A14)*('Project data &amp; personnel '!$I$39:$I$60=N$12)*'Project data &amp; personnel '!$M$39:$M$60)))</f>
        <v>0</v>
      </c>
      <c r="O14" s="396">
        <f t="array" ref="O14">IF(O$12="",SUM((('Project data &amp; personnel '!$E$39:$E$60=$A14)*('Project data &amp; personnel '!$H$39:$H$60=O$11)*'Project data &amp; personnel '!$M$39:$M$60)),SUM((('Project data &amp; personnel '!$E$39:$E$60=$A14)*('Project data &amp; personnel '!$I$39:$I$60=O$12)*'Project data &amp; personnel '!$M$39:$M$60)))</f>
        <v>0</v>
      </c>
      <c r="P14" s="396">
        <f t="array" ref="P14">IF(P$12="",SUM((('Project data &amp; personnel '!$E$39:$E$60=$A14)*('Project data &amp; personnel '!$H$39:$H$60=P$11)*'Project data &amp; personnel '!$M$39:$M$60)),SUM((('Project data &amp; personnel '!$E$39:$E$60=$A14)*('Project data &amp; personnel '!$I$39:$I$60=P$12)*'Project data &amp; personnel '!$M$39:$M$60)))</f>
        <v>0</v>
      </c>
      <c r="Q14" s="396">
        <f t="array" ref="Q14">IF(Q$12="",SUM((('Project data &amp; personnel '!$E$39:$E$60=$A14)*('Project data &amp; personnel '!$H$39:$H$60=Q$11)*'Project data &amp; personnel '!$M$39:$M$60)),SUM((('Project data &amp; personnel '!$E$39:$E$60=$A14)*('Project data &amp; personnel '!$I$39:$I$60=Q$12)*'Project data &amp; personnel '!$M$39:$M$60)))</f>
        <v>0</v>
      </c>
      <c r="R14" s="396">
        <f t="array" ref="R14">IF(R$12="",SUM((('Project data &amp; personnel '!$E$39:$E$60=$A14)*('Project data &amp; personnel '!$H$39:$H$60=R$11)*'Project data &amp; personnel '!$M$39:$M$60)),SUM((('Project data &amp; personnel '!$E$39:$E$60=$A14)*('Project data &amp; personnel '!$I$39:$I$60=R$12)*'Project data &amp; personnel '!$M$39:$M$60)))</f>
        <v>0</v>
      </c>
      <c r="S14" s="396">
        <f t="array" ref="S14">SUM(($D$12:$R$12&lt;&gt;"")*$D14:$R14)</f>
        <v>0</v>
      </c>
      <c r="T14" s="396">
        <f t="shared" ref="T14:T19" si="0">C14-S14</f>
        <v>361004.70758259215</v>
      </c>
      <c r="U14" s="398">
        <f t="shared" ref="U14:U19" si="1">SUM(S14:T14)</f>
        <v>361004.70758259215</v>
      </c>
    </row>
    <row r="15" spans="1:21" s="13" customFormat="1" ht="11.4" x14ac:dyDescent="0.2">
      <c r="A15" s="14" t="str">
        <f>'HE Application Form A3 - Budget'!$C$7</f>
        <v>Senior Staff</v>
      </c>
      <c r="B15" s="147"/>
      <c r="C15" s="224">
        <f t="array" ref="C15">SUM((('Project data &amp; personnel '!$E$39:$E$60=$A15)*'Project data &amp; personnel '!$M$39:$M$60))</f>
        <v>0</v>
      </c>
      <c r="D15" s="147">
        <f t="array" ref="D15">IF(D$12="",SUM((('Project data &amp; personnel '!$E$39:$E$60=$A15)*('Project data &amp; personnel '!$H$39:$H$60=D$11)*'Project data &amp; personnel '!$M$39:$M$60)),SUM((('Project data &amp; personnel '!$E$39:$E$60=$A15)*('Project data &amp; personnel '!$I$39:$I$60=D$12)*'Project data &amp; personnel '!$M$39:$M$60)))</f>
        <v>0</v>
      </c>
      <c r="E15" s="147">
        <f t="array" ref="E15">IF(E$12="",SUM((('Project data &amp; personnel '!$E$39:$E$60=$A15)*('Project data &amp; personnel '!$H$39:$H$60=E$11)*'Project data &amp; personnel '!$M$39:$M$60)),SUM((('Project data &amp; personnel '!$E$39:$E$60=$A15)*('Project data &amp; personnel '!$I$39:$I$60=E$12)*'Project data &amp; personnel '!$M$39:$M$60)))</f>
        <v>0</v>
      </c>
      <c r="F15" s="147">
        <f t="array" ref="F15">IF(F$12="",SUM((('Project data &amp; personnel '!$E$39:$E$60=$A15)*('Project data &amp; personnel '!$H$39:$H$60=F$11)*'Project data &amp; personnel '!$M$39:$M$60)),SUM((('Project data &amp; personnel '!$E$39:$E$60=$A15)*('Project data &amp; personnel '!$I$39:$I$60=F$12)*'Project data &amp; personnel '!$M$39:$M$60)))</f>
        <v>0</v>
      </c>
      <c r="G15" s="147">
        <f t="array" ref="G15">IF(G$12="",SUM((('Project data &amp; personnel '!$E$39:$E$60=$A15)*('Project data &amp; personnel '!$H$39:$H$60=G$11)*'Project data &amp; personnel '!$M$39:$M$60)),SUM((('Project data &amp; personnel '!$E$39:$E$60=$A15)*('Project data &amp; personnel '!$I$39:$I$60=G$12)*'Project data &amp; personnel '!$M$39:$M$60)))</f>
        <v>0</v>
      </c>
      <c r="H15" s="147">
        <f t="array" ref="H15">IF(H$12="",SUM((('Project data &amp; personnel '!$E$39:$E$60=$A15)*('Project data &amp; personnel '!$H$39:$H$60=H$11)*'Project data &amp; personnel '!$M$39:$M$60)),SUM((('Project data &amp; personnel '!$E$39:$E$60=$A15)*('Project data &amp; personnel '!$I$39:$I$60=H$12)*'Project data &amp; personnel '!$M$39:$M$60)))</f>
        <v>0</v>
      </c>
      <c r="I15" s="147">
        <f t="array" ref="I15">IF(I$12="",SUM((('Project data &amp; personnel '!$E$39:$E$60=$A15)*('Project data &amp; personnel '!$H$39:$H$60=I$11)*'Project data &amp; personnel '!$M$39:$M$60)),SUM((('Project data &amp; personnel '!$E$39:$E$60=$A15)*('Project data &amp; personnel '!$I$39:$I$60=I$12)*'Project data &amp; personnel '!$M$39:$M$60)))</f>
        <v>0</v>
      </c>
      <c r="J15" s="147">
        <f t="array" ref="J15">IF(J$12="",SUM((('Project data &amp; personnel '!$E$39:$E$60=$A15)*('Project data &amp; personnel '!$H$39:$H$60=J$11)*'Project data &amp; personnel '!$M$39:$M$60)),SUM((('Project data &amp; personnel '!$E$39:$E$60=$A15)*('Project data &amp; personnel '!$I$39:$I$60=J$12)*'Project data &amp; personnel '!$M$39:$M$60)))</f>
        <v>0</v>
      </c>
      <c r="K15" s="147">
        <f t="array" ref="K15">IF(K$12="",SUM((('Project data &amp; personnel '!$E$39:$E$60=$A15)*('Project data &amp; personnel '!$H$39:$H$60=K$11)*'Project data &amp; personnel '!$M$39:$M$60)),SUM((('Project data &amp; personnel '!$E$39:$E$60=$A15)*('Project data &amp; personnel '!$I$39:$I$60=K$12)*'Project data &amp; personnel '!$M$39:$M$60)))</f>
        <v>0</v>
      </c>
      <c r="L15" s="147">
        <f t="array" ref="L15">IF(L$12="",SUM((('Project data &amp; personnel '!$E$39:$E$60=$A15)*('Project data &amp; personnel '!$H$39:$H$60=L$11)*'Project data &amp; personnel '!$M$39:$M$60)),SUM((('Project data &amp; personnel '!$E$39:$E$60=$A15)*('Project data &amp; personnel '!$I$39:$I$60=L$12)*'Project data &amp; personnel '!$M$39:$M$60)))</f>
        <v>0</v>
      </c>
      <c r="M15" s="147">
        <f t="array" ref="M15">IF(M$12="",SUM((('Project data &amp; personnel '!$E$39:$E$60=$A15)*('Project data &amp; personnel '!$H$39:$H$60=M$11)*'Project data &amp; personnel '!$M$39:$M$60)),SUM((('Project data &amp; personnel '!$E$39:$E$60=$A15)*('Project data &amp; personnel '!$I$39:$I$60=M$12)*'Project data &amp; personnel '!$M$39:$M$60)))</f>
        <v>0</v>
      </c>
      <c r="N15" s="147">
        <f t="array" ref="N15">IF(N$12="",SUM((('Project data &amp; personnel '!$E$39:$E$60=$A15)*('Project data &amp; personnel '!$H$39:$H$60=N$11)*'Project data &amp; personnel '!$M$39:$M$60)),SUM((('Project data &amp; personnel '!$E$39:$E$60=$A15)*('Project data &amp; personnel '!$I$39:$I$60=N$12)*'Project data &amp; personnel '!$M$39:$M$60)))</f>
        <v>0</v>
      </c>
      <c r="O15" s="147">
        <f t="array" ref="O15">IF(O$12="",SUM((('Project data &amp; personnel '!$E$39:$E$60=$A15)*('Project data &amp; personnel '!$H$39:$H$60=O$11)*'Project data &amp; personnel '!$M$39:$M$60)),SUM((('Project data &amp; personnel '!$E$39:$E$60=$A15)*('Project data &amp; personnel '!$I$39:$I$60=O$12)*'Project data &amp; personnel '!$M$39:$M$60)))</f>
        <v>0</v>
      </c>
      <c r="P15" s="147">
        <f t="array" ref="P15">IF(P$12="",SUM((('Project data &amp; personnel '!$E$39:$E$60=$A15)*('Project data &amp; personnel '!$H$39:$H$60=P$11)*'Project data &amp; personnel '!$M$39:$M$60)),SUM((('Project data &amp; personnel '!$E$39:$E$60=$A15)*('Project data &amp; personnel '!$I$39:$I$60=P$12)*'Project data &amp; personnel '!$M$39:$M$60)))</f>
        <v>0</v>
      </c>
      <c r="Q15" s="147">
        <f t="array" ref="Q15">IF(Q$12="",SUM((('Project data &amp; personnel '!$E$39:$E$60=$A15)*('Project data &amp; personnel '!$H$39:$H$60=Q$11)*'Project data &amp; personnel '!$M$39:$M$60)),SUM((('Project data &amp; personnel '!$E$39:$E$60=$A15)*('Project data &amp; personnel '!$I$39:$I$60=Q$12)*'Project data &amp; personnel '!$M$39:$M$60)))</f>
        <v>0</v>
      </c>
      <c r="R15" s="147">
        <f t="array" ref="R15">IF(R$12="",SUM((('Project data &amp; personnel '!$E$39:$E$60=$A15)*('Project data &amp; personnel '!$H$39:$H$60=R$11)*'Project data &amp; personnel '!$M$39:$M$60)),SUM((('Project data &amp; personnel '!$E$39:$E$60=$A15)*('Project data &amp; personnel '!$I$39:$I$60=R$12)*'Project data &amp; personnel '!$M$39:$M$60)))</f>
        <v>0</v>
      </c>
      <c r="S15" s="147">
        <f t="array" ref="S15">SUM(($D$12:$R$12&lt;&gt;"")*$D15:$R15)</f>
        <v>0</v>
      </c>
      <c r="T15" s="147">
        <f t="shared" si="0"/>
        <v>0</v>
      </c>
      <c r="U15" s="15">
        <f t="shared" si="1"/>
        <v>0</v>
      </c>
    </row>
    <row r="16" spans="1:21" s="13" customFormat="1" ht="11.4" x14ac:dyDescent="0.2">
      <c r="A16" s="14" t="str">
        <f>'HE Application Form A3 - Budget'!$D$7</f>
        <v>Postdocs</v>
      </c>
      <c r="B16" s="147"/>
      <c r="C16" s="224">
        <f t="array" ref="C16">SUM((('Project data &amp; personnel '!$E$39:$E$60=$A16)*'Project data &amp; personnel '!$M$39:$M$60))</f>
        <v>541224.14232405869</v>
      </c>
      <c r="D16" s="147">
        <f t="array" ref="D16">IF(D$12="",SUM((('Project data &amp; personnel '!$E$39:$E$60=$A16)*('Project data &amp; personnel '!$H$39:$H$60=D$11)*'Project data &amp; personnel '!$M$39:$M$60)),SUM((('Project data &amp; personnel '!$E$39:$E$60=$A16)*('Project data &amp; personnel '!$I$39:$I$60=D$12)*'Project data &amp; personnel '!$M$39:$M$60)))</f>
        <v>0</v>
      </c>
      <c r="E16" s="147">
        <f t="array" ref="E16">IF(E$12="",SUM((('Project data &amp; personnel '!$E$39:$E$60=$A16)*('Project data &amp; personnel '!$H$39:$H$60=E$11)*'Project data &amp; personnel '!$M$39:$M$60)),SUM((('Project data &amp; personnel '!$E$39:$E$60=$A16)*('Project data &amp; personnel '!$I$39:$I$60=E$12)*'Project data &amp; personnel '!$M$39:$M$60)))</f>
        <v>0</v>
      </c>
      <c r="F16" s="147">
        <f t="array" ref="F16">IF(F$12="",SUM((('Project data &amp; personnel '!$E$39:$E$60=$A16)*('Project data &amp; personnel '!$H$39:$H$60=F$11)*'Project data &amp; personnel '!$M$39:$M$60)),SUM((('Project data &amp; personnel '!$E$39:$E$60=$A16)*('Project data &amp; personnel '!$I$39:$I$60=F$12)*'Project data &amp; personnel '!$M$39:$M$60)))</f>
        <v>0</v>
      </c>
      <c r="G16" s="147">
        <f t="array" ref="G16">IF(G$12="",SUM((('Project data &amp; personnel '!$E$39:$E$60=$A16)*('Project data &amp; personnel '!$H$39:$H$60=G$11)*'Project data &amp; personnel '!$M$39:$M$60)),SUM((('Project data &amp; personnel '!$E$39:$E$60=$A16)*('Project data &amp; personnel '!$I$39:$I$60=G$12)*'Project data &amp; personnel '!$M$39:$M$60)))</f>
        <v>0</v>
      </c>
      <c r="H16" s="147">
        <f t="array" ref="H16">IF(H$12="",SUM((('Project data &amp; personnel '!$E$39:$E$60=$A16)*('Project data &amp; personnel '!$H$39:$H$60=H$11)*'Project data &amp; personnel '!$M$39:$M$60)),SUM((('Project data &amp; personnel '!$E$39:$E$60=$A16)*('Project data &amp; personnel '!$I$39:$I$60=H$12)*'Project data &amp; personnel '!$M$39:$M$60)))</f>
        <v>0</v>
      </c>
      <c r="I16" s="147">
        <f t="array" ref="I16">IF(I$12="",SUM((('Project data &amp; personnel '!$E$39:$E$60=$A16)*('Project data &amp; personnel '!$H$39:$H$60=I$11)*'Project data &amp; personnel '!$M$39:$M$60)),SUM((('Project data &amp; personnel '!$E$39:$E$60=$A16)*('Project data &amp; personnel '!$I$39:$I$60=I$12)*'Project data &amp; personnel '!$M$39:$M$60)))</f>
        <v>0</v>
      </c>
      <c r="J16" s="147">
        <f t="array" ref="J16">IF(J$12="",SUM((('Project data &amp; personnel '!$E$39:$E$60=$A16)*('Project data &amp; personnel '!$H$39:$H$60=J$11)*'Project data &amp; personnel '!$M$39:$M$60)),SUM((('Project data &amp; personnel '!$E$39:$E$60=$A16)*('Project data &amp; personnel '!$I$39:$I$60=J$12)*'Project data &amp; personnel '!$M$39:$M$60)))</f>
        <v>0</v>
      </c>
      <c r="K16" s="147">
        <f t="array" ref="K16">IF(K$12="",SUM((('Project data &amp; personnel '!$E$39:$E$60=$A16)*('Project data &amp; personnel '!$H$39:$H$60=K$11)*'Project data &amp; personnel '!$M$39:$M$60)),SUM((('Project data &amp; personnel '!$E$39:$E$60=$A16)*('Project data &amp; personnel '!$I$39:$I$60=K$12)*'Project data &amp; personnel '!$M$39:$M$60)))</f>
        <v>0</v>
      </c>
      <c r="L16" s="147">
        <f t="array" ref="L16">IF(L$12="",SUM((('Project data &amp; personnel '!$E$39:$E$60=$A16)*('Project data &amp; personnel '!$H$39:$H$60=L$11)*'Project data &amp; personnel '!$M$39:$M$60)),SUM((('Project data &amp; personnel '!$E$39:$E$60=$A16)*('Project data &amp; personnel '!$I$39:$I$60=L$12)*'Project data &amp; personnel '!$M$39:$M$60)))</f>
        <v>0</v>
      </c>
      <c r="M16" s="147">
        <f t="array" ref="M16">IF(M$12="",SUM((('Project data &amp; personnel '!$E$39:$E$60=$A16)*('Project data &amp; personnel '!$H$39:$H$60=M$11)*'Project data &amp; personnel '!$M$39:$M$60)),SUM((('Project data &amp; personnel '!$E$39:$E$60=$A16)*('Project data &amp; personnel '!$I$39:$I$60=M$12)*'Project data &amp; personnel '!$M$39:$M$60)))</f>
        <v>0</v>
      </c>
      <c r="N16" s="147">
        <f t="array" ref="N16">IF(N$12="",SUM((('Project data &amp; personnel '!$E$39:$E$60=$A16)*('Project data &amp; personnel '!$H$39:$H$60=N$11)*'Project data &amp; personnel '!$M$39:$M$60)),SUM((('Project data &amp; personnel '!$E$39:$E$60=$A16)*('Project data &amp; personnel '!$I$39:$I$60=N$12)*'Project data &amp; personnel '!$M$39:$M$60)))</f>
        <v>0</v>
      </c>
      <c r="O16" s="147">
        <f t="array" ref="O16">IF(O$12="",SUM((('Project data &amp; personnel '!$E$39:$E$60=$A16)*('Project data &amp; personnel '!$H$39:$H$60=O$11)*'Project data &amp; personnel '!$M$39:$M$60)),SUM((('Project data &amp; personnel '!$E$39:$E$60=$A16)*('Project data &amp; personnel '!$I$39:$I$60=O$12)*'Project data &amp; personnel '!$M$39:$M$60)))</f>
        <v>0</v>
      </c>
      <c r="P16" s="147">
        <f t="array" ref="P16">IF(P$12="",SUM((('Project data &amp; personnel '!$E$39:$E$60=$A16)*('Project data &amp; personnel '!$H$39:$H$60=P$11)*'Project data &amp; personnel '!$M$39:$M$60)),SUM((('Project data &amp; personnel '!$E$39:$E$60=$A16)*('Project data &amp; personnel '!$I$39:$I$60=P$12)*'Project data &amp; personnel '!$M$39:$M$60)))</f>
        <v>0</v>
      </c>
      <c r="Q16" s="147">
        <f t="array" ref="Q16">IF(Q$12="",SUM((('Project data &amp; personnel '!$E$39:$E$60=$A16)*('Project data &amp; personnel '!$H$39:$H$60=Q$11)*'Project data &amp; personnel '!$M$39:$M$60)),SUM((('Project data &amp; personnel '!$E$39:$E$60=$A16)*('Project data &amp; personnel '!$I$39:$I$60=Q$12)*'Project data &amp; personnel '!$M$39:$M$60)))</f>
        <v>0</v>
      </c>
      <c r="R16" s="147">
        <f t="array" ref="R16">IF(R$12="",SUM((('Project data &amp; personnel '!$E$39:$E$60=$A16)*('Project data &amp; personnel '!$H$39:$H$60=R$11)*'Project data &amp; personnel '!$M$39:$M$60)),SUM((('Project data &amp; personnel '!$E$39:$E$60=$A16)*('Project data &amp; personnel '!$I$39:$I$60=R$12)*'Project data &amp; personnel '!$M$39:$M$60)))</f>
        <v>0</v>
      </c>
      <c r="S16" s="147">
        <f t="array" ref="S16">SUM(($D$12:$R$12&lt;&gt;"")*$D16:$R16)</f>
        <v>0</v>
      </c>
      <c r="T16" s="147">
        <f t="shared" si="0"/>
        <v>541224.14232405869</v>
      </c>
      <c r="U16" s="15">
        <f t="shared" si="1"/>
        <v>541224.14232405869</v>
      </c>
    </row>
    <row r="17" spans="1:21" s="13" customFormat="1" ht="11.4" x14ac:dyDescent="0.2">
      <c r="A17" s="14" t="str">
        <f>'HE Application Form A3 - Budget'!$E$7</f>
        <v>Students</v>
      </c>
      <c r="B17" s="147"/>
      <c r="C17" s="224">
        <f t="array" ref="C17">SUM((('Project data &amp; personnel '!$E$39:$E$60=$A17)*'Project data &amp; personnel '!$M$39:$M$60))</f>
        <v>248072.85352560313</v>
      </c>
      <c r="D17" s="147">
        <f t="array" ref="D17">IF(D$12="",SUM((('Project data &amp; personnel '!$E$39:$E$60=$A17)*('Project data &amp; personnel '!$H$39:$H$60=D$11)*'Project data &amp; personnel '!$M$39:$M$60)),SUM((('Project data &amp; personnel '!$E$39:$E$60=$A17)*('Project data &amp; personnel '!$I$39:$I$60=D$12)*'Project data &amp; personnel '!$M$39:$M$60)))</f>
        <v>0</v>
      </c>
      <c r="E17" s="147">
        <f t="array" ref="E17">IF(E$12="",SUM((('Project data &amp; personnel '!$E$39:$E$60=$A17)*('Project data &amp; personnel '!$H$39:$H$60=E$11)*'Project data &amp; personnel '!$M$39:$M$60)),SUM((('Project data &amp; personnel '!$E$39:$E$60=$A17)*('Project data &amp; personnel '!$I$39:$I$60=E$12)*'Project data &amp; personnel '!$M$39:$M$60)))</f>
        <v>0</v>
      </c>
      <c r="F17" s="147">
        <f t="array" ref="F17">IF(F$12="",SUM((('Project data &amp; personnel '!$E$39:$E$60=$A17)*('Project data &amp; personnel '!$H$39:$H$60=F$11)*'Project data &amp; personnel '!$M$39:$M$60)),SUM((('Project data &amp; personnel '!$E$39:$E$60=$A17)*('Project data &amp; personnel '!$I$39:$I$60=F$12)*'Project data &amp; personnel '!$M$39:$M$60)))</f>
        <v>0</v>
      </c>
      <c r="G17" s="147">
        <f t="array" ref="G17">IF(G$12="",SUM((('Project data &amp; personnel '!$E$39:$E$60=$A17)*('Project data &amp; personnel '!$H$39:$H$60=G$11)*'Project data &amp; personnel '!$M$39:$M$60)),SUM((('Project data &amp; personnel '!$E$39:$E$60=$A17)*('Project data &amp; personnel '!$I$39:$I$60=G$12)*'Project data &amp; personnel '!$M$39:$M$60)))</f>
        <v>0</v>
      </c>
      <c r="H17" s="147">
        <f t="array" ref="H17">IF(H$12="",SUM((('Project data &amp; personnel '!$E$39:$E$60=$A17)*('Project data &amp; personnel '!$H$39:$H$60=H$11)*'Project data &amp; personnel '!$M$39:$M$60)),SUM((('Project data &amp; personnel '!$E$39:$E$60=$A17)*('Project data &amp; personnel '!$I$39:$I$60=H$12)*'Project data &amp; personnel '!$M$39:$M$60)))</f>
        <v>0</v>
      </c>
      <c r="I17" s="147">
        <f t="array" ref="I17">IF(I$12="",SUM((('Project data &amp; personnel '!$E$39:$E$60=$A17)*('Project data &amp; personnel '!$H$39:$H$60=I$11)*'Project data &amp; personnel '!$M$39:$M$60)),SUM((('Project data &amp; personnel '!$E$39:$E$60=$A17)*('Project data &amp; personnel '!$I$39:$I$60=I$12)*'Project data &amp; personnel '!$M$39:$M$60)))</f>
        <v>0</v>
      </c>
      <c r="J17" s="147">
        <f t="array" ref="J17">IF(J$12="",SUM((('Project data &amp; personnel '!$E$39:$E$60=$A17)*('Project data &amp; personnel '!$H$39:$H$60=J$11)*'Project data &amp; personnel '!$M$39:$M$60)),SUM((('Project data &amp; personnel '!$E$39:$E$60=$A17)*('Project data &amp; personnel '!$I$39:$I$60=J$12)*'Project data &amp; personnel '!$M$39:$M$60)))</f>
        <v>0</v>
      </c>
      <c r="K17" s="147">
        <f t="array" ref="K17">IF(K$12="",SUM((('Project data &amp; personnel '!$E$39:$E$60=$A17)*('Project data &amp; personnel '!$H$39:$H$60=K$11)*'Project data &amp; personnel '!$M$39:$M$60)),SUM((('Project data &amp; personnel '!$E$39:$E$60=$A17)*('Project data &amp; personnel '!$I$39:$I$60=K$12)*'Project data &amp; personnel '!$M$39:$M$60)))</f>
        <v>0</v>
      </c>
      <c r="L17" s="147">
        <f t="array" ref="L17">IF(L$12="",SUM((('Project data &amp; personnel '!$E$39:$E$60=$A17)*('Project data &amp; personnel '!$H$39:$H$60=L$11)*'Project data &amp; personnel '!$M$39:$M$60)),SUM((('Project data &amp; personnel '!$E$39:$E$60=$A17)*('Project data &amp; personnel '!$I$39:$I$60=L$12)*'Project data &amp; personnel '!$M$39:$M$60)))</f>
        <v>0</v>
      </c>
      <c r="M17" s="147">
        <f t="array" ref="M17">IF(M$12="",SUM((('Project data &amp; personnel '!$E$39:$E$60=$A17)*('Project data &amp; personnel '!$H$39:$H$60=M$11)*'Project data &amp; personnel '!$M$39:$M$60)),SUM((('Project data &amp; personnel '!$E$39:$E$60=$A17)*('Project data &amp; personnel '!$I$39:$I$60=M$12)*'Project data &amp; personnel '!$M$39:$M$60)))</f>
        <v>0</v>
      </c>
      <c r="N17" s="147">
        <f t="array" ref="N17">IF(N$12="",SUM((('Project data &amp; personnel '!$E$39:$E$60=$A17)*('Project data &amp; personnel '!$H$39:$H$60=N$11)*'Project data &amp; personnel '!$M$39:$M$60)),SUM((('Project data &amp; personnel '!$E$39:$E$60=$A17)*('Project data &amp; personnel '!$I$39:$I$60=N$12)*'Project data &amp; personnel '!$M$39:$M$60)))</f>
        <v>0</v>
      </c>
      <c r="O17" s="147">
        <f t="array" ref="O17">IF(O$12="",SUM((('Project data &amp; personnel '!$E$39:$E$60=$A17)*('Project data &amp; personnel '!$H$39:$H$60=O$11)*'Project data &amp; personnel '!$M$39:$M$60)),SUM((('Project data &amp; personnel '!$E$39:$E$60=$A17)*('Project data &amp; personnel '!$I$39:$I$60=O$12)*'Project data &amp; personnel '!$M$39:$M$60)))</f>
        <v>0</v>
      </c>
      <c r="P17" s="147">
        <f t="array" ref="P17">IF(P$12="",SUM((('Project data &amp; personnel '!$E$39:$E$60=$A17)*('Project data &amp; personnel '!$H$39:$H$60=P$11)*'Project data &amp; personnel '!$M$39:$M$60)),SUM((('Project data &amp; personnel '!$E$39:$E$60=$A17)*('Project data &amp; personnel '!$I$39:$I$60=P$12)*'Project data &amp; personnel '!$M$39:$M$60)))</f>
        <v>0</v>
      </c>
      <c r="Q17" s="147">
        <f t="array" ref="Q17">IF(Q$12="",SUM((('Project data &amp; personnel '!$E$39:$E$60=$A17)*('Project data &amp; personnel '!$H$39:$H$60=Q$11)*'Project data &amp; personnel '!$M$39:$M$60)),SUM((('Project data &amp; personnel '!$E$39:$E$60=$A17)*('Project data &amp; personnel '!$I$39:$I$60=Q$12)*'Project data &amp; personnel '!$M$39:$M$60)))</f>
        <v>0</v>
      </c>
      <c r="R17" s="147">
        <f t="array" ref="R17">IF(R$12="",SUM((('Project data &amp; personnel '!$E$39:$E$60=$A17)*('Project data &amp; personnel '!$H$39:$H$60=R$11)*'Project data &amp; personnel '!$M$39:$M$60)),SUM((('Project data &amp; personnel '!$E$39:$E$60=$A17)*('Project data &amp; personnel '!$I$39:$I$60=R$12)*'Project data &amp; personnel '!$M$39:$M$60)))</f>
        <v>0</v>
      </c>
      <c r="S17" s="147">
        <f t="array" ref="S17">SUM(($D$12:$R$12&lt;&gt;"")*$D17:$R17)</f>
        <v>0</v>
      </c>
      <c r="T17" s="147">
        <f t="shared" si="0"/>
        <v>248072.85352560313</v>
      </c>
      <c r="U17" s="15">
        <f t="shared" si="1"/>
        <v>248072.85352560313</v>
      </c>
    </row>
    <row r="18" spans="1:21" s="13" customFormat="1" ht="11.4" x14ac:dyDescent="0.2">
      <c r="A18" s="14" t="str">
        <f>'HE Application Form A3 - Budget'!$F$7</f>
        <v xml:space="preserve">Other personnel costs </v>
      </c>
      <c r="B18" s="147"/>
      <c r="C18" s="224">
        <f t="array" ref="C18">SUM((('Project data &amp; personnel '!$E$39:$E$60=$A18)*'Project data &amp; personnel '!$M$39:$M$60))</f>
        <v>0</v>
      </c>
      <c r="D18" s="147">
        <f t="array" ref="D18">IF(D$12="",SUM((('Project data &amp; personnel '!$E$39:$E$60=$A18)*('Project data &amp; personnel '!$H$39:$H$60=D$11)*'Project data &amp; personnel '!$M$39:$M$60)),SUM((('Project data &amp; personnel '!$E$39:$E$60=$A18)*('Project data &amp; personnel '!$I$39:$I$60=D$12)*'Project data &amp; personnel '!$M$39:$M$60)))</f>
        <v>0</v>
      </c>
      <c r="E18" s="147">
        <f t="array" ref="E18">IF(E$12="",SUM((('Project data &amp; personnel '!$E$39:$E$60=$A18)*('Project data &amp; personnel '!$H$39:$H$60=E$11)*'Project data &amp; personnel '!$M$39:$M$60)),SUM((('Project data &amp; personnel '!$E$39:$E$60=$A18)*('Project data &amp; personnel '!$I$39:$I$60=E$12)*'Project data &amp; personnel '!$M$39:$M$60)))</f>
        <v>0</v>
      </c>
      <c r="F18" s="147">
        <f t="array" ref="F18">IF(F$12="",SUM((('Project data &amp; personnel '!$E$39:$E$60=$A18)*('Project data &amp; personnel '!$H$39:$H$60=F$11)*'Project data &amp; personnel '!$M$39:$M$60)),SUM((('Project data &amp; personnel '!$E$39:$E$60=$A18)*('Project data &amp; personnel '!$I$39:$I$60=F$12)*'Project data &amp; personnel '!$M$39:$M$60)))</f>
        <v>0</v>
      </c>
      <c r="G18" s="147">
        <f t="array" ref="G18">IF(G$12="",SUM((('Project data &amp; personnel '!$E$39:$E$60=$A18)*('Project data &amp; personnel '!$H$39:$H$60=G$11)*'Project data &amp; personnel '!$M$39:$M$60)),SUM((('Project data &amp; personnel '!$E$39:$E$60=$A18)*('Project data &amp; personnel '!$I$39:$I$60=G$12)*'Project data &amp; personnel '!$M$39:$M$60)))</f>
        <v>0</v>
      </c>
      <c r="H18" s="147">
        <f t="array" ref="H18">IF(H$12="",SUM((('Project data &amp; personnel '!$E$39:$E$60=$A18)*('Project data &amp; personnel '!$H$39:$H$60=H$11)*'Project data &amp; personnel '!$M$39:$M$60)),SUM((('Project data &amp; personnel '!$E$39:$E$60=$A18)*('Project data &amp; personnel '!$I$39:$I$60=H$12)*'Project data &amp; personnel '!$M$39:$M$60)))</f>
        <v>0</v>
      </c>
      <c r="I18" s="147">
        <f t="array" ref="I18">IF(I$12="",SUM((('Project data &amp; personnel '!$E$39:$E$60=$A18)*('Project data &amp; personnel '!$H$39:$H$60=I$11)*'Project data &amp; personnel '!$M$39:$M$60)),SUM((('Project data &amp; personnel '!$E$39:$E$60=$A18)*('Project data &amp; personnel '!$I$39:$I$60=I$12)*'Project data &amp; personnel '!$M$39:$M$60)))</f>
        <v>0</v>
      </c>
      <c r="J18" s="147">
        <f t="array" ref="J18">IF(J$12="",SUM((('Project data &amp; personnel '!$E$39:$E$60=$A18)*('Project data &amp; personnel '!$H$39:$H$60=J$11)*'Project data &amp; personnel '!$M$39:$M$60)),SUM((('Project data &amp; personnel '!$E$39:$E$60=$A18)*('Project data &amp; personnel '!$I$39:$I$60=J$12)*'Project data &amp; personnel '!$M$39:$M$60)))</f>
        <v>0</v>
      </c>
      <c r="K18" s="147">
        <f t="array" ref="K18">IF(K$12="",SUM((('Project data &amp; personnel '!$E$39:$E$60=$A18)*('Project data &amp; personnel '!$H$39:$H$60=K$11)*'Project data &amp; personnel '!$M$39:$M$60)),SUM((('Project data &amp; personnel '!$E$39:$E$60=$A18)*('Project data &amp; personnel '!$I$39:$I$60=K$12)*'Project data &amp; personnel '!$M$39:$M$60)))</f>
        <v>0</v>
      </c>
      <c r="L18" s="147">
        <f t="array" ref="L18">IF(L$12="",SUM((('Project data &amp; personnel '!$E$39:$E$60=$A18)*('Project data &amp; personnel '!$H$39:$H$60=L$11)*'Project data &amp; personnel '!$M$39:$M$60)),SUM((('Project data &amp; personnel '!$E$39:$E$60=$A18)*('Project data &amp; personnel '!$I$39:$I$60=L$12)*'Project data &amp; personnel '!$M$39:$M$60)))</f>
        <v>0</v>
      </c>
      <c r="M18" s="147">
        <f t="array" ref="M18">IF(M$12="",SUM((('Project data &amp; personnel '!$E$39:$E$60=$A18)*('Project data &amp; personnel '!$H$39:$H$60=M$11)*'Project data &amp; personnel '!$M$39:$M$60)),SUM((('Project data &amp; personnel '!$E$39:$E$60=$A18)*('Project data &amp; personnel '!$I$39:$I$60=M$12)*'Project data &amp; personnel '!$M$39:$M$60)))</f>
        <v>0</v>
      </c>
      <c r="N18" s="147">
        <f t="array" ref="N18">IF(N$12="",SUM((('Project data &amp; personnel '!$E$39:$E$60=$A18)*('Project data &amp; personnel '!$H$39:$H$60=N$11)*'Project data &amp; personnel '!$M$39:$M$60)),SUM((('Project data &amp; personnel '!$E$39:$E$60=$A18)*('Project data &amp; personnel '!$I$39:$I$60=N$12)*'Project data &amp; personnel '!$M$39:$M$60)))</f>
        <v>0</v>
      </c>
      <c r="O18" s="147">
        <f t="array" ref="O18">IF(O$12="",SUM((('Project data &amp; personnel '!$E$39:$E$60=$A18)*('Project data &amp; personnel '!$H$39:$H$60=O$11)*'Project data &amp; personnel '!$M$39:$M$60)),SUM((('Project data &amp; personnel '!$E$39:$E$60=$A18)*('Project data &amp; personnel '!$I$39:$I$60=O$12)*'Project data &amp; personnel '!$M$39:$M$60)))</f>
        <v>0</v>
      </c>
      <c r="P18" s="147">
        <f t="array" ref="P18">IF(P$12="",SUM((('Project data &amp; personnel '!$E$39:$E$60=$A18)*('Project data &amp; personnel '!$H$39:$H$60=P$11)*'Project data &amp; personnel '!$M$39:$M$60)),SUM((('Project data &amp; personnel '!$E$39:$E$60=$A18)*('Project data &amp; personnel '!$I$39:$I$60=P$12)*'Project data &amp; personnel '!$M$39:$M$60)))</f>
        <v>0</v>
      </c>
      <c r="Q18" s="147">
        <f t="array" ref="Q18">IF(Q$12="",SUM((('Project data &amp; personnel '!$E$39:$E$60=$A18)*('Project data &amp; personnel '!$H$39:$H$60=Q$11)*'Project data &amp; personnel '!$M$39:$M$60)),SUM((('Project data &amp; personnel '!$E$39:$E$60=$A18)*('Project data &amp; personnel '!$I$39:$I$60=Q$12)*'Project data &amp; personnel '!$M$39:$M$60)))</f>
        <v>0</v>
      </c>
      <c r="R18" s="147">
        <f t="array" ref="R18">IF(R$12="",SUM((('Project data &amp; personnel '!$E$39:$E$60=$A18)*('Project data &amp; personnel '!$H$39:$H$60=R$11)*'Project data &amp; personnel '!$M$39:$M$60)),SUM((('Project data &amp; personnel '!$E$39:$E$60=$A18)*('Project data &amp; personnel '!$I$39:$I$60=R$12)*'Project data &amp; personnel '!$M$39:$M$60)))</f>
        <v>0</v>
      </c>
      <c r="S18" s="147">
        <f t="array" ref="S18">SUM(($D$12:$R$12&lt;&gt;"")*$D18:$R18)</f>
        <v>0</v>
      </c>
      <c r="T18" s="147">
        <f t="shared" si="0"/>
        <v>0</v>
      </c>
      <c r="U18" s="15">
        <f t="shared" si="1"/>
        <v>0</v>
      </c>
    </row>
    <row r="19" spans="1:21" s="1" customFormat="1" ht="13.2" x14ac:dyDescent="0.25">
      <c r="A19" s="385" t="s">
        <v>239</v>
      </c>
      <c r="B19" s="222"/>
      <c r="C19" s="225">
        <f t="shared" ref="C19:R19" si="2">SUM(C14:C18)</f>
        <v>1150301.703432254</v>
      </c>
      <c r="D19" s="222">
        <f t="shared" si="2"/>
        <v>0</v>
      </c>
      <c r="E19" s="222">
        <f t="shared" si="2"/>
        <v>0</v>
      </c>
      <c r="F19" s="222">
        <f t="shared" si="2"/>
        <v>0</v>
      </c>
      <c r="G19" s="222">
        <f t="shared" si="2"/>
        <v>0</v>
      </c>
      <c r="H19" s="222">
        <f t="shared" si="2"/>
        <v>0</v>
      </c>
      <c r="I19" s="222">
        <f t="shared" si="2"/>
        <v>0</v>
      </c>
      <c r="J19" s="222">
        <f t="shared" si="2"/>
        <v>0</v>
      </c>
      <c r="K19" s="222">
        <f t="shared" si="2"/>
        <v>0</v>
      </c>
      <c r="L19" s="222">
        <f t="shared" si="2"/>
        <v>0</v>
      </c>
      <c r="M19" s="222">
        <f t="shared" si="2"/>
        <v>0</v>
      </c>
      <c r="N19" s="222">
        <f t="shared" si="2"/>
        <v>0</v>
      </c>
      <c r="O19" s="222">
        <f t="shared" si="2"/>
        <v>0</v>
      </c>
      <c r="P19" s="222">
        <f t="shared" si="2"/>
        <v>0</v>
      </c>
      <c r="Q19" s="222">
        <f t="shared" si="2"/>
        <v>0</v>
      </c>
      <c r="R19" s="222">
        <f t="shared" si="2"/>
        <v>0</v>
      </c>
      <c r="S19" s="222">
        <f t="array" ref="S19">SUM(($D$12:$R$12&lt;&gt;"")*$D19:$R19)</f>
        <v>0</v>
      </c>
      <c r="T19" s="222">
        <f t="shared" si="0"/>
        <v>1150301.703432254</v>
      </c>
      <c r="U19" s="386">
        <f t="shared" si="1"/>
        <v>1150301.703432254</v>
      </c>
    </row>
    <row r="20" spans="1:21" s="1" customFormat="1" ht="13.2" x14ac:dyDescent="0.25">
      <c r="A20" s="458" t="s">
        <v>240</v>
      </c>
      <c r="B20" s="459"/>
      <c r="C20" s="459">
        <f>SUMIF('Project data &amp; personnel '!$P$39:$P$60,"Yes",'Project data &amp; personnel '!$M$39:$M$60)</f>
        <v>0</v>
      </c>
      <c r="D20" s="459">
        <f>SUMIFS('Project data &amp; personnel '!$M$39:$M$60,'Project data &amp; personnel '!$P$39:$P$60,"Yes",'Project data &amp; personnel '!$I$39:$I$60,D$12)</f>
        <v>0</v>
      </c>
      <c r="E20" s="459">
        <f>SUMIFS('Project data &amp; personnel '!$M$39:$M$60,'Project data &amp; personnel '!$P$39:$P$60,"Yes",'Project data &amp; personnel '!$I$39:$I$60,E$12)</f>
        <v>0</v>
      </c>
      <c r="F20" s="459">
        <f>SUMIFS('Project data &amp; personnel '!$M$39:$M$60,'Project data &amp; personnel '!$P$39:$P$60,"Yes",'Project data &amp; personnel '!$I$39:$I$60,F$12)</f>
        <v>0</v>
      </c>
      <c r="G20" s="459">
        <f>SUMIFS('Project data &amp; personnel '!$M$39:$M$60,'Project data &amp; personnel '!$P$39:$P$60,"Yes",'Project data &amp; personnel '!$I$39:$I$60,G$12)</f>
        <v>0</v>
      </c>
      <c r="H20" s="459">
        <f>SUMIFS('Project data &amp; personnel '!$M$39:$M$60,'Project data &amp; personnel '!$P$39:$P$60,"Yes",'Project data &amp; personnel '!$I$39:$I$60,H$12)</f>
        <v>0</v>
      </c>
      <c r="I20" s="459">
        <f>SUMIFS('Project data &amp; personnel '!$M$39:$M$60,'Project data &amp; personnel '!$P$39:$P$60,"Yes",'Project data &amp; personnel '!$I$39:$I$60,I$12)</f>
        <v>0</v>
      </c>
      <c r="J20" s="459">
        <f>SUMIFS('Project data &amp; personnel '!$M$39:$M$60,'Project data &amp; personnel '!$P$39:$P$60,"Yes",'Project data &amp; personnel '!$I$39:$I$60,J$12)</f>
        <v>0</v>
      </c>
      <c r="K20" s="459">
        <f>SUMIFS('Project data &amp; personnel '!$M$39:$M$60,'Project data &amp; personnel '!$P$39:$P$60,"Yes",'Project data &amp; personnel '!$I$39:$I$60,K$12)</f>
        <v>0</v>
      </c>
      <c r="L20" s="459">
        <f>SUMIFS('Project data &amp; personnel '!$M$39:$M$60,'Project data &amp; personnel '!$P$39:$P$60,"Yes",'Project data &amp; personnel '!$I$39:$I$60,L$12)</f>
        <v>0</v>
      </c>
      <c r="M20" s="459">
        <f>SUMIFS('Project data &amp; personnel '!$M$39:$M$60,'Project data &amp; personnel '!$P$39:$P$60,"Yes",'Project data &amp; personnel '!$I$39:$I$60,M$12)</f>
        <v>0</v>
      </c>
      <c r="N20" s="459">
        <f>SUMIFS('Project data &amp; personnel '!$M$39:$M$60,'Project data &amp; personnel '!$P$39:$P$60,"Yes",'Project data &amp; personnel '!$I$39:$I$60,N$12)</f>
        <v>0</v>
      </c>
      <c r="O20" s="459">
        <f>SUMIFS('Project data &amp; personnel '!$M$39:$M$60,'Project data &amp; personnel '!$P$39:$P$60,"Yes",'Project data &amp; personnel '!$I$39:$I$60,O$12)</f>
        <v>0</v>
      </c>
      <c r="P20" s="459">
        <f>SUMIFS('Project data &amp; personnel '!$M$39:$M$60,'Project data &amp; personnel '!$P$39:$P$60,"Yes",'Project data &amp; personnel '!$I$39:$I$60,P$12)</f>
        <v>0</v>
      </c>
      <c r="Q20" s="459">
        <f>SUMIFS('Project data &amp; personnel '!$M$39:$M$60,'Project data &amp; personnel '!$P$39:$P$60,"Yes",'Project data &amp; personnel '!$I$39:$I$60,Q$12)</f>
        <v>0</v>
      </c>
      <c r="R20" s="459">
        <f>SUMIFS('Project data &amp; personnel '!$M$39:$M$60,'Project data &amp; personnel '!$P$39:$P$60,"Yes",'Project data &amp; personnel '!$I$39:$I$60,R$12)</f>
        <v>0</v>
      </c>
      <c r="S20" s="459"/>
      <c r="T20" s="459"/>
      <c r="U20" s="460"/>
    </row>
    <row r="21" spans="1:21" s="2" customFormat="1" ht="13.2" x14ac:dyDescent="0.25">
      <c r="A21" s="387"/>
      <c r="B21" s="150"/>
      <c r="C21" s="150"/>
      <c r="D21" s="150"/>
      <c r="E21" s="150"/>
      <c r="F21" s="150"/>
      <c r="G21" s="150"/>
      <c r="H21" s="150"/>
      <c r="I21" s="150"/>
      <c r="J21" s="150"/>
      <c r="K21" s="150"/>
      <c r="L21" s="150"/>
      <c r="M21" s="150"/>
      <c r="N21" s="150"/>
      <c r="O21" s="150"/>
      <c r="P21" s="150"/>
      <c r="Q21" s="150"/>
      <c r="R21" s="150"/>
      <c r="S21" s="150"/>
      <c r="T21" s="150"/>
      <c r="U21" s="388"/>
    </row>
    <row r="22" spans="1:21" s="2" customFormat="1" ht="13.2" x14ac:dyDescent="0.25">
      <c r="A22" s="14" t="str">
        <f>'HE Application Form A3 - Budget'!$I$7</f>
        <v>Travel and subsistence</v>
      </c>
      <c r="B22" s="147"/>
      <c r="C22" s="224">
        <f t="array" ref="C22">SUM((('Non-personnel costs'!$C$14:$C$151=$A22)*'Non-personnel costs'!$I$14:$I$151))</f>
        <v>30000</v>
      </c>
      <c r="D22" s="147">
        <f t="array" ref="D22">IF(D$12="",SUM((('Non-personnel costs'!$C$14:$C$151=$A22)*('Non-personnel costs'!$D$14:$D$151= D$11)* 'Non-personnel costs'!$I$14:$I$151)),SUM((('Non-personnel costs'!$C$14:$C$151=$A22)*( 'Non-personnel costs'!$E$14:$E$151=D$12)*'Non-personnel costs'!$I$14:$I$151)))</f>
        <v>0</v>
      </c>
      <c r="E22" s="147">
        <f t="array" ref="E22">IF(E$12="",SUM((('Non-personnel costs'!$C$14:$C$151=$A22)*('Non-personnel costs'!$D$14:$D$151= E$11)* 'Non-personnel costs'!$I$14:$I$151)),SUM((('Non-personnel costs'!$C$14:$C$151=$A22)*( 'Non-personnel costs'!$E$14:$E$151=E$12)*'Non-personnel costs'!$I$14:$I$151)))</f>
        <v>0</v>
      </c>
      <c r="F22" s="147">
        <f t="array" ref="F22">IF(F$12="",SUM((('Non-personnel costs'!$C$14:$C$151=$A22)*('Non-personnel costs'!$D$14:$D$151= F$11)* 'Non-personnel costs'!$I$14:$I$151)),SUM((('Non-personnel costs'!$C$14:$C$151=$A22)*( 'Non-personnel costs'!$E$14:$E$151=F$12)*'Non-personnel costs'!$I$14:$I$151)))</f>
        <v>0</v>
      </c>
      <c r="G22" s="147">
        <f t="array" ref="G22">IF(G$12="",SUM((('Non-personnel costs'!$C$14:$C$151=$A22)*('Non-personnel costs'!$D$14:$D$151= G$11)* 'Non-personnel costs'!$I$14:$I$151)),SUM((('Non-personnel costs'!$C$14:$C$151=$A22)*( 'Non-personnel costs'!$E$14:$E$151=G$12)*'Non-personnel costs'!$I$14:$I$151)))</f>
        <v>0</v>
      </c>
      <c r="H22" s="147">
        <f t="array" ref="H22">IF(H$12="",SUM((('Non-personnel costs'!$C$14:$C$151=$A22)*('Non-personnel costs'!$D$14:$D$151= H$11)* 'Non-personnel costs'!$I$14:$I$151)),SUM((('Non-personnel costs'!$C$14:$C$151=$A22)*( 'Non-personnel costs'!$E$14:$E$151=H$12)*'Non-personnel costs'!$I$14:$I$151)))</f>
        <v>0</v>
      </c>
      <c r="I22" s="147">
        <f t="array" ref="I22">IF(I$12="",SUM((('Non-personnel costs'!$C$14:$C$151=$A22)*('Non-personnel costs'!$D$14:$D$151= I$11)* 'Non-personnel costs'!$I$14:$I$151)),SUM((('Non-personnel costs'!$C$14:$C$151=$A22)*( 'Non-personnel costs'!$E$14:$E$151=I$12)*'Non-personnel costs'!$I$14:$I$151)))</f>
        <v>0</v>
      </c>
      <c r="J22" s="147">
        <f t="array" ref="J22">IF(J$12="",SUM((('Non-personnel costs'!$C$14:$C$151=$A22)*('Non-personnel costs'!$D$14:$D$151= J$11)* 'Non-personnel costs'!$I$14:$I$151)),SUM((('Non-personnel costs'!$C$14:$C$151=$A22)*( 'Non-personnel costs'!$E$14:$E$151=J$12)*'Non-personnel costs'!$I$14:$I$151)))</f>
        <v>0</v>
      </c>
      <c r="K22" s="147">
        <f t="array" ref="K22">IF(K$12="",SUM((('Non-personnel costs'!$C$14:$C$151=$A22)*('Non-personnel costs'!$D$14:$D$151= K$11)* 'Non-personnel costs'!$I$14:$I$151)),SUM((('Non-personnel costs'!$C$14:$C$151=$A22)*( 'Non-personnel costs'!$E$14:$E$151=K$12)*'Non-personnel costs'!$I$14:$I$151)))</f>
        <v>0</v>
      </c>
      <c r="L22" s="147">
        <f t="array" ref="L22">IF(L$12="",SUM((('Non-personnel costs'!$C$14:$C$151=$A22)*('Non-personnel costs'!$D$14:$D$151= L$11)* 'Non-personnel costs'!$I$14:$I$151)),SUM((('Non-personnel costs'!$C$14:$C$151=$A22)*( 'Non-personnel costs'!$E$14:$E$151=L$12)*'Non-personnel costs'!$I$14:$I$151)))</f>
        <v>0</v>
      </c>
      <c r="M22" s="147">
        <f t="array" ref="M22">IF(M$12="",SUM((('Non-personnel costs'!$C$14:$C$151=$A22)*('Non-personnel costs'!$D$14:$D$151= M$11)* 'Non-personnel costs'!$I$14:$I$151)),SUM((('Non-personnel costs'!$C$14:$C$151=$A22)*( 'Non-personnel costs'!$E$14:$E$151=M$12)*'Non-personnel costs'!$I$14:$I$151)))</f>
        <v>0</v>
      </c>
      <c r="N22" s="147">
        <f t="array" ref="N22">IF(N$12="",SUM((('Non-personnel costs'!$C$14:$C$151=$A22)*('Non-personnel costs'!$D$14:$D$151= N$11)* 'Non-personnel costs'!$I$14:$I$151)),SUM((('Non-personnel costs'!$C$14:$C$151=$A22)*( 'Non-personnel costs'!$E$14:$E$151=N$12)*'Non-personnel costs'!$I$14:$I$151)))</f>
        <v>0</v>
      </c>
      <c r="O22" s="147">
        <f t="array" ref="O22">IF(O$12="",SUM((('Non-personnel costs'!$C$14:$C$151=$A22)*('Non-personnel costs'!$D$14:$D$151= O$11)* 'Non-personnel costs'!$I$14:$I$151)),SUM((('Non-personnel costs'!$C$14:$C$151=$A22)*( 'Non-personnel costs'!$E$14:$E$151=O$12)*'Non-personnel costs'!$I$14:$I$151)))</f>
        <v>0</v>
      </c>
      <c r="P22" s="147">
        <f t="array" ref="P22">IF(P$12="",SUM((('Non-personnel costs'!$C$14:$C$151=$A22)*('Non-personnel costs'!$D$14:$D$151= P$11)* 'Non-personnel costs'!$I$14:$I$151)),SUM((('Non-personnel costs'!$C$14:$C$151=$A22)*( 'Non-personnel costs'!$E$14:$E$151=P$12)*'Non-personnel costs'!$I$14:$I$151)))</f>
        <v>0</v>
      </c>
      <c r="Q22" s="147">
        <f t="array" ref="Q22">IF(Q$12="",SUM((('Non-personnel costs'!$C$14:$C$151=$A22)*('Non-personnel costs'!$D$14:$D$151= Q$11)* 'Non-personnel costs'!$I$14:$I$151)),SUM((('Non-personnel costs'!$C$14:$C$151=$A22)*( 'Non-personnel costs'!$E$14:$E$151=Q$12)*'Non-personnel costs'!$I$14:$I$151)))</f>
        <v>0</v>
      </c>
      <c r="R22" s="147">
        <f t="array" ref="R22">IF(R$12="",SUM((('Non-personnel costs'!$C$14:$C$151=$A22)*('Non-personnel costs'!$D$14:$D$151= R$11)* 'Non-personnel costs'!$I$14:$I$151)),SUM((('Non-personnel costs'!$C$14:$C$151=$A22)*( 'Non-personnel costs'!$E$14:$E$151=R$12)*'Non-personnel costs'!$I$14:$I$151)))</f>
        <v>0</v>
      </c>
      <c r="S22" s="147">
        <f t="array" ref="S22">SUM(($D$12:$R$12&lt;&gt;"")*$D22:$R22)</f>
        <v>0</v>
      </c>
      <c r="T22" s="147">
        <f t="shared" ref="T22:T40" si="3">C22-S22</f>
        <v>30000</v>
      </c>
      <c r="U22" s="15">
        <f t="shared" ref="U22:U39" si="4">SUM(S22:T22)</f>
        <v>30000</v>
      </c>
    </row>
    <row r="23" spans="1:21" s="2" customFormat="1" ht="13.2" x14ac:dyDescent="0.25">
      <c r="A23" s="14" t="str">
        <f>'HE Application Form A3 - Budget'!$J$7</f>
        <v>Equipment - including major equipment</v>
      </c>
      <c r="B23" s="147"/>
      <c r="C23" s="224">
        <f t="array" ref="C23">SUM((('Non-personnel costs'!$C$14:$C$151=$A23)*'Non-personnel costs'!$I$14:$I$151))</f>
        <v>0</v>
      </c>
      <c r="D23" s="147">
        <f t="array" ref="D23">IF(D$12="",SUM((('Non-personnel costs'!$C$14:$C$151=$A23)*('Non-personnel costs'!$D$14:$D$151= D$11)* 'Non-personnel costs'!$I$14:$I$151)),SUM((('Non-personnel costs'!$C$14:$C$151=$A23)*( 'Non-personnel costs'!$E$14:$E$151=D$12)*'Non-personnel costs'!$I$14:$I$151)))</f>
        <v>0</v>
      </c>
      <c r="E23" s="147">
        <f t="array" ref="E23">IF(E$12="",SUM((('Non-personnel costs'!$C$14:$C$151=$A23)*('Non-personnel costs'!$D$14:$D$151= E$11)* 'Non-personnel costs'!$I$14:$I$151)),SUM((('Non-personnel costs'!$C$14:$C$151=$A23)*( 'Non-personnel costs'!$E$14:$E$151=E$12)*'Non-personnel costs'!$I$14:$I$151)))</f>
        <v>0</v>
      </c>
      <c r="F23" s="147">
        <f t="array" ref="F23">IF(F$12="",SUM((('Non-personnel costs'!$C$14:$C$151=$A23)*('Non-personnel costs'!$D$14:$D$151= F$11)* 'Non-personnel costs'!$I$14:$I$151)),SUM((('Non-personnel costs'!$C$14:$C$151=$A23)*( 'Non-personnel costs'!$E$14:$E$151=F$12)*'Non-personnel costs'!$I$14:$I$151)))</f>
        <v>0</v>
      </c>
      <c r="G23" s="147">
        <f t="array" ref="G23">IF(G$12="",SUM((('Non-personnel costs'!$C$14:$C$151=$A23)*('Non-personnel costs'!$D$14:$D$151= G$11)* 'Non-personnel costs'!$I$14:$I$151)),SUM((('Non-personnel costs'!$C$14:$C$151=$A23)*( 'Non-personnel costs'!$E$14:$E$151=G$12)*'Non-personnel costs'!$I$14:$I$151)))</f>
        <v>0</v>
      </c>
      <c r="H23" s="147">
        <f t="array" ref="H23">IF(H$12="",SUM((('Non-personnel costs'!$C$14:$C$151=$A23)*('Non-personnel costs'!$D$14:$D$151= H$11)* 'Non-personnel costs'!$I$14:$I$151)),SUM((('Non-personnel costs'!$C$14:$C$151=$A23)*( 'Non-personnel costs'!$E$14:$E$151=H$12)*'Non-personnel costs'!$I$14:$I$151)))</f>
        <v>0</v>
      </c>
      <c r="I23" s="147">
        <f t="array" ref="I23">IF(I$12="",SUM((('Non-personnel costs'!$C$14:$C$151=$A23)*('Non-personnel costs'!$D$14:$D$151= I$11)* 'Non-personnel costs'!$I$14:$I$151)),SUM((('Non-personnel costs'!$C$14:$C$151=$A23)*( 'Non-personnel costs'!$E$14:$E$151=I$12)*'Non-personnel costs'!$I$14:$I$151)))</f>
        <v>0</v>
      </c>
      <c r="J23" s="147">
        <f t="array" ref="J23">IF(J$12="",SUM((('Non-personnel costs'!$C$14:$C$151=$A23)*('Non-personnel costs'!$D$14:$D$151= J$11)* 'Non-personnel costs'!$I$14:$I$151)),SUM((('Non-personnel costs'!$C$14:$C$151=$A23)*( 'Non-personnel costs'!$E$14:$E$151=J$12)*'Non-personnel costs'!$I$14:$I$151)))</f>
        <v>0</v>
      </c>
      <c r="K23" s="147">
        <f t="array" ref="K23">IF(K$12="",SUM((('Non-personnel costs'!$C$14:$C$151=$A23)*('Non-personnel costs'!$D$14:$D$151= K$11)* 'Non-personnel costs'!$I$14:$I$151)),SUM((('Non-personnel costs'!$C$14:$C$151=$A23)*( 'Non-personnel costs'!$E$14:$E$151=K$12)*'Non-personnel costs'!$I$14:$I$151)))</f>
        <v>0</v>
      </c>
      <c r="L23" s="147">
        <f t="array" ref="L23">IF(L$12="",SUM((('Non-personnel costs'!$C$14:$C$151=$A23)*('Non-personnel costs'!$D$14:$D$151= L$11)* 'Non-personnel costs'!$I$14:$I$151)),SUM((('Non-personnel costs'!$C$14:$C$151=$A23)*( 'Non-personnel costs'!$E$14:$E$151=L$12)*'Non-personnel costs'!$I$14:$I$151)))</f>
        <v>0</v>
      </c>
      <c r="M23" s="147">
        <f t="array" ref="M23">IF(M$12="",SUM((('Non-personnel costs'!$C$14:$C$151=$A23)*('Non-personnel costs'!$D$14:$D$151= M$11)* 'Non-personnel costs'!$I$14:$I$151)),SUM((('Non-personnel costs'!$C$14:$C$151=$A23)*( 'Non-personnel costs'!$E$14:$E$151=M$12)*'Non-personnel costs'!$I$14:$I$151)))</f>
        <v>0</v>
      </c>
      <c r="N23" s="147">
        <f t="array" ref="N23">IF(N$12="",SUM((('Non-personnel costs'!$C$14:$C$151=$A23)*('Non-personnel costs'!$D$14:$D$151= N$11)* 'Non-personnel costs'!$I$14:$I$151)),SUM((('Non-personnel costs'!$C$14:$C$151=$A23)*( 'Non-personnel costs'!$E$14:$E$151=N$12)*'Non-personnel costs'!$I$14:$I$151)))</f>
        <v>0</v>
      </c>
      <c r="O23" s="147">
        <f t="array" ref="O23">IF(O$12="",SUM((('Non-personnel costs'!$C$14:$C$151=$A23)*('Non-personnel costs'!$D$14:$D$151= O$11)* 'Non-personnel costs'!$I$14:$I$151)),SUM((('Non-personnel costs'!$C$14:$C$151=$A23)*( 'Non-personnel costs'!$E$14:$E$151=O$12)*'Non-personnel costs'!$I$14:$I$151)))</f>
        <v>0</v>
      </c>
      <c r="P23" s="147">
        <f t="array" ref="P23">IF(P$12="",SUM((('Non-personnel costs'!$C$14:$C$151=$A23)*('Non-personnel costs'!$D$14:$D$151= P$11)* 'Non-personnel costs'!$I$14:$I$151)),SUM((('Non-personnel costs'!$C$14:$C$151=$A23)*( 'Non-personnel costs'!$E$14:$E$151=P$12)*'Non-personnel costs'!$I$14:$I$151)))</f>
        <v>0</v>
      </c>
      <c r="Q23" s="147">
        <f t="array" ref="Q23">IF(Q$12="",SUM((('Non-personnel costs'!$C$14:$C$151=$A23)*('Non-personnel costs'!$D$14:$D$151= Q$11)* 'Non-personnel costs'!$I$14:$I$151)),SUM((('Non-personnel costs'!$C$14:$C$151=$A23)*( 'Non-personnel costs'!$E$14:$E$151=Q$12)*'Non-personnel costs'!$I$14:$I$151)))</f>
        <v>0</v>
      </c>
      <c r="R23" s="147">
        <f t="array" ref="R23">IF(R$12="",SUM((('Non-personnel costs'!$C$14:$C$151=$A23)*('Non-personnel costs'!$D$14:$D$151= R$11)* 'Non-personnel costs'!$I$14:$I$151)),SUM((('Non-personnel costs'!$C$14:$C$151=$A23)*( 'Non-personnel costs'!$E$14:$E$151=R$12)*'Non-personnel costs'!$I$14:$I$151)))</f>
        <v>0</v>
      </c>
      <c r="S23" s="147">
        <f t="array" ref="S23">SUM(($D$12:$R$12&lt;&gt;"")*$D23:$R23)</f>
        <v>0</v>
      </c>
      <c r="T23" s="147">
        <f t="shared" si="3"/>
        <v>0</v>
      </c>
      <c r="U23" s="15">
        <f t="shared" si="4"/>
        <v>0</v>
      </c>
    </row>
    <row r="24" spans="1:21" s="2" customFormat="1" ht="13.2" x14ac:dyDescent="0.25">
      <c r="A24" s="14" t="str">
        <f>'HE Application Form A3 - Budget'!$K$7</f>
        <v>Consumables incl. Fieldwork and animal costs</v>
      </c>
      <c r="B24" s="147"/>
      <c r="C24" s="224">
        <f t="array" ref="C24">SUM((('Non-personnel costs'!$C$14:$C$151=$A24)*'Non-personnel costs'!$I$14:$I$151))</f>
        <v>0</v>
      </c>
      <c r="D24" s="147">
        <f t="array" ref="D24">IF(D$12="",SUM((('Non-personnel costs'!$C$14:$C$151=$A24)*('Non-personnel costs'!$D$14:$D$151= D$11)* 'Non-personnel costs'!$I$14:$I$151)),SUM((('Non-personnel costs'!$C$14:$C$151=$A24)*( 'Non-personnel costs'!$E$14:$E$151=D$12)*'Non-personnel costs'!$I$14:$I$151)))</f>
        <v>0</v>
      </c>
      <c r="E24" s="147">
        <f t="array" ref="E24">IF(E$12="",SUM((('Non-personnel costs'!$C$14:$C$151=$A24)*('Non-personnel costs'!$D$14:$D$151= E$11)* 'Non-personnel costs'!$I$14:$I$151)),SUM((('Non-personnel costs'!$C$14:$C$151=$A24)*( 'Non-personnel costs'!$E$14:$E$151=E$12)*'Non-personnel costs'!$I$14:$I$151)))</f>
        <v>0</v>
      </c>
      <c r="F24" s="147">
        <f t="array" ref="F24">IF(F$12="",SUM((('Non-personnel costs'!$C$14:$C$151=$A24)*('Non-personnel costs'!$D$14:$D$151= F$11)* 'Non-personnel costs'!$I$14:$I$151)),SUM((('Non-personnel costs'!$C$14:$C$151=$A24)*( 'Non-personnel costs'!$E$14:$E$151=F$12)*'Non-personnel costs'!$I$14:$I$151)))</f>
        <v>0</v>
      </c>
      <c r="G24" s="147">
        <f t="array" ref="G24">IF(G$12="",SUM((('Non-personnel costs'!$C$14:$C$151=$A24)*('Non-personnel costs'!$D$14:$D$151= G$11)* 'Non-personnel costs'!$I$14:$I$151)),SUM((('Non-personnel costs'!$C$14:$C$151=$A24)*( 'Non-personnel costs'!$E$14:$E$151=G$12)*'Non-personnel costs'!$I$14:$I$151)))</f>
        <v>0</v>
      </c>
      <c r="H24" s="147">
        <f t="array" ref="H24">IF(H$12="",SUM((('Non-personnel costs'!$C$14:$C$151=$A24)*('Non-personnel costs'!$D$14:$D$151= H$11)* 'Non-personnel costs'!$I$14:$I$151)),SUM((('Non-personnel costs'!$C$14:$C$151=$A24)*( 'Non-personnel costs'!$E$14:$E$151=H$12)*'Non-personnel costs'!$I$14:$I$151)))</f>
        <v>0</v>
      </c>
      <c r="I24" s="147">
        <f t="array" ref="I24">IF(I$12="",SUM((('Non-personnel costs'!$C$14:$C$151=$A24)*('Non-personnel costs'!$D$14:$D$151= I$11)* 'Non-personnel costs'!$I$14:$I$151)),SUM((('Non-personnel costs'!$C$14:$C$151=$A24)*( 'Non-personnel costs'!$E$14:$E$151=I$12)*'Non-personnel costs'!$I$14:$I$151)))</f>
        <v>0</v>
      </c>
      <c r="J24" s="147">
        <f t="array" ref="J24">IF(J$12="",SUM((('Non-personnel costs'!$C$14:$C$151=$A24)*('Non-personnel costs'!$D$14:$D$151= J$11)* 'Non-personnel costs'!$I$14:$I$151)),SUM((('Non-personnel costs'!$C$14:$C$151=$A24)*( 'Non-personnel costs'!$E$14:$E$151=J$12)*'Non-personnel costs'!$I$14:$I$151)))</f>
        <v>0</v>
      </c>
      <c r="K24" s="147">
        <f t="array" ref="K24">IF(K$12="",SUM((('Non-personnel costs'!$C$14:$C$151=$A24)*('Non-personnel costs'!$D$14:$D$151= K$11)* 'Non-personnel costs'!$I$14:$I$151)),SUM((('Non-personnel costs'!$C$14:$C$151=$A24)*( 'Non-personnel costs'!$E$14:$E$151=K$12)*'Non-personnel costs'!$I$14:$I$151)))</f>
        <v>0</v>
      </c>
      <c r="L24" s="147">
        <f t="array" ref="L24">IF(L$12="",SUM((('Non-personnel costs'!$C$14:$C$151=$A24)*('Non-personnel costs'!$D$14:$D$151= L$11)* 'Non-personnel costs'!$I$14:$I$151)),SUM((('Non-personnel costs'!$C$14:$C$151=$A24)*( 'Non-personnel costs'!$E$14:$E$151=L$12)*'Non-personnel costs'!$I$14:$I$151)))</f>
        <v>0</v>
      </c>
      <c r="M24" s="147">
        <f t="array" ref="M24">IF(M$12="",SUM((('Non-personnel costs'!$C$14:$C$151=$A24)*('Non-personnel costs'!$D$14:$D$151= M$11)* 'Non-personnel costs'!$I$14:$I$151)),SUM((('Non-personnel costs'!$C$14:$C$151=$A24)*( 'Non-personnel costs'!$E$14:$E$151=M$12)*'Non-personnel costs'!$I$14:$I$151)))</f>
        <v>0</v>
      </c>
      <c r="N24" s="147">
        <f t="array" ref="N24">IF(N$12="",SUM((('Non-personnel costs'!$C$14:$C$151=$A24)*('Non-personnel costs'!$D$14:$D$151= N$11)* 'Non-personnel costs'!$I$14:$I$151)),SUM((('Non-personnel costs'!$C$14:$C$151=$A24)*( 'Non-personnel costs'!$E$14:$E$151=N$12)*'Non-personnel costs'!$I$14:$I$151)))</f>
        <v>0</v>
      </c>
      <c r="O24" s="147">
        <f t="array" ref="O24">IF(O$12="",SUM((('Non-personnel costs'!$C$14:$C$151=$A24)*('Non-personnel costs'!$D$14:$D$151= O$11)* 'Non-personnel costs'!$I$14:$I$151)),SUM((('Non-personnel costs'!$C$14:$C$151=$A24)*( 'Non-personnel costs'!$E$14:$E$151=O$12)*'Non-personnel costs'!$I$14:$I$151)))</f>
        <v>0</v>
      </c>
      <c r="P24" s="147">
        <f t="array" ref="P24">IF(P$12="",SUM((('Non-personnel costs'!$C$14:$C$151=$A24)*('Non-personnel costs'!$D$14:$D$151= P$11)* 'Non-personnel costs'!$I$14:$I$151)),SUM((('Non-personnel costs'!$C$14:$C$151=$A24)*( 'Non-personnel costs'!$E$14:$E$151=P$12)*'Non-personnel costs'!$I$14:$I$151)))</f>
        <v>0</v>
      </c>
      <c r="Q24" s="147">
        <f t="array" ref="Q24">IF(Q$12="",SUM((('Non-personnel costs'!$C$14:$C$151=$A24)*('Non-personnel costs'!$D$14:$D$151= Q$11)* 'Non-personnel costs'!$I$14:$I$151)),SUM((('Non-personnel costs'!$C$14:$C$151=$A24)*( 'Non-personnel costs'!$E$14:$E$151=Q$12)*'Non-personnel costs'!$I$14:$I$151)))</f>
        <v>0</v>
      </c>
      <c r="R24" s="147">
        <f t="array" ref="R24">IF(R$12="",SUM((('Non-personnel costs'!$C$14:$C$151=$A24)*('Non-personnel costs'!$D$14:$D$151= R$11)* 'Non-personnel costs'!$I$14:$I$151)),SUM((('Non-personnel costs'!$C$14:$C$151=$A24)*( 'Non-personnel costs'!$E$14:$E$151=R$12)*'Non-personnel costs'!$I$14:$I$151)))</f>
        <v>0</v>
      </c>
      <c r="S24" s="147">
        <f t="array" ref="S24">SUM(($D$12:$R$12&lt;&gt;"")*$D24:$R24)</f>
        <v>0</v>
      </c>
      <c r="T24" s="147">
        <f t="shared" si="3"/>
        <v>0</v>
      </c>
      <c r="U24" s="15">
        <f t="shared" si="4"/>
        <v>0</v>
      </c>
    </row>
    <row r="25" spans="1:21" s="2" customFormat="1" ht="13.2" x14ac:dyDescent="0.25">
      <c r="A25" s="14" t="str">
        <f>'HE Application Form A3 - Budget'!$L$7</f>
        <v>Publications (incl. Open Access fees) and dissemniation</v>
      </c>
      <c r="B25" s="147"/>
      <c r="C25" s="224">
        <f t="array" ref="C25">SUM((('Non-personnel costs'!$C$14:$C$151=$A25)*'Non-personnel costs'!$I$14:$I$151))</f>
        <v>0</v>
      </c>
      <c r="D25" s="147">
        <f t="array" ref="D25">IF(D$12="",SUM((('Non-personnel costs'!$C$14:$C$151=$A25)*('Non-personnel costs'!$D$14:$D$151= D$11)* 'Non-personnel costs'!$I$14:$I$151)),SUM((('Non-personnel costs'!$C$14:$C$151=$A25)*( 'Non-personnel costs'!$E$14:$E$151=D$12)*'Non-personnel costs'!$I$14:$I$151)))</f>
        <v>0</v>
      </c>
      <c r="E25" s="147">
        <f t="array" ref="E25">IF(E$12="",SUM((('Non-personnel costs'!$C$14:$C$151=$A25)*('Non-personnel costs'!$D$14:$D$151= E$11)* 'Non-personnel costs'!$I$14:$I$151)),SUM((('Non-personnel costs'!$C$14:$C$151=$A25)*( 'Non-personnel costs'!$E$14:$E$151=E$12)*'Non-personnel costs'!$I$14:$I$151)))</f>
        <v>0</v>
      </c>
      <c r="F25" s="147">
        <f t="array" ref="F25">IF(F$12="",SUM((('Non-personnel costs'!$C$14:$C$151=$A25)*('Non-personnel costs'!$D$14:$D$151= F$11)* 'Non-personnel costs'!$I$14:$I$151)),SUM((('Non-personnel costs'!$C$14:$C$151=$A25)*( 'Non-personnel costs'!$E$14:$E$151=F$12)*'Non-personnel costs'!$I$14:$I$151)))</f>
        <v>0</v>
      </c>
      <c r="G25" s="147">
        <f t="array" ref="G25">IF(G$12="",SUM((('Non-personnel costs'!$C$14:$C$151=$A25)*('Non-personnel costs'!$D$14:$D$151= G$11)* 'Non-personnel costs'!$I$14:$I$151)),SUM((('Non-personnel costs'!$C$14:$C$151=$A25)*( 'Non-personnel costs'!$E$14:$E$151=G$12)*'Non-personnel costs'!$I$14:$I$151)))</f>
        <v>0</v>
      </c>
      <c r="H25" s="147">
        <f t="array" ref="H25">IF(H$12="",SUM((('Non-personnel costs'!$C$14:$C$151=$A25)*('Non-personnel costs'!$D$14:$D$151= H$11)* 'Non-personnel costs'!$I$14:$I$151)),SUM((('Non-personnel costs'!$C$14:$C$151=$A25)*( 'Non-personnel costs'!$E$14:$E$151=H$12)*'Non-personnel costs'!$I$14:$I$151)))</f>
        <v>0</v>
      </c>
      <c r="I25" s="147">
        <f t="array" ref="I25">IF(I$12="",SUM((('Non-personnel costs'!$C$14:$C$151=$A25)*('Non-personnel costs'!$D$14:$D$151= I$11)* 'Non-personnel costs'!$I$14:$I$151)),SUM((('Non-personnel costs'!$C$14:$C$151=$A25)*( 'Non-personnel costs'!$E$14:$E$151=I$12)*'Non-personnel costs'!$I$14:$I$151)))</f>
        <v>0</v>
      </c>
      <c r="J25" s="147">
        <f t="array" ref="J25">IF(J$12="",SUM((('Non-personnel costs'!$C$14:$C$151=$A25)*('Non-personnel costs'!$D$14:$D$151= J$11)* 'Non-personnel costs'!$I$14:$I$151)),SUM((('Non-personnel costs'!$C$14:$C$151=$A25)*( 'Non-personnel costs'!$E$14:$E$151=J$12)*'Non-personnel costs'!$I$14:$I$151)))</f>
        <v>0</v>
      </c>
      <c r="K25" s="147">
        <f t="array" ref="K25">IF(K$12="",SUM((('Non-personnel costs'!$C$14:$C$151=$A25)*('Non-personnel costs'!$D$14:$D$151= K$11)* 'Non-personnel costs'!$I$14:$I$151)),SUM((('Non-personnel costs'!$C$14:$C$151=$A25)*( 'Non-personnel costs'!$E$14:$E$151=K$12)*'Non-personnel costs'!$I$14:$I$151)))</f>
        <v>0</v>
      </c>
      <c r="L25" s="147">
        <f t="array" ref="L25">IF(L$12="",SUM((('Non-personnel costs'!$C$14:$C$151=$A25)*('Non-personnel costs'!$D$14:$D$151= L$11)* 'Non-personnel costs'!$I$14:$I$151)),SUM((('Non-personnel costs'!$C$14:$C$151=$A25)*( 'Non-personnel costs'!$E$14:$E$151=L$12)*'Non-personnel costs'!$I$14:$I$151)))</f>
        <v>0</v>
      </c>
      <c r="M25" s="147">
        <f t="array" ref="M25">IF(M$12="",SUM((('Non-personnel costs'!$C$14:$C$151=$A25)*('Non-personnel costs'!$D$14:$D$151= M$11)* 'Non-personnel costs'!$I$14:$I$151)),SUM((('Non-personnel costs'!$C$14:$C$151=$A25)*( 'Non-personnel costs'!$E$14:$E$151=M$12)*'Non-personnel costs'!$I$14:$I$151)))</f>
        <v>0</v>
      </c>
      <c r="N25" s="147">
        <f t="array" ref="N25">IF(N$12="",SUM((('Non-personnel costs'!$C$14:$C$151=$A25)*('Non-personnel costs'!$D$14:$D$151= N$11)* 'Non-personnel costs'!$I$14:$I$151)),SUM((('Non-personnel costs'!$C$14:$C$151=$A25)*( 'Non-personnel costs'!$E$14:$E$151=N$12)*'Non-personnel costs'!$I$14:$I$151)))</f>
        <v>0</v>
      </c>
      <c r="O25" s="147">
        <f t="array" ref="O25">IF(O$12="",SUM((('Non-personnel costs'!$C$14:$C$151=$A25)*('Non-personnel costs'!$D$14:$D$151= O$11)* 'Non-personnel costs'!$I$14:$I$151)),SUM((('Non-personnel costs'!$C$14:$C$151=$A25)*( 'Non-personnel costs'!$E$14:$E$151=O$12)*'Non-personnel costs'!$I$14:$I$151)))</f>
        <v>0</v>
      </c>
      <c r="P25" s="147">
        <f t="array" ref="P25">IF(P$12="",SUM((('Non-personnel costs'!$C$14:$C$151=$A25)*('Non-personnel costs'!$D$14:$D$151= P$11)* 'Non-personnel costs'!$I$14:$I$151)),SUM((('Non-personnel costs'!$C$14:$C$151=$A25)*( 'Non-personnel costs'!$E$14:$E$151=P$12)*'Non-personnel costs'!$I$14:$I$151)))</f>
        <v>0</v>
      </c>
      <c r="Q25" s="147">
        <f t="array" ref="Q25">IF(Q$12="",SUM((('Non-personnel costs'!$C$14:$C$151=$A25)*('Non-personnel costs'!$D$14:$D$151= Q$11)* 'Non-personnel costs'!$I$14:$I$151)),SUM((('Non-personnel costs'!$C$14:$C$151=$A25)*( 'Non-personnel costs'!$E$14:$E$151=Q$12)*'Non-personnel costs'!$I$14:$I$151)))</f>
        <v>0</v>
      </c>
      <c r="R25" s="147">
        <f t="array" ref="R25">IF(R$12="",SUM((('Non-personnel costs'!$C$14:$C$151=$A25)*('Non-personnel costs'!$D$14:$D$151= R$11)* 'Non-personnel costs'!$I$14:$I$151)),SUM((('Non-personnel costs'!$C$14:$C$151=$A25)*( 'Non-personnel costs'!$E$14:$E$151=R$12)*'Non-personnel costs'!$I$14:$I$151)))</f>
        <v>0</v>
      </c>
      <c r="S25" s="147">
        <f t="array" ref="S25">SUM(($D$12:$R$12&lt;&gt;"")*$D25:$R25)</f>
        <v>0</v>
      </c>
      <c r="T25" s="147">
        <f t="shared" si="3"/>
        <v>0</v>
      </c>
      <c r="U25" s="15">
        <f t="shared" si="4"/>
        <v>0</v>
      </c>
    </row>
    <row r="26" spans="1:21" s="2" customFormat="1" ht="13.8" thickBot="1" x14ac:dyDescent="0.3">
      <c r="A26" s="389" t="str">
        <f>'HE Application Form A3 - Budget'!$M$7</f>
        <v>Other additional direct costs</v>
      </c>
      <c r="B26" s="377"/>
      <c r="C26" s="378">
        <f t="array" ref="C26">SUM((('Non-personnel costs'!$C$14:$C$151=$A26)*'Non-personnel costs'!$I$14:$I$151))</f>
        <v>0</v>
      </c>
      <c r="D26" s="148">
        <f t="array" ref="D26">IF(D$12="",SUM((('Non-personnel costs'!$C$14:$C$151=$A26)*('Non-personnel costs'!$D$14:$D$151= D$11)* 'Non-personnel costs'!$I$14:$I$151)),SUM((('Non-personnel costs'!$C$14:$C$151=$A26)*( 'Non-personnel costs'!$E$14:$E$151=D$12)*'Non-personnel costs'!$I$14:$I$151)))</f>
        <v>0</v>
      </c>
      <c r="E26" s="148">
        <f t="array" ref="E26">IF(E$12="",SUM((('Non-personnel costs'!$C$14:$C$151=$A26)*('Non-personnel costs'!$D$14:$D$151= E$11)* 'Non-personnel costs'!$I$14:$I$151)),SUM((('Non-personnel costs'!$C$14:$C$151=$A26)*( 'Non-personnel costs'!$E$14:$E$151=E$12)*'Non-personnel costs'!$I$14:$I$151)))</f>
        <v>0</v>
      </c>
      <c r="F26" s="148">
        <f t="array" ref="F26">IF(F$12="",SUM((('Non-personnel costs'!$C$14:$C$151=$A26)*('Non-personnel costs'!$D$14:$D$151= F$11)* 'Non-personnel costs'!$I$14:$I$151)),SUM((('Non-personnel costs'!$C$14:$C$151=$A26)*( 'Non-personnel costs'!$E$14:$E$151=F$12)*'Non-personnel costs'!$I$14:$I$151)))</f>
        <v>0</v>
      </c>
      <c r="G26" s="148">
        <f t="array" ref="G26">IF(G$12="",SUM((('Non-personnel costs'!$C$14:$C$151=$A26)*('Non-personnel costs'!$D$14:$D$151= G$11)* 'Non-personnel costs'!$I$14:$I$151)),SUM((('Non-personnel costs'!$C$14:$C$151=$A26)*( 'Non-personnel costs'!$E$14:$E$151=G$12)*'Non-personnel costs'!$I$14:$I$151)))</f>
        <v>0</v>
      </c>
      <c r="H26" s="148">
        <f t="array" ref="H26">IF(H$12="",SUM((('Non-personnel costs'!$C$14:$C$151=$A26)*('Non-personnel costs'!$D$14:$D$151= H$11)* 'Non-personnel costs'!$I$14:$I$151)),SUM((('Non-personnel costs'!$C$14:$C$151=$A26)*( 'Non-personnel costs'!$E$14:$E$151=H$12)*'Non-personnel costs'!$I$14:$I$151)))</f>
        <v>0</v>
      </c>
      <c r="I26" s="148">
        <f t="array" ref="I26">IF(I$12="",SUM((('Non-personnel costs'!$C$14:$C$151=$A26)*('Non-personnel costs'!$D$14:$D$151= I$11)* 'Non-personnel costs'!$I$14:$I$151)),SUM((('Non-personnel costs'!$C$14:$C$151=$A26)*( 'Non-personnel costs'!$E$14:$E$151=I$12)*'Non-personnel costs'!$I$14:$I$151)))</f>
        <v>0</v>
      </c>
      <c r="J26" s="148">
        <f t="array" ref="J26">IF(J$12="",SUM((('Non-personnel costs'!$C$14:$C$151=$A26)*('Non-personnel costs'!$D$14:$D$151= J$11)* 'Non-personnel costs'!$I$14:$I$151)),SUM((('Non-personnel costs'!$C$14:$C$151=$A26)*( 'Non-personnel costs'!$E$14:$E$151=J$12)*'Non-personnel costs'!$I$14:$I$151)))</f>
        <v>0</v>
      </c>
      <c r="K26" s="148">
        <f t="array" ref="K26">IF(K$12="",SUM((('Non-personnel costs'!$C$14:$C$151=$A26)*('Non-personnel costs'!$D$14:$D$151= K$11)* 'Non-personnel costs'!$I$14:$I$151)),SUM((('Non-personnel costs'!$C$14:$C$151=$A26)*( 'Non-personnel costs'!$E$14:$E$151=K$12)*'Non-personnel costs'!$I$14:$I$151)))</f>
        <v>0</v>
      </c>
      <c r="L26" s="148">
        <f t="array" ref="L26">IF(L$12="",SUM((('Non-personnel costs'!$C$14:$C$151=$A26)*('Non-personnel costs'!$D$14:$D$151= L$11)* 'Non-personnel costs'!$I$14:$I$151)),SUM((('Non-personnel costs'!$C$14:$C$151=$A26)*( 'Non-personnel costs'!$E$14:$E$151=L$12)*'Non-personnel costs'!$I$14:$I$151)))</f>
        <v>0</v>
      </c>
      <c r="M26" s="148">
        <f t="array" ref="M26">IF(M$12="",SUM((('Non-personnel costs'!$C$14:$C$151=$A26)*('Non-personnel costs'!$D$14:$D$151= M$11)* 'Non-personnel costs'!$I$14:$I$151)),SUM((('Non-personnel costs'!$C$14:$C$151=$A26)*( 'Non-personnel costs'!$E$14:$E$151=M$12)*'Non-personnel costs'!$I$14:$I$151)))</f>
        <v>0</v>
      </c>
      <c r="N26" s="148">
        <f t="array" ref="N26">IF(N$12="",SUM((('Non-personnel costs'!$C$14:$C$151=$A26)*('Non-personnel costs'!$D$14:$D$151= N$11)* 'Non-personnel costs'!$I$14:$I$151)),SUM((('Non-personnel costs'!$C$14:$C$151=$A26)*( 'Non-personnel costs'!$E$14:$E$151=N$12)*'Non-personnel costs'!$I$14:$I$151)))</f>
        <v>0</v>
      </c>
      <c r="O26" s="148">
        <f t="array" ref="O26">IF(O$12="",SUM((('Non-personnel costs'!$C$14:$C$151=$A26)*('Non-personnel costs'!$D$14:$D$151= O$11)* 'Non-personnel costs'!$I$14:$I$151)),SUM((('Non-personnel costs'!$C$14:$C$151=$A26)*( 'Non-personnel costs'!$E$14:$E$151=O$12)*'Non-personnel costs'!$I$14:$I$151)))</f>
        <v>0</v>
      </c>
      <c r="P26" s="148">
        <f t="array" ref="P26">IF(P$12="",SUM((('Non-personnel costs'!$C$14:$C$151=$A26)*('Non-personnel costs'!$D$14:$D$151= P$11)* 'Non-personnel costs'!$I$14:$I$151)),SUM((('Non-personnel costs'!$C$14:$C$151=$A26)*( 'Non-personnel costs'!$E$14:$E$151=P$12)*'Non-personnel costs'!$I$14:$I$151)))</f>
        <v>0</v>
      </c>
      <c r="Q26" s="148">
        <f t="array" ref="Q26">IF(Q$12="",SUM((('Non-personnel costs'!$C$14:$C$151=$A26)*('Non-personnel costs'!$D$14:$D$151= Q$11)* 'Non-personnel costs'!$I$14:$I$151)),SUM((('Non-personnel costs'!$C$14:$C$151=$A26)*( 'Non-personnel costs'!$E$14:$E$151=Q$12)*'Non-personnel costs'!$I$14:$I$151)))</f>
        <v>0</v>
      </c>
      <c r="R26" s="148">
        <f t="array" ref="R26">IF(R$12="",SUM((('Non-personnel costs'!$C$14:$C$151=$A26)*('Non-personnel costs'!$D$14:$D$151= R$11)* 'Non-personnel costs'!$I$14:$I$151)),SUM((('Non-personnel costs'!$C$14:$C$151=$A26)*( 'Non-personnel costs'!$E$14:$E$151=R$12)*'Non-personnel costs'!$I$14:$I$151)))</f>
        <v>0</v>
      </c>
      <c r="S26" s="148">
        <f t="array" ref="S26">SUM(($D$12:$R$12&lt;&gt;"")*$D26:$R26)</f>
        <v>0</v>
      </c>
      <c r="T26" s="148">
        <f t="shared" si="3"/>
        <v>0</v>
      </c>
      <c r="U26" s="149">
        <f t="shared" si="4"/>
        <v>0</v>
      </c>
    </row>
    <row r="27" spans="1:21" s="1" customFormat="1" ht="13.2" x14ac:dyDescent="0.25">
      <c r="A27" s="390" t="str">
        <f>'HE Application Form A3 - Budget'!$N$7</f>
        <v>Total other goods, works and services</v>
      </c>
      <c r="B27" s="379"/>
      <c r="C27" s="380">
        <f>SUM(C22:C26)</f>
        <v>30000</v>
      </c>
      <c r="D27" s="379">
        <f t="shared" ref="D27:R27" si="5">SUM(D22:D26)</f>
        <v>0</v>
      </c>
      <c r="E27" s="379">
        <f t="shared" si="5"/>
        <v>0</v>
      </c>
      <c r="F27" s="379">
        <f t="shared" si="5"/>
        <v>0</v>
      </c>
      <c r="G27" s="379">
        <f t="shared" si="5"/>
        <v>0</v>
      </c>
      <c r="H27" s="379">
        <f t="shared" si="5"/>
        <v>0</v>
      </c>
      <c r="I27" s="379">
        <f t="shared" si="5"/>
        <v>0</v>
      </c>
      <c r="J27" s="379">
        <f t="shared" si="5"/>
        <v>0</v>
      </c>
      <c r="K27" s="379">
        <f t="shared" si="5"/>
        <v>0</v>
      </c>
      <c r="L27" s="379">
        <f t="shared" si="5"/>
        <v>0</v>
      </c>
      <c r="M27" s="379">
        <f t="shared" si="5"/>
        <v>0</v>
      </c>
      <c r="N27" s="379">
        <f t="shared" si="5"/>
        <v>0</v>
      </c>
      <c r="O27" s="379">
        <f t="shared" si="5"/>
        <v>0</v>
      </c>
      <c r="P27" s="379">
        <f t="shared" si="5"/>
        <v>0</v>
      </c>
      <c r="Q27" s="379">
        <f t="shared" si="5"/>
        <v>0</v>
      </c>
      <c r="R27" s="379">
        <f t="shared" si="5"/>
        <v>0</v>
      </c>
      <c r="S27" s="379">
        <f t="array" ref="S27">SUM(($D$12:$R$12&lt;&gt;"")*$D27:$R27)</f>
        <v>0</v>
      </c>
      <c r="T27" s="379">
        <f t="shared" si="3"/>
        <v>30000</v>
      </c>
      <c r="U27" s="391">
        <f t="shared" si="4"/>
        <v>30000</v>
      </c>
    </row>
    <row r="28" spans="1:21" s="216" customFormat="1" ht="13.2" x14ac:dyDescent="0.25">
      <c r="A28" s="458" t="s">
        <v>241</v>
      </c>
      <c r="B28" s="459"/>
      <c r="C28" s="459">
        <f>SUMIF('Non-personnel costs'!$M$14:$M$151,"Yes",'Non-personnel costs'!$H$14:$H$151)</f>
        <v>0</v>
      </c>
      <c r="D28" s="459">
        <f>SUMIFS('Non-personnel costs'!$H$14:$H$151,'Non-personnel costs'!$M$14:$M$151,"Yes",'Non-personnel costs'!$E$14:$E$151,D$12)</f>
        <v>0</v>
      </c>
      <c r="E28" s="459">
        <f>SUMIFS('Non-personnel costs'!$H$14:$H$151,'Non-personnel costs'!$M$14:$M$151,"Yes",'Non-personnel costs'!$E$14:$E$151,E$12)</f>
        <v>0</v>
      </c>
      <c r="F28" s="459">
        <f>SUMIFS('Non-personnel costs'!$H$14:$H$151,'Non-personnel costs'!$M$14:$M$151,"Yes",'Non-personnel costs'!$E$14:$E$151,F$12)</f>
        <v>0</v>
      </c>
      <c r="G28" s="459">
        <f>SUMIFS('Non-personnel costs'!$H$14:$H$151,'Non-personnel costs'!$M$14:$M$151,"Yes",'Non-personnel costs'!$E$14:$E$151,G$12)</f>
        <v>0</v>
      </c>
      <c r="H28" s="459">
        <f>SUMIFS('Non-personnel costs'!$H$14:$H$151,'Non-personnel costs'!$M$14:$M$151,"Yes",'Non-personnel costs'!$E$14:$E$151,H$12)</f>
        <v>0</v>
      </c>
      <c r="I28" s="459">
        <f>SUMIFS('Non-personnel costs'!$H$14:$H$151,'Non-personnel costs'!$M$14:$M$151,"Yes",'Non-personnel costs'!$E$14:$E$151,I$12)</f>
        <v>0</v>
      </c>
      <c r="J28" s="459">
        <f>SUMIFS('Non-personnel costs'!$H$14:$H$151,'Non-personnel costs'!$M$14:$M$151,"Yes",'Non-personnel costs'!$E$14:$E$151,J$12)</f>
        <v>0</v>
      </c>
      <c r="K28" s="459">
        <f>SUMIFS('Non-personnel costs'!$H$14:$H$151,'Non-personnel costs'!$M$14:$M$151,"Yes",'Non-personnel costs'!$E$14:$E$151,K$12)</f>
        <v>0</v>
      </c>
      <c r="L28" s="459">
        <f>SUMIFS('Non-personnel costs'!$H$14:$H$151,'Non-personnel costs'!$M$14:$M$151,"Yes",'Non-personnel costs'!$E$14:$E$151,L$12)</f>
        <v>0</v>
      </c>
      <c r="M28" s="459">
        <f>SUMIFS('Non-personnel costs'!$H$14:$H$151,'Non-personnel costs'!$M$14:$M$151,"Yes",'Non-personnel costs'!$E$14:$E$151,M$12)</f>
        <v>0</v>
      </c>
      <c r="N28" s="459">
        <f>SUMIFS('Non-personnel costs'!$H$14:$H$151,'Non-personnel costs'!$M$14:$M$151,"Yes",'Non-personnel costs'!$E$14:$E$151,N$12)</f>
        <v>0</v>
      </c>
      <c r="O28" s="459">
        <f>SUMIFS('Non-personnel costs'!$H$14:$H$151,'Non-personnel costs'!$M$14:$M$151,"Yes",'Non-personnel costs'!$E$14:$E$151,O$12)</f>
        <v>0</v>
      </c>
      <c r="P28" s="459">
        <f>SUMIFS('Non-personnel costs'!$H$14:$H$151,'Non-personnel costs'!$M$14:$M$151,"Yes",'Non-personnel costs'!$E$14:$E$151,P$12)</f>
        <v>0</v>
      </c>
      <c r="Q28" s="459">
        <f>SUMIFS('Non-personnel costs'!$H$14:$H$151,'Non-personnel costs'!$M$14:$M$151,"Yes",'Non-personnel costs'!$E$14:$E$151,Q$12)</f>
        <v>0</v>
      </c>
      <c r="R28" s="459">
        <f>SUMIFS('Non-personnel costs'!$H$14:$H$151,'Non-personnel costs'!$M$14:$M$151,"Yes",'Non-personnel costs'!$E$14:$E$151,R$12)</f>
        <v>0</v>
      </c>
      <c r="S28" s="459">
        <f t="array" ref="S28">SUM(($D$12:$R$12&lt;&gt;"")*$D28:$R28)</f>
        <v>0</v>
      </c>
      <c r="T28" s="459">
        <f>C28-S28</f>
        <v>0</v>
      </c>
      <c r="U28" s="460">
        <f>SUM(S28:T28)</f>
        <v>0</v>
      </c>
    </row>
    <row r="29" spans="1:21" s="1" customFormat="1" ht="13.2" x14ac:dyDescent="0.25">
      <c r="A29" s="385" t="str">
        <f>'HE Application Form A3 - Budget'!$Q$7</f>
        <v>Indirect Costs</v>
      </c>
      <c r="B29" s="222"/>
      <c r="C29" s="225">
        <f>(C19+C27)*'Project data &amp; personnel '!$E$30</f>
        <v>295075.42585806351</v>
      </c>
      <c r="D29" s="222">
        <f>(D19+D27)*'Project data &amp; personnel '!$E$30</f>
        <v>0</v>
      </c>
      <c r="E29" s="222">
        <f>(E19+E27)*'Project data &amp; personnel '!$E$30</f>
        <v>0</v>
      </c>
      <c r="F29" s="222">
        <f>(F19+F27)*'Project data &amp; personnel '!$E$30</f>
        <v>0</v>
      </c>
      <c r="G29" s="222">
        <f>(G19+G27)*'Project data &amp; personnel '!$E$30</f>
        <v>0</v>
      </c>
      <c r="H29" s="222">
        <f>(H19+H27)*'Project data &amp; personnel '!$E$30</f>
        <v>0</v>
      </c>
      <c r="I29" s="222">
        <f>(I19+I27)*'Project data &amp; personnel '!$E$30</f>
        <v>0</v>
      </c>
      <c r="J29" s="222">
        <f>(J19+J27)*'Project data &amp; personnel '!$E$30</f>
        <v>0</v>
      </c>
      <c r="K29" s="222">
        <f>(K19+K27)*'Project data &amp; personnel '!$E$30</f>
        <v>0</v>
      </c>
      <c r="L29" s="222">
        <f>(L19+L27)*'Project data &amp; personnel '!$E$30</f>
        <v>0</v>
      </c>
      <c r="M29" s="222">
        <f>(M19+M27)*'Project data &amp; personnel '!$E$30</f>
        <v>0</v>
      </c>
      <c r="N29" s="222">
        <f>(N19+N27)*'Project data &amp; personnel '!$E$30</f>
        <v>0</v>
      </c>
      <c r="O29" s="222">
        <f>(O19+O27)*'Project data &amp; personnel '!$E$30</f>
        <v>0</v>
      </c>
      <c r="P29" s="222">
        <f>(P19+P27)*'Project data &amp; personnel '!$E$30</f>
        <v>0</v>
      </c>
      <c r="Q29" s="222">
        <f>(Q19+Q27)*'Project data &amp; personnel '!$E$30</f>
        <v>0</v>
      </c>
      <c r="R29" s="222">
        <f>(R19+R27)*'Project data &amp; personnel '!$E$30</f>
        <v>0</v>
      </c>
      <c r="S29" s="222">
        <f t="array" ref="S29">SUM(($D$12:$R$12&lt;&gt;"")*$D29:$R29)</f>
        <v>0</v>
      </c>
      <c r="T29" s="222">
        <f t="shared" si="3"/>
        <v>295075.42585806351</v>
      </c>
      <c r="U29" s="386">
        <f t="shared" si="4"/>
        <v>295075.42585806351</v>
      </c>
    </row>
    <row r="30" spans="1:21" s="2" customFormat="1" ht="13.2" x14ac:dyDescent="0.25">
      <c r="A30" s="14" t="str">
        <f>'HE Application Form A3 - Budget'!$H$7</f>
        <v>Subcontracting costs</v>
      </c>
      <c r="B30" s="147"/>
      <c r="C30" s="224">
        <f t="array" ref="C30">SUM((('Non-personnel costs'!$C$14:$C$151=$A30)*'Non-personnel costs'!$I$14:$I$151))</f>
        <v>0</v>
      </c>
      <c r="D30" s="147">
        <f t="array" ref="D30">IF(D$12="",SUM((('Non-personnel costs'!$C$14:$C$151=$A30)*('Non-personnel costs'!$D$14:$D$151= D$11)* 'Non-personnel costs'!$I$14:$I$151)),SUM((('Non-personnel costs'!$C$14:$C$151=$A30)*( 'Non-personnel costs'!$E$14:$E$151=D$12)*'Non-personnel costs'!$I$14:$I$151)))</f>
        <v>0</v>
      </c>
      <c r="E30" s="147">
        <f t="array" ref="E30">IF(E$12="",SUM((('Non-personnel costs'!$C$14:$C$151=$A30)*('Non-personnel costs'!$D$14:$D$151= E$11)* 'Non-personnel costs'!$I$14:$I$151)),SUM((('Non-personnel costs'!$C$14:$C$151=$A30)*( 'Non-personnel costs'!$E$14:$E$151=E$12)*'Non-personnel costs'!$I$14:$I$151)))</f>
        <v>0</v>
      </c>
      <c r="F30" s="147">
        <f t="array" ref="F30">IF(F$12="",SUM((('Non-personnel costs'!$C$14:$C$151=$A30)*('Non-personnel costs'!$D$14:$D$151= F$11)* 'Non-personnel costs'!$I$14:$I$151)),SUM((('Non-personnel costs'!$C$14:$C$151=$A30)*( 'Non-personnel costs'!$E$14:$E$151=F$12)*'Non-personnel costs'!$I$14:$I$151)))</f>
        <v>0</v>
      </c>
      <c r="G30" s="147">
        <f t="array" ref="G30">IF(G$12="",SUM((('Non-personnel costs'!$C$14:$C$151=$A30)*('Non-personnel costs'!$D$14:$D$151= G$11)* 'Non-personnel costs'!$I$14:$I$151)),SUM((('Non-personnel costs'!$C$14:$C$151=$A30)*( 'Non-personnel costs'!$E$14:$E$151=G$12)*'Non-personnel costs'!$I$14:$I$151)))</f>
        <v>0</v>
      </c>
      <c r="H30" s="147">
        <f t="array" ref="H30">IF(H$12="",SUM((('Non-personnel costs'!$C$14:$C$151=$A30)*('Non-personnel costs'!$D$14:$D$151= H$11)* 'Non-personnel costs'!$I$14:$I$151)),SUM((('Non-personnel costs'!$C$14:$C$151=$A30)*( 'Non-personnel costs'!$E$14:$E$151=H$12)*'Non-personnel costs'!$I$14:$I$151)))</f>
        <v>0</v>
      </c>
      <c r="I30" s="147">
        <f t="array" ref="I30">IF(I$12="",SUM((('Non-personnel costs'!$C$14:$C$151=$A30)*('Non-personnel costs'!$D$14:$D$151= I$11)* 'Non-personnel costs'!$I$14:$I$151)),SUM((('Non-personnel costs'!$C$14:$C$151=$A30)*( 'Non-personnel costs'!$E$14:$E$151=I$12)*'Non-personnel costs'!$I$14:$I$151)))</f>
        <v>0</v>
      </c>
      <c r="J30" s="147">
        <f t="array" ref="J30">IF(J$12="",SUM((('Non-personnel costs'!$C$14:$C$151=$A30)*('Non-personnel costs'!$D$14:$D$151= J$11)* 'Non-personnel costs'!$I$14:$I$151)),SUM((('Non-personnel costs'!$C$14:$C$151=$A30)*( 'Non-personnel costs'!$E$14:$E$151=J$12)*'Non-personnel costs'!$I$14:$I$151)))</f>
        <v>0</v>
      </c>
      <c r="K30" s="147">
        <f t="array" ref="K30">IF(K$12="",SUM((('Non-personnel costs'!$C$14:$C$151=$A30)*('Non-personnel costs'!$D$14:$D$151= K$11)* 'Non-personnel costs'!$I$14:$I$151)),SUM((('Non-personnel costs'!$C$14:$C$151=$A30)*( 'Non-personnel costs'!$E$14:$E$151=K$12)*'Non-personnel costs'!$I$14:$I$151)))</f>
        <v>0</v>
      </c>
      <c r="L30" s="147">
        <f t="array" ref="L30">IF(L$12="",SUM((('Non-personnel costs'!$C$14:$C$151=$A30)*('Non-personnel costs'!$D$14:$D$151= L$11)* 'Non-personnel costs'!$I$14:$I$151)),SUM((('Non-personnel costs'!$C$14:$C$151=$A30)*( 'Non-personnel costs'!$E$14:$E$151=L$12)*'Non-personnel costs'!$I$14:$I$151)))</f>
        <v>0</v>
      </c>
      <c r="M30" s="147">
        <f t="array" ref="M30">IF(M$12="",SUM((('Non-personnel costs'!$C$14:$C$151=$A30)*('Non-personnel costs'!$D$14:$D$151= M$11)* 'Non-personnel costs'!$I$14:$I$151)),SUM((('Non-personnel costs'!$C$14:$C$151=$A30)*( 'Non-personnel costs'!$E$14:$E$151=M$12)*'Non-personnel costs'!$I$14:$I$151)))</f>
        <v>0</v>
      </c>
      <c r="N30" s="147">
        <f t="array" ref="N30">IF(N$12="",SUM((('Non-personnel costs'!$C$14:$C$151=$A30)*('Non-personnel costs'!$D$14:$D$151= N$11)* 'Non-personnel costs'!$I$14:$I$151)),SUM((('Non-personnel costs'!$C$14:$C$151=$A30)*( 'Non-personnel costs'!$E$14:$E$151=N$12)*'Non-personnel costs'!$I$14:$I$151)))</f>
        <v>0</v>
      </c>
      <c r="O30" s="147">
        <f t="array" ref="O30">IF(O$12="",SUM((('Non-personnel costs'!$C$14:$C$151=$A30)*('Non-personnel costs'!$D$14:$D$151= O$11)* 'Non-personnel costs'!$I$14:$I$151)),SUM((('Non-personnel costs'!$C$14:$C$151=$A30)*( 'Non-personnel costs'!$E$14:$E$151=O$12)*'Non-personnel costs'!$I$14:$I$151)))</f>
        <v>0</v>
      </c>
      <c r="P30" s="147">
        <f t="array" ref="P30">IF(P$12="",SUM((('Non-personnel costs'!$C$14:$C$151=$A30)*('Non-personnel costs'!$D$14:$D$151= P$11)* 'Non-personnel costs'!$I$14:$I$151)),SUM((('Non-personnel costs'!$C$14:$C$151=$A30)*( 'Non-personnel costs'!$E$14:$E$151=P$12)*'Non-personnel costs'!$I$14:$I$151)))</f>
        <v>0</v>
      </c>
      <c r="Q30" s="147">
        <f t="array" ref="Q30">IF(Q$12="",SUM((('Non-personnel costs'!$C$14:$C$151=$A30)*('Non-personnel costs'!$D$14:$D$151= Q$11)* 'Non-personnel costs'!$I$14:$I$151)),SUM((('Non-personnel costs'!$C$14:$C$151=$A30)*( 'Non-personnel costs'!$E$14:$E$151=Q$12)*'Non-personnel costs'!$I$14:$I$151)))</f>
        <v>0</v>
      </c>
      <c r="R30" s="147">
        <f t="array" ref="R30">IF(R$12="",SUM((('Non-personnel costs'!$C$14:$C$151=$A30)*('Non-personnel costs'!$D$14:$D$151= R$11)* 'Non-personnel costs'!$I$14:$I$151)),SUM((('Non-personnel costs'!$C$14:$C$151=$A30)*( 'Non-personnel costs'!$E$14:$E$151=R$12)*'Non-personnel costs'!$I$14:$I$151)))</f>
        <v>0</v>
      </c>
      <c r="S30" s="147">
        <f t="array" ref="S30">SUM(($D$12:$R$12&lt;&gt;"")*$D30:$R30)</f>
        <v>0</v>
      </c>
      <c r="T30" s="147">
        <f t="shared" si="3"/>
        <v>0</v>
      </c>
      <c r="U30" s="15">
        <f t="shared" si="4"/>
        <v>0</v>
      </c>
    </row>
    <row r="31" spans="1:21" s="1" customFormat="1" ht="13.8" thickBot="1" x14ac:dyDescent="0.3">
      <c r="A31" s="14" t="str">
        <f>'HE Application Form A3 - Budget'!$P$7</f>
        <v>Internally invoiced goods and services</v>
      </c>
      <c r="B31" s="222"/>
      <c r="C31" s="224">
        <f t="array" ref="C31">SUM((('Non-personnel costs'!$C$14:$C$151=$A31)*'Non-personnel costs'!$I$14:$I$151))</f>
        <v>25000</v>
      </c>
      <c r="D31" s="147">
        <f t="array" ref="D31">IF(D$12="",SUM((('Non-personnel costs'!$C$14:$C$151=$A31)*('Non-personnel costs'!$D$14:$D$151= D$11)* 'Non-personnel costs'!$I$14:$I$151)),SUM((('Non-personnel costs'!$C$14:$C$151=$A31)*( 'Non-personnel costs'!$E$14:$E$151=D$12)*'Non-personnel costs'!$I$14:$I$151)))</f>
        <v>0</v>
      </c>
      <c r="E31" s="147">
        <f t="array" ref="E31">IF(E$12="",SUM((('Non-personnel costs'!$C$14:$C$151=$A31)*('Non-personnel costs'!$D$14:$D$151= E$11)* 'Non-personnel costs'!$I$14:$I$151)),SUM((('Non-personnel costs'!$C$14:$C$151=$A31)*( 'Non-personnel costs'!$E$14:$E$151=E$12)*'Non-personnel costs'!$I$14:$I$151)))</f>
        <v>0</v>
      </c>
      <c r="F31" s="147">
        <f t="array" ref="F31">IF(F$12="",SUM((('Non-personnel costs'!$C$14:$C$151=$A31)*('Non-personnel costs'!$D$14:$D$151= F$11)* 'Non-personnel costs'!$I$14:$I$151)),SUM((('Non-personnel costs'!$C$14:$C$151=$A31)*( 'Non-personnel costs'!$E$14:$E$151=F$12)*'Non-personnel costs'!$I$14:$I$151)))</f>
        <v>0</v>
      </c>
      <c r="G31" s="147">
        <f t="array" ref="G31">IF(G$12="",SUM((('Non-personnel costs'!$C$14:$C$151=$A31)*('Non-personnel costs'!$D$14:$D$151= G$11)* 'Non-personnel costs'!$I$14:$I$151)),SUM((('Non-personnel costs'!$C$14:$C$151=$A31)*( 'Non-personnel costs'!$E$14:$E$151=G$12)*'Non-personnel costs'!$I$14:$I$151)))</f>
        <v>0</v>
      </c>
      <c r="H31" s="147">
        <f t="array" ref="H31">IF(H$12="",SUM((('Non-personnel costs'!$C$14:$C$151=$A31)*('Non-personnel costs'!$D$14:$D$151= H$11)* 'Non-personnel costs'!$I$14:$I$151)),SUM((('Non-personnel costs'!$C$14:$C$151=$A31)*( 'Non-personnel costs'!$E$14:$E$151=H$12)*'Non-personnel costs'!$I$14:$I$151)))</f>
        <v>0</v>
      </c>
      <c r="I31" s="147">
        <f t="array" ref="I31">IF(I$12="",SUM((('Non-personnel costs'!$C$14:$C$151=$A31)*('Non-personnel costs'!$D$14:$D$151= I$11)* 'Non-personnel costs'!$I$14:$I$151)),SUM((('Non-personnel costs'!$C$14:$C$151=$A31)*( 'Non-personnel costs'!$E$14:$E$151=I$12)*'Non-personnel costs'!$I$14:$I$151)))</f>
        <v>0</v>
      </c>
      <c r="J31" s="147">
        <f t="array" ref="J31">IF(J$12="",SUM((('Non-personnel costs'!$C$14:$C$151=$A31)*('Non-personnel costs'!$D$14:$D$151= J$11)* 'Non-personnel costs'!$I$14:$I$151)),SUM((('Non-personnel costs'!$C$14:$C$151=$A31)*( 'Non-personnel costs'!$E$14:$E$151=J$12)*'Non-personnel costs'!$I$14:$I$151)))</f>
        <v>0</v>
      </c>
      <c r="K31" s="147">
        <f t="array" ref="K31">IF(K$12="",SUM((('Non-personnel costs'!$C$14:$C$151=$A31)*('Non-personnel costs'!$D$14:$D$151= K$11)* 'Non-personnel costs'!$I$14:$I$151)),SUM((('Non-personnel costs'!$C$14:$C$151=$A31)*( 'Non-personnel costs'!$E$14:$E$151=K$12)*'Non-personnel costs'!$I$14:$I$151)))</f>
        <v>0</v>
      </c>
      <c r="L31" s="147">
        <f t="array" ref="L31">IF(L$12="",SUM((('Non-personnel costs'!$C$14:$C$151=$A31)*('Non-personnel costs'!$D$14:$D$151= L$11)* 'Non-personnel costs'!$I$14:$I$151)),SUM((('Non-personnel costs'!$C$14:$C$151=$A31)*( 'Non-personnel costs'!$E$14:$E$151=L$12)*'Non-personnel costs'!$I$14:$I$151)))</f>
        <v>0</v>
      </c>
      <c r="M31" s="147">
        <f t="array" ref="M31">IF(M$12="",SUM((('Non-personnel costs'!$C$14:$C$151=$A31)*('Non-personnel costs'!$D$14:$D$151= M$11)* 'Non-personnel costs'!$I$14:$I$151)),SUM((('Non-personnel costs'!$C$14:$C$151=$A31)*( 'Non-personnel costs'!$E$14:$E$151=M$12)*'Non-personnel costs'!$I$14:$I$151)))</f>
        <v>0</v>
      </c>
      <c r="N31" s="147">
        <f t="array" ref="N31">IF(N$12="",SUM((('Non-personnel costs'!$C$14:$C$151=$A31)*('Non-personnel costs'!$D$14:$D$151= N$11)* 'Non-personnel costs'!$I$14:$I$151)),SUM((('Non-personnel costs'!$C$14:$C$151=$A31)*( 'Non-personnel costs'!$E$14:$E$151=N$12)*'Non-personnel costs'!$I$14:$I$151)))</f>
        <v>0</v>
      </c>
      <c r="O31" s="147">
        <f t="array" ref="O31">IF(O$12="",SUM((('Non-personnel costs'!$C$14:$C$151=$A31)*('Non-personnel costs'!$D$14:$D$151= O$11)* 'Non-personnel costs'!$I$14:$I$151)),SUM((('Non-personnel costs'!$C$14:$C$151=$A31)*( 'Non-personnel costs'!$E$14:$E$151=O$12)*'Non-personnel costs'!$I$14:$I$151)))</f>
        <v>0</v>
      </c>
      <c r="P31" s="147">
        <f t="array" ref="P31">IF(P$12="",SUM((('Non-personnel costs'!$C$14:$C$151=$A31)*('Non-personnel costs'!$D$14:$D$151= P$11)* 'Non-personnel costs'!$I$14:$I$151)),SUM((('Non-personnel costs'!$C$14:$C$151=$A31)*( 'Non-personnel costs'!$E$14:$E$151=P$12)*'Non-personnel costs'!$I$14:$I$151)))</f>
        <v>0</v>
      </c>
      <c r="Q31" s="147">
        <f t="array" ref="Q31">IF(Q$12="",SUM((('Non-personnel costs'!$C$14:$C$151=$A31)*('Non-personnel costs'!$D$14:$D$151= Q$11)* 'Non-personnel costs'!$I$14:$I$151)),SUM((('Non-personnel costs'!$C$14:$C$151=$A31)*( 'Non-personnel costs'!$E$14:$E$151=Q$12)*'Non-personnel costs'!$I$14:$I$151)))</f>
        <v>0</v>
      </c>
      <c r="R31" s="147">
        <f t="array" ref="R31">IF(R$12="",SUM((('Non-personnel costs'!$C$14:$C$151=$A31)*('Non-personnel costs'!$D$14:$D$151= R$11)* 'Non-personnel costs'!$I$14:$I$151)),SUM((('Non-personnel costs'!$C$14:$C$151=$A31)*( 'Non-personnel costs'!$E$14:$E$151=R$12)*'Non-personnel costs'!$I$14:$I$151)))</f>
        <v>0</v>
      </c>
      <c r="S31" s="147">
        <f t="array" ref="S31">SUM(($D$12:$R$12&lt;&gt;"")*$D31:$R31)</f>
        <v>0</v>
      </c>
      <c r="T31" s="222">
        <f t="shared" si="3"/>
        <v>25000</v>
      </c>
      <c r="U31" s="15">
        <f>SUM(S31:T31)</f>
        <v>25000</v>
      </c>
    </row>
    <row r="32" spans="1:21" s="1" customFormat="1" ht="13.2" x14ac:dyDescent="0.25">
      <c r="A32" s="390" t="s">
        <v>242</v>
      </c>
      <c r="B32" s="379"/>
      <c r="C32" s="380">
        <f>SUM(C19,C27,C29:C31)</f>
        <v>1500377.1292903177</v>
      </c>
      <c r="D32" s="379">
        <f t="shared" ref="D32:R32" si="6">SUM(D19,D27,D29:D31)</f>
        <v>0</v>
      </c>
      <c r="E32" s="379">
        <f t="shared" si="6"/>
        <v>0</v>
      </c>
      <c r="F32" s="379">
        <f t="shared" si="6"/>
        <v>0</v>
      </c>
      <c r="G32" s="379">
        <f t="shared" si="6"/>
        <v>0</v>
      </c>
      <c r="H32" s="379">
        <f t="shared" si="6"/>
        <v>0</v>
      </c>
      <c r="I32" s="379">
        <f t="shared" si="6"/>
        <v>0</v>
      </c>
      <c r="J32" s="379">
        <f t="shared" si="6"/>
        <v>0</v>
      </c>
      <c r="K32" s="379">
        <f t="shared" si="6"/>
        <v>0</v>
      </c>
      <c r="L32" s="379">
        <f t="shared" si="6"/>
        <v>0</v>
      </c>
      <c r="M32" s="379">
        <f t="shared" si="6"/>
        <v>0</v>
      </c>
      <c r="N32" s="379">
        <f t="shared" si="6"/>
        <v>0</v>
      </c>
      <c r="O32" s="379">
        <f t="shared" si="6"/>
        <v>0</v>
      </c>
      <c r="P32" s="379">
        <f t="shared" si="6"/>
        <v>0</v>
      </c>
      <c r="Q32" s="379">
        <f t="shared" si="6"/>
        <v>0</v>
      </c>
      <c r="R32" s="379">
        <f t="shared" si="6"/>
        <v>0</v>
      </c>
      <c r="S32" s="379">
        <f t="array" ref="S32">SUM(($D$12:$R$12&lt;&gt;"")*$D32:$R32)</f>
        <v>0</v>
      </c>
      <c r="T32" s="379">
        <f t="shared" si="3"/>
        <v>1500377.1292903177</v>
      </c>
      <c r="U32" s="391">
        <f t="shared" si="4"/>
        <v>1500377.1292903177</v>
      </c>
    </row>
    <row r="33" spans="1:21" s="1" customFormat="1" ht="13.2" x14ac:dyDescent="0.25">
      <c r="A33" s="387"/>
      <c r="B33" s="150"/>
      <c r="C33" s="150"/>
      <c r="D33" s="150"/>
      <c r="E33" s="150"/>
      <c r="F33" s="150"/>
      <c r="G33" s="150"/>
      <c r="H33" s="150"/>
      <c r="I33" s="150"/>
      <c r="J33" s="150"/>
      <c r="K33" s="150"/>
      <c r="L33" s="150"/>
      <c r="M33" s="150"/>
      <c r="N33" s="150"/>
      <c r="O33" s="150"/>
      <c r="P33" s="150"/>
      <c r="Q33" s="150"/>
      <c r="R33" s="150"/>
      <c r="S33" s="150"/>
      <c r="T33" s="150"/>
      <c r="U33" s="388"/>
    </row>
    <row r="34" spans="1:21" s="1" customFormat="1" ht="13.2" x14ac:dyDescent="0.25">
      <c r="A34" s="385" t="s">
        <v>243</v>
      </c>
      <c r="B34" s="222"/>
      <c r="C34" s="225">
        <f>IF('Project data &amp; personnel '!$E$14=Categories!$A$25,SUM(MIN(SUM(SUMIFS('Project data &amp; personnel '!$N$39:$N$60,'Project data &amp; personnel '!$O$39:$O$60,"&lt;&gt;"&amp;"Yes"),SUMIFS('Non-personnel costs'!$J$14:$J$151,'Non-personnel costs'!$L$14:$L$151,"&lt;&gt;"&amp;"Yes")),'Project data &amp; personnel '!$E$23),MIN(SUM(SUMIFS('Project data &amp; personnel '!$N$39:$N$60,'Project data &amp; personnel '!$O$39:$O$60,"Yes"),SUMIFS('Non-personnel costs'!$J$14:$J$151,'Non-personnel costs'!$L$14:$L$151,"Yes")),'Project data &amp; personnel '!$E$24)),MIN(SUM(SUMIFS('Project data &amp; personnel '!$N$39:$N$60,'Project data &amp; personnel '!$O$39:$O$60,"&lt;&gt;"&amp;"Yes"),SUMIFS('Non-personnel costs'!$J$14:$J$151,'Non-personnel costs'!$L$14:$L$151,"&lt;&gt;"&amp;"Yes")),'Project data &amp; personnel '!$E$23))</f>
        <v>1500000</v>
      </c>
      <c r="D34" s="531"/>
      <c r="E34" s="531"/>
      <c r="F34" s="531">
        <f t="shared" ref="F34:R34" si="7">F$32/$C$32*$C$34</f>
        <v>0</v>
      </c>
      <c r="G34" s="531">
        <f t="shared" si="7"/>
        <v>0</v>
      </c>
      <c r="H34" s="531">
        <f t="shared" si="7"/>
        <v>0</v>
      </c>
      <c r="I34" s="531">
        <f t="shared" si="7"/>
        <v>0</v>
      </c>
      <c r="J34" s="531">
        <f t="shared" si="7"/>
        <v>0</v>
      </c>
      <c r="K34" s="531">
        <f t="shared" si="7"/>
        <v>0</v>
      </c>
      <c r="L34" s="531">
        <f t="shared" si="7"/>
        <v>0</v>
      </c>
      <c r="M34" s="531">
        <f t="shared" si="7"/>
        <v>0</v>
      </c>
      <c r="N34" s="531">
        <f t="shared" si="7"/>
        <v>0</v>
      </c>
      <c r="O34" s="531">
        <f t="shared" si="7"/>
        <v>0</v>
      </c>
      <c r="P34" s="531">
        <f t="shared" si="7"/>
        <v>0</v>
      </c>
      <c r="Q34" s="531">
        <f t="shared" si="7"/>
        <v>0</v>
      </c>
      <c r="R34" s="531">
        <f t="shared" si="7"/>
        <v>0</v>
      </c>
      <c r="S34" s="531">
        <f t="array" ref="S34">SUM(($D$12:$R$12&lt;&gt;"")*$D34:$R34)</f>
        <v>0</v>
      </c>
      <c r="T34" s="222">
        <f>C34-S34</f>
        <v>1500000</v>
      </c>
      <c r="U34" s="386">
        <f>SUM(S34:T34)</f>
        <v>1500000</v>
      </c>
    </row>
    <row r="35" spans="1:21" s="1" customFormat="1" ht="13.8" thickBot="1" x14ac:dyDescent="0.3">
      <c r="A35" s="392" t="str">
        <f>'HE Application Form A3 - Budget'!$S$7</f>
        <v>Requested EU contribution</v>
      </c>
      <c r="B35" s="393"/>
      <c r="C35" s="225">
        <f>MIN(C$32-SUMIF('Project data &amp; personnel '!$P$39:$P$60,"YES",'Project data &amp; personnel '!$N$39:$N$60)-SUMIF('Non-personnel costs'!$M$14:$M$151,"YES",'Non-personnel costs'!$J$14:$J$151),C$34)</f>
        <v>1500000</v>
      </c>
      <c r="D35" s="393">
        <f t="shared" ref="D35:R35" si="8">(D$32-D$38)*($C$35/($C$32-$C$38))</f>
        <v>0</v>
      </c>
      <c r="E35" s="393">
        <f t="shared" si="8"/>
        <v>0</v>
      </c>
      <c r="F35" s="393">
        <f t="shared" si="8"/>
        <v>0</v>
      </c>
      <c r="G35" s="393">
        <f t="shared" si="8"/>
        <v>0</v>
      </c>
      <c r="H35" s="393">
        <f t="shared" si="8"/>
        <v>0</v>
      </c>
      <c r="I35" s="393">
        <f t="shared" si="8"/>
        <v>0</v>
      </c>
      <c r="J35" s="393">
        <f t="shared" si="8"/>
        <v>0</v>
      </c>
      <c r="K35" s="393">
        <f t="shared" si="8"/>
        <v>0</v>
      </c>
      <c r="L35" s="393">
        <f t="shared" si="8"/>
        <v>0</v>
      </c>
      <c r="M35" s="393">
        <f t="shared" si="8"/>
        <v>0</v>
      </c>
      <c r="N35" s="393">
        <f t="shared" si="8"/>
        <v>0</v>
      </c>
      <c r="O35" s="393">
        <f t="shared" si="8"/>
        <v>0</v>
      </c>
      <c r="P35" s="393">
        <f t="shared" si="8"/>
        <v>0</v>
      </c>
      <c r="Q35" s="393">
        <f t="shared" si="8"/>
        <v>0</v>
      </c>
      <c r="R35" s="393">
        <f t="shared" si="8"/>
        <v>0</v>
      </c>
      <c r="S35" s="393">
        <f t="array" ref="S35">SUM(($D$12:$R$12&lt;&gt;"")*$D35:$R35)</f>
        <v>0</v>
      </c>
      <c r="T35" s="393">
        <f>C35-S35</f>
        <v>1500000</v>
      </c>
      <c r="U35" s="394">
        <f>SUM(S35:T35)</f>
        <v>1500000</v>
      </c>
    </row>
    <row r="36" spans="1:21" s="1" customFormat="1" ht="13.2" x14ac:dyDescent="0.25">
      <c r="A36" s="387"/>
      <c r="B36" s="150"/>
      <c r="C36" s="150"/>
      <c r="D36" s="150"/>
      <c r="E36" s="150"/>
      <c r="F36" s="150"/>
      <c r="G36" s="150"/>
      <c r="H36" s="150"/>
      <c r="I36" s="150"/>
      <c r="J36" s="150"/>
      <c r="K36" s="150"/>
      <c r="L36" s="150"/>
      <c r="M36" s="150"/>
      <c r="N36" s="150"/>
      <c r="O36" s="150"/>
      <c r="P36" s="150"/>
      <c r="Q36" s="150"/>
      <c r="R36" s="150"/>
      <c r="S36" s="150"/>
      <c r="T36" s="150"/>
      <c r="U36" s="388"/>
    </row>
    <row r="37" spans="1:21" s="1" customFormat="1" ht="13.2" x14ac:dyDescent="0.25">
      <c r="A37" s="487" t="s">
        <v>244</v>
      </c>
      <c r="B37" s="488"/>
      <c r="C37" s="488"/>
      <c r="D37" s="488"/>
      <c r="E37" s="488"/>
      <c r="F37" s="488"/>
      <c r="G37" s="488"/>
      <c r="H37" s="488"/>
      <c r="I37" s="488"/>
      <c r="J37" s="488"/>
      <c r="K37" s="488"/>
      <c r="L37" s="488"/>
      <c r="M37" s="488"/>
      <c r="N37" s="488"/>
      <c r="O37" s="488"/>
      <c r="P37" s="488"/>
      <c r="Q37" s="488"/>
      <c r="R37" s="488"/>
      <c r="S37" s="488"/>
      <c r="T37" s="488"/>
      <c r="U37" s="489"/>
    </row>
    <row r="38" spans="1:21" s="1" customFormat="1" ht="13.2" x14ac:dyDescent="0.25">
      <c r="A38" s="461" t="s">
        <v>245</v>
      </c>
      <c r="B38" s="462"/>
      <c r="C38" s="462">
        <f>SUM(SUMIF('Project data &amp; personnel '!$P$39:$P$60,"Yes",'Project data &amp; personnel '!$N$39:$N$60),SUMIF('Non-personnel costs'!$M$14:$M$151,"Yes",'Non-personnel costs'!$J$14:$J$151))</f>
        <v>0</v>
      </c>
      <c r="D38" s="462">
        <f>SUM(SUMIFS('Project data &amp; personnel '!$N$39:$N$60,'Project data &amp; personnel '!$P$39:$P$60,"Yes",'Project data &amp; personnel '!$I$39:$I$60,D$12),SUMIFS('Non-personnel costs'!$J$14:$J$151,'Non-personnel costs'!$M$14:$M$151,"Yes",'Non-personnel costs'!$E$14:$E$151,D$12))</f>
        <v>0</v>
      </c>
      <c r="E38" s="462">
        <f>SUM(SUMIFS('Project data &amp; personnel '!$N$39:$N$60,'Project data &amp; personnel '!$P$39:$P$60,"Yes",'Project data &amp; personnel '!$I$39:$I$60,E$12),SUMIFS('Non-personnel costs'!$J$14:$J$151,'Non-personnel costs'!$M$14:$M$151,"Yes",'Non-personnel costs'!$E$14:$E$151,E$12))</f>
        <v>0</v>
      </c>
      <c r="F38" s="462">
        <f>SUM(SUMIFS('Project data &amp; personnel '!$N$39:$N$60,'Project data &amp; personnel '!$P$39:$P$60,"Yes",'Project data &amp; personnel '!$I$39:$I$60,F$12),SUMIFS('Non-personnel costs'!$J$14:$J$151,'Non-personnel costs'!$M$14:$M$151,"Yes",'Non-personnel costs'!$E$14:$E$151,F$12))</f>
        <v>0</v>
      </c>
      <c r="G38" s="462">
        <f>SUM(SUMIFS('Project data &amp; personnel '!$N$39:$N$60,'Project data &amp; personnel '!$P$39:$P$60,"Yes",'Project data &amp; personnel '!$I$39:$I$60,G$12),SUMIFS('Non-personnel costs'!$J$14:$J$151,'Non-personnel costs'!$M$14:$M$151,"Yes",'Non-personnel costs'!$E$14:$E$151,G$12))</f>
        <v>0</v>
      </c>
      <c r="H38" s="462">
        <f>SUM(SUMIFS('Project data &amp; personnel '!$N$39:$N$60,'Project data &amp; personnel '!$P$39:$P$60,"Yes",'Project data &amp; personnel '!$I$39:$I$60,H$12),SUMIFS('Non-personnel costs'!$J$14:$J$151,'Non-personnel costs'!$M$14:$M$151,"Yes",'Non-personnel costs'!$E$14:$E$151,H$12))</f>
        <v>0</v>
      </c>
      <c r="I38" s="462">
        <f>SUM(SUMIFS('Project data &amp; personnel '!$N$39:$N$60,'Project data &amp; personnel '!$P$39:$P$60,"Yes",'Project data &amp; personnel '!$I$39:$I$60,I$12),SUMIFS('Non-personnel costs'!$J$14:$J$151,'Non-personnel costs'!$M$14:$M$151,"Yes",'Non-personnel costs'!$E$14:$E$151,I$12))</f>
        <v>0</v>
      </c>
      <c r="J38" s="462">
        <f>SUM(SUMIFS('Project data &amp; personnel '!$N$39:$N$60,'Project data &amp; personnel '!$P$39:$P$60,"Yes",'Project data &amp; personnel '!$I$39:$I$60,J$12),SUMIFS('Non-personnel costs'!$J$14:$J$151,'Non-personnel costs'!$M$14:$M$151,"Yes",'Non-personnel costs'!$E$14:$E$151,J$12))</f>
        <v>0</v>
      </c>
      <c r="K38" s="462">
        <f>SUM(SUMIFS('Project data &amp; personnel '!$N$39:$N$60,'Project data &amp; personnel '!$P$39:$P$60,"Yes",'Project data &amp; personnel '!$I$39:$I$60,K$12),SUMIFS('Non-personnel costs'!$J$14:$J$151,'Non-personnel costs'!$M$14:$M$151,"Yes",'Non-personnel costs'!$E$14:$E$151,K$12))</f>
        <v>0</v>
      </c>
      <c r="L38" s="462">
        <f>SUM(SUMIFS('Project data &amp; personnel '!$N$39:$N$60,'Project data &amp; personnel '!$P$39:$P$60,"Yes",'Project data &amp; personnel '!$I$39:$I$60,L$12),SUMIFS('Non-personnel costs'!$J$14:$J$151,'Non-personnel costs'!$M$14:$M$151,"Yes",'Non-personnel costs'!$E$14:$E$151,L$12))</f>
        <v>0</v>
      </c>
      <c r="M38" s="462">
        <f>SUM(SUMIFS('Project data &amp; personnel '!$N$39:$N$60,'Project data &amp; personnel '!$P$39:$P$60,"Yes",'Project data &amp; personnel '!$I$39:$I$60,M$12),SUMIFS('Non-personnel costs'!$J$14:$J$151,'Non-personnel costs'!$M$14:$M$151,"Yes",'Non-personnel costs'!$E$14:$E$151,M$12))</f>
        <v>0</v>
      </c>
      <c r="N38" s="462">
        <f>SUM(SUMIFS('Project data &amp; personnel '!$N$39:$N$60,'Project data &amp; personnel '!$P$39:$P$60,"Yes",'Project data &amp; personnel '!$I$39:$I$60,N$12),SUMIFS('Non-personnel costs'!$J$14:$J$151,'Non-personnel costs'!$M$14:$M$151,"Yes",'Non-personnel costs'!$E$14:$E$151,N$12))</f>
        <v>0</v>
      </c>
      <c r="O38" s="462">
        <f>SUM(SUMIFS('Project data &amp; personnel '!$N$39:$N$60,'Project data &amp; personnel '!$P$39:$P$60,"Yes",'Project data &amp; personnel '!$I$39:$I$60,O$12),SUMIFS('Non-personnel costs'!$J$14:$J$151,'Non-personnel costs'!$M$14:$M$151,"Yes",'Non-personnel costs'!$E$14:$E$151,O$12))</f>
        <v>0</v>
      </c>
      <c r="P38" s="462">
        <f>SUM(SUMIFS('Project data &amp; personnel '!$N$39:$N$60,'Project data &amp; personnel '!$P$39:$P$60,"Yes",'Project data &amp; personnel '!$I$39:$I$60,P$12),SUMIFS('Non-personnel costs'!$J$14:$J$151,'Non-personnel costs'!$M$14:$M$151,"Yes",'Non-personnel costs'!$E$14:$E$151,P$12))</f>
        <v>0</v>
      </c>
      <c r="Q38" s="462">
        <f>SUM(SUMIFS('Project data &amp; personnel '!$N$39:$N$60,'Project data &amp; personnel '!$P$39:$P$60,"Yes",'Project data &amp; personnel '!$I$39:$I$60,Q$12),SUMIFS('Non-personnel costs'!$J$14:$J$151,'Non-personnel costs'!$M$14:$M$151,"Yes",'Non-personnel costs'!$E$14:$E$151,Q$12))</f>
        <v>0</v>
      </c>
      <c r="R38" s="462">
        <f>SUM(SUMIFS('Project data &amp; personnel '!$N$39:$N$60,'Project data &amp; personnel '!$P$39:$P$60,"Yes",'Project data &amp; personnel '!$I$39:$I$60,R$12),SUMIFS('Non-personnel costs'!$J$14:$J$151,'Non-personnel costs'!$M$14:$M$151,"Yes",'Non-personnel costs'!$E$14:$E$151,R$12))</f>
        <v>0</v>
      </c>
      <c r="S38" s="462">
        <f>SUM(D38:R38)</f>
        <v>0</v>
      </c>
      <c r="T38" s="462">
        <f t="shared" si="3"/>
        <v>0</v>
      </c>
      <c r="U38" s="463">
        <f t="shared" si="4"/>
        <v>0</v>
      </c>
    </row>
    <row r="39" spans="1:21" s="1" customFormat="1" ht="13.8" thickBot="1" x14ac:dyDescent="0.3">
      <c r="A39" s="464" t="s">
        <v>200</v>
      </c>
      <c r="B39" s="465"/>
      <c r="C39" s="465">
        <f>C$32-C$35-C$38</f>
        <v>377.12929031765088</v>
      </c>
      <c r="D39" s="465">
        <f t="shared" ref="D39:R39" si="9">D$32-D$35-D$38</f>
        <v>0</v>
      </c>
      <c r="E39" s="465">
        <f t="shared" si="9"/>
        <v>0</v>
      </c>
      <c r="F39" s="465">
        <f t="shared" si="9"/>
        <v>0</v>
      </c>
      <c r="G39" s="465">
        <f t="shared" si="9"/>
        <v>0</v>
      </c>
      <c r="H39" s="465">
        <f t="shared" si="9"/>
        <v>0</v>
      </c>
      <c r="I39" s="465">
        <f t="shared" si="9"/>
        <v>0</v>
      </c>
      <c r="J39" s="465">
        <f t="shared" si="9"/>
        <v>0</v>
      </c>
      <c r="K39" s="465">
        <f t="shared" si="9"/>
        <v>0</v>
      </c>
      <c r="L39" s="465">
        <f t="shared" si="9"/>
        <v>0</v>
      </c>
      <c r="M39" s="465">
        <f t="shared" si="9"/>
        <v>0</v>
      </c>
      <c r="N39" s="465">
        <f t="shared" si="9"/>
        <v>0</v>
      </c>
      <c r="O39" s="465">
        <f t="shared" si="9"/>
        <v>0</v>
      </c>
      <c r="P39" s="465">
        <f t="shared" si="9"/>
        <v>0</v>
      </c>
      <c r="Q39" s="465">
        <f t="shared" si="9"/>
        <v>0</v>
      </c>
      <c r="R39" s="465">
        <f t="shared" si="9"/>
        <v>0</v>
      </c>
      <c r="S39" s="465">
        <f>SUM(D39:R39)</f>
        <v>0</v>
      </c>
      <c r="T39" s="465">
        <f t="shared" si="3"/>
        <v>377.12929031765088</v>
      </c>
      <c r="U39" s="466">
        <f t="shared" si="4"/>
        <v>377.12929031765088</v>
      </c>
    </row>
    <row r="40" spans="1:21" s="1" customFormat="1" ht="13.8" thickBot="1" x14ac:dyDescent="0.3">
      <c r="A40" s="490" t="s">
        <v>246</v>
      </c>
      <c r="B40" s="491"/>
      <c r="C40" s="491">
        <f>IF($C$32&gt;'Project data &amp; personnel '!$E$25,$C$32-'Project data &amp; personnel '!$E$25,0)</f>
        <v>377.12929031765088</v>
      </c>
      <c r="D40" s="491">
        <f t="shared" ref="D40:R40" si="10">D$32/$C$32*$C$40</f>
        <v>0</v>
      </c>
      <c r="E40" s="491">
        <f t="shared" si="10"/>
        <v>0</v>
      </c>
      <c r="F40" s="491">
        <f t="shared" si="10"/>
        <v>0</v>
      </c>
      <c r="G40" s="491">
        <f t="shared" si="10"/>
        <v>0</v>
      </c>
      <c r="H40" s="491">
        <f t="shared" si="10"/>
        <v>0</v>
      </c>
      <c r="I40" s="491">
        <f t="shared" si="10"/>
        <v>0</v>
      </c>
      <c r="J40" s="491">
        <f t="shared" si="10"/>
        <v>0</v>
      </c>
      <c r="K40" s="491">
        <f t="shared" si="10"/>
        <v>0</v>
      </c>
      <c r="L40" s="491">
        <f t="shared" si="10"/>
        <v>0</v>
      </c>
      <c r="M40" s="491">
        <f t="shared" si="10"/>
        <v>0</v>
      </c>
      <c r="N40" s="491">
        <f t="shared" si="10"/>
        <v>0</v>
      </c>
      <c r="O40" s="491">
        <f t="shared" si="10"/>
        <v>0</v>
      </c>
      <c r="P40" s="491">
        <f t="shared" si="10"/>
        <v>0</v>
      </c>
      <c r="Q40" s="491">
        <f t="shared" si="10"/>
        <v>0</v>
      </c>
      <c r="R40" s="491">
        <f t="shared" si="10"/>
        <v>0</v>
      </c>
      <c r="S40" s="491">
        <f t="array" ref="S40">SUM(($D$12:$R$12&lt;&gt;"")*$D40:$R40)</f>
        <v>0</v>
      </c>
      <c r="T40" s="491">
        <f t="shared" si="3"/>
        <v>377.12929031765088</v>
      </c>
      <c r="U40" s="492">
        <f>SUM(S40:T40)</f>
        <v>377.12929031765088</v>
      </c>
    </row>
    <row r="41" spans="1:21" s="2" customFormat="1" ht="13.2" x14ac:dyDescent="0.25">
      <c r="A41" s="20"/>
      <c r="B41" s="20"/>
      <c r="C41" s="20"/>
      <c r="D41" s="20"/>
      <c r="E41" s="20"/>
      <c r="F41"/>
      <c r="G41"/>
      <c r="H41"/>
      <c r="I41"/>
      <c r="J41"/>
      <c r="K41"/>
      <c r="L41"/>
      <c r="M41"/>
      <c r="N41"/>
      <c r="O41"/>
      <c r="P41"/>
      <c r="Q41"/>
      <c r="R41"/>
      <c r="S41"/>
      <c r="T41"/>
    </row>
    <row r="42" spans="1:21" s="12" customFormat="1" ht="15.6" x14ac:dyDescent="0.3">
      <c r="A42" s="28" t="s">
        <v>247</v>
      </c>
      <c r="B42" s="28"/>
      <c r="C42" s="529"/>
      <c r="D42" s="529"/>
      <c r="E42" s="529"/>
      <c r="F42"/>
      <c r="G42"/>
      <c r="H42"/>
      <c r="I42"/>
      <c r="J42"/>
      <c r="K42"/>
      <c r="L42"/>
      <c r="M42"/>
      <c r="N42"/>
      <c r="O42"/>
      <c r="P42"/>
      <c r="Q42"/>
      <c r="R42"/>
      <c r="S42"/>
      <c r="T42"/>
    </row>
    <row r="43" spans="1:21" s="1" customFormat="1" ht="13.2" x14ac:dyDescent="0.25">
      <c r="A43" s="155"/>
      <c r="B43" s="155"/>
      <c r="C43" s="155"/>
      <c r="D43" s="155"/>
      <c r="E43" s="155"/>
      <c r="G43" s="155"/>
    </row>
    <row r="44" spans="1:21" s="12" customFormat="1" ht="16.2" thickBot="1" x14ac:dyDescent="0.35">
      <c r="A44" s="28" t="s">
        <v>248</v>
      </c>
      <c r="B44" s="28"/>
      <c r="C44" s="28"/>
      <c r="D44" s="28"/>
      <c r="E44" s="28"/>
    </row>
    <row r="45" spans="1:21" s="1" customFormat="1" ht="13.2" x14ac:dyDescent="0.25">
      <c r="A45" s="145" t="s">
        <v>137</v>
      </c>
      <c r="B45" s="146"/>
      <c r="C45" s="164" t="s">
        <v>196</v>
      </c>
      <c r="D45" s="156" t="str">
        <f t="shared" ref="D45:R45" si="11">D$11</f>
        <v>IV</v>
      </c>
      <c r="E45" s="157">
        <f t="shared" si="11"/>
        <v>0</v>
      </c>
      <c r="F45" s="157">
        <f t="shared" si="11"/>
        <v>0</v>
      </c>
      <c r="G45" s="157">
        <f t="shared" si="11"/>
        <v>0</v>
      </c>
      <c r="H45" s="157">
        <f t="shared" si="11"/>
        <v>0</v>
      </c>
      <c r="I45" s="157">
        <f t="shared" si="11"/>
        <v>0</v>
      </c>
      <c r="J45" s="157">
        <f t="shared" si="11"/>
        <v>0</v>
      </c>
      <c r="K45" s="157">
        <f t="shared" si="11"/>
        <v>0</v>
      </c>
      <c r="L45" s="157">
        <f t="shared" si="11"/>
        <v>0</v>
      </c>
      <c r="M45" s="157">
        <f t="shared" si="11"/>
        <v>0</v>
      </c>
      <c r="N45" s="157">
        <f t="shared" si="11"/>
        <v>0</v>
      </c>
      <c r="O45" s="157">
        <f t="shared" si="11"/>
        <v>0</v>
      </c>
      <c r="P45" s="157">
        <f t="shared" si="11"/>
        <v>0</v>
      </c>
      <c r="Q45" s="157">
        <f t="shared" si="11"/>
        <v>0</v>
      </c>
      <c r="R45" s="158">
        <f t="shared" si="11"/>
        <v>0</v>
      </c>
      <c r="S45" s="611" t="s">
        <v>234</v>
      </c>
      <c r="T45" s="614" t="s">
        <v>235</v>
      </c>
      <c r="U45" s="617" t="s">
        <v>161</v>
      </c>
    </row>
    <row r="46" spans="1:21" ht="12.6" thickBot="1" x14ac:dyDescent="0.3">
      <c r="A46" s="29" t="s">
        <v>138</v>
      </c>
      <c r="B46" s="32"/>
      <c r="C46" s="165" t="str">
        <f>$C$12</f>
        <v>Project total</v>
      </c>
      <c r="D46" s="159" t="str">
        <f t="shared" ref="D46:R46" si="12">D$12</f>
        <v>EPT</v>
      </c>
      <c r="E46" s="160">
        <f t="shared" si="12"/>
        <v>0</v>
      </c>
      <c r="F46" s="160">
        <f t="shared" si="12"/>
        <v>0</v>
      </c>
      <c r="G46" s="160">
        <f t="shared" si="12"/>
        <v>0</v>
      </c>
      <c r="H46" s="160">
        <f t="shared" si="12"/>
        <v>0</v>
      </c>
      <c r="I46" s="160">
        <f t="shared" si="12"/>
        <v>0</v>
      </c>
      <c r="J46" s="160">
        <f t="shared" si="12"/>
        <v>0</v>
      </c>
      <c r="K46" s="160">
        <f t="shared" si="12"/>
        <v>0</v>
      </c>
      <c r="L46" s="160">
        <f t="shared" si="12"/>
        <v>0</v>
      </c>
      <c r="M46" s="160">
        <f t="shared" si="12"/>
        <v>0</v>
      </c>
      <c r="N46" s="160">
        <f t="shared" si="12"/>
        <v>0</v>
      </c>
      <c r="O46" s="160">
        <f t="shared" si="12"/>
        <v>0</v>
      </c>
      <c r="P46" s="160">
        <f t="shared" si="12"/>
        <v>0</v>
      </c>
      <c r="Q46" s="160">
        <f t="shared" si="12"/>
        <v>0</v>
      </c>
      <c r="R46" s="161">
        <f t="shared" si="12"/>
        <v>0</v>
      </c>
      <c r="S46" s="612"/>
      <c r="T46" s="615"/>
      <c r="U46" s="618"/>
    </row>
    <row r="47" spans="1:21" s="2" customFormat="1" ht="13.8" thickBot="1" x14ac:dyDescent="0.3">
      <c r="A47" s="24" t="s">
        <v>249</v>
      </c>
      <c r="B47" s="24"/>
      <c r="C47" s="166"/>
      <c r="D47" s="152"/>
      <c r="E47" s="153"/>
      <c r="F47" s="153"/>
      <c r="G47" s="153"/>
      <c r="H47" s="153"/>
      <c r="I47" s="153"/>
      <c r="J47" s="153"/>
      <c r="K47" s="153"/>
      <c r="L47" s="153"/>
      <c r="M47" s="153"/>
      <c r="N47" s="153"/>
      <c r="O47" s="153"/>
      <c r="P47" s="153"/>
      <c r="Q47" s="153"/>
      <c r="R47" s="154"/>
      <c r="S47" s="613"/>
      <c r="T47" s="616"/>
      <c r="U47" s="619"/>
    </row>
    <row r="48" spans="1:21" s="2" customFormat="1" ht="13.8" thickBot="1" x14ac:dyDescent="0.3">
      <c r="A48" s="22" t="s">
        <v>250</v>
      </c>
      <c r="B48" s="22"/>
      <c r="C48" s="168">
        <f t="shared" ref="C48:R48" si="13">C40</f>
        <v>377.12929031765088</v>
      </c>
      <c r="D48" s="23">
        <f t="shared" si="13"/>
        <v>0</v>
      </c>
      <c r="E48" s="148">
        <f t="shared" si="13"/>
        <v>0</v>
      </c>
      <c r="F48" s="148">
        <f t="shared" si="13"/>
        <v>0</v>
      </c>
      <c r="G48" s="148">
        <f t="shared" si="13"/>
        <v>0</v>
      </c>
      <c r="H48" s="148">
        <f t="shared" si="13"/>
        <v>0</v>
      </c>
      <c r="I48" s="148">
        <f t="shared" si="13"/>
        <v>0</v>
      </c>
      <c r="J48" s="148">
        <f t="shared" si="13"/>
        <v>0</v>
      </c>
      <c r="K48" s="148">
        <f t="shared" si="13"/>
        <v>0</v>
      </c>
      <c r="L48" s="148">
        <f t="shared" si="13"/>
        <v>0</v>
      </c>
      <c r="M48" s="148">
        <f t="shared" si="13"/>
        <v>0</v>
      </c>
      <c r="N48" s="148">
        <f t="shared" si="13"/>
        <v>0</v>
      </c>
      <c r="O48" s="148">
        <f t="shared" si="13"/>
        <v>0</v>
      </c>
      <c r="P48" s="148">
        <f t="shared" si="13"/>
        <v>0</v>
      </c>
      <c r="Q48" s="148">
        <f t="shared" si="13"/>
        <v>0</v>
      </c>
      <c r="R48" s="149">
        <f t="shared" si="13"/>
        <v>0</v>
      </c>
      <c r="S48" s="23">
        <f t="array" ref="S48">SUM(($D$12:$R$12&lt;&gt;"")*$D48:$R48)</f>
        <v>0</v>
      </c>
      <c r="T48" s="148">
        <f>C48-S48</f>
        <v>377.12929031765088</v>
      </c>
      <c r="U48" s="149">
        <f>SUM(S48:T48)</f>
        <v>377.12929031765088</v>
      </c>
    </row>
    <row r="49" spans="1:21" s="1" customFormat="1" ht="13.8" thickBot="1" x14ac:dyDescent="0.3">
      <c r="A49" s="30" t="s">
        <v>251</v>
      </c>
      <c r="B49" s="30"/>
      <c r="C49" s="170">
        <f t="shared" ref="C49:R49" si="14">SUM(C48:C48)</f>
        <v>377.12929031765088</v>
      </c>
      <c r="D49" s="18">
        <f t="shared" si="14"/>
        <v>0</v>
      </c>
      <c r="E49" s="151">
        <f t="shared" si="14"/>
        <v>0</v>
      </c>
      <c r="F49" s="151">
        <f t="shared" si="14"/>
        <v>0</v>
      </c>
      <c r="G49" s="151">
        <f t="shared" si="14"/>
        <v>0</v>
      </c>
      <c r="H49" s="151">
        <f t="shared" si="14"/>
        <v>0</v>
      </c>
      <c r="I49" s="151">
        <f t="shared" si="14"/>
        <v>0</v>
      </c>
      <c r="J49" s="151">
        <f t="shared" si="14"/>
        <v>0</v>
      </c>
      <c r="K49" s="151">
        <f t="shared" si="14"/>
        <v>0</v>
      </c>
      <c r="L49" s="151">
        <f t="shared" si="14"/>
        <v>0</v>
      </c>
      <c r="M49" s="151">
        <f t="shared" si="14"/>
        <v>0</v>
      </c>
      <c r="N49" s="151">
        <f t="shared" si="14"/>
        <v>0</v>
      </c>
      <c r="O49" s="151">
        <f t="shared" si="14"/>
        <v>0</v>
      </c>
      <c r="P49" s="151">
        <f t="shared" si="14"/>
        <v>0</v>
      </c>
      <c r="Q49" s="151">
        <f t="shared" si="14"/>
        <v>0</v>
      </c>
      <c r="R49" s="19">
        <f t="shared" si="14"/>
        <v>0</v>
      </c>
      <c r="S49" s="18">
        <f t="array" ref="S49">SUM(($D$12:$R$12&lt;&gt;"")*$D49:$R49)</f>
        <v>0</v>
      </c>
      <c r="T49" s="151">
        <f>C49-S49</f>
        <v>377.12929031765088</v>
      </c>
      <c r="U49" s="19">
        <f>SUM(S49:T49)</f>
        <v>377.12929031765088</v>
      </c>
    </row>
    <row r="50" spans="1:21" s="1" customFormat="1" ht="13.2" x14ac:dyDescent="0.25">
      <c r="A50" s="24" t="s">
        <v>252</v>
      </c>
      <c r="B50" s="24"/>
      <c r="C50" s="169"/>
      <c r="D50" s="26"/>
      <c r="E50" s="162"/>
      <c r="F50" s="162"/>
      <c r="G50" s="162"/>
      <c r="H50" s="162"/>
      <c r="I50" s="162"/>
      <c r="J50" s="162"/>
      <c r="K50" s="162"/>
      <c r="L50" s="162"/>
      <c r="M50" s="162"/>
      <c r="N50" s="162"/>
      <c r="O50" s="162"/>
      <c r="P50" s="162"/>
      <c r="Q50" s="162"/>
      <c r="R50" s="27"/>
      <c r="S50" s="26"/>
      <c r="T50" s="162"/>
      <c r="U50" s="27"/>
    </row>
    <row r="51" spans="1:21" s="2" customFormat="1" ht="13.2" x14ac:dyDescent="0.25">
      <c r="A51" s="21" t="s">
        <v>253</v>
      </c>
      <c r="B51" s="21"/>
      <c r="C51" s="167">
        <f>C19*'Project data &amp; personnel '!$E$31</f>
        <v>705497.88433543919</v>
      </c>
      <c r="D51" s="14">
        <f>D19*'Project data &amp; personnel '!$E$31</f>
        <v>0</v>
      </c>
      <c r="E51" s="147">
        <f>E19*'Project data &amp; personnel '!$E$31</f>
        <v>0</v>
      </c>
      <c r="F51" s="147">
        <f>F19*'Project data &amp; personnel '!$E$31</f>
        <v>0</v>
      </c>
      <c r="G51" s="147">
        <f>G19*'Project data &amp; personnel '!$E$31</f>
        <v>0</v>
      </c>
      <c r="H51" s="147">
        <f>H19*'Project data &amp; personnel '!$E$31</f>
        <v>0</v>
      </c>
      <c r="I51" s="147">
        <f>I19*'Project data &amp; personnel '!$E$31</f>
        <v>0</v>
      </c>
      <c r="J51" s="147">
        <f>J19*'Project data &amp; personnel '!$E$31</f>
        <v>0</v>
      </c>
      <c r="K51" s="147">
        <f>K19*'Project data &amp; personnel '!$E$31</f>
        <v>0</v>
      </c>
      <c r="L51" s="147">
        <f>L19*'Project data &amp; personnel '!$E$31</f>
        <v>0</v>
      </c>
      <c r="M51" s="147">
        <f>M19*'Project data &amp; personnel '!$E$31</f>
        <v>0</v>
      </c>
      <c r="N51" s="147">
        <f>N19*'Project data &amp; personnel '!$E$31</f>
        <v>0</v>
      </c>
      <c r="O51" s="147">
        <f>O19*'Project data &amp; personnel '!$E$31</f>
        <v>0</v>
      </c>
      <c r="P51" s="147">
        <f>P19*'Project data &amp; personnel '!$E$31</f>
        <v>0</v>
      </c>
      <c r="Q51" s="147">
        <f>Q19*'Project data &amp; personnel '!$E$31</f>
        <v>0</v>
      </c>
      <c r="R51" s="15">
        <f>R19*'Project data &amp; personnel '!$E$31</f>
        <v>0</v>
      </c>
      <c r="S51" s="14">
        <f t="array" ref="S51">SUM(($D$12:$R$12&lt;&gt;"")*$D51:$R51)</f>
        <v>0</v>
      </c>
      <c r="T51" s="147">
        <f>C51-S51</f>
        <v>705497.88433543919</v>
      </c>
      <c r="U51" s="15">
        <f>SUM(S51:T51)</f>
        <v>705497.88433543919</v>
      </c>
    </row>
    <row r="52" spans="1:21" s="2" customFormat="1" ht="13.8" thickBot="1" x14ac:dyDescent="0.3">
      <c r="A52" s="21" t="s">
        <v>254</v>
      </c>
      <c r="B52" s="21"/>
      <c r="C52" s="167">
        <f t="shared" ref="C52:R52" si="15">C29</f>
        <v>295075.42585806351</v>
      </c>
      <c r="D52" s="14">
        <f t="shared" si="15"/>
        <v>0</v>
      </c>
      <c r="E52" s="147">
        <f t="shared" si="15"/>
        <v>0</v>
      </c>
      <c r="F52" s="147">
        <f t="shared" si="15"/>
        <v>0</v>
      </c>
      <c r="G52" s="147">
        <f t="shared" si="15"/>
        <v>0</v>
      </c>
      <c r="H52" s="147">
        <f t="shared" si="15"/>
        <v>0</v>
      </c>
      <c r="I52" s="147">
        <f t="shared" si="15"/>
        <v>0</v>
      </c>
      <c r="J52" s="147">
        <f t="shared" si="15"/>
        <v>0</v>
      </c>
      <c r="K52" s="147">
        <f t="shared" si="15"/>
        <v>0</v>
      </c>
      <c r="L52" s="147">
        <f t="shared" si="15"/>
        <v>0</v>
      </c>
      <c r="M52" s="147">
        <f t="shared" si="15"/>
        <v>0</v>
      </c>
      <c r="N52" s="147">
        <f t="shared" si="15"/>
        <v>0</v>
      </c>
      <c r="O52" s="147">
        <f t="shared" si="15"/>
        <v>0</v>
      </c>
      <c r="P52" s="147">
        <f t="shared" si="15"/>
        <v>0</v>
      </c>
      <c r="Q52" s="147">
        <f t="shared" si="15"/>
        <v>0</v>
      </c>
      <c r="R52" s="15">
        <f t="shared" si="15"/>
        <v>0</v>
      </c>
      <c r="S52" s="14">
        <f t="array" ref="S52">SUM(($D$12:$R$12&lt;&gt;"")*$D52:$R52)</f>
        <v>0</v>
      </c>
      <c r="T52" s="147">
        <f>C52-S52</f>
        <v>295075.42585806351</v>
      </c>
      <c r="U52" s="15">
        <f>SUM(S52:T52)</f>
        <v>295075.42585806351</v>
      </c>
    </row>
    <row r="53" spans="1:21" s="2" customFormat="1" ht="13.2" x14ac:dyDescent="0.25">
      <c r="A53" s="24" t="s">
        <v>255</v>
      </c>
      <c r="B53" s="24"/>
      <c r="C53" s="169"/>
      <c r="D53" s="26"/>
      <c r="E53" s="162"/>
      <c r="F53" s="162"/>
      <c r="G53" s="162"/>
      <c r="H53" s="162"/>
      <c r="I53" s="162"/>
      <c r="J53" s="162"/>
      <c r="K53" s="162"/>
      <c r="L53" s="162"/>
      <c r="M53" s="162"/>
      <c r="N53" s="162"/>
      <c r="O53" s="162"/>
      <c r="P53" s="162"/>
      <c r="Q53" s="162"/>
      <c r="R53" s="27"/>
      <c r="S53" s="26"/>
      <c r="T53" s="162"/>
      <c r="U53" s="27"/>
    </row>
    <row r="54" spans="1:21" s="2" customFormat="1" ht="13.2" x14ac:dyDescent="0.25">
      <c r="A54" s="21" t="s">
        <v>256</v>
      </c>
      <c r="B54" s="21"/>
      <c r="C54" s="167">
        <f t="shared" ref="C54:R54" si="16">IF(C51&gt;C52,C51-C52,0)</f>
        <v>410422.45847737568</v>
      </c>
      <c r="D54" s="14">
        <f t="shared" si="16"/>
        <v>0</v>
      </c>
      <c r="E54" s="147">
        <f t="shared" si="16"/>
        <v>0</v>
      </c>
      <c r="F54" s="147">
        <f t="shared" si="16"/>
        <v>0</v>
      </c>
      <c r="G54" s="147">
        <f t="shared" si="16"/>
        <v>0</v>
      </c>
      <c r="H54" s="147">
        <f t="shared" si="16"/>
        <v>0</v>
      </c>
      <c r="I54" s="147">
        <f t="shared" si="16"/>
        <v>0</v>
      </c>
      <c r="J54" s="147">
        <f t="shared" si="16"/>
        <v>0</v>
      </c>
      <c r="K54" s="147">
        <f t="shared" si="16"/>
        <v>0</v>
      </c>
      <c r="L54" s="147">
        <f t="shared" si="16"/>
        <v>0</v>
      </c>
      <c r="M54" s="147">
        <f t="shared" si="16"/>
        <v>0</v>
      </c>
      <c r="N54" s="147">
        <f t="shared" si="16"/>
        <v>0</v>
      </c>
      <c r="O54" s="147">
        <f t="shared" si="16"/>
        <v>0</v>
      </c>
      <c r="P54" s="147">
        <f t="shared" si="16"/>
        <v>0</v>
      </c>
      <c r="Q54" s="147">
        <f t="shared" si="16"/>
        <v>0</v>
      </c>
      <c r="R54" s="15">
        <f t="shared" si="16"/>
        <v>0</v>
      </c>
      <c r="S54" s="14">
        <f t="array" ref="S54">SUM(($D$12:$R$12&lt;&gt;"")*$D54:$R54)</f>
        <v>0</v>
      </c>
      <c r="T54" s="147">
        <f>C54-S54</f>
        <v>410422.45847737568</v>
      </c>
      <c r="U54" s="15">
        <f>SUM(S54:T54)</f>
        <v>410422.45847737568</v>
      </c>
    </row>
    <row r="55" spans="1:21" s="2" customFormat="1" ht="13.8" thickBot="1" x14ac:dyDescent="0.3">
      <c r="A55" s="25" t="s">
        <v>257</v>
      </c>
      <c r="B55" s="25"/>
      <c r="C55" s="171">
        <f t="shared" ref="C55:R55" si="17">IF(C52&gt;C51,C52-C51,0)</f>
        <v>0</v>
      </c>
      <c r="D55" s="16">
        <f t="shared" si="17"/>
        <v>0</v>
      </c>
      <c r="E55" s="163">
        <f t="shared" si="17"/>
        <v>0</v>
      </c>
      <c r="F55" s="163">
        <f t="shared" si="17"/>
        <v>0</v>
      </c>
      <c r="G55" s="163">
        <f t="shared" si="17"/>
        <v>0</v>
      </c>
      <c r="H55" s="163">
        <f t="shared" si="17"/>
        <v>0</v>
      </c>
      <c r="I55" s="163">
        <f t="shared" si="17"/>
        <v>0</v>
      </c>
      <c r="J55" s="163">
        <f t="shared" si="17"/>
        <v>0</v>
      </c>
      <c r="K55" s="163">
        <f t="shared" si="17"/>
        <v>0</v>
      </c>
      <c r="L55" s="163">
        <f t="shared" si="17"/>
        <v>0</v>
      </c>
      <c r="M55" s="163">
        <f t="shared" si="17"/>
        <v>0</v>
      </c>
      <c r="N55" s="163">
        <f t="shared" si="17"/>
        <v>0</v>
      </c>
      <c r="O55" s="163">
        <f t="shared" si="17"/>
        <v>0</v>
      </c>
      <c r="P55" s="163">
        <f t="shared" si="17"/>
        <v>0</v>
      </c>
      <c r="Q55" s="163">
        <f t="shared" si="17"/>
        <v>0</v>
      </c>
      <c r="R55" s="17">
        <f t="shared" si="17"/>
        <v>0</v>
      </c>
      <c r="S55" s="16">
        <f t="array" ref="S55">SUM(($D$12:$R$12&lt;&gt;"")*$D55:$R55)</f>
        <v>0</v>
      </c>
      <c r="T55" s="163">
        <f>C55-S55</f>
        <v>0</v>
      </c>
      <c r="U55" s="17">
        <f>SUM(S55:T55)</f>
        <v>0</v>
      </c>
    </row>
    <row r="56" spans="1:21" ht="13.2" x14ac:dyDescent="0.25">
      <c r="F56"/>
      <c r="G56"/>
      <c r="H56"/>
      <c r="I56"/>
      <c r="J56"/>
      <c r="K56"/>
      <c r="L56"/>
      <c r="M56"/>
      <c r="N56"/>
      <c r="O56"/>
      <c r="P56"/>
      <c r="Q56"/>
      <c r="R56"/>
      <c r="S56"/>
      <c r="T56"/>
    </row>
    <row r="57" spans="1:21" s="1" customFormat="1" ht="13.2" x14ac:dyDescent="0.25">
      <c r="A57" s="155"/>
      <c r="B57" s="155"/>
      <c r="C57" s="155"/>
      <c r="D57" s="155"/>
      <c r="E57" s="155"/>
    </row>
    <row r="58" spans="1:21" s="12" customFormat="1" ht="16.2" thickBot="1" x14ac:dyDescent="0.35">
      <c r="A58" s="12" t="s">
        <v>258</v>
      </c>
    </row>
    <row r="59" spans="1:21" s="1" customFormat="1" ht="13.2" x14ac:dyDescent="0.25">
      <c r="A59" s="145" t="s">
        <v>137</v>
      </c>
      <c r="B59" s="146"/>
      <c r="C59" s="164" t="s">
        <v>196</v>
      </c>
      <c r="D59" s="156" t="str">
        <f t="shared" ref="D59:R59" si="18">D$11</f>
        <v>IV</v>
      </c>
      <c r="E59" s="157">
        <f t="shared" si="18"/>
        <v>0</v>
      </c>
      <c r="F59" s="157">
        <f t="shared" si="18"/>
        <v>0</v>
      </c>
      <c r="G59" s="157">
        <f t="shared" si="18"/>
        <v>0</v>
      </c>
      <c r="H59" s="157">
        <f t="shared" si="18"/>
        <v>0</v>
      </c>
      <c r="I59" s="157">
        <f t="shared" si="18"/>
        <v>0</v>
      </c>
      <c r="J59" s="157">
        <f t="shared" si="18"/>
        <v>0</v>
      </c>
      <c r="K59" s="157">
        <f t="shared" si="18"/>
        <v>0</v>
      </c>
      <c r="L59" s="157">
        <f t="shared" si="18"/>
        <v>0</v>
      </c>
      <c r="M59" s="157">
        <f t="shared" si="18"/>
        <v>0</v>
      </c>
      <c r="N59" s="157">
        <f t="shared" si="18"/>
        <v>0</v>
      </c>
      <c r="O59" s="157">
        <f t="shared" si="18"/>
        <v>0</v>
      </c>
      <c r="P59" s="157">
        <f t="shared" si="18"/>
        <v>0</v>
      </c>
      <c r="Q59" s="157">
        <f t="shared" si="18"/>
        <v>0</v>
      </c>
      <c r="R59" s="158">
        <f t="shared" si="18"/>
        <v>0</v>
      </c>
      <c r="S59" s="611" t="s">
        <v>234</v>
      </c>
      <c r="T59" s="614" t="s">
        <v>235</v>
      </c>
      <c r="U59" s="617" t="s">
        <v>161</v>
      </c>
    </row>
    <row r="60" spans="1:21" ht="12.75" customHeight="1" thickBot="1" x14ac:dyDescent="0.3">
      <c r="A60" s="29" t="s">
        <v>138</v>
      </c>
      <c r="B60" s="32"/>
      <c r="C60" s="165" t="str">
        <f>$C$12</f>
        <v>Project total</v>
      </c>
      <c r="D60" s="159" t="str">
        <f t="shared" ref="D60:R60" si="19">D$12</f>
        <v>EPT</v>
      </c>
      <c r="E60" s="160">
        <f t="shared" si="19"/>
        <v>0</v>
      </c>
      <c r="F60" s="160">
        <f t="shared" si="19"/>
        <v>0</v>
      </c>
      <c r="G60" s="160">
        <f t="shared" si="19"/>
        <v>0</v>
      </c>
      <c r="H60" s="160">
        <f t="shared" si="19"/>
        <v>0</v>
      </c>
      <c r="I60" s="160">
        <f t="shared" si="19"/>
        <v>0</v>
      </c>
      <c r="J60" s="160">
        <f t="shared" si="19"/>
        <v>0</v>
      </c>
      <c r="K60" s="160">
        <f t="shared" si="19"/>
        <v>0</v>
      </c>
      <c r="L60" s="160">
        <f t="shared" si="19"/>
        <v>0</v>
      </c>
      <c r="M60" s="160">
        <f t="shared" si="19"/>
        <v>0</v>
      </c>
      <c r="N60" s="160">
        <f t="shared" si="19"/>
        <v>0</v>
      </c>
      <c r="O60" s="160">
        <f t="shared" si="19"/>
        <v>0</v>
      </c>
      <c r="P60" s="160">
        <f t="shared" si="19"/>
        <v>0</v>
      </c>
      <c r="Q60" s="160">
        <f t="shared" si="19"/>
        <v>0</v>
      </c>
      <c r="R60" s="161">
        <f t="shared" si="19"/>
        <v>0</v>
      </c>
      <c r="S60" s="612"/>
      <c r="T60" s="615"/>
      <c r="U60" s="618"/>
    </row>
    <row r="61" spans="1:21" s="2" customFormat="1" ht="13.8" thickBot="1" x14ac:dyDescent="0.3">
      <c r="A61" s="24" t="s">
        <v>249</v>
      </c>
      <c r="B61" s="24"/>
      <c r="C61" s="172"/>
      <c r="D61" s="152"/>
      <c r="E61" s="153"/>
      <c r="F61" s="153"/>
      <c r="G61" s="153"/>
      <c r="H61" s="153"/>
      <c r="I61" s="153"/>
      <c r="J61" s="153"/>
      <c r="K61" s="153"/>
      <c r="L61" s="153"/>
      <c r="M61" s="153"/>
      <c r="N61" s="153"/>
      <c r="O61" s="153"/>
      <c r="P61" s="153"/>
      <c r="Q61" s="153"/>
      <c r="R61" s="154"/>
      <c r="S61" s="613"/>
      <c r="T61" s="616"/>
      <c r="U61" s="619"/>
    </row>
    <row r="62" spans="1:21" s="2" customFormat="1" ht="13.8" thickBot="1" x14ac:dyDescent="0.3">
      <c r="A62" s="22" t="s">
        <v>250</v>
      </c>
      <c r="B62" s="22"/>
      <c r="C62" s="167">
        <f>C48*'Project data &amp; personnel '!$E$28</f>
        <v>3582.7282580176834</v>
      </c>
      <c r="D62" s="23">
        <f>D48*'Project data &amp; personnel '!$E$28</f>
        <v>0</v>
      </c>
      <c r="E62" s="148">
        <f>E48*'Project data &amp; personnel '!$E$28</f>
        <v>0</v>
      </c>
      <c r="F62" s="148">
        <f>F48*'Project data &amp; personnel '!$E$28</f>
        <v>0</v>
      </c>
      <c r="G62" s="148">
        <f>G48*'Project data &amp; personnel '!$E$28</f>
        <v>0</v>
      </c>
      <c r="H62" s="148">
        <f>H48*'Project data &amp; personnel '!$E$28</f>
        <v>0</v>
      </c>
      <c r="I62" s="148">
        <f>I48*'Project data &amp; personnel '!$E$28</f>
        <v>0</v>
      </c>
      <c r="J62" s="148">
        <f>J48*'Project data &amp; personnel '!$E$28</f>
        <v>0</v>
      </c>
      <c r="K62" s="148">
        <f>K48*'Project data &amp; personnel '!$E$28</f>
        <v>0</v>
      </c>
      <c r="L62" s="148">
        <f>L48*'Project data &amp; personnel '!$E$28</f>
        <v>0</v>
      </c>
      <c r="M62" s="148">
        <f>M48*'Project data &amp; personnel '!$E$28</f>
        <v>0</v>
      </c>
      <c r="N62" s="148">
        <f>N48*'Project data &amp; personnel '!$E$28</f>
        <v>0</v>
      </c>
      <c r="O62" s="148">
        <f>O48*'Project data &amp; personnel '!$E$28</f>
        <v>0</v>
      </c>
      <c r="P62" s="148">
        <f>P48*'Project data &amp; personnel '!$E$28</f>
        <v>0</v>
      </c>
      <c r="Q62" s="148">
        <f>Q48*'Project data &amp; personnel '!$E$28</f>
        <v>0</v>
      </c>
      <c r="R62" s="149">
        <f>R48*'Project data &amp; personnel '!$E$28</f>
        <v>0</v>
      </c>
      <c r="S62" s="23">
        <f t="array" ref="S62">SUM(($D$12:$R$12&lt;&gt;"")*$D62:$R62)</f>
        <v>0</v>
      </c>
      <c r="T62" s="148">
        <f t="shared" ref="T62:T66" si="20">C62-S62</f>
        <v>3582.7282580176834</v>
      </c>
      <c r="U62" s="149">
        <f t="shared" ref="U62:U66" si="21">SUM(S62:T62)</f>
        <v>3582.7282580176834</v>
      </c>
    </row>
    <row r="63" spans="1:21" s="1" customFormat="1" ht="13.8" thickBot="1" x14ac:dyDescent="0.3">
      <c r="A63" s="30" t="s">
        <v>251</v>
      </c>
      <c r="B63" s="30"/>
      <c r="C63" s="170">
        <f>C49*'Project data &amp; personnel '!$E$28</f>
        <v>3582.7282580176834</v>
      </c>
      <c r="D63" s="18">
        <f>D49*'Project data &amp; personnel '!$E$28</f>
        <v>0</v>
      </c>
      <c r="E63" s="151">
        <f>E49*'Project data &amp; personnel '!$E$28</f>
        <v>0</v>
      </c>
      <c r="F63" s="151">
        <f>F49*'Project data &amp; personnel '!$E$28</f>
        <v>0</v>
      </c>
      <c r="G63" s="151">
        <f>G49*'Project data &amp; personnel '!$E$28</f>
        <v>0</v>
      </c>
      <c r="H63" s="151">
        <f>H49*'Project data &amp; personnel '!$E$28</f>
        <v>0</v>
      </c>
      <c r="I63" s="151">
        <f>I49*'Project data &amp; personnel '!$E$28</f>
        <v>0</v>
      </c>
      <c r="J63" s="151">
        <f>J49*'Project data &amp; personnel '!$E$28</f>
        <v>0</v>
      </c>
      <c r="K63" s="151">
        <f>K49*'Project data &amp; personnel '!$E$28</f>
        <v>0</v>
      </c>
      <c r="L63" s="151">
        <f>L49*'Project data &amp; personnel '!$E$28</f>
        <v>0</v>
      </c>
      <c r="M63" s="151">
        <f>M49*'Project data &amp; personnel '!$E$28</f>
        <v>0</v>
      </c>
      <c r="N63" s="151">
        <f>N49*'Project data &amp; personnel '!$E$28</f>
        <v>0</v>
      </c>
      <c r="O63" s="151">
        <f>O49*'Project data &amp; personnel '!$E$28</f>
        <v>0</v>
      </c>
      <c r="P63" s="151">
        <f>P49*'Project data &amp; personnel '!$E$28</f>
        <v>0</v>
      </c>
      <c r="Q63" s="151">
        <f>Q49*'Project data &amp; personnel '!$E$28</f>
        <v>0</v>
      </c>
      <c r="R63" s="19">
        <f>R49*'Project data &amp; personnel '!$E$28</f>
        <v>0</v>
      </c>
      <c r="S63" s="18">
        <f t="array" ref="S63">SUM(($D$12:$R$12&lt;&gt;"")*$D63:$R63)</f>
        <v>0</v>
      </c>
      <c r="T63" s="151">
        <f t="shared" si="20"/>
        <v>3582.7282580176834</v>
      </c>
      <c r="U63" s="19">
        <f t="shared" si="21"/>
        <v>3582.7282580176834</v>
      </c>
    </row>
    <row r="64" spans="1:21" s="1" customFormat="1" ht="13.2" x14ac:dyDescent="0.25">
      <c r="A64" s="24" t="s">
        <v>252</v>
      </c>
      <c r="B64" s="24"/>
      <c r="C64" s="169"/>
      <c r="D64" s="26"/>
      <c r="E64" s="162"/>
      <c r="F64" s="162"/>
      <c r="G64" s="162"/>
      <c r="H64" s="162"/>
      <c r="I64" s="162"/>
      <c r="J64" s="162"/>
      <c r="K64" s="162"/>
      <c r="L64" s="162"/>
      <c r="M64" s="162"/>
      <c r="N64" s="162"/>
      <c r="O64" s="162"/>
      <c r="P64" s="162"/>
      <c r="Q64" s="162"/>
      <c r="R64" s="27"/>
      <c r="S64" s="26">
        <f t="array" ref="S64">SUM(($D$12:$R$12&lt;&gt;"")*$D64:$R64)</f>
        <v>0</v>
      </c>
      <c r="T64" s="162">
        <f t="shared" si="20"/>
        <v>0</v>
      </c>
      <c r="U64" s="27">
        <f t="shared" si="21"/>
        <v>0</v>
      </c>
    </row>
    <row r="65" spans="1:21" s="2" customFormat="1" ht="13.2" x14ac:dyDescent="0.25">
      <c r="A65" s="21" t="s">
        <v>253</v>
      </c>
      <c r="B65" s="21"/>
      <c r="C65" s="167">
        <f>C51*'Project data &amp; personnel '!$E$28</f>
        <v>6702229.901186672</v>
      </c>
      <c r="D65" s="14">
        <f>D51*'Project data &amp; personnel '!$E$28</f>
        <v>0</v>
      </c>
      <c r="E65" s="147">
        <f>E51*'Project data &amp; personnel '!$E$28</f>
        <v>0</v>
      </c>
      <c r="F65" s="147">
        <f>F51*'Project data &amp; personnel '!$E$28</f>
        <v>0</v>
      </c>
      <c r="G65" s="147">
        <f>G51*'Project data &amp; personnel '!$E$28</f>
        <v>0</v>
      </c>
      <c r="H65" s="147">
        <f>H51*'Project data &amp; personnel '!$E$28</f>
        <v>0</v>
      </c>
      <c r="I65" s="147">
        <f>I51*'Project data &amp; personnel '!$E$28</f>
        <v>0</v>
      </c>
      <c r="J65" s="147">
        <f>J51*'Project data &amp; personnel '!$E$28</f>
        <v>0</v>
      </c>
      <c r="K65" s="147">
        <f>K51*'Project data &amp; personnel '!$E$28</f>
        <v>0</v>
      </c>
      <c r="L65" s="147">
        <f>L51*'Project data &amp; personnel '!$E$28</f>
        <v>0</v>
      </c>
      <c r="M65" s="147">
        <f>M51*'Project data &amp; personnel '!$E$28</f>
        <v>0</v>
      </c>
      <c r="N65" s="147">
        <f>N51*'Project data &amp; personnel '!$E$28</f>
        <v>0</v>
      </c>
      <c r="O65" s="147">
        <f>O51*'Project data &amp; personnel '!$E$28</f>
        <v>0</v>
      </c>
      <c r="P65" s="147">
        <f>P51*'Project data &amp; personnel '!$E$28</f>
        <v>0</v>
      </c>
      <c r="Q65" s="147">
        <f>Q51*'Project data &amp; personnel '!$E$28</f>
        <v>0</v>
      </c>
      <c r="R65" s="15">
        <f>R51*'Project data &amp; personnel '!$E$28</f>
        <v>0</v>
      </c>
      <c r="S65" s="14">
        <f t="array" ref="S65">SUM(($D$12:$R$12&lt;&gt;"")*$D65:$R65)</f>
        <v>0</v>
      </c>
      <c r="T65" s="147">
        <f t="shared" si="20"/>
        <v>6702229.901186672</v>
      </c>
      <c r="U65" s="15">
        <f t="shared" si="21"/>
        <v>6702229.901186672</v>
      </c>
    </row>
    <row r="66" spans="1:21" s="2" customFormat="1" ht="13.8" thickBot="1" x14ac:dyDescent="0.3">
      <c r="A66" s="21" t="s">
        <v>254</v>
      </c>
      <c r="B66" s="21"/>
      <c r="C66" s="167">
        <f>C52*'Project data &amp; personnel '!$E$28</f>
        <v>2803216.5456516035</v>
      </c>
      <c r="D66" s="14">
        <f>D52*'Project data &amp; personnel '!$E$28</f>
        <v>0</v>
      </c>
      <c r="E66" s="147">
        <f>E52*'Project data &amp; personnel '!$E$28</f>
        <v>0</v>
      </c>
      <c r="F66" s="147">
        <f>F52*'Project data &amp; personnel '!$E$28</f>
        <v>0</v>
      </c>
      <c r="G66" s="147">
        <f>G52*'Project data &amp; personnel '!$E$28</f>
        <v>0</v>
      </c>
      <c r="H66" s="147">
        <f>H52*'Project data &amp; personnel '!$E$28</f>
        <v>0</v>
      </c>
      <c r="I66" s="147">
        <f>I52*'Project data &amp; personnel '!$E$28</f>
        <v>0</v>
      </c>
      <c r="J66" s="147">
        <f>J52*'Project data &amp; personnel '!$E$28</f>
        <v>0</v>
      </c>
      <c r="K66" s="147">
        <f>K52*'Project data &amp; personnel '!$E$28</f>
        <v>0</v>
      </c>
      <c r="L66" s="147">
        <f>L52*'Project data &amp; personnel '!$E$28</f>
        <v>0</v>
      </c>
      <c r="M66" s="147">
        <f>M52*'Project data &amp; personnel '!$E$28</f>
        <v>0</v>
      </c>
      <c r="N66" s="147">
        <f>N52*'Project data &amp; personnel '!$E$28</f>
        <v>0</v>
      </c>
      <c r="O66" s="147">
        <f>O52*'Project data &amp; personnel '!$E$28</f>
        <v>0</v>
      </c>
      <c r="P66" s="147">
        <f>P52*'Project data &amp; personnel '!$E$28</f>
        <v>0</v>
      </c>
      <c r="Q66" s="147">
        <f>Q52*'Project data &amp; personnel '!$E$28</f>
        <v>0</v>
      </c>
      <c r="R66" s="15">
        <f>R52*'Project data &amp; personnel '!$E$28</f>
        <v>0</v>
      </c>
      <c r="S66" s="14">
        <f t="array" ref="S66">SUM(($D$12:$R$12&lt;&gt;"")*$D66:$R66)</f>
        <v>0</v>
      </c>
      <c r="T66" s="147">
        <f t="shared" si="20"/>
        <v>2803216.5456516035</v>
      </c>
      <c r="U66" s="15">
        <f t="shared" si="21"/>
        <v>2803216.5456516035</v>
      </c>
    </row>
    <row r="67" spans="1:21" s="2" customFormat="1" ht="13.2" x14ac:dyDescent="0.25">
      <c r="A67" s="24" t="s">
        <v>255</v>
      </c>
      <c r="B67" s="24"/>
      <c r="C67" s="169"/>
      <c r="D67" s="26"/>
      <c r="E67" s="162"/>
      <c r="F67" s="162"/>
      <c r="G67" s="162"/>
      <c r="H67" s="162"/>
      <c r="I67" s="162"/>
      <c r="J67" s="162"/>
      <c r="K67" s="162"/>
      <c r="L67" s="162"/>
      <c r="M67" s="162"/>
      <c r="N67" s="162"/>
      <c r="O67" s="162"/>
      <c r="P67" s="162"/>
      <c r="Q67" s="162"/>
      <c r="R67" s="27"/>
      <c r="S67" s="26"/>
      <c r="T67" s="162"/>
      <c r="U67" s="27"/>
    </row>
    <row r="68" spans="1:21" s="2" customFormat="1" ht="13.2" x14ac:dyDescent="0.25">
      <c r="A68" s="21" t="s">
        <v>256</v>
      </c>
      <c r="B68" s="21"/>
      <c r="C68" s="167">
        <f t="shared" ref="C68:R68" si="22">IF(C65&gt;C66,C65-C66,0)</f>
        <v>3899013.3555350685</v>
      </c>
      <c r="D68" s="14">
        <f t="shared" si="22"/>
        <v>0</v>
      </c>
      <c r="E68" s="147">
        <f t="shared" si="22"/>
        <v>0</v>
      </c>
      <c r="F68" s="147">
        <f t="shared" si="22"/>
        <v>0</v>
      </c>
      <c r="G68" s="147">
        <f t="shared" si="22"/>
        <v>0</v>
      </c>
      <c r="H68" s="147">
        <f t="shared" si="22"/>
        <v>0</v>
      </c>
      <c r="I68" s="147">
        <f t="shared" si="22"/>
        <v>0</v>
      </c>
      <c r="J68" s="147">
        <f t="shared" si="22"/>
        <v>0</v>
      </c>
      <c r="K68" s="147">
        <f t="shared" si="22"/>
        <v>0</v>
      </c>
      <c r="L68" s="147">
        <f t="shared" si="22"/>
        <v>0</v>
      </c>
      <c r="M68" s="147">
        <f t="shared" si="22"/>
        <v>0</v>
      </c>
      <c r="N68" s="147">
        <f t="shared" si="22"/>
        <v>0</v>
      </c>
      <c r="O68" s="147">
        <f t="shared" si="22"/>
        <v>0</v>
      </c>
      <c r="P68" s="147">
        <f t="shared" si="22"/>
        <v>0</v>
      </c>
      <c r="Q68" s="147">
        <f t="shared" si="22"/>
        <v>0</v>
      </c>
      <c r="R68" s="15">
        <f t="shared" si="22"/>
        <v>0</v>
      </c>
      <c r="S68" s="14">
        <f t="array" ref="S68">SUM(($D$12:$R$12&lt;&gt;"")*$D68:$R68)</f>
        <v>0</v>
      </c>
      <c r="T68" s="147">
        <f>C68-S68</f>
        <v>3899013.3555350685</v>
      </c>
      <c r="U68" s="15">
        <f>SUM(S68:T68)</f>
        <v>3899013.3555350685</v>
      </c>
    </row>
    <row r="69" spans="1:21" s="2" customFormat="1" ht="13.8" thickBot="1" x14ac:dyDescent="0.3">
      <c r="A69" s="25" t="s">
        <v>257</v>
      </c>
      <c r="B69" s="25"/>
      <c r="C69" s="171">
        <f t="shared" ref="C69:R69" si="23">IF(C66&gt;C65,C66-C65,0)</f>
        <v>0</v>
      </c>
      <c r="D69" s="16">
        <f t="shared" si="23"/>
        <v>0</v>
      </c>
      <c r="E69" s="163">
        <f t="shared" si="23"/>
        <v>0</v>
      </c>
      <c r="F69" s="163">
        <f t="shared" si="23"/>
        <v>0</v>
      </c>
      <c r="G69" s="163">
        <f t="shared" si="23"/>
        <v>0</v>
      </c>
      <c r="H69" s="163">
        <f t="shared" si="23"/>
        <v>0</v>
      </c>
      <c r="I69" s="163">
        <f t="shared" si="23"/>
        <v>0</v>
      </c>
      <c r="J69" s="163">
        <f t="shared" si="23"/>
        <v>0</v>
      </c>
      <c r="K69" s="163">
        <f t="shared" si="23"/>
        <v>0</v>
      </c>
      <c r="L69" s="163">
        <f t="shared" si="23"/>
        <v>0</v>
      </c>
      <c r="M69" s="163">
        <f t="shared" si="23"/>
        <v>0</v>
      </c>
      <c r="N69" s="163">
        <f t="shared" si="23"/>
        <v>0</v>
      </c>
      <c r="O69" s="163">
        <f t="shared" si="23"/>
        <v>0</v>
      </c>
      <c r="P69" s="163">
        <f t="shared" si="23"/>
        <v>0</v>
      </c>
      <c r="Q69" s="163">
        <f t="shared" si="23"/>
        <v>0</v>
      </c>
      <c r="R69" s="17">
        <f t="shared" si="23"/>
        <v>0</v>
      </c>
      <c r="S69" s="16">
        <f t="array" ref="S69">SUM(($D$12:$R$12&lt;&gt;"")*$D69:$R69)</f>
        <v>0</v>
      </c>
      <c r="T69" s="163">
        <f>C69-S69</f>
        <v>0</v>
      </c>
      <c r="U69" s="17">
        <f>SUM(S69:T69)</f>
        <v>0</v>
      </c>
    </row>
    <row r="70" spans="1:21" ht="13.2" x14ac:dyDescent="0.25">
      <c r="F70"/>
      <c r="G70"/>
      <c r="H70"/>
      <c r="I70"/>
      <c r="J70"/>
      <c r="K70"/>
      <c r="L70"/>
      <c r="M70"/>
      <c r="N70"/>
      <c r="O70"/>
      <c r="P70"/>
      <c r="Q70"/>
      <c r="R70"/>
      <c r="S70"/>
      <c r="T70"/>
    </row>
    <row r="71" spans="1:21" s="13" customFormat="1" ht="11.4" x14ac:dyDescent="0.2"/>
    <row r="72" spans="1:21" s="13" customFormat="1" ht="11.4" x14ac:dyDescent="0.2"/>
    <row r="73" spans="1:21" s="13" customFormat="1" ht="11.4" x14ac:dyDescent="0.2"/>
    <row r="74" spans="1:21" s="13" customFormat="1" ht="11.4" x14ac:dyDescent="0.2"/>
    <row r="75" spans="1:21" s="13" customFormat="1" ht="11.4" x14ac:dyDescent="0.2"/>
    <row r="76" spans="1:21" s="13" customFormat="1" ht="11.4" x14ac:dyDescent="0.2"/>
    <row r="77" spans="1:21" s="13" customFormat="1" ht="11.4" x14ac:dyDescent="0.2"/>
    <row r="78" spans="1:21" s="13" customFormat="1" ht="11.4" x14ac:dyDescent="0.2"/>
    <row r="79" spans="1:21" s="13" customFormat="1" ht="11.4" x14ac:dyDescent="0.2"/>
    <row r="80" spans="1:21" s="13" customFormat="1" ht="11.4" x14ac:dyDescent="0.2"/>
    <row r="81" s="13" customFormat="1" ht="11.4" x14ac:dyDescent="0.2"/>
    <row r="82" s="13" customFormat="1" ht="11.4" x14ac:dyDescent="0.2"/>
    <row r="83" s="13" customFormat="1" ht="11.4" x14ac:dyDescent="0.2"/>
    <row r="84" s="13" customFormat="1" ht="11.4" x14ac:dyDescent="0.2"/>
    <row r="85" s="13" customFormat="1" ht="11.4" x14ac:dyDescent="0.2"/>
    <row r="86" s="13" customFormat="1" ht="11.4" x14ac:dyDescent="0.2"/>
    <row r="87" s="13" customFormat="1" ht="11.4" x14ac:dyDescent="0.2"/>
    <row r="88" s="13" customFormat="1" ht="11.4" x14ac:dyDescent="0.2"/>
    <row r="89" s="13" customFormat="1" ht="11.4" x14ac:dyDescent="0.2"/>
    <row r="90" s="13" customFormat="1" ht="11.4" x14ac:dyDescent="0.2"/>
  </sheetData>
  <sheetProtection algorithmName="SHA-512" hashValue="cIg/Nny9ll+oP8YbMK6zPCl8+Kct8Hs94evoT1tEtq6kdZg2ldlEZAj6xZDsQWH/w9+pXZUMrS0D03jpFA4mtQ==" saltValue="xXip1Vpae0MsQA78iUychA==" spinCount="100000" sheet="1" objects="1" scenarios="1"/>
  <mergeCells count="10">
    <mergeCell ref="S59:S61"/>
    <mergeCell ref="T59:T61"/>
    <mergeCell ref="U59:U61"/>
    <mergeCell ref="C4:D4"/>
    <mergeCell ref="S11:S13"/>
    <mergeCell ref="T11:T13"/>
    <mergeCell ref="U11:U13"/>
    <mergeCell ref="S45:S47"/>
    <mergeCell ref="T45:T47"/>
    <mergeCell ref="U45:U47"/>
  </mergeCells>
  <pageMargins left="0.70866141732283472" right="0.70866141732283472" top="0.74803149606299213" bottom="0.74803149606299213" header="0.31496062992125984" footer="0.31496062992125984"/>
  <pageSetup paperSize="9" scale="50" fitToHeight="2"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892176F-D7A8-48EB-AB6F-3B9203B5C4E9}">
          <x14:formula1>
            <xm:f>'Org''enheter'!$G$4:$G$60</xm:f>
          </x14:formula1>
          <xm:sqref>D12:R12</xm:sqref>
        </x14:dataValidation>
        <x14:dataValidation type="list" allowBlank="1" showInputMessage="1" showErrorMessage="1" xr:uid="{54803B56-BEF1-4CC4-A923-2312D3BD8CA6}">
          <x14:formula1>
            <xm:f>'Org''enheter'!$F$4:$F$14</xm:f>
          </x14:formula1>
          <xm:sqref>D11:R11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6B883-34D2-4791-97E5-6D748ED19766}">
  <sheetPr>
    <tabColor theme="9" tint="0.59999389629810485"/>
  </sheetPr>
  <dimension ref="A1:U35"/>
  <sheetViews>
    <sheetView workbookViewId="0">
      <selection activeCell="M127" sqref="M127:M128"/>
    </sheetView>
  </sheetViews>
  <sheetFormatPr defaultColWidth="8" defaultRowHeight="13.2" x14ac:dyDescent="0.25"/>
  <cols>
    <col min="1" max="1" width="42" style="73" customWidth="1"/>
    <col min="2" max="2" width="1.5546875" style="74" customWidth="1"/>
    <col min="3" max="3" width="16.44140625" style="75" customWidth="1"/>
    <col min="4" max="18" width="11" style="75" customWidth="1"/>
    <col min="19" max="19" width="11.5546875" style="141" customWidth="1"/>
    <col min="20" max="21" width="11" style="141" customWidth="1"/>
    <col min="22" max="16384" width="8" style="73"/>
  </cols>
  <sheetData>
    <row r="1" spans="1:21" s="70" customFormat="1" ht="17.399999999999999" x14ac:dyDescent="0.3">
      <c r="A1" s="70" t="s">
        <v>259</v>
      </c>
      <c r="B1" s="71"/>
      <c r="C1" s="72"/>
      <c r="D1" s="72"/>
      <c r="E1" s="72"/>
      <c r="F1" s="72"/>
      <c r="G1" s="72"/>
      <c r="H1" s="72"/>
      <c r="I1" s="72"/>
      <c r="J1" s="72"/>
      <c r="K1" s="72"/>
      <c r="L1" s="72"/>
      <c r="M1" s="72"/>
      <c r="N1" s="72"/>
      <c r="O1" s="72"/>
      <c r="P1" s="72"/>
      <c r="Q1" s="72"/>
      <c r="R1" s="72"/>
      <c r="S1" s="140"/>
      <c r="T1" s="140"/>
      <c r="U1" s="324"/>
    </row>
    <row r="2" spans="1:21" s="70" customFormat="1" ht="17.399999999999999" x14ac:dyDescent="0.3">
      <c r="B2" s="71"/>
      <c r="C2" s="72"/>
      <c r="D2" s="72"/>
      <c r="E2" s="72"/>
      <c r="F2" s="72"/>
      <c r="G2" s="72"/>
      <c r="H2" s="72"/>
      <c r="I2" s="72"/>
      <c r="J2" s="72"/>
      <c r="K2" s="72"/>
      <c r="L2" s="72"/>
      <c r="M2" s="72"/>
      <c r="N2" s="72"/>
      <c r="O2" s="72"/>
      <c r="P2" s="72"/>
      <c r="Q2" s="72"/>
      <c r="R2" s="72"/>
      <c r="S2" s="140"/>
      <c r="T2" s="140"/>
      <c r="U2" s="140"/>
    </row>
    <row r="3" spans="1:21" s="70" customFormat="1" ht="17.399999999999999" x14ac:dyDescent="0.3">
      <c r="A3" s="12" t="s">
        <v>102</v>
      </c>
      <c r="C3" s="620" t="str">
        <f>'Project data &amp; personnel '!$D$7</f>
        <v>Acronym</v>
      </c>
      <c r="D3" s="621"/>
      <c r="E3" s="72"/>
      <c r="F3" s="72"/>
      <c r="G3" s="72"/>
      <c r="H3" s="72"/>
      <c r="I3" s="72"/>
      <c r="J3" s="72"/>
      <c r="K3" s="72"/>
      <c r="L3" s="72"/>
      <c r="M3" s="72"/>
      <c r="N3" s="72"/>
      <c r="O3" s="72"/>
      <c r="P3" s="72"/>
      <c r="Q3" s="72"/>
      <c r="R3" s="72"/>
      <c r="S3" s="140"/>
      <c r="T3" s="140"/>
      <c r="U3" s="140"/>
    </row>
    <row r="5" spans="1:21" ht="26.4" x14ac:dyDescent="0.25">
      <c r="A5" s="76" t="s">
        <v>260</v>
      </c>
      <c r="B5" s="4"/>
      <c r="C5" s="486">
        <v>0.62</v>
      </c>
      <c r="K5" s="4"/>
      <c r="L5" s="4"/>
      <c r="M5" s="4"/>
      <c r="N5" s="4"/>
      <c r="O5" s="4"/>
      <c r="P5" s="4"/>
      <c r="Q5" s="4"/>
      <c r="R5" s="4"/>
      <c r="S5" s="4"/>
      <c r="T5" s="4"/>
      <c r="U5" s="4"/>
    </row>
    <row r="6" spans="1:21" x14ac:dyDescent="0.25">
      <c r="A6" s="76"/>
      <c r="B6" s="204"/>
      <c r="K6" s="4"/>
      <c r="L6" s="4"/>
      <c r="M6" s="4"/>
      <c r="N6" s="4"/>
      <c r="O6" s="4"/>
      <c r="P6" s="4"/>
      <c r="Q6" s="4"/>
      <c r="R6" s="4"/>
      <c r="S6" s="4"/>
      <c r="T6" s="4"/>
      <c r="U6" s="4"/>
    </row>
    <row r="7" spans="1:21" x14ac:dyDescent="0.25">
      <c r="A7" s="77" t="s">
        <v>261</v>
      </c>
      <c r="B7" s="78"/>
      <c r="C7" s="79"/>
      <c r="D7" s="79"/>
      <c r="E7" s="79"/>
      <c r="F7" s="79"/>
      <c r="G7" s="79"/>
      <c r="H7" s="79"/>
      <c r="I7" s="79"/>
      <c r="J7" s="79"/>
      <c r="K7" s="4"/>
      <c r="L7" s="4"/>
      <c r="M7" s="4"/>
      <c r="N7" s="4"/>
      <c r="O7" s="4"/>
      <c r="P7" s="4"/>
      <c r="Q7" s="4"/>
      <c r="R7" s="4"/>
      <c r="S7" s="4"/>
      <c r="T7" s="4"/>
      <c r="U7" s="4"/>
    </row>
    <row r="8" spans="1:21" s="142" customFormat="1" ht="13.8" thickBot="1" x14ac:dyDescent="0.3">
      <c r="A8" s="73"/>
      <c r="B8" s="74"/>
      <c r="C8" s="75"/>
      <c r="D8" s="75"/>
      <c r="E8" s="75"/>
      <c r="F8" s="75"/>
      <c r="G8" s="75"/>
      <c r="H8" s="75"/>
      <c r="I8" s="75"/>
      <c r="J8" s="75"/>
      <c r="K8" s="4"/>
      <c r="L8" s="4"/>
      <c r="M8" s="4"/>
      <c r="N8" s="4"/>
      <c r="O8" s="4"/>
      <c r="P8" s="4"/>
      <c r="Q8" s="4"/>
      <c r="R8" s="4"/>
      <c r="S8" s="4"/>
      <c r="T8" s="4"/>
      <c r="U8" s="4"/>
    </row>
    <row r="9" spans="1:21" x14ac:dyDescent="0.25">
      <c r="A9" s="178" t="s">
        <v>262</v>
      </c>
      <c r="B9" s="234"/>
      <c r="C9" s="628" t="s">
        <v>196</v>
      </c>
      <c r="D9" s="156" t="str">
        <f>'Internal NTNU budget'!D11</f>
        <v>IV</v>
      </c>
      <c r="E9" s="157">
        <f>'Internal NTNU budget'!E$11</f>
        <v>0</v>
      </c>
      <c r="F9" s="157">
        <f>'Internal NTNU budget'!F$11</f>
        <v>0</v>
      </c>
      <c r="G9" s="157">
        <f>'Internal NTNU budget'!G$11</f>
        <v>0</v>
      </c>
      <c r="H9" s="157">
        <f>'Internal NTNU budget'!H$11</f>
        <v>0</v>
      </c>
      <c r="I9" s="157">
        <f>'Internal NTNU budget'!I$11</f>
        <v>0</v>
      </c>
      <c r="J9" s="157">
        <f>'Internal NTNU budget'!J$11</f>
        <v>0</v>
      </c>
      <c r="K9" s="157">
        <f>'Internal NTNU budget'!K$11</f>
        <v>0</v>
      </c>
      <c r="L9" s="157">
        <f>'Internal NTNU budget'!L$11</f>
        <v>0</v>
      </c>
      <c r="M9" s="157">
        <f>'Internal NTNU budget'!M$11</f>
        <v>0</v>
      </c>
      <c r="N9" s="157">
        <f>'Internal NTNU budget'!N$11</f>
        <v>0</v>
      </c>
      <c r="O9" s="157">
        <f>'Internal NTNU budget'!O$11</f>
        <v>0</v>
      </c>
      <c r="P9" s="157">
        <f>'Internal NTNU budget'!P$11</f>
        <v>0</v>
      </c>
      <c r="Q9" s="157">
        <f>'Internal NTNU budget'!P$11</f>
        <v>0</v>
      </c>
      <c r="R9" s="157">
        <f>'Internal NTNU budget'!Q$11</f>
        <v>0</v>
      </c>
      <c r="S9" s="630" t="s">
        <v>263</v>
      </c>
      <c r="T9" s="633" t="s">
        <v>264</v>
      </c>
      <c r="U9" s="636" t="s">
        <v>161</v>
      </c>
    </row>
    <row r="10" spans="1:21" ht="12.75" customHeight="1" thickBot="1" x14ac:dyDescent="0.3">
      <c r="A10" s="179" t="s">
        <v>265</v>
      </c>
      <c r="B10" s="235"/>
      <c r="C10" s="629"/>
      <c r="D10" s="159" t="str">
        <f>'Internal NTNU budget'!D$12</f>
        <v>EPT</v>
      </c>
      <c r="E10" s="160">
        <f>'Internal NTNU budget'!E$12</f>
        <v>0</v>
      </c>
      <c r="F10" s="160">
        <f>'Internal NTNU budget'!F$12</f>
        <v>0</v>
      </c>
      <c r="G10" s="160">
        <f>'Internal NTNU budget'!G$12</f>
        <v>0</v>
      </c>
      <c r="H10" s="160">
        <f>'Internal NTNU budget'!H$12</f>
        <v>0</v>
      </c>
      <c r="I10" s="160">
        <f>'Internal NTNU budget'!I$12</f>
        <v>0</v>
      </c>
      <c r="J10" s="160">
        <f>'Internal NTNU budget'!J$12</f>
        <v>0</v>
      </c>
      <c r="K10" s="160">
        <f>'Internal NTNU budget'!K$12</f>
        <v>0</v>
      </c>
      <c r="L10" s="160">
        <f>'Internal NTNU budget'!L$12</f>
        <v>0</v>
      </c>
      <c r="M10" s="160">
        <f>'Internal NTNU budget'!M$12</f>
        <v>0</v>
      </c>
      <c r="N10" s="160">
        <f>'Internal NTNU budget'!N$12</f>
        <v>0</v>
      </c>
      <c r="O10" s="160">
        <f>'Internal NTNU budget'!O$12</f>
        <v>0</v>
      </c>
      <c r="P10" s="160">
        <f>'Internal NTNU budget'!P$12</f>
        <v>0</v>
      </c>
      <c r="Q10" s="160">
        <f>'Internal NTNU budget'!P$12</f>
        <v>0</v>
      </c>
      <c r="R10" s="160">
        <f>'Internal NTNU budget'!Q$12</f>
        <v>0</v>
      </c>
      <c r="S10" s="631"/>
      <c r="T10" s="634"/>
      <c r="U10" s="637"/>
    </row>
    <row r="11" spans="1:21" ht="13.8" thickBot="1" x14ac:dyDescent="0.3">
      <c r="A11" s="180" t="s">
        <v>266</v>
      </c>
      <c r="B11" s="236"/>
      <c r="C11" s="226"/>
      <c r="D11" s="173"/>
      <c r="E11" s="174"/>
      <c r="F11" s="174"/>
      <c r="G11" s="174"/>
      <c r="H11" s="174"/>
      <c r="I11" s="174"/>
      <c r="J11" s="174"/>
      <c r="K11" s="174"/>
      <c r="L11" s="174"/>
      <c r="M11" s="174"/>
      <c r="N11" s="174"/>
      <c r="O11" s="174"/>
      <c r="P11" s="174"/>
      <c r="Q11" s="174"/>
      <c r="R11" s="174"/>
      <c r="S11" s="632"/>
      <c r="T11" s="635"/>
      <c r="U11" s="638"/>
    </row>
    <row r="12" spans="1:21" x14ac:dyDescent="0.25">
      <c r="A12" s="80" t="s">
        <v>267</v>
      </c>
      <c r="B12" s="237"/>
      <c r="C12" s="227">
        <f>'Internal NTNU budget'!C$19*'Project data &amp; personnel '!$E$28</f>
        <v>10927866.182606414</v>
      </c>
      <c r="D12" s="81">
        <f>'Internal NTNU budget'!D$19*'Project data &amp; personnel '!$E$28</f>
        <v>0</v>
      </c>
      <c r="E12" s="82">
        <f>'Internal NTNU budget'!E$19*'Project data &amp; personnel '!$E$28</f>
        <v>0</v>
      </c>
      <c r="F12" s="82">
        <f>'Internal NTNU budget'!F$19*'Project data &amp; personnel '!$E$28</f>
        <v>0</v>
      </c>
      <c r="G12" s="82">
        <f>'Internal NTNU budget'!G$19*'Project data &amp; personnel '!$E$28</f>
        <v>0</v>
      </c>
      <c r="H12" s="82">
        <f>'Internal NTNU budget'!H$19*'Project data &amp; personnel '!$E$28</f>
        <v>0</v>
      </c>
      <c r="I12" s="82">
        <f>'Internal NTNU budget'!I$19*'Project data &amp; personnel '!$E$28</f>
        <v>0</v>
      </c>
      <c r="J12" s="82">
        <f>'Internal NTNU budget'!J$19*'Project data &amp; personnel '!$E$28</f>
        <v>0</v>
      </c>
      <c r="K12" s="82">
        <f>'Internal NTNU budget'!K$19*'Project data &amp; personnel '!$E$28</f>
        <v>0</v>
      </c>
      <c r="L12" s="82">
        <f>'Internal NTNU budget'!L$19*'Project data &amp; personnel '!$E$28</f>
        <v>0</v>
      </c>
      <c r="M12" s="82">
        <f>'Internal NTNU budget'!M$19*'Project data &amp; personnel '!$E$28</f>
        <v>0</v>
      </c>
      <c r="N12" s="82">
        <f>'Internal NTNU budget'!N$19*'Project data &amp; personnel '!$E$28</f>
        <v>0</v>
      </c>
      <c r="O12" s="82">
        <f>'Internal NTNU budget'!O$19*'Project data &amp; personnel '!$E$28</f>
        <v>0</v>
      </c>
      <c r="P12" s="82">
        <f>'Internal NTNU budget'!P$19*'Project data &amp; personnel '!$E$28</f>
        <v>0</v>
      </c>
      <c r="Q12" s="82">
        <f>'Internal NTNU budget'!Q$19*'Project data &amp; personnel '!$E$28</f>
        <v>0</v>
      </c>
      <c r="R12" s="82">
        <f>'Internal NTNU budget'!R$19*'Project data &amp; personnel '!$E$28</f>
        <v>0</v>
      </c>
      <c r="S12" s="175">
        <f t="array" ref="S12">SUM(($D$10:$R$10&lt;&gt;0)*$D12:$R12)</f>
        <v>0</v>
      </c>
      <c r="T12" s="176">
        <f t="shared" ref="T12:T17" si="0">ROUND(C12-S12,0)</f>
        <v>10927866</v>
      </c>
      <c r="U12" s="177">
        <f t="shared" ref="U12:U17" si="1">SUM(S12:T12)</f>
        <v>10927866</v>
      </c>
    </row>
    <row r="13" spans="1:21" x14ac:dyDescent="0.25">
      <c r="A13" s="80" t="s">
        <v>268</v>
      </c>
      <c r="B13" s="237"/>
      <c r="C13" s="227">
        <f>SUM('Internal NTNU budget'!C$27,'Internal NTNU budget'!C$30,'Internal NTNU budget'!C31)*'Project data &amp; personnel '!$E$28</f>
        <v>522500</v>
      </c>
      <c r="D13" s="81">
        <f>SUM('Internal NTNU budget'!D$27,'Internal NTNU budget'!D$30,'Internal NTNU budget'!D31)*'Project data &amp; personnel '!$E$28</f>
        <v>0</v>
      </c>
      <c r="E13" s="82">
        <f>SUM('Internal NTNU budget'!E$27,'Internal NTNU budget'!E$30,'Internal NTNU budget'!E31)*'Project data &amp; personnel '!$E$28</f>
        <v>0</v>
      </c>
      <c r="F13" s="82">
        <f>SUM('Internal NTNU budget'!F$27,'Internal NTNU budget'!F$30,'Internal NTNU budget'!F31)*'Project data &amp; personnel '!$E$28</f>
        <v>0</v>
      </c>
      <c r="G13" s="82">
        <f>SUM('Internal NTNU budget'!G$27,'Internal NTNU budget'!G$30,'Internal NTNU budget'!G31)*'Project data &amp; personnel '!$E$28</f>
        <v>0</v>
      </c>
      <c r="H13" s="82">
        <f>SUM('Internal NTNU budget'!H$27,'Internal NTNU budget'!H$30,'Internal NTNU budget'!H31)*'Project data &amp; personnel '!$E$28</f>
        <v>0</v>
      </c>
      <c r="I13" s="82">
        <f>SUM('Internal NTNU budget'!I$27,'Internal NTNU budget'!I$30,'Internal NTNU budget'!I31)*'Project data &amp; personnel '!$E$28</f>
        <v>0</v>
      </c>
      <c r="J13" s="82">
        <f>SUM('Internal NTNU budget'!J$27,'Internal NTNU budget'!J$30,'Internal NTNU budget'!J31)*'Project data &amp; personnel '!$E$28</f>
        <v>0</v>
      </c>
      <c r="K13" s="82">
        <f>SUM('Internal NTNU budget'!K$27,'Internal NTNU budget'!K$30,'Internal NTNU budget'!K31)*'Project data &amp; personnel '!$E$28</f>
        <v>0</v>
      </c>
      <c r="L13" s="82">
        <f>SUM('Internal NTNU budget'!L$27,'Internal NTNU budget'!L$30,'Internal NTNU budget'!L31)*'Project data &amp; personnel '!$E$28</f>
        <v>0</v>
      </c>
      <c r="M13" s="82">
        <f>SUM('Internal NTNU budget'!M$27,'Internal NTNU budget'!M$30,'Internal NTNU budget'!M31)*'Project data &amp; personnel '!$E$28</f>
        <v>0</v>
      </c>
      <c r="N13" s="82">
        <f>SUM('Internal NTNU budget'!N$27,'Internal NTNU budget'!N$30,'Internal NTNU budget'!N31)*'Project data &amp; personnel '!$E$28</f>
        <v>0</v>
      </c>
      <c r="O13" s="82">
        <f>SUM('Internal NTNU budget'!O$27,'Internal NTNU budget'!O$30,'Internal NTNU budget'!O31)*'Project data &amp; personnel '!$E$28</f>
        <v>0</v>
      </c>
      <c r="P13" s="82">
        <f>SUM('Internal NTNU budget'!P$27,'Internal NTNU budget'!P$30,'Internal NTNU budget'!P31)*'Project data &amp; personnel '!$E$28</f>
        <v>0</v>
      </c>
      <c r="Q13" s="82">
        <f>SUM('Internal NTNU budget'!Q$27,'Internal NTNU budget'!Q$30,'Internal NTNU budget'!Q31)*'Project data &amp; personnel '!$E$28</f>
        <v>0</v>
      </c>
      <c r="R13" s="82">
        <f>SUM('Internal NTNU budget'!R$27,'Internal NTNU budget'!R$30,'Internal NTNU budget'!R31)*'Project data &amp; personnel '!$E$28</f>
        <v>0</v>
      </c>
      <c r="S13" s="81">
        <f t="array" ref="S13">SUM(($D$10:$R$10&lt;&gt;0)*$D13:$R13)</f>
        <v>0</v>
      </c>
      <c r="T13" s="82">
        <f t="shared" si="0"/>
        <v>522500</v>
      </c>
      <c r="U13" s="143">
        <f t="shared" si="1"/>
        <v>522500</v>
      </c>
    </row>
    <row r="14" spans="1:21" x14ac:dyDescent="0.25">
      <c r="A14" s="80" t="s">
        <v>269</v>
      </c>
      <c r="B14" s="237"/>
      <c r="C14" s="227">
        <f>'Internal NTNU budget'!C$29*'Project data &amp; personnel '!$E$28</f>
        <v>2803216.5456516035</v>
      </c>
      <c r="D14" s="81">
        <f>'Internal NTNU budget'!D$29*'Project data &amp; personnel '!$E$28</f>
        <v>0</v>
      </c>
      <c r="E14" s="82">
        <f>'Internal NTNU budget'!E$29*'Project data &amp; personnel '!$E$28</f>
        <v>0</v>
      </c>
      <c r="F14" s="82">
        <f>'Internal NTNU budget'!F$29*'Project data &amp; personnel '!$E$28</f>
        <v>0</v>
      </c>
      <c r="G14" s="82">
        <f>'Internal NTNU budget'!G$29*'Project data &amp; personnel '!$E$28</f>
        <v>0</v>
      </c>
      <c r="H14" s="82">
        <f>'Internal NTNU budget'!H$29*'Project data &amp; personnel '!$E$28</f>
        <v>0</v>
      </c>
      <c r="I14" s="82">
        <f>'Internal NTNU budget'!I$29*'Project data &amp; personnel '!$E$28</f>
        <v>0</v>
      </c>
      <c r="J14" s="82">
        <f>'Internal NTNU budget'!J$29*'Project data &amp; personnel '!$E$28</f>
        <v>0</v>
      </c>
      <c r="K14" s="82">
        <f>'Internal NTNU budget'!K$29*'Project data &amp; personnel '!$E$28</f>
        <v>0</v>
      </c>
      <c r="L14" s="82">
        <f>'Internal NTNU budget'!L$29*'Project data &amp; personnel '!$E$28</f>
        <v>0</v>
      </c>
      <c r="M14" s="82">
        <f>'Internal NTNU budget'!M$29*'Project data &amp; personnel '!$E$28</f>
        <v>0</v>
      </c>
      <c r="N14" s="82">
        <f>'Internal NTNU budget'!N$29*'Project data &amp; personnel '!$E$28</f>
        <v>0</v>
      </c>
      <c r="O14" s="82">
        <f>'Internal NTNU budget'!O$29*'Project data &amp; personnel '!$E$28</f>
        <v>0</v>
      </c>
      <c r="P14" s="82">
        <f>'Internal NTNU budget'!P$29*'Project data &amp; personnel '!$E$28</f>
        <v>0</v>
      </c>
      <c r="Q14" s="82">
        <f>'Internal NTNU budget'!Q$29*'Project data &amp; personnel '!$E$28</f>
        <v>0</v>
      </c>
      <c r="R14" s="82">
        <f>'Internal NTNU budget'!R$29*'Project data &amp; personnel '!$E$28</f>
        <v>0</v>
      </c>
      <c r="S14" s="81">
        <f t="array" ref="S14">SUM(($D$10:$R$10&lt;&gt;0)*$D14:$R14)</f>
        <v>0</v>
      </c>
      <c r="T14" s="82">
        <f t="shared" si="0"/>
        <v>2803217</v>
      </c>
      <c r="U14" s="143">
        <f t="shared" si="1"/>
        <v>2803217</v>
      </c>
    </row>
    <row r="15" spans="1:21" x14ac:dyDescent="0.25">
      <c r="A15" s="181" t="s">
        <v>270</v>
      </c>
      <c r="B15" s="238"/>
      <c r="C15" s="228">
        <f>SUM(C$12:C$14)</f>
        <v>14253582.728258017</v>
      </c>
      <c r="D15" s="182">
        <f t="shared" ref="D15:R15" si="2">SUM(D$12:D$14)</f>
        <v>0</v>
      </c>
      <c r="E15" s="183">
        <f t="shared" si="2"/>
        <v>0</v>
      </c>
      <c r="F15" s="183">
        <f t="shared" si="2"/>
        <v>0</v>
      </c>
      <c r="G15" s="183">
        <f t="shared" si="2"/>
        <v>0</v>
      </c>
      <c r="H15" s="183">
        <f t="shared" si="2"/>
        <v>0</v>
      </c>
      <c r="I15" s="183">
        <f t="shared" si="2"/>
        <v>0</v>
      </c>
      <c r="J15" s="183">
        <f t="shared" si="2"/>
        <v>0</v>
      </c>
      <c r="K15" s="183">
        <f t="shared" si="2"/>
        <v>0</v>
      </c>
      <c r="L15" s="183">
        <f t="shared" si="2"/>
        <v>0</v>
      </c>
      <c r="M15" s="183">
        <f t="shared" si="2"/>
        <v>0</v>
      </c>
      <c r="N15" s="183">
        <f t="shared" si="2"/>
        <v>0</v>
      </c>
      <c r="O15" s="183">
        <f t="shared" si="2"/>
        <v>0</v>
      </c>
      <c r="P15" s="183">
        <f t="shared" si="2"/>
        <v>0</v>
      </c>
      <c r="Q15" s="183">
        <f t="shared" si="2"/>
        <v>0</v>
      </c>
      <c r="R15" s="183">
        <f t="shared" si="2"/>
        <v>0</v>
      </c>
      <c r="S15" s="182">
        <f t="array" ref="S15">SUM(($D$10:$R$10&lt;&gt;0)*$D15:$R15)</f>
        <v>0</v>
      </c>
      <c r="T15" s="183">
        <f t="shared" si="0"/>
        <v>14253583</v>
      </c>
      <c r="U15" s="184">
        <f t="shared" si="1"/>
        <v>14253583</v>
      </c>
    </row>
    <row r="16" spans="1:21" x14ac:dyDescent="0.25">
      <c r="A16" s="180"/>
      <c r="B16" s="236"/>
      <c r="C16" s="227"/>
      <c r="D16" s="81"/>
      <c r="E16" s="82"/>
      <c r="F16" s="82"/>
      <c r="G16" s="82"/>
      <c r="H16" s="82"/>
      <c r="I16" s="82"/>
      <c r="J16" s="82"/>
      <c r="K16" s="82"/>
      <c r="L16" s="82"/>
      <c r="M16" s="82"/>
      <c r="N16" s="82"/>
      <c r="O16" s="82"/>
      <c r="P16" s="82"/>
      <c r="Q16" s="82"/>
      <c r="R16" s="82"/>
      <c r="S16" s="81">
        <f t="array" ref="S16">SUM(($D$10:$R$10&lt;&gt;0)*$D16:$R16)</f>
        <v>0</v>
      </c>
      <c r="T16" s="82">
        <f t="shared" si="0"/>
        <v>0</v>
      </c>
      <c r="U16" s="143">
        <f t="shared" si="1"/>
        <v>0</v>
      </c>
    </row>
    <row r="17" spans="1:21" x14ac:dyDescent="0.25">
      <c r="A17" s="185" t="s">
        <v>271</v>
      </c>
      <c r="B17" s="239"/>
      <c r="C17" s="229">
        <f>'Internal NTNU budget'!C$35*'Project data &amp; personnel '!$E$28</f>
        <v>14250000</v>
      </c>
      <c r="D17" s="186">
        <f>'Internal NTNU budget'!D$35*'Project data &amp; personnel '!$E$28</f>
        <v>0</v>
      </c>
      <c r="E17" s="187">
        <f>'Internal NTNU budget'!E$35*'Project data &amp; personnel '!$E$28</f>
        <v>0</v>
      </c>
      <c r="F17" s="187">
        <f>'Internal NTNU budget'!F$35*'Project data &amp; personnel '!$E$28</f>
        <v>0</v>
      </c>
      <c r="G17" s="187">
        <f>'Internal NTNU budget'!G$35*'Project data &amp; personnel '!$E$28</f>
        <v>0</v>
      </c>
      <c r="H17" s="187">
        <f>'Internal NTNU budget'!H$35*'Project data &amp; personnel '!$E$28</f>
        <v>0</v>
      </c>
      <c r="I17" s="187">
        <f>'Internal NTNU budget'!I$35*'Project data &amp; personnel '!$E$28</f>
        <v>0</v>
      </c>
      <c r="J17" s="187">
        <f>'Internal NTNU budget'!J$35*'Project data &amp; personnel '!$E$28</f>
        <v>0</v>
      </c>
      <c r="K17" s="187">
        <f>'Internal NTNU budget'!K$35*'Project data &amp; personnel '!$E$28</f>
        <v>0</v>
      </c>
      <c r="L17" s="187">
        <f>'Internal NTNU budget'!L$35*'Project data &amp; personnel '!$E$28</f>
        <v>0</v>
      </c>
      <c r="M17" s="187">
        <f>'Internal NTNU budget'!M$35*'Project data &amp; personnel '!$E$28</f>
        <v>0</v>
      </c>
      <c r="N17" s="187">
        <f>'Internal NTNU budget'!N$35*'Project data &amp; personnel '!$E$28</f>
        <v>0</v>
      </c>
      <c r="O17" s="187">
        <f>'Internal NTNU budget'!O$35*'Project data &amp; personnel '!$E$28</f>
        <v>0</v>
      </c>
      <c r="P17" s="187">
        <f>'Internal NTNU budget'!P$35*'Project data &amp; personnel '!$E$28</f>
        <v>0</v>
      </c>
      <c r="Q17" s="187">
        <f>'Internal NTNU budget'!Q$35*'Project data &amp; personnel '!$E$28</f>
        <v>0</v>
      </c>
      <c r="R17" s="187">
        <f>'Internal NTNU budget'!R$35*'Project data &amp; personnel '!$E$28</f>
        <v>0</v>
      </c>
      <c r="S17" s="186">
        <f t="array" ref="S17">SUM(($D$10:$R$10&lt;&gt;0)*$D17:$R17)</f>
        <v>0</v>
      </c>
      <c r="T17" s="187">
        <f t="shared" si="0"/>
        <v>14250000</v>
      </c>
      <c r="U17" s="188">
        <f t="shared" si="1"/>
        <v>14250000</v>
      </c>
    </row>
    <row r="18" spans="1:21" x14ac:dyDescent="0.25">
      <c r="A18" s="185" t="s">
        <v>272</v>
      </c>
      <c r="B18" s="239"/>
      <c r="C18" s="229"/>
      <c r="D18" s="186"/>
      <c r="E18" s="187"/>
      <c r="F18" s="187"/>
      <c r="G18" s="187"/>
      <c r="H18" s="187"/>
      <c r="I18" s="187"/>
      <c r="J18" s="187"/>
      <c r="K18" s="187"/>
      <c r="L18" s="187"/>
      <c r="M18" s="187"/>
      <c r="N18" s="187"/>
      <c r="O18" s="187"/>
      <c r="P18" s="187"/>
      <c r="Q18" s="187"/>
      <c r="R18" s="187"/>
      <c r="S18" s="186"/>
      <c r="T18" s="187"/>
      <c r="U18" s="188"/>
    </row>
    <row r="19" spans="1:21" x14ac:dyDescent="0.25">
      <c r="A19" s="80" t="s">
        <v>267</v>
      </c>
      <c r="B19" s="239"/>
      <c r="C19" s="227">
        <f>'Internal NTNU budget'!C$19*'Project data &amp; personnel '!$E$28</f>
        <v>10927866.182606414</v>
      </c>
      <c r="D19" s="81">
        <f>'Internal NTNU budget'!D$19*'Project data &amp; personnel '!$E$28</f>
        <v>0</v>
      </c>
      <c r="E19" s="82">
        <f>'Internal NTNU budget'!E$19*'Project data &amp; personnel '!$E$28</f>
        <v>0</v>
      </c>
      <c r="F19" s="82">
        <f>'Internal NTNU budget'!F$19*'Project data &amp; personnel '!$E$28</f>
        <v>0</v>
      </c>
      <c r="G19" s="82">
        <f>'Internal NTNU budget'!G$19*'Project data &amp; personnel '!$E$28</f>
        <v>0</v>
      </c>
      <c r="H19" s="82">
        <f>'Internal NTNU budget'!H$19*'Project data &amp; personnel '!$E$28</f>
        <v>0</v>
      </c>
      <c r="I19" s="82">
        <f>'Internal NTNU budget'!I$19*'Project data &amp; personnel '!$E$28</f>
        <v>0</v>
      </c>
      <c r="J19" s="82">
        <f>'Internal NTNU budget'!J$19*'Project data &amp; personnel '!$E$28</f>
        <v>0</v>
      </c>
      <c r="K19" s="82">
        <f>'Internal NTNU budget'!K$19*'Project data &amp; personnel '!$E$28</f>
        <v>0</v>
      </c>
      <c r="L19" s="82">
        <f>'Internal NTNU budget'!L$19*'Project data &amp; personnel '!$E$28</f>
        <v>0</v>
      </c>
      <c r="M19" s="82">
        <f>'Internal NTNU budget'!M$19*'Project data &amp; personnel '!$E$28</f>
        <v>0</v>
      </c>
      <c r="N19" s="82">
        <f>'Internal NTNU budget'!N$19*'Project data &amp; personnel '!$E$28</f>
        <v>0</v>
      </c>
      <c r="O19" s="82">
        <f>'Internal NTNU budget'!O$19*'Project data &amp; personnel '!$E$28</f>
        <v>0</v>
      </c>
      <c r="P19" s="82">
        <f>'Internal NTNU budget'!P$19*'Project data &amp; personnel '!$E$28</f>
        <v>0</v>
      </c>
      <c r="Q19" s="82">
        <f>'Internal NTNU budget'!Q$19*'Project data &amp; personnel '!$E$28</f>
        <v>0</v>
      </c>
      <c r="R19" s="82">
        <f>'Internal NTNU budget'!R$19*'Project data &amp; personnel '!$E$28</f>
        <v>0</v>
      </c>
      <c r="S19" s="81">
        <f t="array" ref="S19">SUM(($D$10:$R$10&lt;&gt;0)*$D19:$R19)</f>
        <v>0</v>
      </c>
      <c r="T19" s="82">
        <f t="shared" ref="T19:T31" si="3">ROUND(C19-S19,0)</f>
        <v>10927866</v>
      </c>
      <c r="U19" s="143">
        <f t="shared" ref="U19:U31" si="4">SUM(S19:T19)</f>
        <v>10927866</v>
      </c>
    </row>
    <row r="20" spans="1:21" x14ac:dyDescent="0.25">
      <c r="A20" s="80" t="s">
        <v>268</v>
      </c>
      <c r="B20" s="239"/>
      <c r="C20" s="227">
        <f>SUM('Internal NTNU budget'!C$27,'Internal NTNU budget'!C$30,'Internal NTNU budget'!C31,'Non-personnel costs'!N152)*'Project data &amp; personnel '!$E$28</f>
        <v>522500</v>
      </c>
      <c r="D20" s="81">
        <f>SUM('Internal NTNU budget'!D$27,'Internal NTNU budget'!D$30,'Internal NTNU budget'!D31,SUMIF('Non-personnel costs'!$E$14:$E$40,#REF!,'Non-personnel costs'!$N$14:$N$40))*'Project data &amp; personnel '!$E$28</f>
        <v>0</v>
      </c>
      <c r="E20" s="82">
        <f>SUM('Internal NTNU budget'!E$27,'Internal NTNU budget'!E$30,'Internal NTNU budget'!E31,SUMIF('Non-personnel costs'!$E$14:$E$40,#REF!,'Non-personnel costs'!$N$14:$N$40))*'Project data &amp; personnel '!$E$28</f>
        <v>0</v>
      </c>
      <c r="F20" s="82">
        <f>SUM('Internal NTNU budget'!F$27,'Internal NTNU budget'!F$30,'Internal NTNU budget'!F31,SUMIF('Non-personnel costs'!$E$14:$E$40,#REF!,'Non-personnel costs'!$N$14:$N$40))*'Project data &amp; personnel '!$E$28</f>
        <v>0</v>
      </c>
      <c r="G20" s="82">
        <f>SUM('Internal NTNU budget'!G$27,'Internal NTNU budget'!G$30,'Internal NTNU budget'!G31,SUMIF('Non-personnel costs'!$E$14:$E$40,#REF!,'Non-personnel costs'!$N$14:$N$40))*'Project data &amp; personnel '!$E$28</f>
        <v>0</v>
      </c>
      <c r="H20" s="82">
        <f>SUM('Internal NTNU budget'!H$27,'Internal NTNU budget'!H$30,'Internal NTNU budget'!H31,SUMIF('Non-personnel costs'!$E$14:$E$40,#REF!,'Non-personnel costs'!$N$14:$N$40))*'Project data &amp; personnel '!$E$28</f>
        <v>0</v>
      </c>
      <c r="I20" s="82">
        <f>SUM('Internal NTNU budget'!I$27,'Internal NTNU budget'!I$30,'Internal NTNU budget'!I31,SUMIF('Non-personnel costs'!$E$14:$E$40,#REF!,'Non-personnel costs'!$N$14:$N$40))*'Project data &amp; personnel '!$E$28</f>
        <v>0</v>
      </c>
      <c r="J20" s="82">
        <f>SUM('Internal NTNU budget'!J$27,'Internal NTNU budget'!J$30,'Internal NTNU budget'!J31,SUMIF('Non-personnel costs'!$E$14:$E$40,#REF!,'Non-personnel costs'!$N$14:$N$40))*'Project data &amp; personnel '!$E$28</f>
        <v>0</v>
      </c>
      <c r="K20" s="82">
        <f>SUM('Internal NTNU budget'!K$27,'Internal NTNU budget'!K$30,'Internal NTNU budget'!K31,SUMIF('Non-personnel costs'!$E$14:$E$40,#REF!,'Non-personnel costs'!$N$14:$N$40))*'Project data &amp; personnel '!$E$28</f>
        <v>0</v>
      </c>
      <c r="L20" s="82">
        <f>SUM('Internal NTNU budget'!L$27,'Internal NTNU budget'!L$30,'Internal NTNU budget'!L31,SUMIF('Non-personnel costs'!$E$14:$E$40,#REF!,'Non-personnel costs'!$N$14:$N$40))*'Project data &amp; personnel '!$E$28</f>
        <v>0</v>
      </c>
      <c r="M20" s="82">
        <f>SUM('Internal NTNU budget'!M$27,'Internal NTNU budget'!M$30,'Internal NTNU budget'!M31,SUMIF('Non-personnel costs'!$E$14:$E$40,#REF!,'Non-personnel costs'!$N$14:$N$40))*'Project data &amp; personnel '!$E$28</f>
        <v>0</v>
      </c>
      <c r="N20" s="82">
        <f>SUM('Internal NTNU budget'!N$27,'Internal NTNU budget'!N$30,'Internal NTNU budget'!N31,SUMIF('Non-personnel costs'!$E$14:$E$40,#REF!,'Non-personnel costs'!$N$14:$N$40))*'Project data &amp; personnel '!$E$28</f>
        <v>0</v>
      </c>
      <c r="O20" s="82">
        <f>SUM('Internal NTNU budget'!O$27,'Internal NTNU budget'!O$30,'Internal NTNU budget'!O31,SUMIF('Non-personnel costs'!$E$14:$E$40,#REF!,'Non-personnel costs'!$N$14:$N$40))*'Project data &amp; personnel '!$E$28</f>
        <v>0</v>
      </c>
      <c r="P20" s="82">
        <f>SUM('Internal NTNU budget'!P$27,'Internal NTNU budget'!P$30,'Internal NTNU budget'!P31,SUMIF('Non-personnel costs'!$E$14:$E$40,#REF!,'Non-personnel costs'!$N$14:$N$40))*'Project data &amp; personnel '!$E$28</f>
        <v>0</v>
      </c>
      <c r="Q20" s="82">
        <f>SUM('Internal NTNU budget'!Q$27,'Internal NTNU budget'!Q$30,'Internal NTNU budget'!Q31,SUMIF('Non-personnel costs'!$E$14:$E$40,#REF!,'Non-personnel costs'!$N$14:$N$40))*'Project data &amp; personnel '!$E$28</f>
        <v>0</v>
      </c>
      <c r="R20" s="82">
        <f>SUM('Internal NTNU budget'!R$27,'Internal NTNU budget'!R$30,'Internal NTNU budget'!R31,SUMIF('Non-personnel costs'!$E$14:$E$40,#REF!,'Non-personnel costs'!$N$14:$N$40))*'Project data &amp; personnel '!$E$28</f>
        <v>0</v>
      </c>
      <c r="S20" s="81">
        <f t="array" ref="S20">SUM(($D$10:$R$10&lt;&gt;0)*$D20:$R20)</f>
        <v>0</v>
      </c>
      <c r="T20" s="82">
        <f t="shared" si="3"/>
        <v>522500</v>
      </c>
      <c r="U20" s="143">
        <f t="shared" si="4"/>
        <v>522500</v>
      </c>
    </row>
    <row r="21" spans="1:21" x14ac:dyDescent="0.25">
      <c r="A21" s="80" t="s">
        <v>273</v>
      </c>
      <c r="B21" s="236"/>
      <c r="C21" s="227">
        <f>'Internal NTNU budget'!C$65</f>
        <v>6702229.901186672</v>
      </c>
      <c r="D21" s="81">
        <f>'Internal NTNU budget'!D$65</f>
        <v>0</v>
      </c>
      <c r="E21" s="82">
        <f>'Internal NTNU budget'!E$65</f>
        <v>0</v>
      </c>
      <c r="F21" s="82">
        <f>'Internal NTNU budget'!F$65</f>
        <v>0</v>
      </c>
      <c r="G21" s="82">
        <f>'Internal NTNU budget'!G$65</f>
        <v>0</v>
      </c>
      <c r="H21" s="82">
        <f>'Internal NTNU budget'!H$65</f>
        <v>0</v>
      </c>
      <c r="I21" s="82">
        <f>'Internal NTNU budget'!I$65</f>
        <v>0</v>
      </c>
      <c r="J21" s="82">
        <f>'Internal NTNU budget'!J$65</f>
        <v>0</v>
      </c>
      <c r="K21" s="82">
        <f>'Internal NTNU budget'!K$65</f>
        <v>0</v>
      </c>
      <c r="L21" s="82">
        <f>'Internal NTNU budget'!L$65</f>
        <v>0</v>
      </c>
      <c r="M21" s="82">
        <f>'Internal NTNU budget'!M$65</f>
        <v>0</v>
      </c>
      <c r="N21" s="82">
        <f>'Internal NTNU budget'!N$65</f>
        <v>0</v>
      </c>
      <c r="O21" s="82">
        <f>'Internal NTNU budget'!O$65</f>
        <v>0</v>
      </c>
      <c r="P21" s="82">
        <f>'Internal NTNU budget'!P$65</f>
        <v>0</v>
      </c>
      <c r="Q21" s="82">
        <f>'Internal NTNU budget'!P$65</f>
        <v>0</v>
      </c>
      <c r="R21" s="82">
        <f>'Internal NTNU budget'!Q$65</f>
        <v>0</v>
      </c>
      <c r="S21" s="81">
        <f t="array" ref="S21">SUM(($D$10:$R$10&lt;&gt;0)*$D21:$R21)</f>
        <v>0</v>
      </c>
      <c r="T21" s="82">
        <f t="shared" si="3"/>
        <v>6702230</v>
      </c>
      <c r="U21" s="143">
        <f t="shared" si="4"/>
        <v>6702230</v>
      </c>
    </row>
    <row r="22" spans="1:21" x14ac:dyDescent="0.25">
      <c r="A22" s="181" t="s">
        <v>274</v>
      </c>
      <c r="B22" s="238"/>
      <c r="C22" s="228">
        <f>SUM(C19:C21)</f>
        <v>18152596.083793085</v>
      </c>
      <c r="D22" s="182">
        <f t="shared" ref="D22:R22" si="5">SUM(D19:D21)</f>
        <v>0</v>
      </c>
      <c r="E22" s="183">
        <f t="shared" si="5"/>
        <v>0</v>
      </c>
      <c r="F22" s="183">
        <f t="shared" si="5"/>
        <v>0</v>
      </c>
      <c r="G22" s="183">
        <f t="shared" si="5"/>
        <v>0</v>
      </c>
      <c r="H22" s="183">
        <f t="shared" si="5"/>
        <v>0</v>
      </c>
      <c r="I22" s="183">
        <f t="shared" si="5"/>
        <v>0</v>
      </c>
      <c r="J22" s="183">
        <f t="shared" si="5"/>
        <v>0</v>
      </c>
      <c r="K22" s="183">
        <f t="shared" si="5"/>
        <v>0</v>
      </c>
      <c r="L22" s="183">
        <f t="shared" si="5"/>
        <v>0</v>
      </c>
      <c r="M22" s="183">
        <f t="shared" si="5"/>
        <v>0</v>
      </c>
      <c r="N22" s="183">
        <f t="shared" si="5"/>
        <v>0</v>
      </c>
      <c r="O22" s="183">
        <f t="shared" si="5"/>
        <v>0</v>
      </c>
      <c r="P22" s="183">
        <f t="shared" si="5"/>
        <v>0</v>
      </c>
      <c r="Q22" s="183">
        <f t="shared" si="5"/>
        <v>0</v>
      </c>
      <c r="R22" s="183">
        <f t="shared" si="5"/>
        <v>0</v>
      </c>
      <c r="S22" s="182">
        <f t="array" ref="S22">SUM(($D$10:$R$10&lt;&gt;0)*$D22:$R22)</f>
        <v>0</v>
      </c>
      <c r="T22" s="183">
        <f t="shared" si="3"/>
        <v>18152596</v>
      </c>
      <c r="U22" s="184">
        <f t="shared" si="4"/>
        <v>18152596</v>
      </c>
    </row>
    <row r="23" spans="1:21" s="142" customFormat="1" ht="24" x14ac:dyDescent="0.25">
      <c r="A23" s="189" t="s">
        <v>275</v>
      </c>
      <c r="B23" s="240"/>
      <c r="C23" s="230">
        <f t="shared" ref="C23:R23" si="6">C$17-C$22</f>
        <v>-3902596.0837930851</v>
      </c>
      <c r="D23" s="190">
        <f t="shared" si="6"/>
        <v>0</v>
      </c>
      <c r="E23" s="191">
        <f t="shared" si="6"/>
        <v>0</v>
      </c>
      <c r="F23" s="191">
        <f t="shared" si="6"/>
        <v>0</v>
      </c>
      <c r="G23" s="191">
        <f t="shared" si="6"/>
        <v>0</v>
      </c>
      <c r="H23" s="191">
        <f t="shared" si="6"/>
        <v>0</v>
      </c>
      <c r="I23" s="191">
        <f t="shared" si="6"/>
        <v>0</v>
      </c>
      <c r="J23" s="191">
        <f t="shared" si="6"/>
        <v>0</v>
      </c>
      <c r="K23" s="191">
        <f t="shared" si="6"/>
        <v>0</v>
      </c>
      <c r="L23" s="191">
        <f t="shared" si="6"/>
        <v>0</v>
      </c>
      <c r="M23" s="191">
        <f t="shared" si="6"/>
        <v>0</v>
      </c>
      <c r="N23" s="191">
        <f t="shared" si="6"/>
        <v>0</v>
      </c>
      <c r="O23" s="191">
        <f t="shared" si="6"/>
        <v>0</v>
      </c>
      <c r="P23" s="191">
        <f t="shared" si="6"/>
        <v>0</v>
      </c>
      <c r="Q23" s="191">
        <f t="shared" si="6"/>
        <v>0</v>
      </c>
      <c r="R23" s="191">
        <f t="shared" si="6"/>
        <v>0</v>
      </c>
      <c r="S23" s="190">
        <f t="array" ref="S23">SUM(($D$10:$R$10&lt;&gt;0)*$D23:$R23)</f>
        <v>0</v>
      </c>
      <c r="T23" s="191">
        <f t="shared" si="3"/>
        <v>-3902596</v>
      </c>
      <c r="U23" s="192">
        <f t="shared" si="4"/>
        <v>-3902596</v>
      </c>
    </row>
    <row r="24" spans="1:21" x14ac:dyDescent="0.25">
      <c r="A24" s="180"/>
      <c r="B24" s="236"/>
      <c r="C24" s="227"/>
      <c r="D24" s="81"/>
      <c r="E24" s="82"/>
      <c r="F24" s="82"/>
      <c r="G24" s="82"/>
      <c r="H24" s="82"/>
      <c r="I24" s="82"/>
      <c r="J24" s="82"/>
      <c r="K24" s="82"/>
      <c r="L24" s="82"/>
      <c r="M24" s="82"/>
      <c r="N24" s="82"/>
      <c r="O24" s="82"/>
      <c r="P24" s="82"/>
      <c r="Q24" s="82"/>
      <c r="R24" s="82"/>
      <c r="S24" s="81">
        <f t="array" ref="S24">SUM(($D$10:$R$10&lt;&gt;0)*$D24:$R24)</f>
        <v>0</v>
      </c>
      <c r="T24" s="82">
        <f t="shared" si="3"/>
        <v>0</v>
      </c>
      <c r="U24" s="143">
        <f t="shared" si="4"/>
        <v>0</v>
      </c>
    </row>
    <row r="25" spans="1:21" x14ac:dyDescent="0.25">
      <c r="A25" s="180" t="s">
        <v>271</v>
      </c>
      <c r="B25" s="236"/>
      <c r="C25" s="227">
        <f t="shared" ref="C25:R25" si="7">C$17</f>
        <v>14250000</v>
      </c>
      <c r="D25" s="81">
        <f t="shared" si="7"/>
        <v>0</v>
      </c>
      <c r="E25" s="82">
        <f t="shared" si="7"/>
        <v>0</v>
      </c>
      <c r="F25" s="82">
        <f t="shared" si="7"/>
        <v>0</v>
      </c>
      <c r="G25" s="82">
        <f t="shared" si="7"/>
        <v>0</v>
      </c>
      <c r="H25" s="82">
        <f t="shared" si="7"/>
        <v>0</v>
      </c>
      <c r="I25" s="82">
        <f t="shared" si="7"/>
        <v>0</v>
      </c>
      <c r="J25" s="82">
        <f t="shared" si="7"/>
        <v>0</v>
      </c>
      <c r="K25" s="82">
        <f t="shared" si="7"/>
        <v>0</v>
      </c>
      <c r="L25" s="82">
        <f t="shared" si="7"/>
        <v>0</v>
      </c>
      <c r="M25" s="82">
        <f t="shared" si="7"/>
        <v>0</v>
      </c>
      <c r="N25" s="82">
        <f t="shared" si="7"/>
        <v>0</v>
      </c>
      <c r="O25" s="82">
        <f t="shared" si="7"/>
        <v>0</v>
      </c>
      <c r="P25" s="82">
        <f t="shared" si="7"/>
        <v>0</v>
      </c>
      <c r="Q25" s="82">
        <f t="shared" si="7"/>
        <v>0</v>
      </c>
      <c r="R25" s="82">
        <f t="shared" si="7"/>
        <v>0</v>
      </c>
      <c r="S25" s="81">
        <f t="array" ref="S25">SUM(($D$10:$R$10&lt;&gt;0)*$D25:$R25)</f>
        <v>0</v>
      </c>
      <c r="T25" s="82">
        <f t="shared" si="3"/>
        <v>14250000</v>
      </c>
      <c r="U25" s="143">
        <f t="shared" si="4"/>
        <v>14250000</v>
      </c>
    </row>
    <row r="26" spans="1:21" x14ac:dyDescent="0.25">
      <c r="A26" s="180" t="s">
        <v>276</v>
      </c>
      <c r="B26" s="236"/>
      <c r="C26" s="231">
        <f>C19+C20</f>
        <v>11450366.182606414</v>
      </c>
      <c r="D26" s="193">
        <f t="shared" ref="D26:R26" si="8">D19+D20</f>
        <v>0</v>
      </c>
      <c r="E26" s="194">
        <f t="shared" si="8"/>
        <v>0</v>
      </c>
      <c r="F26" s="194">
        <f t="shared" si="8"/>
        <v>0</v>
      </c>
      <c r="G26" s="194">
        <f t="shared" si="8"/>
        <v>0</v>
      </c>
      <c r="H26" s="194">
        <f t="shared" si="8"/>
        <v>0</v>
      </c>
      <c r="I26" s="194">
        <f t="shared" si="8"/>
        <v>0</v>
      </c>
      <c r="J26" s="194">
        <f t="shared" si="8"/>
        <v>0</v>
      </c>
      <c r="K26" s="194">
        <f t="shared" si="8"/>
        <v>0</v>
      </c>
      <c r="L26" s="194">
        <f t="shared" si="8"/>
        <v>0</v>
      </c>
      <c r="M26" s="194">
        <f t="shared" si="8"/>
        <v>0</v>
      </c>
      <c r="N26" s="194">
        <f t="shared" si="8"/>
        <v>0</v>
      </c>
      <c r="O26" s="194">
        <f t="shared" si="8"/>
        <v>0</v>
      </c>
      <c r="P26" s="194">
        <f t="shared" si="8"/>
        <v>0</v>
      </c>
      <c r="Q26" s="194">
        <f t="shared" si="8"/>
        <v>0</v>
      </c>
      <c r="R26" s="194">
        <f t="shared" si="8"/>
        <v>0</v>
      </c>
      <c r="S26" s="193">
        <f t="array" ref="S26">SUM(($D$10:$R$10&lt;&gt;0)*$D26:$R26)</f>
        <v>0</v>
      </c>
      <c r="T26" s="194">
        <f t="shared" si="3"/>
        <v>11450366</v>
      </c>
      <c r="U26" s="195">
        <f t="shared" si="4"/>
        <v>11450366</v>
      </c>
    </row>
    <row r="27" spans="1:21" ht="24.6" thickBot="1" x14ac:dyDescent="0.3">
      <c r="A27" s="196" t="s">
        <v>277</v>
      </c>
      <c r="B27" s="241"/>
      <c r="C27" s="232">
        <f t="shared" ref="C27:R27" si="9">C$25-C$26</f>
        <v>2799633.817393586</v>
      </c>
      <c r="D27" s="197">
        <f t="shared" si="9"/>
        <v>0</v>
      </c>
      <c r="E27" s="198">
        <f t="shared" si="9"/>
        <v>0</v>
      </c>
      <c r="F27" s="198">
        <f t="shared" si="9"/>
        <v>0</v>
      </c>
      <c r="G27" s="198">
        <f t="shared" si="9"/>
        <v>0</v>
      </c>
      <c r="H27" s="198">
        <f t="shared" si="9"/>
        <v>0</v>
      </c>
      <c r="I27" s="198">
        <f t="shared" si="9"/>
        <v>0</v>
      </c>
      <c r="J27" s="198">
        <f t="shared" si="9"/>
        <v>0</v>
      </c>
      <c r="K27" s="198">
        <f t="shared" si="9"/>
        <v>0</v>
      </c>
      <c r="L27" s="198">
        <f t="shared" si="9"/>
        <v>0</v>
      </c>
      <c r="M27" s="198">
        <f t="shared" si="9"/>
        <v>0</v>
      </c>
      <c r="N27" s="198">
        <f t="shared" si="9"/>
        <v>0</v>
      </c>
      <c r="O27" s="198">
        <f t="shared" si="9"/>
        <v>0</v>
      </c>
      <c r="P27" s="198">
        <f t="shared" si="9"/>
        <v>0</v>
      </c>
      <c r="Q27" s="198">
        <f t="shared" si="9"/>
        <v>0</v>
      </c>
      <c r="R27" s="198">
        <f t="shared" si="9"/>
        <v>0</v>
      </c>
      <c r="S27" s="197">
        <f t="array" ref="S27">SUM(($D$10:$R$10&lt;&gt;0)*$D27:$R27)</f>
        <v>0</v>
      </c>
      <c r="T27" s="198">
        <f t="shared" si="3"/>
        <v>2799634</v>
      </c>
      <c r="U27" s="199">
        <f t="shared" si="4"/>
        <v>2799634</v>
      </c>
    </row>
    <row r="28" spans="1:21" ht="13.8" thickTop="1" x14ac:dyDescent="0.25">
      <c r="A28" s="180"/>
      <c r="B28" s="236"/>
      <c r="C28" s="227"/>
      <c r="D28" s="81"/>
      <c r="E28" s="82"/>
      <c r="F28" s="82"/>
      <c r="G28" s="82"/>
      <c r="H28" s="82"/>
      <c r="I28" s="82"/>
      <c r="J28" s="82"/>
      <c r="K28" s="82"/>
      <c r="L28" s="82"/>
      <c r="M28" s="82"/>
      <c r="N28" s="82"/>
      <c r="O28" s="82"/>
      <c r="P28" s="82"/>
      <c r="Q28" s="82"/>
      <c r="R28" s="82"/>
      <c r="S28" s="81">
        <f t="array" ref="S28">SUM(($D$10:$R$10&lt;&gt;0)*$D28:$R28)</f>
        <v>0</v>
      </c>
      <c r="T28" s="82">
        <f t="shared" si="3"/>
        <v>0</v>
      </c>
      <c r="U28" s="143">
        <f t="shared" si="4"/>
        <v>0</v>
      </c>
    </row>
    <row r="29" spans="1:21" x14ac:dyDescent="0.25">
      <c r="A29" s="83" t="s">
        <v>278</v>
      </c>
      <c r="B29" s="242"/>
      <c r="C29" s="229">
        <f>C$17*VLOOKUP('Project data &amp; personnel '!$E$29,'Salary scale &amp; Incentives'!$G$27:$H$29,2,FALSE)</f>
        <v>2137500</v>
      </c>
      <c r="D29" s="186">
        <f>D$17*VLOOKUP('Project data &amp; personnel '!$E$29,'Salary scale &amp; Incentives'!$G$27:$H$29,2,FALSE)</f>
        <v>0</v>
      </c>
      <c r="E29" s="187">
        <f>E$17*VLOOKUP('Project data &amp; personnel '!$E$29,'Salary scale &amp; Incentives'!$G$27:$H$29,2,FALSE)</f>
        <v>0</v>
      </c>
      <c r="F29" s="187">
        <f>F$17*VLOOKUP('Project data &amp; personnel '!$E$29,'Salary scale &amp; Incentives'!$G$27:$H$29,2,FALSE)</f>
        <v>0</v>
      </c>
      <c r="G29" s="187">
        <f>G$17*VLOOKUP('Project data &amp; personnel '!$E$29,'Salary scale &amp; Incentives'!$G$27:$H$29,2,FALSE)</f>
        <v>0</v>
      </c>
      <c r="H29" s="187">
        <f>H$17*VLOOKUP('Project data &amp; personnel '!$E$29,'Salary scale &amp; Incentives'!$G$27:$H$29,2,FALSE)</f>
        <v>0</v>
      </c>
      <c r="I29" s="187">
        <f>I$17*VLOOKUP('Project data &amp; personnel '!$E$29,'Salary scale &amp; Incentives'!$G$27:$H$29,2,FALSE)</f>
        <v>0</v>
      </c>
      <c r="J29" s="187">
        <f>J$17*VLOOKUP('Project data &amp; personnel '!$E$29,'Salary scale &amp; Incentives'!$G$27:$H$29,2,FALSE)</f>
        <v>0</v>
      </c>
      <c r="K29" s="187">
        <f>K$17*VLOOKUP('Project data &amp; personnel '!$E$29,'Salary scale &amp; Incentives'!$G$27:$H$29,2,FALSE)</f>
        <v>0</v>
      </c>
      <c r="L29" s="187">
        <f>L$17*VLOOKUP('Project data &amp; personnel '!$E$29,'Salary scale &amp; Incentives'!$G$27:$H$29,2,FALSE)</f>
        <v>0</v>
      </c>
      <c r="M29" s="187">
        <f>M$17*VLOOKUP('Project data &amp; personnel '!$E$29,'Salary scale &amp; Incentives'!$G$27:$H$29,2,FALSE)</f>
        <v>0</v>
      </c>
      <c r="N29" s="187">
        <f>N$17*VLOOKUP('Project data &amp; personnel '!$E$29,'Salary scale &amp; Incentives'!$G$27:$H$29,2,FALSE)</f>
        <v>0</v>
      </c>
      <c r="O29" s="187">
        <f>O$17*VLOOKUP('Project data &amp; personnel '!$E$29,'Salary scale &amp; Incentives'!$G$27:$H$29,2,FALSE)</f>
        <v>0</v>
      </c>
      <c r="P29" s="187">
        <f>P$17*VLOOKUP('Project data &amp; personnel '!$E$29,'Salary scale &amp; Incentives'!$G$27:$H$29,2,FALSE)</f>
        <v>0</v>
      </c>
      <c r="Q29" s="187">
        <f>Q$17*VLOOKUP('Project data &amp; personnel '!$E$29,'Salary scale &amp; Incentives'!$G$27:$H$29,2,FALSE)</f>
        <v>0</v>
      </c>
      <c r="R29" s="187">
        <f>R$17*VLOOKUP('Project data &amp; personnel '!$E$29,'Salary scale &amp; Incentives'!$G$27:$H$29,2,FALSE)</f>
        <v>0</v>
      </c>
      <c r="S29" s="186">
        <f t="array" ref="S29">SUM(($D$10:$R$10&lt;&gt;0)*$D29:$R29)</f>
        <v>0</v>
      </c>
      <c r="T29" s="187">
        <f t="shared" si="3"/>
        <v>2137500</v>
      </c>
      <c r="U29" s="188">
        <f t="shared" si="4"/>
        <v>2137500</v>
      </c>
    </row>
    <row r="30" spans="1:21" x14ac:dyDescent="0.25">
      <c r="A30" s="180" t="s">
        <v>279</v>
      </c>
      <c r="B30" s="236"/>
      <c r="C30" s="227">
        <f>C$17*$C$5</f>
        <v>8835000</v>
      </c>
      <c r="D30" s="81">
        <f t="shared" ref="D30:R30" si="10">IF(D$9=0,0,D$17*$C$5)</f>
        <v>0</v>
      </c>
      <c r="E30" s="82">
        <f t="shared" si="10"/>
        <v>0</v>
      </c>
      <c r="F30" s="82">
        <f t="shared" si="10"/>
        <v>0</v>
      </c>
      <c r="G30" s="82">
        <f t="shared" si="10"/>
        <v>0</v>
      </c>
      <c r="H30" s="82">
        <f t="shared" si="10"/>
        <v>0</v>
      </c>
      <c r="I30" s="82">
        <f t="shared" si="10"/>
        <v>0</v>
      </c>
      <c r="J30" s="82">
        <f t="shared" si="10"/>
        <v>0</v>
      </c>
      <c r="K30" s="82">
        <f t="shared" si="10"/>
        <v>0</v>
      </c>
      <c r="L30" s="82">
        <f t="shared" si="10"/>
        <v>0</v>
      </c>
      <c r="M30" s="82">
        <f t="shared" si="10"/>
        <v>0</v>
      </c>
      <c r="N30" s="82">
        <f t="shared" si="10"/>
        <v>0</v>
      </c>
      <c r="O30" s="82">
        <f t="shared" si="10"/>
        <v>0</v>
      </c>
      <c r="P30" s="82">
        <f t="shared" si="10"/>
        <v>0</v>
      </c>
      <c r="Q30" s="82">
        <f t="shared" si="10"/>
        <v>0</v>
      </c>
      <c r="R30" s="82">
        <f t="shared" si="10"/>
        <v>0</v>
      </c>
      <c r="S30" s="81">
        <f>SUM(D30:R30)</f>
        <v>0</v>
      </c>
      <c r="T30" s="82">
        <f t="shared" si="3"/>
        <v>8835000</v>
      </c>
      <c r="U30" s="143">
        <f t="shared" si="4"/>
        <v>8835000</v>
      </c>
    </row>
    <row r="31" spans="1:21" ht="24.6" thickBot="1" x14ac:dyDescent="0.3">
      <c r="A31" s="200" t="s">
        <v>280</v>
      </c>
      <c r="B31" s="243"/>
      <c r="C31" s="233">
        <f>C$30-C$29</f>
        <v>6697500</v>
      </c>
      <c r="D31" s="201">
        <f t="shared" ref="D31:R31" si="11">IF(D$9=0,0,D$30-D$29)</f>
        <v>0</v>
      </c>
      <c r="E31" s="202">
        <f t="shared" si="11"/>
        <v>0</v>
      </c>
      <c r="F31" s="202">
        <f t="shared" si="11"/>
        <v>0</v>
      </c>
      <c r="G31" s="202">
        <f t="shared" si="11"/>
        <v>0</v>
      </c>
      <c r="H31" s="202">
        <f t="shared" si="11"/>
        <v>0</v>
      </c>
      <c r="I31" s="202">
        <f t="shared" si="11"/>
        <v>0</v>
      </c>
      <c r="J31" s="202">
        <f t="shared" si="11"/>
        <v>0</v>
      </c>
      <c r="K31" s="202">
        <f t="shared" si="11"/>
        <v>0</v>
      </c>
      <c r="L31" s="202">
        <f t="shared" si="11"/>
        <v>0</v>
      </c>
      <c r="M31" s="202">
        <f t="shared" si="11"/>
        <v>0</v>
      </c>
      <c r="N31" s="202">
        <f t="shared" si="11"/>
        <v>0</v>
      </c>
      <c r="O31" s="202">
        <f t="shared" si="11"/>
        <v>0</v>
      </c>
      <c r="P31" s="202">
        <f t="shared" si="11"/>
        <v>0</v>
      </c>
      <c r="Q31" s="202">
        <f t="shared" si="11"/>
        <v>0</v>
      </c>
      <c r="R31" s="202">
        <f t="shared" si="11"/>
        <v>0</v>
      </c>
      <c r="S31" s="201">
        <f>SUM(D31:R31)</f>
        <v>0</v>
      </c>
      <c r="T31" s="202">
        <f t="shared" si="3"/>
        <v>6697500</v>
      </c>
      <c r="U31" s="203">
        <f t="shared" si="4"/>
        <v>6697500</v>
      </c>
    </row>
    <row r="34" spans="1:21" x14ac:dyDescent="0.25">
      <c r="A34" s="144"/>
      <c r="B34" s="73"/>
      <c r="C34" s="73"/>
      <c r="D34" s="73"/>
      <c r="E34" s="73"/>
      <c r="F34" s="73"/>
      <c r="G34" s="73"/>
      <c r="H34" s="73"/>
      <c r="I34" s="73"/>
      <c r="J34" s="73"/>
      <c r="K34" s="73"/>
      <c r="L34" s="73"/>
      <c r="M34" s="73"/>
      <c r="N34" s="73"/>
      <c r="O34" s="73"/>
      <c r="P34" s="73"/>
      <c r="Q34" s="73"/>
      <c r="R34" s="73"/>
      <c r="S34" s="73"/>
      <c r="T34" s="73"/>
      <c r="U34" s="73"/>
    </row>
    <row r="35" spans="1:21" hidden="1" x14ac:dyDescent="0.25">
      <c r="A35" s="73" t="s">
        <v>281</v>
      </c>
      <c r="B35" s="73"/>
      <c r="C35" s="73"/>
      <c r="D35" s="73"/>
      <c r="E35" s="73"/>
      <c r="F35" s="73"/>
      <c r="G35" s="73"/>
      <c r="H35" s="73"/>
      <c r="I35" s="73"/>
      <c r="J35" s="73"/>
      <c r="K35" s="73"/>
      <c r="L35" s="73"/>
      <c r="M35" s="73"/>
      <c r="N35" s="73"/>
      <c r="O35" s="73"/>
      <c r="P35" s="73"/>
      <c r="Q35" s="73"/>
      <c r="R35" s="73"/>
      <c r="S35" s="73"/>
      <c r="T35" s="73"/>
      <c r="U35" s="73"/>
    </row>
  </sheetData>
  <sheetProtection algorithmName="SHA-512" hashValue="QhY6B5JFtnH9yCFxbIo2rGm5xuMmFouGC+iDTgq9ZawhUmNmsiGGJDXJi13LQkONdnCQw/KFnHnOQlVSec6VNA==" saltValue="b/F8Z8TXz26i3625H5YzSA==" spinCount="100000" sheet="1" objects="1" scenarios="1"/>
  <mergeCells count="5">
    <mergeCell ref="C3:D3"/>
    <mergeCell ref="C9:C10"/>
    <mergeCell ref="S9:S11"/>
    <mergeCell ref="T9:T11"/>
    <mergeCell ref="U9:U11"/>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pageSetUpPr fitToPage="1"/>
  </sheetPr>
  <dimension ref="A2:U40"/>
  <sheetViews>
    <sheetView zoomScaleNormal="100" workbookViewId="0"/>
  </sheetViews>
  <sheetFormatPr defaultColWidth="11.44140625" defaultRowHeight="13.2" x14ac:dyDescent="0.25"/>
  <cols>
    <col min="1" max="1" width="37" style="86" customWidth="1"/>
    <col min="2" max="2" width="12.44140625" style="85" customWidth="1"/>
    <col min="3" max="3" width="12.44140625" style="86" customWidth="1"/>
    <col min="4" max="17" width="12.44140625" customWidth="1"/>
    <col min="18" max="18" width="2.44140625" hidden="1" customWidth="1"/>
    <col min="19" max="21" width="12.44140625" customWidth="1"/>
  </cols>
  <sheetData>
    <row r="2" spans="1:21" ht="18" x14ac:dyDescent="0.35">
      <c r="A2" s="84" t="s">
        <v>282</v>
      </c>
    </row>
    <row r="3" spans="1:21" ht="18" x14ac:dyDescent="0.35">
      <c r="A3" s="84"/>
    </row>
    <row r="4" spans="1:21" ht="15.6" x14ac:dyDescent="0.3">
      <c r="A4" s="12" t="s">
        <v>102</v>
      </c>
      <c r="B4" s="620" t="str">
        <f>'Project data &amp; personnel '!$D$7</f>
        <v>Acronym</v>
      </c>
      <c r="C4" s="621"/>
    </row>
    <row r="5" spans="1:21" ht="18" x14ac:dyDescent="0.35">
      <c r="A5" s="84"/>
    </row>
    <row r="6" spans="1:21" ht="21.6" thickBot="1" x14ac:dyDescent="0.45">
      <c r="A6" s="87" t="s">
        <v>283</v>
      </c>
      <c r="B6" s="88"/>
    </row>
    <row r="7" spans="1:21" s="3" customFormat="1" x14ac:dyDescent="0.2">
      <c r="A7" s="89" t="s">
        <v>262</v>
      </c>
      <c r="B7" s="639" t="s">
        <v>196</v>
      </c>
      <c r="C7" s="90" t="str">
        <f>'Internal NTNU budget'!D$11</f>
        <v>IV</v>
      </c>
      <c r="D7" s="91">
        <f>'Internal NTNU budget'!E$11</f>
        <v>0</v>
      </c>
      <c r="E7" s="91">
        <f>'Internal NTNU budget'!F$11</f>
        <v>0</v>
      </c>
      <c r="F7" s="91">
        <f>'Internal NTNU budget'!G$11</f>
        <v>0</v>
      </c>
      <c r="G7" s="91">
        <f>'Internal NTNU budget'!H$11</f>
        <v>0</v>
      </c>
      <c r="H7" s="91">
        <f>'Internal NTNU budget'!I$11</f>
        <v>0</v>
      </c>
      <c r="I7" s="91">
        <f>'Internal NTNU budget'!J$11</f>
        <v>0</v>
      </c>
      <c r="J7" s="91">
        <f>'Internal NTNU budget'!K$11</f>
        <v>0</v>
      </c>
      <c r="K7" s="91">
        <f>'Internal NTNU budget'!L$11</f>
        <v>0</v>
      </c>
      <c r="L7" s="91">
        <f>'Internal NTNU budget'!M$11</f>
        <v>0</v>
      </c>
      <c r="M7" s="91">
        <f>'Internal NTNU budget'!N$11</f>
        <v>0</v>
      </c>
      <c r="N7" s="91">
        <f>'Internal NTNU budget'!O$11</f>
        <v>0</v>
      </c>
      <c r="O7" s="91">
        <f>'Internal NTNU budget'!P$11</f>
        <v>0</v>
      </c>
      <c r="P7" s="91">
        <f>'Internal NTNU budget'!Q$11</f>
        <v>0</v>
      </c>
      <c r="Q7" s="91">
        <f>'Internal NTNU budget'!R$11</f>
        <v>0</v>
      </c>
      <c r="R7" s="92"/>
      <c r="S7" s="641" t="s">
        <v>263</v>
      </c>
      <c r="T7" s="643" t="s">
        <v>264</v>
      </c>
      <c r="U7" s="645" t="s">
        <v>161</v>
      </c>
    </row>
    <row r="8" spans="1:21" s="3" customFormat="1" ht="13.8" thickBot="1" x14ac:dyDescent="0.25">
      <c r="A8" s="93" t="s">
        <v>265</v>
      </c>
      <c r="B8" s="640"/>
      <c r="C8" s="94" t="str">
        <f>'Internal NTNU budget'!D$12</f>
        <v>EPT</v>
      </c>
      <c r="D8" s="95">
        <f>'Internal NTNU budget'!E$12</f>
        <v>0</v>
      </c>
      <c r="E8" s="95">
        <f>'Internal NTNU budget'!F$12</f>
        <v>0</v>
      </c>
      <c r="F8" s="95">
        <f>'Internal NTNU budget'!G$12</f>
        <v>0</v>
      </c>
      <c r="G8" s="95">
        <f>'Internal NTNU budget'!H$12</f>
        <v>0</v>
      </c>
      <c r="H8" s="95">
        <f>'Internal NTNU budget'!I$12</f>
        <v>0</v>
      </c>
      <c r="I8" s="95">
        <f>'Internal NTNU budget'!J$12</f>
        <v>0</v>
      </c>
      <c r="J8" s="95">
        <f>'Internal NTNU budget'!K$12</f>
        <v>0</v>
      </c>
      <c r="K8" s="95">
        <f>'Internal NTNU budget'!L$12</f>
        <v>0</v>
      </c>
      <c r="L8" s="95">
        <f>'Internal NTNU budget'!M$12</f>
        <v>0</v>
      </c>
      <c r="M8" s="95">
        <f>'Internal NTNU budget'!N$12</f>
        <v>0</v>
      </c>
      <c r="N8" s="95">
        <f>'Internal NTNU budget'!O$12</f>
        <v>0</v>
      </c>
      <c r="O8" s="95">
        <f>'Internal NTNU budget'!P$12</f>
        <v>0</v>
      </c>
      <c r="P8" s="95">
        <f>'Internal NTNU budget'!Q$12</f>
        <v>0</v>
      </c>
      <c r="Q8" s="95">
        <f>'Internal NTNU budget'!R$12</f>
        <v>0</v>
      </c>
      <c r="R8" s="96"/>
      <c r="S8" s="647"/>
      <c r="T8" s="644"/>
      <c r="U8" s="646"/>
    </row>
    <row r="9" spans="1:21" x14ac:dyDescent="0.25">
      <c r="A9" s="97" t="s">
        <v>284</v>
      </c>
      <c r="B9" s="98">
        <f>-'Hovedtall pr. org''enhet'!C$21</f>
        <v>-6702229.901186672</v>
      </c>
      <c r="C9" s="99">
        <f>-'Hovedtall pr. org''enhet'!D$21</f>
        <v>0</v>
      </c>
      <c r="D9" s="100">
        <f>-'Hovedtall pr. org''enhet'!E$21</f>
        <v>0</v>
      </c>
      <c r="E9" s="100">
        <f>-'Hovedtall pr. org''enhet'!F$21</f>
        <v>0</v>
      </c>
      <c r="F9" s="100">
        <f>-'Hovedtall pr. org''enhet'!G$21</f>
        <v>0</v>
      </c>
      <c r="G9" s="100">
        <f>-'Hovedtall pr. org''enhet'!H$21</f>
        <v>0</v>
      </c>
      <c r="H9" s="100">
        <f>-'Hovedtall pr. org''enhet'!I$21</f>
        <v>0</v>
      </c>
      <c r="I9" s="100">
        <f>-'Hovedtall pr. org''enhet'!J$21</f>
        <v>0</v>
      </c>
      <c r="J9" s="100">
        <f>-'Hovedtall pr. org''enhet'!K$21</f>
        <v>0</v>
      </c>
      <c r="K9" s="100">
        <f>-'Hovedtall pr. org''enhet'!L$21</f>
        <v>0</v>
      </c>
      <c r="L9" s="100">
        <f>-'Hovedtall pr. org''enhet'!M$21</f>
        <v>0</v>
      </c>
      <c r="M9" s="100">
        <f>-'Hovedtall pr. org''enhet'!N$21</f>
        <v>0</v>
      </c>
      <c r="N9" s="100">
        <f>-'Hovedtall pr. org''enhet'!O$21</f>
        <v>0</v>
      </c>
      <c r="O9" s="100">
        <f>-'Hovedtall pr. org''enhet'!P$21</f>
        <v>0</v>
      </c>
      <c r="P9" s="100">
        <f>-'Hovedtall pr. org''enhet'!Q$21</f>
        <v>0</v>
      </c>
      <c r="Q9" s="100">
        <f>-'Hovedtall pr. org''enhet'!R$21</f>
        <v>0</v>
      </c>
      <c r="R9" s="101"/>
      <c r="S9" s="99">
        <f t="array" ref="S9">SUM(($C$8:$Q$8&lt;&gt;0)*$C9:$Q9)</f>
        <v>0</v>
      </c>
      <c r="T9" s="100">
        <f>$B9-$S9</f>
        <v>-6702229.901186672</v>
      </c>
      <c r="U9" s="101">
        <f t="shared" ref="U9" si="0">SUM(S9:T9)</f>
        <v>-6702229.901186672</v>
      </c>
    </row>
    <row r="10" spans="1:21" x14ac:dyDescent="0.25">
      <c r="A10" s="102" t="s">
        <v>285</v>
      </c>
      <c r="B10" s="103">
        <f>('Hovedtall pr. org''enhet'!C$21-'Hovedtall pr. org''enhet'!C$14)+('Hovedtall pr. org''enhet'!C$15-'Hovedtall pr. org''enhet'!C$17)*('Project data &amp; personnel '!$E$30/(1+'Project data &amp; personnel '!$E$30))</f>
        <v>3899729.901186672</v>
      </c>
      <c r="C10" s="104">
        <f>('Hovedtall pr. org''enhet'!D$21-'Hovedtall pr. org''enhet'!D$14)+('Hovedtall pr. org''enhet'!D$15-'Hovedtall pr. org''enhet'!D$17)*('Project data &amp; personnel '!$E$30/(1+'Project data &amp; personnel '!$E$30))</f>
        <v>0</v>
      </c>
      <c r="D10" s="105">
        <f>('Hovedtall pr. org''enhet'!E$21-'Hovedtall pr. org''enhet'!E$14)+('Hovedtall pr. org''enhet'!E$15-'Hovedtall pr. org''enhet'!E$17)*('Project data &amp; personnel '!$E$30/(1+'Project data &amp; personnel '!$E$30))</f>
        <v>0</v>
      </c>
      <c r="E10" s="105">
        <f>('Hovedtall pr. org''enhet'!F$21-'Hovedtall pr. org''enhet'!F$14)+('Hovedtall pr. org''enhet'!F$15-'Hovedtall pr. org''enhet'!F$17)*('Project data &amp; personnel '!$E$30/(1+'Project data &amp; personnel '!$E$30))</f>
        <v>0</v>
      </c>
      <c r="F10" s="105">
        <f>('Hovedtall pr. org''enhet'!G$21-'Hovedtall pr. org''enhet'!G$14)+('Hovedtall pr. org''enhet'!G$15-'Hovedtall pr. org''enhet'!G$17)*('Project data &amp; personnel '!$E$30/(1+'Project data &amp; personnel '!$E$30))</f>
        <v>0</v>
      </c>
      <c r="G10" s="105">
        <f>('Hovedtall pr. org''enhet'!H$21-'Hovedtall pr. org''enhet'!H$14)+('Hovedtall pr. org''enhet'!H$15-'Hovedtall pr. org''enhet'!H$17)*('Project data &amp; personnel '!$E$30/(1+'Project data &amp; personnel '!$E$30))</f>
        <v>0</v>
      </c>
      <c r="H10" s="105">
        <f>('Hovedtall pr. org''enhet'!I$21-'Hovedtall pr. org''enhet'!I$14)+('Hovedtall pr. org''enhet'!I$15-'Hovedtall pr. org''enhet'!I$17)*('Project data &amp; personnel '!$E$30/(1+'Project data &amp; personnel '!$E$30))</f>
        <v>0</v>
      </c>
      <c r="I10" s="105">
        <f>('Hovedtall pr. org''enhet'!J$21-'Hovedtall pr. org''enhet'!J$14)+('Hovedtall pr. org''enhet'!J$15-'Hovedtall pr. org''enhet'!J$17)*('Project data &amp; personnel '!$E$30/(1+'Project data &amp; personnel '!$E$30))</f>
        <v>0</v>
      </c>
      <c r="J10" s="105">
        <f>('Hovedtall pr. org''enhet'!K$21-'Hovedtall pr. org''enhet'!K$14)+('Hovedtall pr. org''enhet'!K$15-'Hovedtall pr. org''enhet'!K$17)*('Project data &amp; personnel '!$E$30/(1+'Project data &amp; personnel '!$E$30))</f>
        <v>0</v>
      </c>
      <c r="K10" s="105">
        <f>('Hovedtall pr. org''enhet'!L$21-'Hovedtall pr. org''enhet'!L$14)+('Hovedtall pr. org''enhet'!L$15-'Hovedtall pr. org''enhet'!L$17)*('Project data &amp; personnel '!$E$30/(1+'Project data &amp; personnel '!$E$30))</f>
        <v>0</v>
      </c>
      <c r="L10" s="105">
        <f>('Hovedtall pr. org''enhet'!M$21-'Hovedtall pr. org''enhet'!M$14)+('Hovedtall pr. org''enhet'!M$15-'Hovedtall pr. org''enhet'!M$17)*('Project data &amp; personnel '!$E$30/(1+'Project data &amp; personnel '!$E$30))</f>
        <v>0</v>
      </c>
      <c r="M10" s="105">
        <f>('Hovedtall pr. org''enhet'!N$21-'Hovedtall pr. org''enhet'!N$14)+('Hovedtall pr. org''enhet'!N$15-'Hovedtall pr. org''enhet'!N$17)*('Project data &amp; personnel '!$E$30/(1+'Project data &amp; personnel '!$E$30))</f>
        <v>0</v>
      </c>
      <c r="N10" s="105">
        <f>('Hovedtall pr. org''enhet'!O$21-'Hovedtall pr. org''enhet'!O$14)+('Hovedtall pr. org''enhet'!O$15-'Hovedtall pr. org''enhet'!O$17)*('Project data &amp; personnel '!$E$30/(1+'Project data &amp; personnel '!$E$30))</f>
        <v>0</v>
      </c>
      <c r="O10" s="105">
        <f>('Hovedtall pr. org''enhet'!P$21-'Hovedtall pr. org''enhet'!P$14)+('Hovedtall pr. org''enhet'!P$15-'Hovedtall pr. org''enhet'!P$17)*('Project data &amp; personnel '!$E$30/(1+'Project data &amp; personnel '!$E$30))</f>
        <v>0</v>
      </c>
      <c r="P10" s="105">
        <f>('Hovedtall pr. org''enhet'!Q$21-'Hovedtall pr. org''enhet'!Q$14)+('Hovedtall pr. org''enhet'!Q$15-'Hovedtall pr. org''enhet'!Q$17)*('Project data &amp; personnel '!$E$30/(1+'Project data &amp; personnel '!$E$30))</f>
        <v>0</v>
      </c>
      <c r="Q10" s="105">
        <f>('Hovedtall pr. org''enhet'!R$21-'Hovedtall pr. org''enhet'!R$14)+('Hovedtall pr. org''enhet'!R$15-'Hovedtall pr. org''enhet'!R$17)*('Project data &amp; personnel '!$E$30/(1+'Project data &amp; personnel '!$E$30))</f>
        <v>0</v>
      </c>
      <c r="R10" s="106"/>
      <c r="S10" s="104">
        <f t="array" ref="S10">SUM(($C$8:$Q$8&lt;&gt;0)*$C10:$Q10)</f>
        <v>0</v>
      </c>
      <c r="T10" s="105">
        <f t="shared" ref="T10:T19" si="1">$B10-$S10</f>
        <v>3899729.901186672</v>
      </c>
      <c r="U10" s="106">
        <f t="shared" ref="U10:U19" si="2">SUM(S10:T10)</f>
        <v>3899729.901186672</v>
      </c>
    </row>
    <row r="11" spans="1:21" ht="14.4" x14ac:dyDescent="0.3">
      <c r="A11" s="206" t="s">
        <v>286</v>
      </c>
      <c r="B11" s="108">
        <f>B9+B10</f>
        <v>-2802500</v>
      </c>
      <c r="C11" s="109">
        <f t="shared" ref="C11:Q11" si="3">C9+C10</f>
        <v>0</v>
      </c>
      <c r="D11" s="110">
        <f t="shared" si="3"/>
        <v>0</v>
      </c>
      <c r="E11" s="110">
        <f t="shared" si="3"/>
        <v>0</v>
      </c>
      <c r="F11" s="110">
        <f t="shared" si="3"/>
        <v>0</v>
      </c>
      <c r="G11" s="110">
        <f t="shared" si="3"/>
        <v>0</v>
      </c>
      <c r="H11" s="110">
        <f t="shared" si="3"/>
        <v>0</v>
      </c>
      <c r="I11" s="110">
        <f t="shared" si="3"/>
        <v>0</v>
      </c>
      <c r="J11" s="110">
        <f t="shared" si="3"/>
        <v>0</v>
      </c>
      <c r="K11" s="110">
        <f t="shared" si="3"/>
        <v>0</v>
      </c>
      <c r="L11" s="110">
        <f t="shared" si="3"/>
        <v>0</v>
      </c>
      <c r="M11" s="110">
        <f t="shared" si="3"/>
        <v>0</v>
      </c>
      <c r="N11" s="110">
        <f t="shared" si="3"/>
        <v>0</v>
      </c>
      <c r="O11" s="110">
        <f t="shared" si="3"/>
        <v>0</v>
      </c>
      <c r="P11" s="110">
        <f t="shared" si="3"/>
        <v>0</v>
      </c>
      <c r="Q11" s="110">
        <f t="shared" si="3"/>
        <v>0</v>
      </c>
      <c r="R11" s="111"/>
      <c r="S11" s="109">
        <f t="array" ref="S11">SUM(($C$8:$Q$8&lt;&gt;0)*$C11:$Q11)</f>
        <v>0</v>
      </c>
      <c r="T11" s="110">
        <f t="shared" si="1"/>
        <v>-2802500</v>
      </c>
      <c r="U11" s="111">
        <f t="shared" si="2"/>
        <v>-2802500</v>
      </c>
    </row>
    <row r="12" spans="1:21" x14ac:dyDescent="0.25">
      <c r="A12" s="102" t="s">
        <v>287</v>
      </c>
      <c r="B12" s="112">
        <f>-SUMIF('Non-personnel costs'!$K$14:$K$151,"Yes",'Non-personnel costs'!$H$14:$H$151)*'Project data &amp; personnel '!E28</f>
        <v>0</v>
      </c>
      <c r="C12" s="113">
        <f>-SUMIFS('Non-personnel costs'!$H$14:$H$151,'Non-personnel costs'!$K$14:$K$151,"Yes",'Non-personnel costs'!$D$14:$D$151,'Overføringer BOA-BFV'!C$7,'Non-personnel costs'!$E$14:$E$151,'Overføringer BOA-BFV'!C$8)*'Project data &amp; personnel '!$E$28</f>
        <v>0</v>
      </c>
      <c r="D12" s="485">
        <f>-SUMIFS('Non-personnel costs'!$H$14:$H$151,'Non-personnel costs'!$K$14:$K$151,"Yes",'Non-personnel costs'!$D$14:$D$151,'Overføringer BOA-BFV'!D$7,'Non-personnel costs'!$E$14:$E$151,'Overføringer BOA-BFV'!D$8)*'Project data &amp; personnel '!$E$28</f>
        <v>0</v>
      </c>
      <c r="E12" s="114">
        <f>-SUMIFS('Non-personnel costs'!$H$14:$H$151,'Non-personnel costs'!$K$14:$K$151,"Yes",'Non-personnel costs'!$D$14:$D$151,'Overføringer BOA-BFV'!E$7,'Non-personnel costs'!$E$14:$E$151,'Overføringer BOA-BFV'!E$8)*'Project data &amp; personnel '!$E$28</f>
        <v>0</v>
      </c>
      <c r="F12" s="114">
        <f>-SUMIFS('Non-personnel costs'!$H$14:$H$151,'Non-personnel costs'!$K$14:$K$151,"Yes",'Non-personnel costs'!$D$14:$D$151,'Overføringer BOA-BFV'!F$7,'Non-personnel costs'!$E$14:$E$151,'Overføringer BOA-BFV'!F$8)*'Project data &amp; personnel '!$E$28</f>
        <v>0</v>
      </c>
      <c r="G12" s="114">
        <f>-SUMIFS('Non-personnel costs'!$H$14:$H$151,'Non-personnel costs'!$K$14:$K$151,"Yes",'Non-personnel costs'!$D$14:$D$151,'Overføringer BOA-BFV'!G$7,'Non-personnel costs'!$E$14:$E$151,'Overføringer BOA-BFV'!G$8)*'Project data &amp; personnel '!$E$28</f>
        <v>0</v>
      </c>
      <c r="H12" s="114">
        <f>-SUMIFS('Non-personnel costs'!$H$14:$H$151,'Non-personnel costs'!$K$14:$K$151,"Yes",'Non-personnel costs'!$D$14:$D$151,'Overføringer BOA-BFV'!H$7,'Non-personnel costs'!$E$14:$E$151,'Overføringer BOA-BFV'!H$8)*'Project data &amp; personnel '!$E$28</f>
        <v>0</v>
      </c>
      <c r="I12" s="114">
        <f>-SUMIFS('Non-personnel costs'!$H$14:$H$151,'Non-personnel costs'!$K$14:$K$151,"Yes",'Non-personnel costs'!$D$14:$D$151,'Overføringer BOA-BFV'!I$7,'Non-personnel costs'!$E$14:$E$151,'Overføringer BOA-BFV'!I$8)*'Project data &amp; personnel '!$E$28</f>
        <v>0</v>
      </c>
      <c r="J12" s="114">
        <f>-SUMIFS('Non-personnel costs'!$H$14:$H$151,'Non-personnel costs'!$K$14:$K$151,"Yes",'Non-personnel costs'!$D$14:$D$151,'Overføringer BOA-BFV'!J$7,'Non-personnel costs'!$E$14:$E$151,'Overføringer BOA-BFV'!J$8)*'Project data &amp; personnel '!$E$28</f>
        <v>0</v>
      </c>
      <c r="K12" s="114">
        <f>-SUMIFS('Non-personnel costs'!$H$14:$H$151,'Non-personnel costs'!$K$14:$K$151,"Yes",'Non-personnel costs'!$D$14:$D$151,'Overføringer BOA-BFV'!K$7,'Non-personnel costs'!$E$14:$E$151,'Overføringer BOA-BFV'!K$8)*'Project data &amp; personnel '!$E$28</f>
        <v>0</v>
      </c>
      <c r="L12" s="114">
        <f>-SUMIFS('Non-personnel costs'!$H$14:$H$151,'Non-personnel costs'!$K$14:$K$151,"Yes",'Non-personnel costs'!$D$14:$D$151,'Overføringer BOA-BFV'!L$7,'Non-personnel costs'!$E$14:$E$151,'Overføringer BOA-BFV'!L$8)*'Project data &amp; personnel '!$E$28</f>
        <v>0</v>
      </c>
      <c r="M12" s="114">
        <f>-SUMIFS('Non-personnel costs'!$H$14:$H$151,'Non-personnel costs'!$K$14:$K$151,"Yes",'Non-personnel costs'!$D$14:$D$151,'Overføringer BOA-BFV'!M$7,'Non-personnel costs'!$E$14:$E$151,'Overføringer BOA-BFV'!M$8)*'Project data &amp; personnel '!$E$28</f>
        <v>0</v>
      </c>
      <c r="N12" s="114">
        <f>-SUMIFS('Non-personnel costs'!$H$14:$H$151,'Non-personnel costs'!$K$14:$K$151,"Yes",'Non-personnel costs'!$D$14:$D$151,'Overføringer BOA-BFV'!N$7,'Non-personnel costs'!$E$14:$E$151,'Overføringer BOA-BFV'!N$8)*'Project data &amp; personnel '!$E$28</f>
        <v>0</v>
      </c>
      <c r="O12" s="114">
        <f>-SUMIFS('Non-personnel costs'!$H$14:$H$151,'Non-personnel costs'!$K$14:$K$151,"Yes",'Non-personnel costs'!$D$14:$D$151,'Overføringer BOA-BFV'!O$7,'Non-personnel costs'!$E$14:$E$151,'Overføringer BOA-BFV'!O$8)*'Project data &amp; personnel '!$E$28</f>
        <v>0</v>
      </c>
      <c r="P12" s="114">
        <f>-SUMIFS('Non-personnel costs'!$H$14:$H$151,'Non-personnel costs'!$K$14:$K$151,"Yes",'Non-personnel costs'!$D$14:$D$151,'Overføringer BOA-BFV'!P$7,'Non-personnel costs'!$E$14:$E$151,'Overføringer BOA-BFV'!P$8)*'Project data &amp; personnel '!$E$28</f>
        <v>0</v>
      </c>
      <c r="Q12" s="114">
        <f>-SUMIFS('Non-personnel costs'!$H$14:$H$151,'Non-personnel costs'!$K$14:$K$151,"Yes",'Non-personnel costs'!$D$14:$D$151,'Overføringer BOA-BFV'!Q$7,'Non-personnel costs'!$E$14:$E$151,'Overføringer BOA-BFV'!Q$8)*'Project data &amp; personnel '!$E$28</f>
        <v>0</v>
      </c>
      <c r="R12" s="115"/>
      <c r="S12" s="113">
        <f t="array" ref="S12">SUM(($C$8:$Q$8&lt;&gt;0)*$C12:$Q12)</f>
        <v>0</v>
      </c>
      <c r="T12" s="114">
        <f t="shared" si="1"/>
        <v>0</v>
      </c>
      <c r="U12" s="115">
        <f t="shared" si="2"/>
        <v>0</v>
      </c>
    </row>
    <row r="13" spans="1:21" x14ac:dyDescent="0.25">
      <c r="A13" s="102" t="s">
        <v>288</v>
      </c>
      <c r="B13" s="103">
        <f>-B$19</f>
        <v>-10927866.182606414</v>
      </c>
      <c r="C13" s="104">
        <f t="shared" ref="C13:Q13" si="4">-C$19</f>
        <v>0</v>
      </c>
      <c r="D13" s="105">
        <f t="shared" si="4"/>
        <v>0</v>
      </c>
      <c r="E13" s="105">
        <f t="shared" si="4"/>
        <v>0</v>
      </c>
      <c r="F13" s="105">
        <f t="shared" si="4"/>
        <v>0</v>
      </c>
      <c r="G13" s="105">
        <f t="shared" si="4"/>
        <v>0</v>
      </c>
      <c r="H13" s="105">
        <f t="shared" si="4"/>
        <v>0</v>
      </c>
      <c r="I13" s="105">
        <f t="shared" si="4"/>
        <v>0</v>
      </c>
      <c r="J13" s="105">
        <f t="shared" si="4"/>
        <v>0</v>
      </c>
      <c r="K13" s="105">
        <f t="shared" si="4"/>
        <v>0</v>
      </c>
      <c r="L13" s="105">
        <f t="shared" si="4"/>
        <v>0</v>
      </c>
      <c r="M13" s="105">
        <f t="shared" si="4"/>
        <v>0</v>
      </c>
      <c r="N13" s="105">
        <f t="shared" si="4"/>
        <v>0</v>
      </c>
      <c r="O13" s="105">
        <f t="shared" si="4"/>
        <v>0</v>
      </c>
      <c r="P13" s="105">
        <f t="shared" si="4"/>
        <v>0</v>
      </c>
      <c r="Q13" s="105">
        <f t="shared" si="4"/>
        <v>0</v>
      </c>
      <c r="R13" s="106"/>
      <c r="S13" s="104">
        <f t="array" ref="S13">SUM(($C$8:$Q$8&lt;&gt;0)*$C13:$Q13)</f>
        <v>0</v>
      </c>
      <c r="T13" s="105">
        <f t="shared" si="1"/>
        <v>-10927866.182606414</v>
      </c>
      <c r="U13" s="106">
        <f t="shared" si="2"/>
        <v>-10927866.182606414</v>
      </c>
    </row>
    <row r="14" spans="1:21" ht="14.4" x14ac:dyDescent="0.3">
      <c r="A14" s="206" t="s">
        <v>289</v>
      </c>
      <c r="B14" s="108">
        <f>SUM(B11:B13)</f>
        <v>-13730366.182606414</v>
      </c>
      <c r="C14" s="109">
        <f t="shared" ref="C14:Q14" si="5">SUM(C11:C13)</f>
        <v>0</v>
      </c>
      <c r="D14" s="110">
        <f t="shared" si="5"/>
        <v>0</v>
      </c>
      <c r="E14" s="110">
        <f t="shared" si="5"/>
        <v>0</v>
      </c>
      <c r="F14" s="110">
        <f t="shared" si="5"/>
        <v>0</v>
      </c>
      <c r="G14" s="110">
        <f t="shared" si="5"/>
        <v>0</v>
      </c>
      <c r="H14" s="110">
        <f t="shared" si="5"/>
        <v>0</v>
      </c>
      <c r="I14" s="110">
        <f t="shared" si="5"/>
        <v>0</v>
      </c>
      <c r="J14" s="110">
        <f t="shared" si="5"/>
        <v>0</v>
      </c>
      <c r="K14" s="110">
        <f t="shared" si="5"/>
        <v>0</v>
      </c>
      <c r="L14" s="110">
        <f t="shared" si="5"/>
        <v>0</v>
      </c>
      <c r="M14" s="110">
        <f t="shared" si="5"/>
        <v>0</v>
      </c>
      <c r="N14" s="110">
        <f t="shared" si="5"/>
        <v>0</v>
      </c>
      <c r="O14" s="110">
        <f t="shared" si="5"/>
        <v>0</v>
      </c>
      <c r="P14" s="110">
        <f t="shared" si="5"/>
        <v>0</v>
      </c>
      <c r="Q14" s="110">
        <f t="shared" si="5"/>
        <v>0</v>
      </c>
      <c r="R14" s="111"/>
      <c r="S14" s="109">
        <f t="array" ref="S14">SUM(($C$8:$Q$8&lt;&gt;0)*$C14:$Q14)</f>
        <v>0</v>
      </c>
      <c r="T14" s="110">
        <f t="shared" si="1"/>
        <v>-13730366.182606414</v>
      </c>
      <c r="U14" s="111">
        <f t="shared" si="2"/>
        <v>-13730366.182606414</v>
      </c>
    </row>
    <row r="15" spans="1:21" x14ac:dyDescent="0.25">
      <c r="A15" s="102" t="s">
        <v>290</v>
      </c>
      <c r="B15" s="112">
        <f>('Hovedtall pr. org''enhet'!C$15-'Hovedtall pr. org''enhet'!C$17)/(1+'Project data &amp; personnel '!$E$30)</f>
        <v>2866.1826064139605</v>
      </c>
      <c r="C15" s="113">
        <f>('Hovedtall pr. org''enhet'!D$15-'Hovedtall pr. org''enhet'!D$17)/(1+'Project data &amp; personnel '!$E$30)</f>
        <v>0</v>
      </c>
      <c r="D15" s="114">
        <f>('Hovedtall pr. org''enhet'!E$15-'Hovedtall pr. org''enhet'!E$17)/(1+'Project data &amp; personnel '!$E$30)</f>
        <v>0</v>
      </c>
      <c r="E15" s="114">
        <f>('Hovedtall pr. org''enhet'!F$15-'Hovedtall pr. org''enhet'!F$17)/(1+'Project data &amp; personnel '!$E$30)</f>
        <v>0</v>
      </c>
      <c r="F15" s="114">
        <f>('Hovedtall pr. org''enhet'!G$15-'Hovedtall pr. org''enhet'!G$17)/(1+'Project data &amp; personnel '!$E$30)</f>
        <v>0</v>
      </c>
      <c r="G15" s="114">
        <f>('Hovedtall pr. org''enhet'!H$15-'Hovedtall pr. org''enhet'!H$17)/(1+'Project data &amp; personnel '!$E$30)</f>
        <v>0</v>
      </c>
      <c r="H15" s="114">
        <f>('Hovedtall pr. org''enhet'!I$15-'Hovedtall pr. org''enhet'!I$17)/(1+'Project data &amp; personnel '!$E$30)</f>
        <v>0</v>
      </c>
      <c r="I15" s="114">
        <f>('Hovedtall pr. org''enhet'!J$15-'Hovedtall pr. org''enhet'!J$17)/(1+'Project data &amp; personnel '!$E$30)</f>
        <v>0</v>
      </c>
      <c r="J15" s="114">
        <f>('Hovedtall pr. org''enhet'!K$15-'Hovedtall pr. org''enhet'!K$17)/(1+'Project data &amp; personnel '!$E$30)</f>
        <v>0</v>
      </c>
      <c r="K15" s="114">
        <f>('Hovedtall pr. org''enhet'!L$15-'Hovedtall pr. org''enhet'!L$17)/(1+'Project data &amp; personnel '!$E$30)</f>
        <v>0</v>
      </c>
      <c r="L15" s="114">
        <f>('Hovedtall pr. org''enhet'!M$15-'Hovedtall pr. org''enhet'!M$17)/(1+'Project data &amp; personnel '!$E$30)</f>
        <v>0</v>
      </c>
      <c r="M15" s="114">
        <f>('Hovedtall pr. org''enhet'!N$15-'Hovedtall pr. org''enhet'!N$17)/(1+'Project data &amp; personnel '!$E$30)</f>
        <v>0</v>
      </c>
      <c r="N15" s="114">
        <f>('Hovedtall pr. org''enhet'!O$15-'Hovedtall pr. org''enhet'!O$17)/(1+'Project data &amp; personnel '!$E$30)</f>
        <v>0</v>
      </c>
      <c r="O15" s="114">
        <f>('Hovedtall pr. org''enhet'!P$15-'Hovedtall pr. org''enhet'!P$17)/(1+'Project data &amp; personnel '!$E$30)</f>
        <v>0</v>
      </c>
      <c r="P15" s="114">
        <f>('Hovedtall pr. org''enhet'!Q$15-'Hovedtall pr. org''enhet'!Q$17)/(1+'Project data &amp; personnel '!$E$30)</f>
        <v>0</v>
      </c>
      <c r="Q15" s="114">
        <f>('Hovedtall pr. org''enhet'!R$15-'Hovedtall pr. org''enhet'!R$17)/(1+'Project data &amp; personnel '!$E$30)</f>
        <v>0</v>
      </c>
      <c r="R15" s="115"/>
      <c r="S15" s="113">
        <f t="array" ref="S15">SUM(($C$8:$Q$8&lt;&gt;0)*$C15:$Q15)</f>
        <v>0</v>
      </c>
      <c r="T15" s="114">
        <f t="shared" si="1"/>
        <v>2866.1826064139605</v>
      </c>
      <c r="U15" s="115">
        <f t="shared" si="2"/>
        <v>2866.1826064139605</v>
      </c>
    </row>
    <row r="16" spans="1:21" x14ac:dyDescent="0.25">
      <c r="A16" s="102" t="s">
        <v>291</v>
      </c>
      <c r="B16" s="103">
        <f>'Hovedtall pr. org''enhet'!C$17*VLOOKUP('Project data &amp; personnel '!$E$29,'Salary scale &amp; Incentives'!$G$27:$H$29,2,FALSE)</f>
        <v>2137500</v>
      </c>
      <c r="C16" s="104">
        <f>'Hovedtall pr. org''enhet'!D$17*VLOOKUP('Project data &amp; personnel '!$E$29,'Salary scale &amp; Incentives'!$G$27:$H$29,2,FALSE)</f>
        <v>0</v>
      </c>
      <c r="D16" s="105">
        <f>'Hovedtall pr. org''enhet'!E$17*VLOOKUP('Project data &amp; personnel '!$E$29,'Salary scale &amp; Incentives'!$G$27:$H$29,2,FALSE)</f>
        <v>0</v>
      </c>
      <c r="E16" s="105">
        <f>'Hovedtall pr. org''enhet'!F$17*VLOOKUP('Project data &amp; personnel '!$E$29,'Salary scale &amp; Incentives'!$G$27:$H$29,2,FALSE)</f>
        <v>0</v>
      </c>
      <c r="F16" s="105">
        <f>'Hovedtall pr. org''enhet'!G$17*VLOOKUP('Project data &amp; personnel '!$E$29,'Salary scale &amp; Incentives'!$G$27:$H$29,2,FALSE)</f>
        <v>0</v>
      </c>
      <c r="G16" s="105">
        <f>'Hovedtall pr. org''enhet'!H$17*VLOOKUP('Project data &amp; personnel '!$E$29,'Salary scale &amp; Incentives'!$G$27:$H$29,2,FALSE)</f>
        <v>0</v>
      </c>
      <c r="H16" s="105">
        <f>'Hovedtall pr. org''enhet'!I$17*VLOOKUP('Project data &amp; personnel '!$E$29,'Salary scale &amp; Incentives'!$G$27:$H$29,2,FALSE)</f>
        <v>0</v>
      </c>
      <c r="I16" s="105">
        <f>'Hovedtall pr. org''enhet'!J$17*VLOOKUP('Project data &amp; personnel '!$E$29,'Salary scale &amp; Incentives'!$G$27:$H$29,2,FALSE)</f>
        <v>0</v>
      </c>
      <c r="J16" s="105">
        <f>'Hovedtall pr. org''enhet'!K$17*VLOOKUP('Project data &amp; personnel '!$E$29,'Salary scale &amp; Incentives'!$G$27:$H$29,2,FALSE)</f>
        <v>0</v>
      </c>
      <c r="K16" s="105">
        <f>'Hovedtall pr. org''enhet'!L$17*VLOOKUP('Project data &amp; personnel '!$E$29,'Salary scale &amp; Incentives'!$G$27:$H$29,2,FALSE)</f>
        <v>0</v>
      </c>
      <c r="L16" s="105">
        <f>'Hovedtall pr. org''enhet'!M$17*VLOOKUP('Project data &amp; personnel '!$E$29,'Salary scale &amp; Incentives'!$G$27:$H$29,2,FALSE)</f>
        <v>0</v>
      </c>
      <c r="M16" s="105">
        <f>'Hovedtall pr. org''enhet'!N$17*VLOOKUP('Project data &amp; personnel '!$E$29,'Salary scale &amp; Incentives'!$G$27:$H$29,2,FALSE)</f>
        <v>0</v>
      </c>
      <c r="N16" s="105">
        <f>'Hovedtall pr. org''enhet'!O$17*VLOOKUP('Project data &amp; personnel '!$E$29,'Salary scale &amp; Incentives'!$G$27:$H$29,2,FALSE)</f>
        <v>0</v>
      </c>
      <c r="O16" s="105">
        <f>'Hovedtall pr. org''enhet'!P$17*VLOOKUP('Project data &amp; personnel '!$E$29,'Salary scale &amp; Incentives'!$G$27:$H$29,2,FALSE)</f>
        <v>0</v>
      </c>
      <c r="P16" s="105">
        <f>'Hovedtall pr. org''enhet'!Q$17*VLOOKUP('Project data &amp; personnel '!$E$29,'Salary scale &amp; Incentives'!$G$27:$H$29,2,FALSE)</f>
        <v>0</v>
      </c>
      <c r="Q16" s="105">
        <f>'Hovedtall pr. org''enhet'!R$17*VLOOKUP('Project data &amp; personnel '!$E$29,'Salary scale &amp; Incentives'!$G$27:$H$29,2,FALSE)</f>
        <v>0</v>
      </c>
      <c r="R16" s="106"/>
      <c r="S16" s="104">
        <f t="array" ref="S16">SUM(($C$8:$Q$8&lt;&gt;0)*$C16:$Q16)</f>
        <v>0</v>
      </c>
      <c r="T16" s="105">
        <f t="shared" si="1"/>
        <v>2137500</v>
      </c>
      <c r="U16" s="106">
        <f t="shared" si="2"/>
        <v>2137500</v>
      </c>
    </row>
    <row r="17" spans="1:21" ht="14.4" x14ac:dyDescent="0.3">
      <c r="A17" s="205" t="s">
        <v>292</v>
      </c>
      <c r="B17" s="116">
        <f>SUM(B14:B16)</f>
        <v>-11590000</v>
      </c>
      <c r="C17" s="117">
        <f t="shared" ref="C17:Q17" si="6">SUM(C14:C16)</f>
        <v>0</v>
      </c>
      <c r="D17" s="118">
        <f t="shared" si="6"/>
        <v>0</v>
      </c>
      <c r="E17" s="118">
        <f t="shared" si="6"/>
        <v>0</v>
      </c>
      <c r="F17" s="118">
        <f t="shared" si="6"/>
        <v>0</v>
      </c>
      <c r="G17" s="118">
        <f t="shared" si="6"/>
        <v>0</v>
      </c>
      <c r="H17" s="118">
        <f t="shared" si="6"/>
        <v>0</v>
      </c>
      <c r="I17" s="118">
        <f t="shared" si="6"/>
        <v>0</v>
      </c>
      <c r="J17" s="118">
        <f t="shared" si="6"/>
        <v>0</v>
      </c>
      <c r="K17" s="118">
        <f t="shared" si="6"/>
        <v>0</v>
      </c>
      <c r="L17" s="118">
        <f t="shared" si="6"/>
        <v>0</v>
      </c>
      <c r="M17" s="118">
        <f t="shared" si="6"/>
        <v>0</v>
      </c>
      <c r="N17" s="118">
        <f t="shared" si="6"/>
        <v>0</v>
      </c>
      <c r="O17" s="118">
        <f t="shared" si="6"/>
        <v>0</v>
      </c>
      <c r="P17" s="118">
        <f t="shared" si="6"/>
        <v>0</v>
      </c>
      <c r="Q17" s="118">
        <f t="shared" si="6"/>
        <v>0</v>
      </c>
      <c r="R17" s="119"/>
      <c r="S17" s="117">
        <f t="array" ref="S17">SUM(($C$8:$Q$8&lt;&gt;0)*$C17:$Q17)</f>
        <v>0</v>
      </c>
      <c r="T17" s="118">
        <f t="shared" si="1"/>
        <v>-11590000</v>
      </c>
      <c r="U17" s="119">
        <f t="shared" si="2"/>
        <v>-11590000</v>
      </c>
    </row>
    <row r="18" spans="1:21" x14ac:dyDescent="0.25">
      <c r="A18" s="107"/>
      <c r="B18" s="120"/>
      <c r="C18" s="121"/>
      <c r="D18" s="122"/>
      <c r="E18" s="122"/>
      <c r="F18" s="122"/>
      <c r="G18" s="122"/>
      <c r="H18" s="122"/>
      <c r="I18" s="122"/>
      <c r="J18" s="122"/>
      <c r="K18" s="122"/>
      <c r="L18" s="122"/>
      <c r="M18" s="122"/>
      <c r="N18" s="122"/>
      <c r="O18" s="122"/>
      <c r="P18" s="122"/>
      <c r="Q18" s="122"/>
      <c r="R18" s="123"/>
      <c r="S18" s="121">
        <f t="array" ref="S18">SUM(($C$8:$Q$8&lt;&gt;0)*$C18:$Q18)</f>
        <v>0</v>
      </c>
      <c r="T18" s="122">
        <f t="shared" si="1"/>
        <v>0</v>
      </c>
      <c r="U18" s="123">
        <f t="shared" si="2"/>
        <v>0</v>
      </c>
    </row>
    <row r="19" spans="1:21" x14ac:dyDescent="0.25">
      <c r="A19" s="107" t="s">
        <v>293</v>
      </c>
      <c r="B19" s="108">
        <f>'Hovedtall pr. org''enhet'!C$12</f>
        <v>10927866.182606414</v>
      </c>
      <c r="C19" s="109">
        <f>'Hovedtall pr. org''enhet'!D$12</f>
        <v>0</v>
      </c>
      <c r="D19" s="110">
        <f>'Hovedtall pr. org''enhet'!E$12</f>
        <v>0</v>
      </c>
      <c r="E19" s="110">
        <f>'Hovedtall pr. org''enhet'!F$12</f>
        <v>0</v>
      </c>
      <c r="F19" s="110">
        <f>'Hovedtall pr. org''enhet'!G$12</f>
        <v>0</v>
      </c>
      <c r="G19" s="110">
        <f>'Hovedtall pr. org''enhet'!H$12</f>
        <v>0</v>
      </c>
      <c r="H19" s="110">
        <f>'Hovedtall pr. org''enhet'!I$12</f>
        <v>0</v>
      </c>
      <c r="I19" s="110">
        <f>'Hovedtall pr. org''enhet'!J$12</f>
        <v>0</v>
      </c>
      <c r="J19" s="110">
        <f>'Hovedtall pr. org''enhet'!K$12</f>
        <v>0</v>
      </c>
      <c r="K19" s="110">
        <f>'Hovedtall pr. org''enhet'!L$12</f>
        <v>0</v>
      </c>
      <c r="L19" s="110">
        <f>'Hovedtall pr. org''enhet'!M$12</f>
        <v>0</v>
      </c>
      <c r="M19" s="110">
        <f>'Hovedtall pr. org''enhet'!N$12</f>
        <v>0</v>
      </c>
      <c r="N19" s="110">
        <f>'Hovedtall pr. org''enhet'!O$12</f>
        <v>0</v>
      </c>
      <c r="O19" s="110">
        <f>'Hovedtall pr. org''enhet'!P$12</f>
        <v>0</v>
      </c>
      <c r="P19" s="110">
        <f>'Hovedtall pr. org''enhet'!Q$12</f>
        <v>0</v>
      </c>
      <c r="Q19" s="110">
        <f>'Hovedtall pr. org''enhet'!R$12</f>
        <v>0</v>
      </c>
      <c r="R19" s="111"/>
      <c r="S19" s="109">
        <f t="array" ref="S19">SUM(($C$8:$Q$8&lt;&gt;0)*$C19:$Q19)</f>
        <v>0</v>
      </c>
      <c r="T19" s="110">
        <f t="shared" si="1"/>
        <v>10927866.182606414</v>
      </c>
      <c r="U19" s="111">
        <f t="shared" si="2"/>
        <v>10927866.182606414</v>
      </c>
    </row>
    <row r="20" spans="1:21" x14ac:dyDescent="0.25">
      <c r="A20" s="107" t="s">
        <v>294</v>
      </c>
      <c r="B20" s="124">
        <f>IF(B$19=0,0,-B$9/B$19)</f>
        <v>0.61331551733809009</v>
      </c>
      <c r="C20" s="125">
        <f t="shared" ref="C20:Q20" si="7">IF(C$19=0,0,-C$9/C$19)</f>
        <v>0</v>
      </c>
      <c r="D20" s="126">
        <f t="shared" si="7"/>
        <v>0</v>
      </c>
      <c r="E20" s="126">
        <f t="shared" si="7"/>
        <v>0</v>
      </c>
      <c r="F20" s="126">
        <f t="shared" si="7"/>
        <v>0</v>
      </c>
      <c r="G20" s="126">
        <f t="shared" si="7"/>
        <v>0</v>
      </c>
      <c r="H20" s="126">
        <f t="shared" si="7"/>
        <v>0</v>
      </c>
      <c r="I20" s="126">
        <f t="shared" si="7"/>
        <v>0</v>
      </c>
      <c r="J20" s="126">
        <f t="shared" si="7"/>
        <v>0</v>
      </c>
      <c r="K20" s="126">
        <f t="shared" si="7"/>
        <v>0</v>
      </c>
      <c r="L20" s="126">
        <f t="shared" si="7"/>
        <v>0</v>
      </c>
      <c r="M20" s="126">
        <f t="shared" si="7"/>
        <v>0</v>
      </c>
      <c r="N20" s="126">
        <f t="shared" si="7"/>
        <v>0</v>
      </c>
      <c r="O20" s="126">
        <f t="shared" si="7"/>
        <v>0</v>
      </c>
      <c r="P20" s="126">
        <f t="shared" si="7"/>
        <v>0</v>
      </c>
      <c r="Q20" s="126">
        <f t="shared" si="7"/>
        <v>0</v>
      </c>
      <c r="R20" s="127"/>
      <c r="S20" s="125"/>
      <c r="T20" s="126"/>
      <c r="U20" s="127"/>
    </row>
    <row r="21" spans="1:21" ht="13.8" thickBot="1" x14ac:dyDescent="0.3">
      <c r="A21" s="128" t="s">
        <v>295</v>
      </c>
      <c r="B21" s="129">
        <f>IF(B$19=0,0,-B$11/B$19)</f>
        <v>0.25645445809545714</v>
      </c>
      <c r="C21" s="130">
        <f t="shared" ref="C21:Q21" si="8">IF(C$19=0,0,-C$11/C$19)</f>
        <v>0</v>
      </c>
      <c r="D21" s="131">
        <f t="shared" si="8"/>
        <v>0</v>
      </c>
      <c r="E21" s="131">
        <f t="shared" si="8"/>
        <v>0</v>
      </c>
      <c r="F21" s="131">
        <f t="shared" si="8"/>
        <v>0</v>
      </c>
      <c r="G21" s="131">
        <f t="shared" si="8"/>
        <v>0</v>
      </c>
      <c r="H21" s="131">
        <f t="shared" si="8"/>
        <v>0</v>
      </c>
      <c r="I21" s="131">
        <f t="shared" si="8"/>
        <v>0</v>
      </c>
      <c r="J21" s="131">
        <f t="shared" si="8"/>
        <v>0</v>
      </c>
      <c r="K21" s="131">
        <f t="shared" si="8"/>
        <v>0</v>
      </c>
      <c r="L21" s="131">
        <f t="shared" si="8"/>
        <v>0</v>
      </c>
      <c r="M21" s="131">
        <f t="shared" si="8"/>
        <v>0</v>
      </c>
      <c r="N21" s="131">
        <f t="shared" si="8"/>
        <v>0</v>
      </c>
      <c r="O21" s="131">
        <f t="shared" si="8"/>
        <v>0</v>
      </c>
      <c r="P21" s="131">
        <f t="shared" si="8"/>
        <v>0</v>
      </c>
      <c r="Q21" s="131">
        <f t="shared" si="8"/>
        <v>0</v>
      </c>
      <c r="R21" s="132"/>
      <c r="S21" s="130"/>
      <c r="T21" s="131"/>
      <c r="U21" s="132"/>
    </row>
    <row r="22" spans="1:21" x14ac:dyDescent="0.25">
      <c r="C22" s="85"/>
      <c r="D22" s="85"/>
      <c r="E22" s="85"/>
      <c r="F22" s="85"/>
      <c r="G22" s="85"/>
      <c r="H22" s="85"/>
      <c r="I22" s="85"/>
      <c r="J22" s="85"/>
      <c r="K22" s="85"/>
      <c r="L22" s="85"/>
      <c r="M22" s="85"/>
      <c r="N22" s="85"/>
      <c r="O22" s="85"/>
      <c r="P22" s="85"/>
      <c r="Q22" s="85"/>
      <c r="R22" s="85"/>
      <c r="S22" s="85"/>
      <c r="T22" s="85"/>
      <c r="U22" s="85"/>
    </row>
    <row r="23" spans="1:21" ht="21.6" thickBot="1" x14ac:dyDescent="0.45">
      <c r="A23" s="87" t="s">
        <v>296</v>
      </c>
      <c r="C23" s="85"/>
      <c r="D23" s="85"/>
      <c r="E23" s="85"/>
      <c r="F23" s="85"/>
      <c r="G23" s="85"/>
      <c r="H23" s="85"/>
      <c r="I23" s="85"/>
      <c r="J23" s="85"/>
      <c r="K23" s="85"/>
      <c r="L23" s="85"/>
      <c r="M23" s="85"/>
      <c r="N23" s="85"/>
      <c r="O23" s="85"/>
      <c r="P23" s="85"/>
      <c r="Q23" s="85"/>
      <c r="R23" s="85"/>
      <c r="S23" s="85"/>
      <c r="T23" s="85"/>
      <c r="U23" s="85"/>
    </row>
    <row r="24" spans="1:21" s="3" customFormat="1" ht="12.75" customHeight="1" x14ac:dyDescent="0.25">
      <c r="A24" s="89" t="s">
        <v>262</v>
      </c>
      <c r="B24" s="639" t="s">
        <v>196</v>
      </c>
      <c r="C24" s="90" t="str">
        <f>'Internal NTNU budget'!D$11</f>
        <v>IV</v>
      </c>
      <c r="D24" s="91">
        <f>'Internal NTNU budget'!E$11</f>
        <v>0</v>
      </c>
      <c r="E24" s="91">
        <f>'Internal NTNU budget'!F$11</f>
        <v>0</v>
      </c>
      <c r="F24" s="91">
        <f>'Internal NTNU budget'!G$11</f>
        <v>0</v>
      </c>
      <c r="G24" s="91">
        <f>'Internal NTNU budget'!H$11</f>
        <v>0</v>
      </c>
      <c r="H24" s="91">
        <f>'Internal NTNU budget'!I$11</f>
        <v>0</v>
      </c>
      <c r="I24" s="91">
        <f>'Internal NTNU budget'!J$11</f>
        <v>0</v>
      </c>
      <c r="J24" s="91">
        <f>'Internal NTNU budget'!K$11</f>
        <v>0</v>
      </c>
      <c r="K24" s="91">
        <f>'Internal NTNU budget'!L$11</f>
        <v>0</v>
      </c>
      <c r="L24" s="91">
        <f>'Internal NTNU budget'!M$11</f>
        <v>0</v>
      </c>
      <c r="M24" s="91">
        <f>'Internal NTNU budget'!N$11</f>
        <v>0</v>
      </c>
      <c r="N24" s="91">
        <f>'Internal NTNU budget'!O$11</f>
        <v>0</v>
      </c>
      <c r="O24" s="91">
        <f>'Internal NTNU budget'!P$11</f>
        <v>0</v>
      </c>
      <c r="P24" s="91">
        <f>'Internal NTNU budget'!Q$11</f>
        <v>0</v>
      </c>
      <c r="Q24" s="91">
        <f>'Internal NTNU budget'!R$11</f>
        <v>0</v>
      </c>
      <c r="R24" s="133"/>
      <c r="S24" s="641" t="s">
        <v>263</v>
      </c>
      <c r="T24" s="643" t="s">
        <v>264</v>
      </c>
      <c r="U24" s="645" t="s">
        <v>161</v>
      </c>
    </row>
    <row r="25" spans="1:21" s="3" customFormat="1" ht="13.8" thickBot="1" x14ac:dyDescent="0.3">
      <c r="A25" s="93" t="s">
        <v>265</v>
      </c>
      <c r="B25" s="640"/>
      <c r="C25" s="94" t="str">
        <f>'Internal NTNU budget'!D$12</f>
        <v>EPT</v>
      </c>
      <c r="D25" s="95">
        <f>'Internal NTNU budget'!E$12</f>
        <v>0</v>
      </c>
      <c r="E25" s="95">
        <f>'Internal NTNU budget'!F$12</f>
        <v>0</v>
      </c>
      <c r="F25" s="95">
        <f>'Internal NTNU budget'!G$12</f>
        <v>0</v>
      </c>
      <c r="G25" s="95">
        <f>'Internal NTNU budget'!H$12</f>
        <v>0</v>
      </c>
      <c r="H25" s="95">
        <f>'Internal NTNU budget'!I$12</f>
        <v>0</v>
      </c>
      <c r="I25" s="95">
        <f>'Internal NTNU budget'!J$12</f>
        <v>0</v>
      </c>
      <c r="J25" s="95">
        <f>'Internal NTNU budget'!K$12</f>
        <v>0</v>
      </c>
      <c r="K25" s="95">
        <f>'Internal NTNU budget'!L$12</f>
        <v>0</v>
      </c>
      <c r="L25" s="95">
        <f>'Internal NTNU budget'!M$12</f>
        <v>0</v>
      </c>
      <c r="M25" s="95">
        <f>'Internal NTNU budget'!N$12</f>
        <v>0</v>
      </c>
      <c r="N25" s="95">
        <f>'Internal NTNU budget'!O$12</f>
        <v>0</v>
      </c>
      <c r="O25" s="95">
        <f>'Internal NTNU budget'!P$12</f>
        <v>0</v>
      </c>
      <c r="P25" s="95">
        <f>'Internal NTNU budget'!Q$12</f>
        <v>0</v>
      </c>
      <c r="Q25" s="95">
        <f>'Internal NTNU budget'!R$12</f>
        <v>0</v>
      </c>
      <c r="R25" s="134"/>
      <c r="S25" s="642"/>
      <c r="T25" s="644"/>
      <c r="U25" s="646"/>
    </row>
    <row r="26" spans="1:21" x14ac:dyDescent="0.25">
      <c r="A26" s="97" t="s">
        <v>297</v>
      </c>
      <c r="B26" s="98">
        <f>-B9</f>
        <v>6702229.901186672</v>
      </c>
      <c r="C26" s="99">
        <f t="shared" ref="C26:Q26" si="9">-C9</f>
        <v>0</v>
      </c>
      <c r="D26" s="100">
        <f t="shared" si="9"/>
        <v>0</v>
      </c>
      <c r="E26" s="100">
        <f t="shared" si="9"/>
        <v>0</v>
      </c>
      <c r="F26" s="100">
        <f t="shared" si="9"/>
        <v>0</v>
      </c>
      <c r="G26" s="100">
        <f t="shared" si="9"/>
        <v>0</v>
      </c>
      <c r="H26" s="100">
        <f t="shared" si="9"/>
        <v>0</v>
      </c>
      <c r="I26" s="100">
        <f t="shared" si="9"/>
        <v>0</v>
      </c>
      <c r="J26" s="100">
        <f t="shared" si="9"/>
        <v>0</v>
      </c>
      <c r="K26" s="100">
        <f t="shared" si="9"/>
        <v>0</v>
      </c>
      <c r="L26" s="100">
        <f t="shared" si="9"/>
        <v>0</v>
      </c>
      <c r="M26" s="100">
        <f t="shared" si="9"/>
        <v>0</v>
      </c>
      <c r="N26" s="100">
        <f t="shared" si="9"/>
        <v>0</v>
      </c>
      <c r="O26" s="100">
        <f t="shared" si="9"/>
        <v>0</v>
      </c>
      <c r="P26" s="100">
        <f t="shared" si="9"/>
        <v>0</v>
      </c>
      <c r="Q26" s="100">
        <f t="shared" si="9"/>
        <v>0</v>
      </c>
      <c r="R26" s="101"/>
      <c r="S26" s="99">
        <f t="array" ref="S26">SUM(($C$25:$Q$25&lt;&gt;0)*$C26:$Q26)</f>
        <v>0</v>
      </c>
      <c r="T26" s="100">
        <f>$B26-$S26</f>
        <v>6702229.901186672</v>
      </c>
      <c r="U26" s="101">
        <f t="shared" ref="U26" si="10">SUM(S26:T26)</f>
        <v>6702229.901186672</v>
      </c>
    </row>
    <row r="27" spans="1:21" x14ac:dyDescent="0.25">
      <c r="A27" s="102" t="s">
        <v>298</v>
      </c>
      <c r="B27" s="103">
        <f t="shared" ref="B27:Q27" si="11">-B10</f>
        <v>-3899729.901186672</v>
      </c>
      <c r="C27" s="104">
        <f t="shared" si="11"/>
        <v>0</v>
      </c>
      <c r="D27" s="105">
        <f t="shared" si="11"/>
        <v>0</v>
      </c>
      <c r="E27" s="105">
        <f t="shared" si="11"/>
        <v>0</v>
      </c>
      <c r="F27" s="105">
        <f t="shared" si="11"/>
        <v>0</v>
      </c>
      <c r="G27" s="105">
        <f t="shared" si="11"/>
        <v>0</v>
      </c>
      <c r="H27" s="105">
        <f t="shared" si="11"/>
        <v>0</v>
      </c>
      <c r="I27" s="105">
        <f t="shared" si="11"/>
        <v>0</v>
      </c>
      <c r="J27" s="105">
        <f t="shared" si="11"/>
        <v>0</v>
      </c>
      <c r="K27" s="105">
        <f t="shared" si="11"/>
        <v>0</v>
      </c>
      <c r="L27" s="105">
        <f t="shared" si="11"/>
        <v>0</v>
      </c>
      <c r="M27" s="105">
        <f t="shared" si="11"/>
        <v>0</v>
      </c>
      <c r="N27" s="105">
        <f t="shared" si="11"/>
        <v>0</v>
      </c>
      <c r="O27" s="105">
        <f t="shared" si="11"/>
        <v>0</v>
      </c>
      <c r="P27" s="105">
        <f t="shared" si="11"/>
        <v>0</v>
      </c>
      <c r="Q27" s="105">
        <f t="shared" si="11"/>
        <v>0</v>
      </c>
      <c r="R27" s="106"/>
      <c r="S27" s="104">
        <f t="array" ref="S27">SUM(($C$25:$Q$25&lt;&gt;0)*$C27:$Q27)</f>
        <v>0</v>
      </c>
      <c r="T27" s="105">
        <f t="shared" ref="T27:T34" si="12">$B27-$S27</f>
        <v>-3899729.901186672</v>
      </c>
      <c r="U27" s="106">
        <f t="shared" ref="U27:U34" si="13">SUM(S27:T27)</f>
        <v>-3899729.901186672</v>
      </c>
    </row>
    <row r="28" spans="1:21" ht="14.4" x14ac:dyDescent="0.3">
      <c r="A28" s="206" t="s">
        <v>299</v>
      </c>
      <c r="B28" s="108">
        <f t="shared" ref="B28:Q28" si="14">B26+B27</f>
        <v>2802500</v>
      </c>
      <c r="C28" s="109">
        <f t="shared" si="14"/>
        <v>0</v>
      </c>
      <c r="D28" s="110">
        <f t="shared" si="14"/>
        <v>0</v>
      </c>
      <c r="E28" s="110">
        <f t="shared" si="14"/>
        <v>0</v>
      </c>
      <c r="F28" s="110">
        <f t="shared" si="14"/>
        <v>0</v>
      </c>
      <c r="G28" s="110">
        <f t="shared" si="14"/>
        <v>0</v>
      </c>
      <c r="H28" s="110">
        <f t="shared" si="14"/>
        <v>0</v>
      </c>
      <c r="I28" s="110">
        <f t="shared" si="14"/>
        <v>0</v>
      </c>
      <c r="J28" s="110">
        <f t="shared" si="14"/>
        <v>0</v>
      </c>
      <c r="K28" s="110">
        <f t="shared" si="14"/>
        <v>0</v>
      </c>
      <c r="L28" s="110">
        <f t="shared" si="14"/>
        <v>0</v>
      </c>
      <c r="M28" s="110">
        <f t="shared" si="14"/>
        <v>0</v>
      </c>
      <c r="N28" s="110">
        <f t="shared" si="14"/>
        <v>0</v>
      </c>
      <c r="O28" s="110">
        <f t="shared" si="14"/>
        <v>0</v>
      </c>
      <c r="P28" s="110">
        <f t="shared" si="14"/>
        <v>0</v>
      </c>
      <c r="Q28" s="110">
        <f t="shared" si="14"/>
        <v>0</v>
      </c>
      <c r="R28" s="111"/>
      <c r="S28" s="109">
        <f t="array" ref="S28">SUM(($C$25:$Q$25&lt;&gt;0)*$C28:$Q28)</f>
        <v>0</v>
      </c>
      <c r="T28" s="110">
        <f t="shared" si="12"/>
        <v>2802500</v>
      </c>
      <c r="U28" s="111">
        <f t="shared" si="13"/>
        <v>2802500</v>
      </c>
    </row>
    <row r="29" spans="1:21" x14ac:dyDescent="0.25">
      <c r="A29" s="102" t="s">
        <v>300</v>
      </c>
      <c r="B29" s="112">
        <f>-B$13</f>
        <v>10927866.182606414</v>
      </c>
      <c r="C29" s="113">
        <f t="shared" ref="C29:Q29" si="15">-C$13</f>
        <v>0</v>
      </c>
      <c r="D29" s="114">
        <f t="shared" si="15"/>
        <v>0</v>
      </c>
      <c r="E29" s="114">
        <f t="shared" si="15"/>
        <v>0</v>
      </c>
      <c r="F29" s="114">
        <f t="shared" si="15"/>
        <v>0</v>
      </c>
      <c r="G29" s="114">
        <f t="shared" si="15"/>
        <v>0</v>
      </c>
      <c r="H29" s="114">
        <f t="shared" si="15"/>
        <v>0</v>
      </c>
      <c r="I29" s="114">
        <f t="shared" si="15"/>
        <v>0</v>
      </c>
      <c r="J29" s="114">
        <f t="shared" si="15"/>
        <v>0</v>
      </c>
      <c r="K29" s="114">
        <f t="shared" si="15"/>
        <v>0</v>
      </c>
      <c r="L29" s="114">
        <f t="shared" si="15"/>
        <v>0</v>
      </c>
      <c r="M29" s="114">
        <f t="shared" si="15"/>
        <v>0</v>
      </c>
      <c r="N29" s="114">
        <f t="shared" si="15"/>
        <v>0</v>
      </c>
      <c r="O29" s="114">
        <f t="shared" si="15"/>
        <v>0</v>
      </c>
      <c r="P29" s="114">
        <f t="shared" si="15"/>
        <v>0</v>
      </c>
      <c r="Q29" s="114">
        <f t="shared" si="15"/>
        <v>0</v>
      </c>
      <c r="R29" s="115"/>
      <c r="S29" s="113">
        <f t="array" ref="S29">SUM(($C$25:$Q$25&lt;&gt;0)*$C29:$Q29)</f>
        <v>0</v>
      </c>
      <c r="T29" s="114">
        <f t="shared" si="12"/>
        <v>10927866.182606414</v>
      </c>
      <c r="U29" s="115">
        <f t="shared" si="13"/>
        <v>10927866.182606414</v>
      </c>
    </row>
    <row r="30" spans="1:21" x14ac:dyDescent="0.25">
      <c r="A30" s="102" t="s">
        <v>301</v>
      </c>
      <c r="B30" s="103">
        <f>-B12</f>
        <v>0</v>
      </c>
      <c r="C30" s="104">
        <f t="shared" ref="C30:Q30" si="16">-C12</f>
        <v>0</v>
      </c>
      <c r="D30" s="105">
        <f t="shared" si="16"/>
        <v>0</v>
      </c>
      <c r="E30" s="105">
        <f t="shared" si="16"/>
        <v>0</v>
      </c>
      <c r="F30" s="105">
        <f t="shared" si="16"/>
        <v>0</v>
      </c>
      <c r="G30" s="105">
        <f t="shared" si="16"/>
        <v>0</v>
      </c>
      <c r="H30" s="105">
        <f t="shared" si="16"/>
        <v>0</v>
      </c>
      <c r="I30" s="105">
        <f t="shared" si="16"/>
        <v>0</v>
      </c>
      <c r="J30" s="105">
        <f t="shared" si="16"/>
        <v>0</v>
      </c>
      <c r="K30" s="105">
        <f t="shared" si="16"/>
        <v>0</v>
      </c>
      <c r="L30" s="105">
        <f t="shared" si="16"/>
        <v>0</v>
      </c>
      <c r="M30" s="105">
        <f t="shared" si="16"/>
        <v>0</v>
      </c>
      <c r="N30" s="105">
        <f t="shared" si="16"/>
        <v>0</v>
      </c>
      <c r="O30" s="105">
        <f t="shared" si="16"/>
        <v>0</v>
      </c>
      <c r="P30" s="105">
        <f t="shared" si="16"/>
        <v>0</v>
      </c>
      <c r="Q30" s="105">
        <f t="shared" si="16"/>
        <v>0</v>
      </c>
      <c r="R30" s="106"/>
      <c r="S30" s="104">
        <f t="array" ref="S30">SUM(($C$25:$Q$25&lt;&gt;0)*$C30:$Q30)</f>
        <v>0</v>
      </c>
      <c r="T30" s="105">
        <f t="shared" si="12"/>
        <v>0</v>
      </c>
      <c r="U30" s="106">
        <f t="shared" si="13"/>
        <v>0</v>
      </c>
    </row>
    <row r="31" spans="1:21" ht="14.4" x14ac:dyDescent="0.3">
      <c r="A31" s="206" t="s">
        <v>289</v>
      </c>
      <c r="B31" s="108">
        <f t="shared" ref="B31:Q31" si="17">SUM(B28:B30)</f>
        <v>13730366.182606414</v>
      </c>
      <c r="C31" s="109">
        <f t="shared" si="17"/>
        <v>0</v>
      </c>
      <c r="D31" s="110">
        <f t="shared" si="17"/>
        <v>0</v>
      </c>
      <c r="E31" s="110">
        <f t="shared" si="17"/>
        <v>0</v>
      </c>
      <c r="F31" s="110">
        <f t="shared" si="17"/>
        <v>0</v>
      </c>
      <c r="G31" s="110">
        <f t="shared" si="17"/>
        <v>0</v>
      </c>
      <c r="H31" s="110">
        <f t="shared" si="17"/>
        <v>0</v>
      </c>
      <c r="I31" s="110">
        <f t="shared" si="17"/>
        <v>0</v>
      </c>
      <c r="J31" s="110">
        <f t="shared" si="17"/>
        <v>0</v>
      </c>
      <c r="K31" s="110">
        <f t="shared" si="17"/>
        <v>0</v>
      </c>
      <c r="L31" s="110">
        <f t="shared" si="17"/>
        <v>0</v>
      </c>
      <c r="M31" s="110">
        <f t="shared" si="17"/>
        <v>0</v>
      </c>
      <c r="N31" s="110">
        <f t="shared" si="17"/>
        <v>0</v>
      </c>
      <c r="O31" s="110">
        <f t="shared" si="17"/>
        <v>0</v>
      </c>
      <c r="P31" s="110">
        <f t="shared" si="17"/>
        <v>0</v>
      </c>
      <c r="Q31" s="110">
        <f t="shared" si="17"/>
        <v>0</v>
      </c>
      <c r="R31" s="111"/>
      <c r="S31" s="109">
        <f t="array" ref="S31">SUM(($C$25:$Q$25&lt;&gt;0)*$C31:$Q31)</f>
        <v>0</v>
      </c>
      <c r="T31" s="110">
        <f t="shared" si="12"/>
        <v>13730366.182606414</v>
      </c>
      <c r="U31" s="111">
        <f t="shared" si="13"/>
        <v>13730366.182606414</v>
      </c>
    </row>
    <row r="32" spans="1:21" x14ac:dyDescent="0.25">
      <c r="A32" s="102" t="s">
        <v>290</v>
      </c>
      <c r="B32" s="112">
        <f>-B$15</f>
        <v>-2866.1826064139605</v>
      </c>
      <c r="C32" s="113">
        <f t="shared" ref="C32:Q32" si="18">-C$15</f>
        <v>0</v>
      </c>
      <c r="D32" s="114">
        <f t="shared" si="18"/>
        <v>0</v>
      </c>
      <c r="E32" s="114">
        <f t="shared" si="18"/>
        <v>0</v>
      </c>
      <c r="F32" s="114">
        <f t="shared" si="18"/>
        <v>0</v>
      </c>
      <c r="G32" s="114">
        <f t="shared" si="18"/>
        <v>0</v>
      </c>
      <c r="H32" s="114">
        <f t="shared" si="18"/>
        <v>0</v>
      </c>
      <c r="I32" s="114">
        <f t="shared" si="18"/>
        <v>0</v>
      </c>
      <c r="J32" s="114">
        <f t="shared" si="18"/>
        <v>0</v>
      </c>
      <c r="K32" s="114">
        <f t="shared" si="18"/>
        <v>0</v>
      </c>
      <c r="L32" s="114">
        <f t="shared" si="18"/>
        <v>0</v>
      </c>
      <c r="M32" s="114">
        <f t="shared" si="18"/>
        <v>0</v>
      </c>
      <c r="N32" s="114">
        <f t="shared" si="18"/>
        <v>0</v>
      </c>
      <c r="O32" s="114">
        <f t="shared" si="18"/>
        <v>0</v>
      </c>
      <c r="P32" s="114">
        <f t="shared" si="18"/>
        <v>0</v>
      </c>
      <c r="Q32" s="114">
        <f t="shared" si="18"/>
        <v>0</v>
      </c>
      <c r="R32" s="115"/>
      <c r="S32" s="113">
        <f t="array" ref="S32">SUM(($C$25:$Q$25&lt;&gt;0)*$C32:$Q32)</f>
        <v>0</v>
      </c>
      <c r="T32" s="114">
        <f t="shared" si="12"/>
        <v>-2866.1826064139605</v>
      </c>
      <c r="U32" s="115">
        <f t="shared" si="13"/>
        <v>-2866.1826064139605</v>
      </c>
    </row>
    <row r="33" spans="1:21" x14ac:dyDescent="0.25">
      <c r="A33" s="102" t="s">
        <v>291</v>
      </c>
      <c r="B33" s="103">
        <f>-B$16</f>
        <v>-2137500</v>
      </c>
      <c r="C33" s="104">
        <f t="shared" ref="C33:Q33" si="19">-C$16</f>
        <v>0</v>
      </c>
      <c r="D33" s="105">
        <f t="shared" si="19"/>
        <v>0</v>
      </c>
      <c r="E33" s="105">
        <f t="shared" si="19"/>
        <v>0</v>
      </c>
      <c r="F33" s="105">
        <f t="shared" si="19"/>
        <v>0</v>
      </c>
      <c r="G33" s="105">
        <f t="shared" si="19"/>
        <v>0</v>
      </c>
      <c r="H33" s="105">
        <f t="shared" si="19"/>
        <v>0</v>
      </c>
      <c r="I33" s="105">
        <f t="shared" si="19"/>
        <v>0</v>
      </c>
      <c r="J33" s="105">
        <f t="shared" si="19"/>
        <v>0</v>
      </c>
      <c r="K33" s="105">
        <f t="shared" si="19"/>
        <v>0</v>
      </c>
      <c r="L33" s="105">
        <f t="shared" si="19"/>
        <v>0</v>
      </c>
      <c r="M33" s="105">
        <f t="shared" si="19"/>
        <v>0</v>
      </c>
      <c r="N33" s="105">
        <f t="shared" si="19"/>
        <v>0</v>
      </c>
      <c r="O33" s="105">
        <f t="shared" si="19"/>
        <v>0</v>
      </c>
      <c r="P33" s="105">
        <f t="shared" si="19"/>
        <v>0</v>
      </c>
      <c r="Q33" s="105">
        <f t="shared" si="19"/>
        <v>0</v>
      </c>
      <c r="R33" s="106"/>
      <c r="S33" s="104">
        <f t="array" ref="S33">SUM(($C$25:$Q$25&lt;&gt;0)*$C33:$Q33)</f>
        <v>0</v>
      </c>
      <c r="T33" s="105">
        <f t="shared" si="12"/>
        <v>-2137500</v>
      </c>
      <c r="U33" s="106">
        <f t="shared" si="13"/>
        <v>-2137500</v>
      </c>
    </row>
    <row r="34" spans="1:21" ht="15" thickBot="1" x14ac:dyDescent="0.35">
      <c r="A34" s="207" t="s">
        <v>292</v>
      </c>
      <c r="B34" s="135">
        <f>SUM(B31:B33)</f>
        <v>11590000</v>
      </c>
      <c r="C34" s="136">
        <f t="shared" ref="C34:Q34" si="20">SUM(C31:C33)</f>
        <v>0</v>
      </c>
      <c r="D34" s="137">
        <f t="shared" si="20"/>
        <v>0</v>
      </c>
      <c r="E34" s="137">
        <f t="shared" si="20"/>
        <v>0</v>
      </c>
      <c r="F34" s="137">
        <f t="shared" si="20"/>
        <v>0</v>
      </c>
      <c r="G34" s="137">
        <f t="shared" si="20"/>
        <v>0</v>
      </c>
      <c r="H34" s="137">
        <f t="shared" si="20"/>
        <v>0</v>
      </c>
      <c r="I34" s="137">
        <f t="shared" si="20"/>
        <v>0</v>
      </c>
      <c r="J34" s="137">
        <f t="shared" si="20"/>
        <v>0</v>
      </c>
      <c r="K34" s="137">
        <f t="shared" si="20"/>
        <v>0</v>
      </c>
      <c r="L34" s="137">
        <f t="shared" si="20"/>
        <v>0</v>
      </c>
      <c r="M34" s="137">
        <f t="shared" si="20"/>
        <v>0</v>
      </c>
      <c r="N34" s="137">
        <f t="shared" si="20"/>
        <v>0</v>
      </c>
      <c r="O34" s="137">
        <f t="shared" si="20"/>
        <v>0</v>
      </c>
      <c r="P34" s="137">
        <f t="shared" si="20"/>
        <v>0</v>
      </c>
      <c r="Q34" s="137">
        <f t="shared" si="20"/>
        <v>0</v>
      </c>
      <c r="R34" s="138"/>
      <c r="S34" s="136">
        <f t="array" ref="S34">SUM(($C$25:$Q$25&lt;&gt;0)*$C34:$Q34)</f>
        <v>0</v>
      </c>
      <c r="T34" s="137">
        <f t="shared" si="12"/>
        <v>11590000</v>
      </c>
      <c r="U34" s="138">
        <f t="shared" si="13"/>
        <v>11590000</v>
      </c>
    </row>
    <row r="36" spans="1:21" x14ac:dyDescent="0.25">
      <c r="A36" s="86" t="s">
        <v>302</v>
      </c>
      <c r="B36"/>
      <c r="C36"/>
    </row>
    <row r="37" spans="1:21" x14ac:dyDescent="0.25">
      <c r="A37" s="139" t="s">
        <v>303</v>
      </c>
      <c r="B37"/>
      <c r="C37"/>
    </row>
    <row r="40" spans="1:21" x14ac:dyDescent="0.25">
      <c r="C40" s="85"/>
    </row>
  </sheetData>
  <sheetProtection algorithmName="SHA-512" hashValue="yvBxJEx35A4oTO40vX28sfZB5WO+s/gXzXp6tiSDY85IMTT92J6EfUd26fatuKbzmwMdT2gFBd+4NQ7G6HjQBA==" saltValue="WVVraJ1GumzGTW2e0jcg0A==" spinCount="100000" sheet="1" objects="1" scenarios="1"/>
  <mergeCells count="9">
    <mergeCell ref="B24:B25"/>
    <mergeCell ref="S24:S25"/>
    <mergeCell ref="T24:T25"/>
    <mergeCell ref="U24:U25"/>
    <mergeCell ref="B4:C4"/>
    <mergeCell ref="B7:B8"/>
    <mergeCell ref="S7:S8"/>
    <mergeCell ref="T7:T8"/>
    <mergeCell ref="U7:U8"/>
  </mergeCells>
  <pageMargins left="0.39370078740157483" right="0.39370078740157483" top="0.78740157480314965" bottom="0.59055118110236227" header="0.51181102362204722" footer="0.31496062992125984"/>
  <pageSetup paperSize="9" scale="54" orientation="landscape" r:id="rId1"/>
  <headerFooter>
    <oddFooter>&amp;L&amp;F   ---   &amp;A&amp;RPage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V31"/>
  <sheetViews>
    <sheetView zoomScaleNormal="100" workbookViewId="0"/>
  </sheetViews>
  <sheetFormatPr defaultColWidth="11.44140625" defaultRowHeight="14.4" x14ac:dyDescent="0.3"/>
  <cols>
    <col min="1" max="1" width="22.5546875" style="52" bestFit="1" customWidth="1"/>
    <col min="2" max="2" width="9.44140625" style="52" bestFit="1" customWidth="1"/>
    <col min="3" max="3" width="7.44140625" style="52" bestFit="1" customWidth="1"/>
    <col min="4" max="4" width="11.5546875" style="52" bestFit="1" customWidth="1"/>
    <col min="5" max="7" width="11.44140625" style="52"/>
    <col min="8" max="9" width="11.44140625" style="52" customWidth="1"/>
    <col min="10" max="10" width="11.44140625" style="317" customWidth="1"/>
    <col min="11" max="11" width="12.44140625" style="52" customWidth="1"/>
    <col min="12" max="12" width="8.5546875" style="52" customWidth="1"/>
    <col min="13" max="13" width="10.44140625" style="52" customWidth="1"/>
    <col min="14" max="15" width="11.44140625" style="52" customWidth="1"/>
    <col min="16" max="16" width="11.44140625" style="323" customWidth="1"/>
    <col min="17" max="17" width="11.44140625" style="52" customWidth="1"/>
    <col min="18" max="18" width="4.44140625" style="52" customWidth="1"/>
    <col min="19" max="16384" width="11.44140625" style="52"/>
  </cols>
  <sheetData>
    <row r="1" spans="1:22" s="47" customFormat="1" x14ac:dyDescent="0.3">
      <c r="H1" s="648" t="s">
        <v>304</v>
      </c>
      <c r="I1" s="648"/>
      <c r="J1" s="648"/>
      <c r="K1" s="649"/>
      <c r="L1" s="650" t="s">
        <v>305</v>
      </c>
      <c r="M1" s="651"/>
      <c r="N1" s="652"/>
      <c r="O1" s="47" t="s">
        <v>306</v>
      </c>
      <c r="P1" s="319" t="s">
        <v>306</v>
      </c>
      <c r="Q1" s="48"/>
      <c r="S1" s="47" t="s">
        <v>307</v>
      </c>
    </row>
    <row r="2" spans="1:22" ht="57.6" x14ac:dyDescent="0.3">
      <c r="A2" s="49" t="s">
        <v>134</v>
      </c>
      <c r="B2" s="49" t="s">
        <v>308</v>
      </c>
      <c r="C2" s="49" t="s">
        <v>137</v>
      </c>
      <c r="D2" s="49" t="s">
        <v>138</v>
      </c>
      <c r="E2" s="49" t="s">
        <v>309</v>
      </c>
      <c r="F2" s="49" t="s">
        <v>310</v>
      </c>
      <c r="G2" s="49" t="s">
        <v>311</v>
      </c>
      <c r="H2" s="50" t="s">
        <v>312</v>
      </c>
      <c r="I2" s="49" t="s">
        <v>313</v>
      </c>
      <c r="J2" s="314" t="s">
        <v>314</v>
      </c>
      <c r="K2" s="50" t="s">
        <v>315</v>
      </c>
      <c r="L2" s="51" t="s">
        <v>316</v>
      </c>
      <c r="M2" s="51" t="s">
        <v>317</v>
      </c>
      <c r="N2" s="51" t="s">
        <v>318</v>
      </c>
      <c r="O2" s="49" t="s">
        <v>319</v>
      </c>
      <c r="P2" s="320" t="s">
        <v>320</v>
      </c>
      <c r="Q2" s="49" t="s">
        <v>321</v>
      </c>
      <c r="S2" s="51" t="s">
        <v>322</v>
      </c>
      <c r="T2" s="51" t="s">
        <v>316</v>
      </c>
      <c r="U2" s="51" t="s">
        <v>317</v>
      </c>
      <c r="V2" s="51" t="s">
        <v>323</v>
      </c>
    </row>
    <row r="3" spans="1:22" x14ac:dyDescent="0.3">
      <c r="A3" s="53" t="str">
        <f>'Project data &amp; personnel '!D39</f>
        <v>Researcher</v>
      </c>
      <c r="B3" s="53" t="str">
        <f>IF($A3=0,"",VLOOKUP($A3,'Salary scale &amp; Incentives'!$F$13:$H$24,2,FALSE))</f>
        <v>Yes</v>
      </c>
      <c r="C3" s="53" t="str">
        <f>'Project data &amp; personnel '!H39</f>
        <v>IV</v>
      </c>
      <c r="D3" s="53" t="str">
        <f>'Project data &amp; personnel '!I39</f>
        <v>IBM</v>
      </c>
      <c r="E3" s="53">
        <f>'Project data &amp; personnel '!F39</f>
        <v>77</v>
      </c>
      <c r="F3" s="52" t="s">
        <v>324</v>
      </c>
      <c r="G3" s="54">
        <f>'Project data &amp; personnel '!L39</f>
        <v>36</v>
      </c>
      <c r="H3" s="55">
        <f>IF(OR($E3="",$E3=0),0,VLOOKUP($E3,'Salary scale &amp; Incentives'!$A:$D,3,FALSE)/1000)</f>
        <v>1002.936</v>
      </c>
      <c r="I3" s="56">
        <f t="shared" ref="I3:I11" si="0">$H$28*K3</f>
        <v>1845.3486350909841</v>
      </c>
      <c r="J3" s="315">
        <f>IF($F3="Årsverk",G3,IF($F3="Månedsverk",$G3/12,IF($F3="Timer",$G3/$S$3,0)))</f>
        <v>3</v>
      </c>
      <c r="K3" s="57">
        <f>$H3*$J3</f>
        <v>3008.808</v>
      </c>
      <c r="L3" s="58">
        <f t="shared" ref="L3:L24" si="1">IF($B3="",0,$T$3)</f>
        <v>169</v>
      </c>
      <c r="M3" s="58">
        <f t="shared" ref="M3:M24" si="2">IF($B3="Yes",$U$3,0)</f>
        <v>321</v>
      </c>
      <c r="N3" s="59">
        <f>SUM($L3:$M3)</f>
        <v>490</v>
      </c>
      <c r="O3" s="60">
        <f>$J3*$N3</f>
        <v>1470</v>
      </c>
      <c r="P3" s="321">
        <f>IFERROR($O3/$K3,0)</f>
        <v>0.48856557148212848</v>
      </c>
      <c r="Q3" s="60">
        <f>$K3+$I3</f>
        <v>4854.1566350909843</v>
      </c>
      <c r="R3" s="61"/>
      <c r="S3" s="58">
        <v>1628</v>
      </c>
      <c r="T3" s="58">
        <v>169</v>
      </c>
      <c r="U3" s="58">
        <v>321</v>
      </c>
      <c r="V3" s="62">
        <v>0.31</v>
      </c>
    </row>
    <row r="4" spans="1:22" x14ac:dyDescent="0.3">
      <c r="A4" s="53" t="str">
        <f>'Project data &amp; personnel '!D40</f>
        <v>Post doc</v>
      </c>
      <c r="B4" s="53" t="str">
        <f>IF($A4=0,"",VLOOKUP($A4,'Salary scale &amp; Incentives'!$F$13:$H$24,2,FALSE))</f>
        <v>Yes</v>
      </c>
      <c r="C4" s="53" t="str">
        <f>'Project data &amp; personnel '!H40</f>
        <v>IV</v>
      </c>
      <c r="D4" s="53" t="str">
        <f>'Project data &amp; personnel '!I40</f>
        <v>IBM</v>
      </c>
      <c r="E4" s="53">
        <f>'Project data &amp; personnel '!F40</f>
        <v>62</v>
      </c>
      <c r="F4" s="52" t="s">
        <v>324</v>
      </c>
      <c r="G4" s="54">
        <f>'Project data &amp; personnel '!L40</f>
        <v>36</v>
      </c>
      <c r="H4" s="55">
        <f>IF(OR($E4="",$E4=0),0,VLOOKUP($E4,'Salary scale &amp; Incentives'!$A:$D,3,FALSE)/1000)</f>
        <v>751.80899999999997</v>
      </c>
      <c r="I4" s="56">
        <f t="shared" si="0"/>
        <v>1383.2883773232963</v>
      </c>
      <c r="J4" s="315">
        <f t="shared" ref="J4:J11" si="3">IF($F4="Årsverk",G4,IF($F4="Månedsverk",$G4/12,IF($F4="Timer",$G4/$S$3,0)))</f>
        <v>3</v>
      </c>
      <c r="K4" s="57">
        <f t="shared" ref="K4:K24" si="4">$H4*$J4</f>
        <v>2255.4269999999997</v>
      </c>
      <c r="L4" s="58">
        <f t="shared" si="1"/>
        <v>169</v>
      </c>
      <c r="M4" s="58">
        <f t="shared" si="2"/>
        <v>321</v>
      </c>
      <c r="N4" s="59">
        <f t="shared" ref="N4:N24" si="5">SUM($L4:$M4)</f>
        <v>490</v>
      </c>
      <c r="O4" s="60">
        <f t="shared" ref="O4:O24" si="6">$J4*$N4</f>
        <v>1470</v>
      </c>
      <c r="P4" s="321">
        <f t="shared" ref="P4:P24" si="7">IFERROR($O4/$K4,0)</f>
        <v>0.65176128511363929</v>
      </c>
      <c r="Q4" s="60">
        <f t="shared" ref="Q4:Q24" si="8">$K4+$I4</f>
        <v>3638.7153773232958</v>
      </c>
    </row>
    <row r="5" spans="1:22" x14ac:dyDescent="0.3">
      <c r="A5" s="53" t="str">
        <f>'Project data &amp; personnel '!D41</f>
        <v>Post doc</v>
      </c>
      <c r="B5" s="53" t="str">
        <f>IF($A5=0,"",VLOOKUP($A5,'Salary scale &amp; Incentives'!$F$13:$H$24,2,FALSE))</f>
        <v>Yes</v>
      </c>
      <c r="C5" s="53" t="str">
        <f>'Project data &amp; personnel '!H41</f>
        <v>IV</v>
      </c>
      <c r="D5" s="53" t="str">
        <f>'Project data &amp; personnel '!I41</f>
        <v>IBM</v>
      </c>
      <c r="E5" s="53">
        <f>'Project data &amp; personnel '!F41</f>
        <v>62</v>
      </c>
      <c r="F5" s="52" t="s">
        <v>324</v>
      </c>
      <c r="G5" s="54">
        <f>'Project data &amp; personnel '!L41</f>
        <v>36</v>
      </c>
      <c r="H5" s="55">
        <f>IF(OR($E5="",$E5=0),0,VLOOKUP($E5,'Salary scale &amp; Incentives'!$A:$D,3,FALSE)/1000)</f>
        <v>751.80899999999997</v>
      </c>
      <c r="I5" s="56">
        <f t="shared" si="0"/>
        <v>1383.2883773232963</v>
      </c>
      <c r="J5" s="315">
        <f t="shared" si="3"/>
        <v>3</v>
      </c>
      <c r="K5" s="57">
        <f t="shared" si="4"/>
        <v>2255.4269999999997</v>
      </c>
      <c r="L5" s="58">
        <f t="shared" si="1"/>
        <v>169</v>
      </c>
      <c r="M5" s="58">
        <f t="shared" si="2"/>
        <v>321</v>
      </c>
      <c r="N5" s="59">
        <f t="shared" si="5"/>
        <v>490</v>
      </c>
      <c r="O5" s="60">
        <f t="shared" si="6"/>
        <v>1470</v>
      </c>
      <c r="P5" s="321">
        <f t="shared" si="7"/>
        <v>0.65176128511363929</v>
      </c>
      <c r="Q5" s="60">
        <f t="shared" si="8"/>
        <v>3638.7153773232958</v>
      </c>
    </row>
    <row r="6" spans="1:22" x14ac:dyDescent="0.3">
      <c r="A6" s="53" t="str">
        <f>'Project data &amp; personnel '!D42</f>
        <v>PhD candidate</v>
      </c>
      <c r="B6" s="53" t="str">
        <f>IF($A6=0,"",VLOOKUP($A6,'Salary scale &amp; Incentives'!$F$13:$H$24,2,FALSE))</f>
        <v>Yes</v>
      </c>
      <c r="C6" s="53" t="str">
        <f>'Project data &amp; personnel '!H42</f>
        <v>IV</v>
      </c>
      <c r="D6" s="53" t="str">
        <f>'Project data &amp; personnel '!I42</f>
        <v>IBM</v>
      </c>
      <c r="E6" s="53">
        <f>'Project data &amp; personnel '!F42</f>
        <v>57</v>
      </c>
      <c r="F6" s="52" t="s">
        <v>324</v>
      </c>
      <c r="G6" s="54">
        <f>'Project data &amp; personnel '!L42</f>
        <v>0</v>
      </c>
      <c r="H6" s="55">
        <f>IF(OR($E6="",$E6=0),0,VLOOKUP($E6,'Salary scale &amp; Incentives'!$A:$D,3,FALSE)/1000)</f>
        <v>689.19100000000003</v>
      </c>
      <c r="I6" s="56">
        <f t="shared" si="0"/>
        <v>0</v>
      </c>
      <c r="J6" s="315">
        <f t="shared" si="3"/>
        <v>0</v>
      </c>
      <c r="K6" s="57">
        <f t="shared" si="4"/>
        <v>0</v>
      </c>
      <c r="L6" s="58">
        <f t="shared" si="1"/>
        <v>169</v>
      </c>
      <c r="M6" s="58">
        <f t="shared" si="2"/>
        <v>321</v>
      </c>
      <c r="N6" s="59">
        <f t="shared" si="5"/>
        <v>490</v>
      </c>
      <c r="O6" s="60">
        <f t="shared" si="6"/>
        <v>0</v>
      </c>
      <c r="P6" s="321">
        <f t="shared" si="7"/>
        <v>0</v>
      </c>
      <c r="Q6" s="60">
        <f t="shared" si="8"/>
        <v>0</v>
      </c>
    </row>
    <row r="7" spans="1:22" x14ac:dyDescent="0.3">
      <c r="A7" s="53" t="str">
        <f>'Project data &amp; personnel '!D43</f>
        <v>PhD candidate</v>
      </c>
      <c r="B7" s="53" t="str">
        <f>IF($A7=0,"",VLOOKUP($A7,'Salary scale &amp; Incentives'!$F$13:$H$24,2,FALSE))</f>
        <v>Yes</v>
      </c>
      <c r="C7" s="53" t="str">
        <f>'Project data &amp; personnel '!H43</f>
        <v>IV</v>
      </c>
      <c r="D7" s="53" t="str">
        <f>'Project data &amp; personnel '!I43</f>
        <v>IBM</v>
      </c>
      <c r="E7" s="53">
        <f>'Project data &amp; personnel '!F43</f>
        <v>57</v>
      </c>
      <c r="F7" s="52" t="s">
        <v>324</v>
      </c>
      <c r="G7" s="54">
        <f>'Project data &amp; personnel '!L43</f>
        <v>36</v>
      </c>
      <c r="H7" s="55">
        <f>IF(OR($E7="",$E7=0),0,VLOOKUP($E7,'Salary scale &amp; Incentives'!$A:$D,3,FALSE)/1000)</f>
        <v>689.19100000000003</v>
      </c>
      <c r="I7" s="56">
        <f t="shared" si="0"/>
        <v>1268.0746041292671</v>
      </c>
      <c r="J7" s="315">
        <f t="shared" si="3"/>
        <v>3</v>
      </c>
      <c r="K7" s="57">
        <f t="shared" si="4"/>
        <v>2067.5730000000003</v>
      </c>
      <c r="L7" s="58">
        <f t="shared" si="1"/>
        <v>169</v>
      </c>
      <c r="M7" s="58">
        <f t="shared" si="2"/>
        <v>321</v>
      </c>
      <c r="N7" s="59">
        <f t="shared" si="5"/>
        <v>490</v>
      </c>
      <c r="O7" s="60">
        <f t="shared" si="6"/>
        <v>1470</v>
      </c>
      <c r="P7" s="321">
        <f t="shared" si="7"/>
        <v>0.71097852409564244</v>
      </c>
      <c r="Q7" s="60">
        <f t="shared" si="8"/>
        <v>3335.6476041292672</v>
      </c>
    </row>
    <row r="8" spans="1:22" x14ac:dyDescent="0.3">
      <c r="A8" s="53">
        <f>'Project data &amp; personnel '!D44</f>
        <v>0</v>
      </c>
      <c r="B8" s="53" t="str">
        <f>IF($A8=0,"",VLOOKUP($A8,'Salary scale &amp; Incentives'!$F$13:$H$24,2,FALSE))</f>
        <v/>
      </c>
      <c r="C8" s="53" t="str">
        <f>'Project data &amp; personnel '!H44</f>
        <v>IV</v>
      </c>
      <c r="D8" s="53" t="str">
        <f>'Project data &amp; personnel '!I44</f>
        <v>IBM</v>
      </c>
      <c r="E8" s="53" t="str">
        <f>'Project data &amp; personnel '!F44</f>
        <v/>
      </c>
      <c r="F8" s="52" t="s">
        <v>324</v>
      </c>
      <c r="G8" s="54">
        <f>'Project data &amp; personnel '!L44</f>
        <v>0</v>
      </c>
      <c r="H8" s="55">
        <f>IF(OR($E8="",$E8=0),0,VLOOKUP($E8,'Salary scale &amp; Incentives'!$A:$D,3,FALSE)/1000)</f>
        <v>0</v>
      </c>
      <c r="I8" s="56">
        <f t="shared" si="0"/>
        <v>0</v>
      </c>
      <c r="J8" s="315">
        <f t="shared" si="3"/>
        <v>0</v>
      </c>
      <c r="K8" s="57">
        <f t="shared" si="4"/>
        <v>0</v>
      </c>
      <c r="L8" s="58">
        <f t="shared" si="1"/>
        <v>0</v>
      </c>
      <c r="M8" s="58">
        <f t="shared" si="2"/>
        <v>0</v>
      </c>
      <c r="N8" s="59">
        <f t="shared" si="5"/>
        <v>0</v>
      </c>
      <c r="O8" s="60">
        <f t="shared" si="6"/>
        <v>0</v>
      </c>
      <c r="P8" s="321">
        <f t="shared" si="7"/>
        <v>0</v>
      </c>
      <c r="Q8" s="60">
        <f t="shared" si="8"/>
        <v>0</v>
      </c>
    </row>
    <row r="9" spans="1:22" x14ac:dyDescent="0.3">
      <c r="A9" s="53">
        <f>'Project data &amp; personnel '!D45</f>
        <v>0</v>
      </c>
      <c r="B9" s="53" t="str">
        <f>IF($A9=0,"",VLOOKUP($A9,'Salary scale &amp; Incentives'!$F$13:$H$24,2,FALSE))</f>
        <v/>
      </c>
      <c r="C9" s="53">
        <f>'Project data &amp; personnel '!H45</f>
        <v>0</v>
      </c>
      <c r="D9" s="53">
        <f>'Project data &amp; personnel '!I45</f>
        <v>0</v>
      </c>
      <c r="E9" s="53" t="str">
        <f>'Project data &amp; personnel '!F45</f>
        <v/>
      </c>
      <c r="F9" s="52" t="s">
        <v>324</v>
      </c>
      <c r="G9" s="54">
        <f>'Project data &amp; personnel '!L45</f>
        <v>0</v>
      </c>
      <c r="H9" s="55">
        <f>IF(OR($E9="",$E9=0),0,VLOOKUP($E9,'Salary scale &amp; Incentives'!$A:$D,3,FALSE)/1000)</f>
        <v>0</v>
      </c>
      <c r="I9" s="56">
        <f t="shared" si="0"/>
        <v>0</v>
      </c>
      <c r="J9" s="315">
        <f t="shared" si="3"/>
        <v>0</v>
      </c>
      <c r="K9" s="57">
        <f t="shared" si="4"/>
        <v>0</v>
      </c>
      <c r="L9" s="58">
        <f t="shared" si="1"/>
        <v>0</v>
      </c>
      <c r="M9" s="58">
        <f t="shared" si="2"/>
        <v>0</v>
      </c>
      <c r="N9" s="59">
        <f t="shared" si="5"/>
        <v>0</v>
      </c>
      <c r="O9" s="60">
        <f t="shared" si="6"/>
        <v>0</v>
      </c>
      <c r="P9" s="321">
        <f t="shared" si="7"/>
        <v>0</v>
      </c>
      <c r="Q9" s="60">
        <f t="shared" si="8"/>
        <v>0</v>
      </c>
    </row>
    <row r="10" spans="1:22" x14ac:dyDescent="0.3">
      <c r="A10" s="53">
        <f>'Project data &amp; personnel '!D46</f>
        <v>0</v>
      </c>
      <c r="B10" s="53" t="str">
        <f>IF($A10=0,"",VLOOKUP($A10,'Salary scale &amp; Incentives'!$F$13:$H$24,2,FALSE))</f>
        <v/>
      </c>
      <c r="C10" s="53">
        <f>'Project data &amp; personnel '!H46</f>
        <v>0</v>
      </c>
      <c r="D10" s="53">
        <f>'Project data &amp; personnel '!I46</f>
        <v>0</v>
      </c>
      <c r="E10" s="53" t="str">
        <f>'Project data &amp; personnel '!F46</f>
        <v/>
      </c>
      <c r="F10" s="52" t="s">
        <v>324</v>
      </c>
      <c r="G10" s="54">
        <f>'Project data &amp; personnel '!L46</f>
        <v>0</v>
      </c>
      <c r="H10" s="55">
        <f>IF(OR($E10="",$E10=0),0,VLOOKUP($E10,'Salary scale &amp; Incentives'!$A:$D,3,FALSE)/1000)</f>
        <v>0</v>
      </c>
      <c r="I10" s="56">
        <f t="shared" si="0"/>
        <v>0</v>
      </c>
      <c r="J10" s="315">
        <f t="shared" si="3"/>
        <v>0</v>
      </c>
      <c r="K10" s="57">
        <f t="shared" si="4"/>
        <v>0</v>
      </c>
      <c r="L10" s="58">
        <f t="shared" si="1"/>
        <v>0</v>
      </c>
      <c r="M10" s="58">
        <f t="shared" si="2"/>
        <v>0</v>
      </c>
      <c r="N10" s="59">
        <f t="shared" si="5"/>
        <v>0</v>
      </c>
      <c r="O10" s="60">
        <f t="shared" si="6"/>
        <v>0</v>
      </c>
      <c r="P10" s="321">
        <f t="shared" si="7"/>
        <v>0</v>
      </c>
      <c r="Q10" s="60">
        <f t="shared" si="8"/>
        <v>0</v>
      </c>
    </row>
    <row r="11" spans="1:22" x14ac:dyDescent="0.3">
      <c r="A11" s="53">
        <f>'Project data &amp; personnel '!D47</f>
        <v>0</v>
      </c>
      <c r="B11" s="53" t="str">
        <f>IF($A11=0,"",VLOOKUP($A11,'Salary scale &amp; Incentives'!$F$13:$H$24,2,FALSE))</f>
        <v/>
      </c>
      <c r="C11" s="53">
        <f>'Project data &amp; personnel '!H47</f>
        <v>0</v>
      </c>
      <c r="D11" s="53">
        <f>'Project data &amp; personnel '!I47</f>
        <v>0</v>
      </c>
      <c r="E11" s="53" t="str">
        <f>'Project data &amp; personnel '!F47</f>
        <v/>
      </c>
      <c r="F11" s="52" t="s">
        <v>324</v>
      </c>
      <c r="G11" s="54">
        <f>'Project data &amp; personnel '!L47</f>
        <v>0</v>
      </c>
      <c r="H11" s="55">
        <f>IF(OR($E11="",$E11=0),0,VLOOKUP($E11,'Salary scale &amp; Incentives'!$A:$D,3,FALSE)/1000)</f>
        <v>0</v>
      </c>
      <c r="I11" s="56">
        <f t="shared" si="0"/>
        <v>0</v>
      </c>
      <c r="J11" s="315">
        <f t="shared" si="3"/>
        <v>0</v>
      </c>
      <c r="K11" s="57">
        <f t="shared" si="4"/>
        <v>0</v>
      </c>
      <c r="L11" s="58">
        <f t="shared" si="1"/>
        <v>0</v>
      </c>
      <c r="M11" s="58">
        <f t="shared" si="2"/>
        <v>0</v>
      </c>
      <c r="N11" s="59">
        <f t="shared" si="5"/>
        <v>0</v>
      </c>
      <c r="O11" s="60">
        <f t="shared" si="6"/>
        <v>0</v>
      </c>
      <c r="P11" s="321">
        <f t="shared" si="7"/>
        <v>0</v>
      </c>
      <c r="Q11" s="60">
        <f t="shared" si="8"/>
        <v>0</v>
      </c>
    </row>
    <row r="12" spans="1:22" x14ac:dyDescent="0.3">
      <c r="A12" s="53">
        <f>'Project data &amp; personnel '!D48</f>
        <v>0</v>
      </c>
      <c r="B12" s="53" t="str">
        <f>IF($A12=0,"",VLOOKUP($A12,'Salary scale &amp; Incentives'!$F$13:$H$24,2,FALSE))</f>
        <v/>
      </c>
      <c r="C12" s="53">
        <f>'Project data &amp; personnel '!H48</f>
        <v>0</v>
      </c>
      <c r="D12" s="53">
        <f>'Project data &amp; personnel '!I48</f>
        <v>0</v>
      </c>
      <c r="E12" s="53" t="str">
        <f>'Project data &amp; personnel '!F48</f>
        <v/>
      </c>
      <c r="F12" s="52" t="s">
        <v>324</v>
      </c>
      <c r="G12" s="54">
        <f>'Project data &amp; personnel '!L48</f>
        <v>0</v>
      </c>
      <c r="H12" s="55">
        <f>IF(OR($E12="",$E12=0),0,VLOOKUP($E12,'Salary scale &amp; Incentives'!$A:$D,3,FALSE)/1000)</f>
        <v>0</v>
      </c>
      <c r="I12" s="56">
        <f t="shared" ref="I12:I24" si="9">$H$28*K12</f>
        <v>0</v>
      </c>
      <c r="J12" s="315">
        <f t="shared" ref="J12:J24" si="10">IF($F12="Årsverk",G12,IF($F12="Månedsverk",$G12/12,IF($F12="Timer",$G12/$S$3,0)))</f>
        <v>0</v>
      </c>
      <c r="K12" s="57">
        <f t="shared" si="4"/>
        <v>0</v>
      </c>
      <c r="L12" s="58">
        <f t="shared" si="1"/>
        <v>0</v>
      </c>
      <c r="M12" s="58">
        <f t="shared" si="2"/>
        <v>0</v>
      </c>
      <c r="N12" s="59">
        <f t="shared" si="5"/>
        <v>0</v>
      </c>
      <c r="O12" s="60">
        <f t="shared" si="6"/>
        <v>0</v>
      </c>
      <c r="P12" s="321">
        <f t="shared" si="7"/>
        <v>0</v>
      </c>
      <c r="Q12" s="60">
        <f t="shared" si="8"/>
        <v>0</v>
      </c>
    </row>
    <row r="13" spans="1:22" x14ac:dyDescent="0.3">
      <c r="A13" s="53">
        <f>'Project data &amp; personnel '!D49</f>
        <v>0</v>
      </c>
      <c r="B13" s="53" t="str">
        <f>IF($A13=0,"",VLOOKUP($A13,'Salary scale &amp; Incentives'!$F$13:$H$24,2,FALSE))</f>
        <v/>
      </c>
      <c r="C13" s="53">
        <f>'Project data &amp; personnel '!H49</f>
        <v>0</v>
      </c>
      <c r="D13" s="53">
        <f>'Project data &amp; personnel '!I49</f>
        <v>0</v>
      </c>
      <c r="E13" s="53" t="str">
        <f>'Project data &amp; personnel '!F49</f>
        <v/>
      </c>
      <c r="F13" s="52" t="s">
        <v>324</v>
      </c>
      <c r="G13" s="54">
        <f>'Project data &amp; personnel '!L49</f>
        <v>0</v>
      </c>
      <c r="H13" s="55">
        <f>IF(OR($E13="",$E13=0),0,VLOOKUP($E13,'Salary scale &amp; Incentives'!$A:$D,3,FALSE)/1000)</f>
        <v>0</v>
      </c>
      <c r="I13" s="56">
        <f t="shared" si="9"/>
        <v>0</v>
      </c>
      <c r="J13" s="315">
        <f t="shared" si="10"/>
        <v>0</v>
      </c>
      <c r="K13" s="57">
        <f t="shared" si="4"/>
        <v>0</v>
      </c>
      <c r="L13" s="58">
        <f t="shared" si="1"/>
        <v>0</v>
      </c>
      <c r="M13" s="58">
        <f t="shared" si="2"/>
        <v>0</v>
      </c>
      <c r="N13" s="59">
        <f t="shared" si="5"/>
        <v>0</v>
      </c>
      <c r="O13" s="60">
        <f t="shared" si="6"/>
        <v>0</v>
      </c>
      <c r="P13" s="321">
        <f t="shared" si="7"/>
        <v>0</v>
      </c>
      <c r="Q13" s="60">
        <f t="shared" si="8"/>
        <v>0</v>
      </c>
    </row>
    <row r="14" spans="1:22" x14ac:dyDescent="0.3">
      <c r="A14" s="53">
        <f>'Project data &amp; personnel '!D50</f>
        <v>0</v>
      </c>
      <c r="B14" s="53" t="str">
        <f>IF($A14=0,"",VLOOKUP($A14,'Salary scale &amp; Incentives'!$F$13:$H$24,2,FALSE))</f>
        <v/>
      </c>
      <c r="C14" s="53">
        <f>'Project data &amp; personnel '!H50</f>
        <v>0</v>
      </c>
      <c r="D14" s="53">
        <f>'Project data &amp; personnel '!I50</f>
        <v>0</v>
      </c>
      <c r="E14" s="53" t="str">
        <f>'Project data &amp; personnel '!F50</f>
        <v/>
      </c>
      <c r="F14" s="52" t="s">
        <v>324</v>
      </c>
      <c r="G14" s="54">
        <f>'Project data &amp; personnel '!L50</f>
        <v>0</v>
      </c>
      <c r="H14" s="55">
        <f>IF(OR($E14="",$E14=0),0,VLOOKUP($E14,'Salary scale &amp; Incentives'!$A:$D,3,FALSE)/1000)</f>
        <v>0</v>
      </c>
      <c r="I14" s="56">
        <f t="shared" si="9"/>
        <v>0</v>
      </c>
      <c r="J14" s="315">
        <f t="shared" si="10"/>
        <v>0</v>
      </c>
      <c r="K14" s="57">
        <f t="shared" si="4"/>
        <v>0</v>
      </c>
      <c r="L14" s="58">
        <f t="shared" si="1"/>
        <v>0</v>
      </c>
      <c r="M14" s="58">
        <f t="shared" si="2"/>
        <v>0</v>
      </c>
      <c r="N14" s="59">
        <f t="shared" si="5"/>
        <v>0</v>
      </c>
      <c r="O14" s="60">
        <f t="shared" si="6"/>
        <v>0</v>
      </c>
      <c r="P14" s="321">
        <f t="shared" si="7"/>
        <v>0</v>
      </c>
      <c r="Q14" s="60">
        <f t="shared" si="8"/>
        <v>0</v>
      </c>
    </row>
    <row r="15" spans="1:22" x14ac:dyDescent="0.3">
      <c r="A15" s="53">
        <f>'Project data &amp; personnel '!D51</f>
        <v>0</v>
      </c>
      <c r="B15" s="53" t="str">
        <f>IF($A15=0,"",VLOOKUP($A15,'Salary scale &amp; Incentives'!$F$13:$H$24,2,FALSE))</f>
        <v/>
      </c>
      <c r="C15" s="53">
        <f>'Project data &amp; personnel '!H51</f>
        <v>0</v>
      </c>
      <c r="D15" s="53">
        <f>'Project data &amp; personnel '!I51</f>
        <v>0</v>
      </c>
      <c r="E15" s="53" t="str">
        <f>'Project data &amp; personnel '!F51</f>
        <v/>
      </c>
      <c r="F15" s="52" t="s">
        <v>324</v>
      </c>
      <c r="G15" s="54">
        <f>'Project data &amp; personnel '!L51</f>
        <v>0</v>
      </c>
      <c r="H15" s="55">
        <f>IF(OR($E15="",$E15=0),0,VLOOKUP($E15,'Salary scale &amp; Incentives'!$A:$D,3,FALSE)/1000)</f>
        <v>0</v>
      </c>
      <c r="I15" s="56">
        <f t="shared" si="9"/>
        <v>0</v>
      </c>
      <c r="J15" s="315">
        <f t="shared" si="10"/>
        <v>0</v>
      </c>
      <c r="K15" s="57">
        <f t="shared" si="4"/>
        <v>0</v>
      </c>
      <c r="L15" s="58">
        <f t="shared" si="1"/>
        <v>0</v>
      </c>
      <c r="M15" s="58">
        <f t="shared" si="2"/>
        <v>0</v>
      </c>
      <c r="N15" s="59">
        <f t="shared" si="5"/>
        <v>0</v>
      </c>
      <c r="O15" s="60">
        <f t="shared" si="6"/>
        <v>0</v>
      </c>
      <c r="P15" s="321">
        <f t="shared" si="7"/>
        <v>0</v>
      </c>
      <c r="Q15" s="60">
        <f t="shared" si="8"/>
        <v>0</v>
      </c>
    </row>
    <row r="16" spans="1:22" x14ac:dyDescent="0.3">
      <c r="A16" s="53">
        <f>'Project data &amp; personnel '!D52</f>
        <v>0</v>
      </c>
      <c r="B16" s="53" t="str">
        <f>IF($A16=0,"",VLOOKUP($A16,'Salary scale &amp; Incentives'!$F$13:$H$24,2,FALSE))</f>
        <v/>
      </c>
      <c r="C16" s="53">
        <f>'Project data &amp; personnel '!H52</f>
        <v>0</v>
      </c>
      <c r="D16" s="53">
        <f>'Project data &amp; personnel '!I52</f>
        <v>0</v>
      </c>
      <c r="E16" s="53" t="str">
        <f>'Project data &amp; personnel '!F52</f>
        <v/>
      </c>
      <c r="F16" s="52" t="s">
        <v>324</v>
      </c>
      <c r="G16" s="54">
        <f>'Project data &amp; personnel '!L52</f>
        <v>0</v>
      </c>
      <c r="H16" s="55">
        <f>IF(OR($E16="",$E16=0),0,VLOOKUP($E16,'Salary scale &amp; Incentives'!$A:$D,3,FALSE)/1000)</f>
        <v>0</v>
      </c>
      <c r="I16" s="56">
        <f t="shared" si="9"/>
        <v>0</v>
      </c>
      <c r="J16" s="315">
        <f t="shared" si="10"/>
        <v>0</v>
      </c>
      <c r="K16" s="57">
        <f t="shared" si="4"/>
        <v>0</v>
      </c>
      <c r="L16" s="58">
        <f t="shared" si="1"/>
        <v>0</v>
      </c>
      <c r="M16" s="58">
        <f t="shared" si="2"/>
        <v>0</v>
      </c>
      <c r="N16" s="59">
        <f t="shared" si="5"/>
        <v>0</v>
      </c>
      <c r="O16" s="60">
        <f t="shared" si="6"/>
        <v>0</v>
      </c>
      <c r="P16" s="321">
        <f t="shared" si="7"/>
        <v>0</v>
      </c>
      <c r="Q16" s="60">
        <f t="shared" si="8"/>
        <v>0</v>
      </c>
    </row>
    <row r="17" spans="1:17" x14ac:dyDescent="0.3">
      <c r="A17" s="53">
        <f>'Project data &amp; personnel '!D53</f>
        <v>0</v>
      </c>
      <c r="B17" s="53" t="str">
        <f>IF($A17=0,"",VLOOKUP($A17,'Salary scale &amp; Incentives'!$F$13:$H$24,2,FALSE))</f>
        <v/>
      </c>
      <c r="C17" s="53">
        <f>'Project data &amp; personnel '!H53</f>
        <v>0</v>
      </c>
      <c r="D17" s="53">
        <f>'Project data &amp; personnel '!I53</f>
        <v>0</v>
      </c>
      <c r="E17" s="53" t="str">
        <f>'Project data &amp; personnel '!F53</f>
        <v/>
      </c>
      <c r="F17" s="52" t="s">
        <v>324</v>
      </c>
      <c r="G17" s="54">
        <f>'Project data &amp; personnel '!L53</f>
        <v>0</v>
      </c>
      <c r="H17" s="55">
        <f>IF(OR($E17="",$E17=0),0,VLOOKUP($E17,'Salary scale &amp; Incentives'!$A:$D,3,FALSE)/1000)</f>
        <v>0</v>
      </c>
      <c r="I17" s="56">
        <f t="shared" si="9"/>
        <v>0</v>
      </c>
      <c r="J17" s="315">
        <f t="shared" si="10"/>
        <v>0</v>
      </c>
      <c r="K17" s="57">
        <f t="shared" si="4"/>
        <v>0</v>
      </c>
      <c r="L17" s="58">
        <f t="shared" si="1"/>
        <v>0</v>
      </c>
      <c r="M17" s="58">
        <f t="shared" si="2"/>
        <v>0</v>
      </c>
      <c r="N17" s="59">
        <f t="shared" si="5"/>
        <v>0</v>
      </c>
      <c r="O17" s="60">
        <f t="shared" si="6"/>
        <v>0</v>
      </c>
      <c r="P17" s="321">
        <f t="shared" si="7"/>
        <v>0</v>
      </c>
      <c r="Q17" s="60">
        <f t="shared" si="8"/>
        <v>0</v>
      </c>
    </row>
    <row r="18" spans="1:17" x14ac:dyDescent="0.3">
      <c r="A18" s="53">
        <f>'Project data &amp; personnel '!D54</f>
        <v>0</v>
      </c>
      <c r="B18" s="53" t="str">
        <f>IF($A18=0,"",VLOOKUP($A18,'Salary scale &amp; Incentives'!$F$13:$H$24,2,FALSE))</f>
        <v/>
      </c>
      <c r="C18" s="53">
        <f>'Project data &amp; personnel '!H54</f>
        <v>0</v>
      </c>
      <c r="D18" s="53">
        <f>'Project data &amp; personnel '!I54</f>
        <v>0</v>
      </c>
      <c r="E18" s="53" t="str">
        <f>'Project data &amp; personnel '!F54</f>
        <v/>
      </c>
      <c r="F18" s="52" t="s">
        <v>324</v>
      </c>
      <c r="G18" s="54">
        <f>'Project data &amp; personnel '!L54</f>
        <v>0</v>
      </c>
      <c r="H18" s="55">
        <f>IF(OR($E18="",$E18=0),0,VLOOKUP($E18,'Salary scale &amp; Incentives'!$A:$D,3,FALSE)/1000)</f>
        <v>0</v>
      </c>
      <c r="I18" s="56">
        <f t="shared" si="9"/>
        <v>0</v>
      </c>
      <c r="J18" s="315">
        <f t="shared" si="10"/>
        <v>0</v>
      </c>
      <c r="K18" s="57">
        <f t="shared" si="4"/>
        <v>0</v>
      </c>
      <c r="L18" s="58">
        <f t="shared" si="1"/>
        <v>0</v>
      </c>
      <c r="M18" s="58">
        <f t="shared" si="2"/>
        <v>0</v>
      </c>
      <c r="N18" s="59">
        <f t="shared" si="5"/>
        <v>0</v>
      </c>
      <c r="O18" s="60">
        <f t="shared" si="6"/>
        <v>0</v>
      </c>
      <c r="P18" s="321">
        <f t="shared" si="7"/>
        <v>0</v>
      </c>
      <c r="Q18" s="60">
        <f t="shared" si="8"/>
        <v>0</v>
      </c>
    </row>
    <row r="19" spans="1:17" x14ac:dyDescent="0.3">
      <c r="A19" s="53">
        <f>'Project data &amp; personnel '!D55</f>
        <v>0</v>
      </c>
      <c r="B19" s="53" t="str">
        <f>IF($A19=0,"",VLOOKUP($A19,'Salary scale &amp; Incentives'!$F$13:$H$24,2,FALSE))</f>
        <v/>
      </c>
      <c r="C19" s="53">
        <f>'Project data &amp; personnel '!H55</f>
        <v>0</v>
      </c>
      <c r="D19" s="53">
        <f>'Project data &amp; personnel '!I55</f>
        <v>0</v>
      </c>
      <c r="E19" s="53" t="str">
        <f>'Project data &amp; personnel '!F55</f>
        <v/>
      </c>
      <c r="F19" s="52" t="s">
        <v>324</v>
      </c>
      <c r="G19" s="54">
        <f>'Project data &amp; personnel '!L55</f>
        <v>0</v>
      </c>
      <c r="H19" s="55">
        <f>IF(OR($E19="",$E19=0),0,VLOOKUP($E19,'Salary scale &amp; Incentives'!$A:$D,3,FALSE)/1000)</f>
        <v>0</v>
      </c>
      <c r="I19" s="56">
        <f t="shared" si="9"/>
        <v>0</v>
      </c>
      <c r="J19" s="315">
        <f t="shared" si="10"/>
        <v>0</v>
      </c>
      <c r="K19" s="57">
        <f t="shared" si="4"/>
        <v>0</v>
      </c>
      <c r="L19" s="58">
        <f t="shared" si="1"/>
        <v>0</v>
      </c>
      <c r="M19" s="58">
        <f t="shared" si="2"/>
        <v>0</v>
      </c>
      <c r="N19" s="59">
        <f t="shared" si="5"/>
        <v>0</v>
      </c>
      <c r="O19" s="60">
        <f t="shared" si="6"/>
        <v>0</v>
      </c>
      <c r="P19" s="321">
        <f t="shared" si="7"/>
        <v>0</v>
      </c>
      <c r="Q19" s="60">
        <f t="shared" si="8"/>
        <v>0</v>
      </c>
    </row>
    <row r="20" spans="1:17" x14ac:dyDescent="0.3">
      <c r="A20" s="53">
        <f>'Project data &amp; personnel '!D56</f>
        <v>0</v>
      </c>
      <c r="B20" s="53" t="str">
        <f>IF($A20=0,"",VLOOKUP($A20,'Salary scale &amp; Incentives'!$F$13:$H$24,2,FALSE))</f>
        <v/>
      </c>
      <c r="C20" s="53">
        <f>'Project data &amp; personnel '!H56</f>
        <v>0</v>
      </c>
      <c r="D20" s="53">
        <f>'Project data &amp; personnel '!I56</f>
        <v>0</v>
      </c>
      <c r="E20" s="53" t="str">
        <f>'Project data &amp; personnel '!F56</f>
        <v/>
      </c>
      <c r="F20" s="52" t="s">
        <v>324</v>
      </c>
      <c r="G20" s="54">
        <f>'Project data &amp; personnel '!L56</f>
        <v>0</v>
      </c>
      <c r="H20" s="55">
        <f>IF(OR($E20="",$E20=0),0,VLOOKUP($E20,'Salary scale &amp; Incentives'!$A:$D,3,FALSE)/1000)</f>
        <v>0</v>
      </c>
      <c r="I20" s="56">
        <f t="shared" si="9"/>
        <v>0</v>
      </c>
      <c r="J20" s="315">
        <f t="shared" si="10"/>
        <v>0</v>
      </c>
      <c r="K20" s="57">
        <f t="shared" si="4"/>
        <v>0</v>
      </c>
      <c r="L20" s="58">
        <f t="shared" si="1"/>
        <v>0</v>
      </c>
      <c r="M20" s="58">
        <f t="shared" si="2"/>
        <v>0</v>
      </c>
      <c r="N20" s="59">
        <f t="shared" si="5"/>
        <v>0</v>
      </c>
      <c r="O20" s="60">
        <f t="shared" si="6"/>
        <v>0</v>
      </c>
      <c r="P20" s="321">
        <f t="shared" si="7"/>
        <v>0</v>
      </c>
      <c r="Q20" s="60">
        <f t="shared" si="8"/>
        <v>0</v>
      </c>
    </row>
    <row r="21" spans="1:17" x14ac:dyDescent="0.3">
      <c r="A21" s="53">
        <f>'Project data &amp; personnel '!D57</f>
        <v>0</v>
      </c>
      <c r="B21" s="53" t="str">
        <f>IF($A21=0,"",VLOOKUP($A21,'Salary scale &amp; Incentives'!$F$13:$H$24,2,FALSE))</f>
        <v/>
      </c>
      <c r="C21" s="53">
        <f>'Project data &amp; personnel '!H57</f>
        <v>0</v>
      </c>
      <c r="D21" s="53">
        <f>'Project data &amp; personnel '!I57</f>
        <v>0</v>
      </c>
      <c r="E21" s="53" t="str">
        <f>'Project data &amp; personnel '!F57</f>
        <v/>
      </c>
      <c r="F21" s="52" t="s">
        <v>324</v>
      </c>
      <c r="G21" s="54">
        <f>'Project data &amp; personnel '!L57</f>
        <v>0</v>
      </c>
      <c r="H21" s="55">
        <f>IF(OR($E21="",$E21=0),0,VLOOKUP($E21,'Salary scale &amp; Incentives'!$A:$D,3,FALSE)/1000)</f>
        <v>0</v>
      </c>
      <c r="I21" s="56">
        <f t="shared" si="9"/>
        <v>0</v>
      </c>
      <c r="J21" s="315">
        <f t="shared" si="10"/>
        <v>0</v>
      </c>
      <c r="K21" s="57">
        <f t="shared" si="4"/>
        <v>0</v>
      </c>
      <c r="L21" s="58">
        <f t="shared" si="1"/>
        <v>0</v>
      </c>
      <c r="M21" s="58">
        <f t="shared" si="2"/>
        <v>0</v>
      </c>
      <c r="N21" s="59">
        <f t="shared" si="5"/>
        <v>0</v>
      </c>
      <c r="O21" s="60">
        <f t="shared" si="6"/>
        <v>0</v>
      </c>
      <c r="P21" s="321">
        <f t="shared" si="7"/>
        <v>0</v>
      </c>
      <c r="Q21" s="60">
        <f t="shared" si="8"/>
        <v>0</v>
      </c>
    </row>
    <row r="22" spans="1:17" x14ac:dyDescent="0.3">
      <c r="A22" s="53">
        <f>'Project data &amp; personnel '!D58</f>
        <v>0</v>
      </c>
      <c r="B22" s="53" t="str">
        <f>IF($A22=0,"",VLOOKUP($A22,'Salary scale &amp; Incentives'!$F$13:$H$24,2,FALSE))</f>
        <v/>
      </c>
      <c r="C22" s="53">
        <f>'Project data &amp; personnel '!H58</f>
        <v>0</v>
      </c>
      <c r="D22" s="53">
        <f>'Project data &amp; personnel '!I58</f>
        <v>0</v>
      </c>
      <c r="E22" s="53" t="str">
        <f>'Project data &amp; personnel '!F58</f>
        <v/>
      </c>
      <c r="F22" s="52" t="s">
        <v>324</v>
      </c>
      <c r="G22" s="54">
        <f>'Project data &amp; personnel '!L58</f>
        <v>0</v>
      </c>
      <c r="H22" s="55">
        <f>IF(OR($E22="",$E22=0),0,VLOOKUP($E22,'Salary scale &amp; Incentives'!$A:$D,3,FALSE)/1000)</f>
        <v>0</v>
      </c>
      <c r="I22" s="56">
        <f t="shared" si="9"/>
        <v>0</v>
      </c>
      <c r="J22" s="315">
        <f t="shared" si="10"/>
        <v>0</v>
      </c>
      <c r="K22" s="57">
        <f t="shared" si="4"/>
        <v>0</v>
      </c>
      <c r="L22" s="58">
        <f t="shared" si="1"/>
        <v>0</v>
      </c>
      <c r="M22" s="58">
        <f t="shared" si="2"/>
        <v>0</v>
      </c>
      <c r="N22" s="59">
        <f t="shared" si="5"/>
        <v>0</v>
      </c>
      <c r="O22" s="60">
        <f t="shared" si="6"/>
        <v>0</v>
      </c>
      <c r="P22" s="321">
        <f t="shared" si="7"/>
        <v>0</v>
      </c>
      <c r="Q22" s="60">
        <f t="shared" si="8"/>
        <v>0</v>
      </c>
    </row>
    <row r="23" spans="1:17" x14ac:dyDescent="0.3">
      <c r="A23" s="53">
        <f>'Project data &amp; personnel '!D59</f>
        <v>0</v>
      </c>
      <c r="B23" s="53" t="str">
        <f>IF($A23=0,"",VLOOKUP($A23,'Salary scale &amp; Incentives'!$F$13:$H$24,2,FALSE))</f>
        <v/>
      </c>
      <c r="C23" s="53">
        <f>'Project data &amp; personnel '!H59</f>
        <v>0</v>
      </c>
      <c r="D23" s="53">
        <f>'Project data &amp; personnel '!I59</f>
        <v>0</v>
      </c>
      <c r="E23" s="53" t="str">
        <f>'Project data &amp; personnel '!F59</f>
        <v/>
      </c>
      <c r="F23" s="52" t="s">
        <v>324</v>
      </c>
      <c r="G23" s="54">
        <f>'Project data &amp; personnel '!L59</f>
        <v>0</v>
      </c>
      <c r="H23" s="55">
        <f>IF(OR($E23="",$E23=0),0,VLOOKUP($E23,'Salary scale &amp; Incentives'!$A:$D,3,FALSE)/1000)</f>
        <v>0</v>
      </c>
      <c r="I23" s="56">
        <f t="shared" si="9"/>
        <v>0</v>
      </c>
      <c r="J23" s="315">
        <f t="shared" si="10"/>
        <v>0</v>
      </c>
      <c r="K23" s="57">
        <f t="shared" si="4"/>
        <v>0</v>
      </c>
      <c r="L23" s="58">
        <f t="shared" si="1"/>
        <v>0</v>
      </c>
      <c r="M23" s="58">
        <f t="shared" si="2"/>
        <v>0</v>
      </c>
      <c r="N23" s="59">
        <f t="shared" si="5"/>
        <v>0</v>
      </c>
      <c r="O23" s="60">
        <f t="shared" si="6"/>
        <v>0</v>
      </c>
      <c r="P23" s="321">
        <f t="shared" si="7"/>
        <v>0</v>
      </c>
      <c r="Q23" s="60">
        <f t="shared" si="8"/>
        <v>0</v>
      </c>
    </row>
    <row r="24" spans="1:17" x14ac:dyDescent="0.3">
      <c r="A24" s="53">
        <f>'Project data &amp; personnel '!D60</f>
        <v>0</v>
      </c>
      <c r="B24" s="53" t="str">
        <f>IF($A24=0,"",VLOOKUP($A24,'Salary scale &amp; Incentives'!$F$13:$H$24,2,FALSE))</f>
        <v/>
      </c>
      <c r="C24" s="53">
        <f>'Project data &amp; personnel '!H60</f>
        <v>0</v>
      </c>
      <c r="D24" s="53">
        <f>'Project data &amp; personnel '!I60</f>
        <v>0</v>
      </c>
      <c r="E24" s="53" t="str">
        <f>'Project data &amp; personnel '!F60</f>
        <v/>
      </c>
      <c r="F24" s="52" t="s">
        <v>324</v>
      </c>
      <c r="G24" s="54">
        <f>'Project data &amp; personnel '!L60</f>
        <v>0</v>
      </c>
      <c r="H24" s="55">
        <f>IF(OR($E24="",$E24=0),0,VLOOKUP($E24,'Salary scale &amp; Incentives'!$A:$D,3,FALSE)/1000)</f>
        <v>0</v>
      </c>
      <c r="I24" s="56">
        <f t="shared" si="9"/>
        <v>0</v>
      </c>
      <c r="J24" s="315">
        <f t="shared" si="10"/>
        <v>0</v>
      </c>
      <c r="K24" s="57">
        <f t="shared" si="4"/>
        <v>0</v>
      </c>
      <c r="L24" s="58">
        <f t="shared" si="1"/>
        <v>0</v>
      </c>
      <c r="M24" s="58">
        <f t="shared" si="2"/>
        <v>0</v>
      </c>
      <c r="N24" s="59">
        <f t="shared" si="5"/>
        <v>0</v>
      </c>
      <c r="O24" s="60">
        <f t="shared" si="6"/>
        <v>0</v>
      </c>
      <c r="P24" s="321">
        <f t="shared" si="7"/>
        <v>0</v>
      </c>
      <c r="Q24" s="60">
        <f t="shared" si="8"/>
        <v>0</v>
      </c>
    </row>
    <row r="25" spans="1:17" x14ac:dyDescent="0.3">
      <c r="A25" s="63"/>
      <c r="B25" s="63"/>
      <c r="C25" s="63"/>
      <c r="D25" s="63"/>
      <c r="E25" s="63" t="s">
        <v>325</v>
      </c>
      <c r="F25" s="63"/>
      <c r="G25" s="64">
        <f>J25</f>
        <v>12</v>
      </c>
      <c r="H25" s="65"/>
      <c r="I25" s="65">
        <f>SUM(I3:I24)</f>
        <v>5879.9999938668434</v>
      </c>
      <c r="J25" s="316">
        <f>SUM(J3:J24)</f>
        <v>12</v>
      </c>
      <c r="K25" s="65">
        <f>SUM(K3:K24)</f>
        <v>9587.2350000000006</v>
      </c>
      <c r="L25" s="65"/>
      <c r="M25" s="65"/>
      <c r="N25" s="65"/>
      <c r="O25" s="65">
        <f>SUM(O3:O24)</f>
        <v>5880</v>
      </c>
      <c r="P25" s="322"/>
      <c r="Q25" s="65">
        <f>SUM(Q3:Q24)</f>
        <v>15467.234993866841</v>
      </c>
    </row>
    <row r="26" spans="1:17" x14ac:dyDescent="0.3">
      <c r="O26" s="60"/>
    </row>
    <row r="28" spans="1:17" ht="15.6" x14ac:dyDescent="0.3">
      <c r="A28" s="66" t="s">
        <v>326</v>
      </c>
      <c r="B28" s="66"/>
      <c r="C28" s="66"/>
      <c r="D28" s="66"/>
      <c r="E28" s="66"/>
      <c r="F28" s="66"/>
      <c r="G28" s="66"/>
      <c r="H28" s="67">
        <f>MAX(0.3,SUMPRODUCT($K$3:$K$24,$P$3:$P$24)/(SUM($K$3:$K$24)+0.00001))</f>
        <v>0.61331551733809009</v>
      </c>
      <c r="I28" s="68"/>
      <c r="J28" s="318"/>
      <c r="K28" s="69"/>
      <c r="L28" s="69"/>
      <c r="M28" s="69"/>
      <c r="N28" s="69"/>
      <c r="O28" s="69"/>
    </row>
    <row r="29" spans="1:17" ht="15" customHeight="1" x14ac:dyDescent="0.3"/>
    <row r="30" spans="1:17" ht="15" customHeight="1" x14ac:dyDescent="0.3"/>
    <row r="31" spans="1:17" ht="15" customHeight="1" x14ac:dyDescent="0.3"/>
  </sheetData>
  <sheetProtection algorithmName="SHA-512" hashValue="u2WTyqetogLvb+6nU7tfngAEdd8k/NHyCbKc0ivYV8FTUeJfYDA6ydtGsOiWhnaiSi6/APNFLbaEc6yv689okQ==" saltValue="1334qEXd7i/tcYoFSIyq6w==" spinCount="100000" sheet="1" objects="1" scenarios="1"/>
  <mergeCells count="2">
    <mergeCell ref="H1:K1"/>
    <mergeCell ref="L1:N1"/>
  </mergeCells>
  <dataValidations disablePrompts="1" count="1">
    <dataValidation type="list" allowBlank="1" showInputMessage="1" showErrorMessage="1" sqref="F3:F24" xr:uid="{00000000-0002-0000-0900-000000000000}">
      <formula1>Enhet</formula1>
    </dataValidation>
  </dataValidations>
  <pageMargins left="0.39370078740157483" right="0.39370078740157483" top="0.78740157480314965" bottom="0.59055118110236227" header="0.51181102362204722" footer="0.31496062992125984"/>
  <pageSetup paperSize="9" scale="56" orientation="landscape" r:id="rId1"/>
  <headerFooter>
    <oddFooter>&amp;L&amp;F   ---   &amp;A&amp;RPage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14"/>
  <sheetViews>
    <sheetView topLeftCell="A64" workbookViewId="0">
      <selection activeCell="B90" sqref="B90"/>
    </sheetView>
  </sheetViews>
  <sheetFormatPr defaultColWidth="11.44140625" defaultRowHeight="13.2" x14ac:dyDescent="0.25"/>
  <cols>
    <col min="1" max="1" width="6.5546875" style="8" customWidth="1"/>
    <col min="2" max="2" width="12.88671875" style="8" customWidth="1"/>
    <col min="3" max="3" width="20.88671875" style="7" customWidth="1"/>
    <col min="4" max="4" width="20.88671875" style="8" customWidth="1"/>
    <col min="5" max="5" width="1.5546875" style="8" customWidth="1"/>
    <col min="6" max="6" width="22.109375" style="8" customWidth="1"/>
    <col min="7" max="9" width="11.44140625" style="8"/>
    <col min="10" max="10" width="20.44140625" style="8" bestFit="1" customWidth="1"/>
    <col min="11" max="16384" width="11.44140625" style="8"/>
  </cols>
  <sheetData>
    <row r="1" spans="1:10" s="533" customFormat="1" ht="22.5" customHeight="1" x14ac:dyDescent="0.4">
      <c r="A1" s="533" t="s">
        <v>327</v>
      </c>
      <c r="B1" s="534"/>
    </row>
    <row r="2" spans="1:10" x14ac:dyDescent="0.25">
      <c r="B2" s="7"/>
      <c r="C2" s="8"/>
    </row>
    <row r="3" spans="1:10" s="1" customFormat="1" x14ac:dyDescent="0.25">
      <c r="A3" s="9"/>
      <c r="B3" s="537"/>
      <c r="D3" s="536" t="s">
        <v>328</v>
      </c>
      <c r="F3" s="535">
        <v>44682</v>
      </c>
    </row>
    <row r="4" spans="1:10" s="1" customFormat="1" x14ac:dyDescent="0.25">
      <c r="A4" s="532"/>
      <c r="B4" s="537"/>
      <c r="D4" s="538" t="s">
        <v>329</v>
      </c>
      <c r="F4" s="539">
        <v>0.31</v>
      </c>
    </row>
    <row r="5" spans="1:10" customFormat="1" x14ac:dyDescent="0.25">
      <c r="A5" s="35"/>
      <c r="B5" s="34"/>
    </row>
    <row r="6" spans="1:10" s="2" customFormat="1" x14ac:dyDescent="0.25">
      <c r="A6" s="532" t="s">
        <v>330</v>
      </c>
      <c r="B6" s="7"/>
    </row>
    <row r="7" spans="1:10" s="2" customFormat="1" x14ac:dyDescent="0.25">
      <c r="A7" s="532" t="s">
        <v>331</v>
      </c>
      <c r="B7" s="7"/>
    </row>
    <row r="8" spans="1:10" s="2" customFormat="1" x14ac:dyDescent="0.25">
      <c r="A8" s="532" t="s">
        <v>332</v>
      </c>
      <c r="B8" s="7"/>
    </row>
    <row r="9" spans="1:10" s="2" customFormat="1" x14ac:dyDescent="0.25">
      <c r="A9" s="532" t="s">
        <v>333</v>
      </c>
      <c r="B9" s="7"/>
    </row>
    <row r="10" spans="1:10" s="2" customFormat="1" x14ac:dyDescent="0.25">
      <c r="A10" s="532" t="s">
        <v>334</v>
      </c>
      <c r="B10" s="7"/>
    </row>
    <row r="11" spans="1:10" s="2" customFormat="1" x14ac:dyDescent="0.25">
      <c r="A11" s="532" t="s">
        <v>335</v>
      </c>
      <c r="B11" s="7"/>
    </row>
    <row r="12" spans="1:10" ht="18" thickBot="1" x14ac:dyDescent="0.35">
      <c r="A12" s="33"/>
      <c r="B12" s="7"/>
    </row>
    <row r="13" spans="1:10" s="9" customFormat="1" ht="61.65" customHeight="1" thickBot="1" x14ac:dyDescent="0.3">
      <c r="A13" s="542" t="s">
        <v>135</v>
      </c>
      <c r="B13" s="543" t="s">
        <v>336</v>
      </c>
      <c r="C13" s="544" t="s">
        <v>337</v>
      </c>
      <c r="D13" s="545" t="s">
        <v>338</v>
      </c>
      <c r="E13" s="546"/>
      <c r="F13" s="547" t="s">
        <v>339</v>
      </c>
      <c r="G13" s="548" t="s">
        <v>308</v>
      </c>
      <c r="H13" s="548" t="s">
        <v>340</v>
      </c>
      <c r="I13" s="540" t="s">
        <v>341</v>
      </c>
      <c r="J13" s="541" t="s">
        <v>342</v>
      </c>
    </row>
    <row r="14" spans="1:10" s="559" customFormat="1" x14ac:dyDescent="0.25">
      <c r="A14" s="555">
        <v>1</v>
      </c>
      <c r="B14" s="556">
        <v>0</v>
      </c>
      <c r="C14" s="557">
        <f t="shared" ref="C14:C45" si="0">B14*(1+$F$4)</f>
        <v>0</v>
      </c>
      <c r="D14" s="558">
        <f t="shared" ref="D14:D31" si="1">C14/12</f>
        <v>0</v>
      </c>
      <c r="F14" s="560" t="s">
        <v>343</v>
      </c>
      <c r="G14" s="561" t="s">
        <v>344</v>
      </c>
      <c r="H14" s="562">
        <v>79</v>
      </c>
      <c r="I14" s="563">
        <v>78</v>
      </c>
      <c r="J14" s="564" t="s">
        <v>343</v>
      </c>
    </row>
    <row r="15" spans="1:10" s="559" customFormat="1" x14ac:dyDescent="0.25">
      <c r="A15" s="555">
        <v>2</v>
      </c>
      <c r="B15" s="556">
        <v>0</v>
      </c>
      <c r="C15" s="565">
        <f t="shared" si="0"/>
        <v>0</v>
      </c>
      <c r="D15" s="566">
        <f t="shared" si="1"/>
        <v>0</v>
      </c>
      <c r="F15" s="567" t="s">
        <v>148</v>
      </c>
      <c r="G15" s="568" t="s">
        <v>344</v>
      </c>
      <c r="H15" s="569">
        <v>68</v>
      </c>
      <c r="I15" s="570">
        <v>66</v>
      </c>
      <c r="J15" s="571" t="s">
        <v>345</v>
      </c>
    </row>
    <row r="16" spans="1:10" s="559" customFormat="1" x14ac:dyDescent="0.25">
      <c r="A16" s="555">
        <v>3</v>
      </c>
      <c r="B16" s="556">
        <v>0</v>
      </c>
      <c r="C16" s="565">
        <f t="shared" si="0"/>
        <v>0</v>
      </c>
      <c r="D16" s="566">
        <f t="shared" si="1"/>
        <v>0</v>
      </c>
      <c r="F16" s="567" t="s">
        <v>153</v>
      </c>
      <c r="G16" s="568" t="s">
        <v>344</v>
      </c>
      <c r="H16" s="569">
        <v>62</v>
      </c>
      <c r="I16" s="570">
        <v>60</v>
      </c>
      <c r="J16" s="571" t="s">
        <v>346</v>
      </c>
    </row>
    <row r="17" spans="1:10" s="559" customFormat="1" x14ac:dyDescent="0.25">
      <c r="A17" s="555">
        <v>4</v>
      </c>
      <c r="B17" s="556">
        <v>0</v>
      </c>
      <c r="C17" s="565">
        <f t="shared" si="0"/>
        <v>0</v>
      </c>
      <c r="D17" s="566">
        <f t="shared" si="1"/>
        <v>0</v>
      </c>
      <c r="F17" s="567" t="s">
        <v>156</v>
      </c>
      <c r="G17" s="568" t="s">
        <v>344</v>
      </c>
      <c r="H17" s="569">
        <v>57</v>
      </c>
      <c r="I17" s="570">
        <v>53</v>
      </c>
      <c r="J17" s="571" t="s">
        <v>347</v>
      </c>
    </row>
    <row r="18" spans="1:10" s="559" customFormat="1" x14ac:dyDescent="0.25">
      <c r="A18" s="555">
        <v>5</v>
      </c>
      <c r="B18" s="556">
        <v>0</v>
      </c>
      <c r="C18" s="565">
        <f t="shared" si="0"/>
        <v>0</v>
      </c>
      <c r="D18" s="566">
        <f t="shared" si="1"/>
        <v>0</v>
      </c>
      <c r="F18" s="567" t="s">
        <v>348</v>
      </c>
      <c r="G18" s="568" t="s">
        <v>344</v>
      </c>
      <c r="H18" s="569">
        <v>61</v>
      </c>
      <c r="I18" s="570">
        <v>60</v>
      </c>
      <c r="J18" s="571" t="s">
        <v>349</v>
      </c>
    </row>
    <row r="19" spans="1:10" s="559" customFormat="1" x14ac:dyDescent="0.25">
      <c r="A19" s="555">
        <v>6</v>
      </c>
      <c r="B19" s="556">
        <v>0</v>
      </c>
      <c r="C19" s="565">
        <f t="shared" si="0"/>
        <v>0</v>
      </c>
      <c r="D19" s="566">
        <f t="shared" si="1"/>
        <v>0</v>
      </c>
      <c r="F19" s="567" t="s">
        <v>350</v>
      </c>
      <c r="G19" s="568" t="s">
        <v>344</v>
      </c>
      <c r="H19" s="569">
        <v>23</v>
      </c>
      <c r="I19" s="570">
        <v>39</v>
      </c>
      <c r="J19" s="571" t="s">
        <v>351</v>
      </c>
    </row>
    <row r="20" spans="1:10" s="559" customFormat="1" x14ac:dyDescent="0.25">
      <c r="A20" s="555">
        <v>7</v>
      </c>
      <c r="B20" s="556">
        <v>0</v>
      </c>
      <c r="C20" s="565">
        <f t="shared" si="0"/>
        <v>0</v>
      </c>
      <c r="D20" s="566">
        <f t="shared" si="1"/>
        <v>0</v>
      </c>
      <c r="F20" s="567" t="s">
        <v>352</v>
      </c>
      <c r="G20" s="568" t="s">
        <v>109</v>
      </c>
      <c r="H20" s="569">
        <v>46</v>
      </c>
      <c r="I20" s="570">
        <v>46</v>
      </c>
      <c r="J20" s="571" t="s">
        <v>353</v>
      </c>
    </row>
    <row r="21" spans="1:10" s="559" customFormat="1" x14ac:dyDescent="0.25">
      <c r="A21" s="555">
        <v>8</v>
      </c>
      <c r="B21" s="556">
        <v>0</v>
      </c>
      <c r="C21" s="565">
        <f t="shared" si="0"/>
        <v>0</v>
      </c>
      <c r="D21" s="566">
        <f t="shared" si="1"/>
        <v>0</v>
      </c>
      <c r="F21" s="567" t="s">
        <v>354</v>
      </c>
      <c r="G21" s="568" t="s">
        <v>109</v>
      </c>
      <c r="H21" s="569">
        <v>61</v>
      </c>
      <c r="I21" s="570">
        <v>60</v>
      </c>
      <c r="J21" s="571" t="s">
        <v>355</v>
      </c>
    </row>
    <row r="22" spans="1:10" s="559" customFormat="1" x14ac:dyDescent="0.25">
      <c r="A22" s="555">
        <v>9</v>
      </c>
      <c r="B22" s="556">
        <v>0</v>
      </c>
      <c r="C22" s="565">
        <f t="shared" si="0"/>
        <v>0</v>
      </c>
      <c r="D22" s="566">
        <f t="shared" si="1"/>
        <v>0</v>
      </c>
      <c r="F22" s="567" t="s">
        <v>356</v>
      </c>
      <c r="G22" s="568" t="s">
        <v>109</v>
      </c>
      <c r="H22" s="569">
        <v>51</v>
      </c>
      <c r="I22" s="570">
        <v>50</v>
      </c>
      <c r="J22" s="571" t="s">
        <v>357</v>
      </c>
    </row>
    <row r="23" spans="1:10" s="559" customFormat="1" x14ac:dyDescent="0.25">
      <c r="A23" s="555">
        <v>10</v>
      </c>
      <c r="B23" s="556">
        <v>0</v>
      </c>
      <c r="C23" s="565">
        <f t="shared" si="0"/>
        <v>0</v>
      </c>
      <c r="D23" s="566">
        <f t="shared" si="1"/>
        <v>0</v>
      </c>
      <c r="F23" s="567"/>
      <c r="G23" s="568"/>
      <c r="H23" s="569"/>
      <c r="I23" s="570"/>
      <c r="J23" s="571"/>
    </row>
    <row r="24" spans="1:10" s="559" customFormat="1" ht="13.8" thickBot="1" x14ac:dyDescent="0.3">
      <c r="A24" s="555">
        <v>11</v>
      </c>
      <c r="B24" s="556">
        <v>0</v>
      </c>
      <c r="C24" s="565">
        <f t="shared" si="0"/>
        <v>0</v>
      </c>
      <c r="D24" s="566">
        <f t="shared" si="1"/>
        <v>0</v>
      </c>
      <c r="F24" s="572"/>
      <c r="G24" s="573"/>
      <c r="H24" s="574"/>
      <c r="I24" s="575"/>
      <c r="J24" s="576"/>
    </row>
    <row r="25" spans="1:10" s="559" customFormat="1" x14ac:dyDescent="0.25">
      <c r="A25" s="555">
        <v>12</v>
      </c>
      <c r="B25" s="556">
        <v>0</v>
      </c>
      <c r="C25" s="565">
        <f t="shared" si="0"/>
        <v>0</v>
      </c>
      <c r="D25" s="566">
        <f t="shared" si="1"/>
        <v>0</v>
      </c>
      <c r="F25"/>
      <c r="G25"/>
      <c r="H25"/>
    </row>
    <row r="26" spans="1:10" s="559" customFormat="1" ht="13.8" thickBot="1" x14ac:dyDescent="0.3">
      <c r="A26" s="555">
        <v>13</v>
      </c>
      <c r="B26" s="556">
        <v>0</v>
      </c>
      <c r="C26" s="565">
        <f t="shared" si="0"/>
        <v>0</v>
      </c>
      <c r="D26" s="566">
        <f t="shared" si="1"/>
        <v>0</v>
      </c>
      <c r="F26"/>
      <c r="G26"/>
      <c r="H26"/>
    </row>
    <row r="27" spans="1:10" s="559" customFormat="1" ht="13.8" thickBot="1" x14ac:dyDescent="0.3">
      <c r="A27" s="555">
        <v>14</v>
      </c>
      <c r="B27" s="556">
        <v>0</v>
      </c>
      <c r="C27" s="565">
        <f t="shared" si="0"/>
        <v>0</v>
      </c>
      <c r="D27" s="566">
        <f t="shared" si="1"/>
        <v>0</v>
      </c>
      <c r="F27" s="1" t="s">
        <v>358</v>
      </c>
      <c r="G27" s="549" t="s">
        <v>359</v>
      </c>
      <c r="H27" s="550" t="s">
        <v>360</v>
      </c>
    </row>
    <row r="28" spans="1:10" s="559" customFormat="1" x14ac:dyDescent="0.25">
      <c r="A28" s="555">
        <v>15</v>
      </c>
      <c r="B28" s="556">
        <v>0</v>
      </c>
      <c r="C28" s="565">
        <f t="shared" si="0"/>
        <v>0</v>
      </c>
      <c r="D28" s="566">
        <f t="shared" si="1"/>
        <v>0</v>
      </c>
      <c r="F28"/>
      <c r="G28" s="551" t="s">
        <v>123</v>
      </c>
      <c r="H28" s="552">
        <v>0.15</v>
      </c>
    </row>
    <row r="29" spans="1:10" s="559" customFormat="1" ht="13.8" thickBot="1" x14ac:dyDescent="0.3">
      <c r="A29" s="555">
        <v>16</v>
      </c>
      <c r="B29" s="556">
        <v>0</v>
      </c>
      <c r="C29" s="565">
        <f t="shared" si="0"/>
        <v>0</v>
      </c>
      <c r="D29" s="566">
        <f t="shared" si="1"/>
        <v>0</v>
      </c>
      <c r="F29"/>
      <c r="G29" s="553" t="s">
        <v>361</v>
      </c>
      <c r="H29" s="554">
        <v>0.25</v>
      </c>
    </row>
    <row r="30" spans="1:10" s="559" customFormat="1" x14ac:dyDescent="0.25">
      <c r="A30" s="555">
        <v>17</v>
      </c>
      <c r="B30" s="556">
        <v>0</v>
      </c>
      <c r="C30" s="565">
        <f t="shared" si="0"/>
        <v>0</v>
      </c>
      <c r="D30" s="566">
        <f t="shared" si="1"/>
        <v>0</v>
      </c>
    </row>
    <row r="31" spans="1:10" s="559" customFormat="1" x14ac:dyDescent="0.25">
      <c r="A31" s="555">
        <v>18</v>
      </c>
      <c r="B31" s="556">
        <v>0</v>
      </c>
      <c r="C31" s="565">
        <f t="shared" si="0"/>
        <v>0</v>
      </c>
      <c r="D31" s="566">
        <f t="shared" si="1"/>
        <v>0</v>
      </c>
    </row>
    <row r="32" spans="1:10" s="559" customFormat="1" x14ac:dyDescent="0.25">
      <c r="A32" s="555">
        <v>19</v>
      </c>
      <c r="B32" s="556">
        <v>319800</v>
      </c>
      <c r="C32" s="565">
        <f t="shared" si="0"/>
        <v>418938</v>
      </c>
      <c r="D32" s="566">
        <f>C32/12</f>
        <v>34911.5</v>
      </c>
    </row>
    <row r="33" spans="1:4" s="559" customFormat="1" x14ac:dyDescent="0.25">
      <c r="A33" s="555">
        <v>20</v>
      </c>
      <c r="B33" s="556">
        <v>323300</v>
      </c>
      <c r="C33" s="565">
        <f t="shared" si="0"/>
        <v>423523</v>
      </c>
      <c r="D33" s="566">
        <f t="shared" ref="D33:D96" si="2">C33/12</f>
        <v>35293.583333333336</v>
      </c>
    </row>
    <row r="34" spans="1:4" s="559" customFormat="1" x14ac:dyDescent="0.25">
      <c r="A34" s="555">
        <v>21</v>
      </c>
      <c r="B34" s="556">
        <v>327300</v>
      </c>
      <c r="C34" s="565">
        <f t="shared" si="0"/>
        <v>428763</v>
      </c>
      <c r="D34" s="566">
        <f t="shared" si="2"/>
        <v>35730.25</v>
      </c>
    </row>
    <row r="35" spans="1:4" s="559" customFormat="1" x14ac:dyDescent="0.25">
      <c r="A35" s="555">
        <v>22</v>
      </c>
      <c r="B35" s="577">
        <v>330900</v>
      </c>
      <c r="C35" s="565">
        <f t="shared" si="0"/>
        <v>433479</v>
      </c>
      <c r="D35" s="566">
        <f t="shared" si="2"/>
        <v>36123.25</v>
      </c>
    </row>
    <row r="36" spans="1:4" s="559" customFormat="1" x14ac:dyDescent="0.25">
      <c r="A36" s="555">
        <v>23</v>
      </c>
      <c r="B36" s="556">
        <v>334800</v>
      </c>
      <c r="C36" s="565">
        <f t="shared" si="0"/>
        <v>438588</v>
      </c>
      <c r="D36" s="566">
        <f t="shared" si="2"/>
        <v>36549</v>
      </c>
    </row>
    <row r="37" spans="1:4" s="559" customFormat="1" x14ac:dyDescent="0.25">
      <c r="A37" s="555">
        <v>24</v>
      </c>
      <c r="B37" s="556">
        <v>338800</v>
      </c>
      <c r="C37" s="565">
        <f t="shared" si="0"/>
        <v>443828</v>
      </c>
      <c r="D37" s="566">
        <f t="shared" si="2"/>
        <v>36985.666666666664</v>
      </c>
    </row>
    <row r="38" spans="1:4" s="559" customFormat="1" x14ac:dyDescent="0.25">
      <c r="A38" s="555">
        <v>25</v>
      </c>
      <c r="B38" s="556">
        <v>343000</v>
      </c>
      <c r="C38" s="565">
        <f t="shared" si="0"/>
        <v>449330</v>
      </c>
      <c r="D38" s="566">
        <f t="shared" si="2"/>
        <v>37444.166666666664</v>
      </c>
    </row>
    <row r="39" spans="1:4" s="559" customFormat="1" x14ac:dyDescent="0.25">
      <c r="A39" s="555">
        <v>26</v>
      </c>
      <c r="B39" s="556">
        <v>347300</v>
      </c>
      <c r="C39" s="565">
        <f t="shared" si="0"/>
        <v>454963</v>
      </c>
      <c r="D39" s="566">
        <f t="shared" si="2"/>
        <v>37913.583333333336</v>
      </c>
    </row>
    <row r="40" spans="1:4" s="559" customFormat="1" x14ac:dyDescent="0.25">
      <c r="A40" s="555">
        <v>27</v>
      </c>
      <c r="B40" s="556">
        <v>351300</v>
      </c>
      <c r="C40" s="565">
        <f t="shared" si="0"/>
        <v>460203</v>
      </c>
      <c r="D40" s="566">
        <f t="shared" si="2"/>
        <v>38350.25</v>
      </c>
    </row>
    <row r="41" spans="1:4" s="559" customFormat="1" x14ac:dyDescent="0.25">
      <c r="A41" s="555">
        <v>28</v>
      </c>
      <c r="B41" s="556">
        <v>355300</v>
      </c>
      <c r="C41" s="565">
        <f t="shared" si="0"/>
        <v>465443</v>
      </c>
      <c r="D41" s="566">
        <f t="shared" si="2"/>
        <v>38786.916666666664</v>
      </c>
    </row>
    <row r="42" spans="1:4" s="559" customFormat="1" x14ac:dyDescent="0.25">
      <c r="A42" s="555">
        <v>29</v>
      </c>
      <c r="B42" s="556">
        <v>359100</v>
      </c>
      <c r="C42" s="565">
        <f t="shared" si="0"/>
        <v>470421</v>
      </c>
      <c r="D42" s="566">
        <f t="shared" si="2"/>
        <v>39201.75</v>
      </c>
    </row>
    <row r="43" spans="1:4" s="559" customFormat="1" x14ac:dyDescent="0.25">
      <c r="A43" s="555">
        <v>30</v>
      </c>
      <c r="B43" s="556">
        <v>363100</v>
      </c>
      <c r="C43" s="565">
        <f t="shared" si="0"/>
        <v>475661</v>
      </c>
      <c r="D43" s="566">
        <f t="shared" si="2"/>
        <v>39638.416666666664</v>
      </c>
    </row>
    <row r="44" spans="1:4" s="559" customFormat="1" x14ac:dyDescent="0.25">
      <c r="A44" s="555">
        <v>31</v>
      </c>
      <c r="B44" s="556">
        <v>366700</v>
      </c>
      <c r="C44" s="565">
        <f t="shared" si="0"/>
        <v>480377</v>
      </c>
      <c r="D44" s="566">
        <f t="shared" si="2"/>
        <v>40031.416666666664</v>
      </c>
    </row>
    <row r="45" spans="1:4" s="559" customFormat="1" x14ac:dyDescent="0.25">
      <c r="A45" s="555">
        <v>32</v>
      </c>
      <c r="B45" s="556">
        <v>370900</v>
      </c>
      <c r="C45" s="565">
        <f t="shared" si="0"/>
        <v>485879</v>
      </c>
      <c r="D45" s="566">
        <f t="shared" si="2"/>
        <v>40489.916666666664</v>
      </c>
    </row>
    <row r="46" spans="1:4" s="559" customFormat="1" x14ac:dyDescent="0.25">
      <c r="A46" s="555">
        <v>33</v>
      </c>
      <c r="B46" s="556">
        <v>374800</v>
      </c>
      <c r="C46" s="565">
        <f t="shared" ref="C46:C77" si="3">B46*(1+$F$4)</f>
        <v>490988</v>
      </c>
      <c r="D46" s="566">
        <f t="shared" si="2"/>
        <v>40915.666666666664</v>
      </c>
    </row>
    <row r="47" spans="1:4" s="559" customFormat="1" x14ac:dyDescent="0.25">
      <c r="A47" s="555">
        <v>34</v>
      </c>
      <c r="B47" s="556">
        <v>379000</v>
      </c>
      <c r="C47" s="565">
        <f t="shared" si="3"/>
        <v>496490</v>
      </c>
      <c r="D47" s="566">
        <f t="shared" si="2"/>
        <v>41374.166666666664</v>
      </c>
    </row>
    <row r="48" spans="1:4" s="559" customFormat="1" x14ac:dyDescent="0.25">
      <c r="A48" s="555">
        <v>35</v>
      </c>
      <c r="B48" s="556">
        <v>383200</v>
      </c>
      <c r="C48" s="565">
        <f t="shared" si="3"/>
        <v>501992</v>
      </c>
      <c r="D48" s="566">
        <f t="shared" si="2"/>
        <v>41832.666666666664</v>
      </c>
    </row>
    <row r="49" spans="1:4" s="559" customFormat="1" x14ac:dyDescent="0.25">
      <c r="A49" s="555">
        <v>36</v>
      </c>
      <c r="B49" s="556">
        <v>387500</v>
      </c>
      <c r="C49" s="565">
        <f t="shared" si="3"/>
        <v>507625</v>
      </c>
      <c r="D49" s="566">
        <f t="shared" si="2"/>
        <v>42302.083333333336</v>
      </c>
    </row>
    <row r="50" spans="1:4" s="559" customFormat="1" x14ac:dyDescent="0.25">
      <c r="A50" s="555">
        <v>37</v>
      </c>
      <c r="B50" s="556">
        <v>392300</v>
      </c>
      <c r="C50" s="565">
        <f t="shared" si="3"/>
        <v>513913</v>
      </c>
      <c r="D50" s="566">
        <f t="shared" si="2"/>
        <v>42826.083333333336</v>
      </c>
    </row>
    <row r="51" spans="1:4" s="559" customFormat="1" x14ac:dyDescent="0.25">
      <c r="A51" s="555">
        <v>38</v>
      </c>
      <c r="B51" s="556">
        <v>397100</v>
      </c>
      <c r="C51" s="565">
        <f t="shared" si="3"/>
        <v>520201</v>
      </c>
      <c r="D51" s="566">
        <f t="shared" si="2"/>
        <v>43350.083333333336</v>
      </c>
    </row>
    <row r="52" spans="1:4" s="559" customFormat="1" x14ac:dyDescent="0.25">
      <c r="A52" s="555">
        <v>39</v>
      </c>
      <c r="B52" s="556">
        <v>401800</v>
      </c>
      <c r="C52" s="565">
        <f t="shared" si="3"/>
        <v>526358</v>
      </c>
      <c r="D52" s="566">
        <f t="shared" si="2"/>
        <v>43863.166666666664</v>
      </c>
    </row>
    <row r="53" spans="1:4" s="559" customFormat="1" x14ac:dyDescent="0.25">
      <c r="A53" s="555">
        <v>40</v>
      </c>
      <c r="B53" s="556">
        <v>406900</v>
      </c>
      <c r="C53" s="565">
        <f t="shared" si="3"/>
        <v>533039</v>
      </c>
      <c r="D53" s="566">
        <f t="shared" si="2"/>
        <v>44419.916666666664</v>
      </c>
    </row>
    <row r="54" spans="1:4" s="559" customFormat="1" x14ac:dyDescent="0.25">
      <c r="A54" s="555">
        <v>41</v>
      </c>
      <c r="B54" s="556">
        <v>412000</v>
      </c>
      <c r="C54" s="565">
        <f t="shared" si="3"/>
        <v>539720</v>
      </c>
      <c r="D54" s="566">
        <f t="shared" si="2"/>
        <v>44976.666666666664</v>
      </c>
    </row>
    <row r="55" spans="1:4" s="559" customFormat="1" x14ac:dyDescent="0.25">
      <c r="A55" s="555">
        <v>42</v>
      </c>
      <c r="B55" s="556">
        <v>417900</v>
      </c>
      <c r="C55" s="565">
        <f t="shared" si="3"/>
        <v>547449</v>
      </c>
      <c r="D55" s="566">
        <f t="shared" si="2"/>
        <v>45620.75</v>
      </c>
    </row>
    <row r="56" spans="1:4" s="559" customFormat="1" x14ac:dyDescent="0.25">
      <c r="A56" s="555">
        <v>43</v>
      </c>
      <c r="B56" s="556">
        <v>423500</v>
      </c>
      <c r="C56" s="565">
        <f t="shared" si="3"/>
        <v>554785</v>
      </c>
      <c r="D56" s="566">
        <f t="shared" si="2"/>
        <v>46232.083333333336</v>
      </c>
    </row>
    <row r="57" spans="1:4" s="559" customFormat="1" x14ac:dyDescent="0.25">
      <c r="A57" s="555">
        <v>44</v>
      </c>
      <c r="B57" s="556">
        <v>429600</v>
      </c>
      <c r="C57" s="565">
        <f t="shared" si="3"/>
        <v>562776</v>
      </c>
      <c r="D57" s="566">
        <f t="shared" si="2"/>
        <v>46898</v>
      </c>
    </row>
    <row r="58" spans="1:4" s="559" customFormat="1" x14ac:dyDescent="0.25">
      <c r="A58" s="555">
        <v>45</v>
      </c>
      <c r="B58" s="556">
        <v>435600</v>
      </c>
      <c r="C58" s="565">
        <f t="shared" si="3"/>
        <v>570636</v>
      </c>
      <c r="D58" s="566">
        <f t="shared" si="2"/>
        <v>47553</v>
      </c>
    </row>
    <row r="59" spans="1:4" s="559" customFormat="1" x14ac:dyDescent="0.25">
      <c r="A59" s="555">
        <v>46</v>
      </c>
      <c r="B59" s="556">
        <v>441900</v>
      </c>
      <c r="C59" s="565">
        <f t="shared" si="3"/>
        <v>578889</v>
      </c>
      <c r="D59" s="566">
        <f t="shared" si="2"/>
        <v>48240.75</v>
      </c>
    </row>
    <row r="60" spans="1:4" s="559" customFormat="1" x14ac:dyDescent="0.25">
      <c r="A60" s="555">
        <v>47</v>
      </c>
      <c r="B60" s="556">
        <v>449900</v>
      </c>
      <c r="C60" s="565">
        <f t="shared" si="3"/>
        <v>589369</v>
      </c>
      <c r="D60" s="566">
        <f t="shared" si="2"/>
        <v>49114.083333333336</v>
      </c>
    </row>
    <row r="61" spans="1:4" s="559" customFormat="1" x14ac:dyDescent="0.25">
      <c r="A61" s="555">
        <v>48</v>
      </c>
      <c r="B61" s="556">
        <v>456800</v>
      </c>
      <c r="C61" s="565">
        <f t="shared" si="3"/>
        <v>598408</v>
      </c>
      <c r="D61" s="566">
        <f t="shared" si="2"/>
        <v>49867.333333333336</v>
      </c>
    </row>
    <row r="62" spans="1:4" s="559" customFormat="1" x14ac:dyDescent="0.25">
      <c r="A62" s="555">
        <v>49</v>
      </c>
      <c r="B62" s="556">
        <v>464200</v>
      </c>
      <c r="C62" s="565">
        <f t="shared" si="3"/>
        <v>608102</v>
      </c>
      <c r="D62" s="566">
        <f t="shared" si="2"/>
        <v>50675.166666666664</v>
      </c>
    </row>
    <row r="63" spans="1:4" s="559" customFormat="1" x14ac:dyDescent="0.25">
      <c r="A63" s="555">
        <v>50</v>
      </c>
      <c r="B63" s="556">
        <v>471300</v>
      </c>
      <c r="C63" s="565">
        <f t="shared" si="3"/>
        <v>617403</v>
      </c>
      <c r="D63" s="566">
        <f t="shared" si="2"/>
        <v>51450.25</v>
      </c>
    </row>
    <row r="64" spans="1:4" s="559" customFormat="1" x14ac:dyDescent="0.25">
      <c r="A64" s="555">
        <v>51</v>
      </c>
      <c r="B64" s="556">
        <v>478300</v>
      </c>
      <c r="C64" s="565">
        <f t="shared" si="3"/>
        <v>626573</v>
      </c>
      <c r="D64" s="566">
        <f t="shared" si="2"/>
        <v>52214.416666666664</v>
      </c>
    </row>
    <row r="65" spans="1:4" s="559" customFormat="1" x14ac:dyDescent="0.25">
      <c r="A65" s="555">
        <v>52</v>
      </c>
      <c r="B65" s="556">
        <v>485800</v>
      </c>
      <c r="C65" s="565">
        <f t="shared" si="3"/>
        <v>636398</v>
      </c>
      <c r="D65" s="566">
        <f t="shared" si="2"/>
        <v>53033.166666666664</v>
      </c>
    </row>
    <row r="66" spans="1:4" s="559" customFormat="1" x14ac:dyDescent="0.25">
      <c r="A66" s="555">
        <v>53</v>
      </c>
      <c r="B66" s="556">
        <v>493700</v>
      </c>
      <c r="C66" s="565">
        <f t="shared" si="3"/>
        <v>646747</v>
      </c>
      <c r="D66" s="566">
        <f t="shared" si="2"/>
        <v>53895.583333333336</v>
      </c>
    </row>
    <row r="67" spans="1:4" s="559" customFormat="1" x14ac:dyDescent="0.25">
      <c r="A67" s="555">
        <v>54</v>
      </c>
      <c r="B67" s="556">
        <v>501200</v>
      </c>
      <c r="C67" s="565">
        <f t="shared" si="3"/>
        <v>656572</v>
      </c>
      <c r="D67" s="566">
        <f t="shared" si="2"/>
        <v>54714.333333333336</v>
      </c>
    </row>
    <row r="68" spans="1:4" s="559" customFormat="1" x14ac:dyDescent="0.25">
      <c r="A68" s="555">
        <v>55</v>
      </c>
      <c r="B68" s="556">
        <v>509500</v>
      </c>
      <c r="C68" s="565">
        <f t="shared" si="3"/>
        <v>667445</v>
      </c>
      <c r="D68" s="566">
        <f t="shared" si="2"/>
        <v>55620.416666666664</v>
      </c>
    </row>
    <row r="69" spans="1:4" s="559" customFormat="1" x14ac:dyDescent="0.25">
      <c r="A69" s="555">
        <v>56</v>
      </c>
      <c r="B69" s="556">
        <v>517600</v>
      </c>
      <c r="C69" s="565">
        <f t="shared" si="3"/>
        <v>678056</v>
      </c>
      <c r="D69" s="566">
        <f t="shared" si="2"/>
        <v>56504.666666666664</v>
      </c>
    </row>
    <row r="70" spans="1:4" s="559" customFormat="1" x14ac:dyDescent="0.25">
      <c r="A70" s="555">
        <v>57</v>
      </c>
      <c r="B70" s="556">
        <v>526100</v>
      </c>
      <c r="C70" s="565">
        <f t="shared" si="3"/>
        <v>689191</v>
      </c>
      <c r="D70" s="566">
        <f t="shared" si="2"/>
        <v>57432.583333333336</v>
      </c>
    </row>
    <row r="71" spans="1:4" s="559" customFormat="1" x14ac:dyDescent="0.25">
      <c r="A71" s="555">
        <v>58</v>
      </c>
      <c r="B71" s="556">
        <v>534900</v>
      </c>
      <c r="C71" s="565">
        <f t="shared" si="3"/>
        <v>700719</v>
      </c>
      <c r="D71" s="566">
        <f t="shared" si="2"/>
        <v>58393.25</v>
      </c>
    </row>
    <row r="72" spans="1:4" s="559" customFormat="1" x14ac:dyDescent="0.25">
      <c r="A72" s="555">
        <v>59</v>
      </c>
      <c r="B72" s="556">
        <v>544400</v>
      </c>
      <c r="C72" s="565">
        <f t="shared" si="3"/>
        <v>713164</v>
      </c>
      <c r="D72" s="566">
        <f t="shared" si="2"/>
        <v>59430.333333333336</v>
      </c>
    </row>
    <row r="73" spans="1:4" s="559" customFormat="1" x14ac:dyDescent="0.25">
      <c r="A73" s="555">
        <v>60</v>
      </c>
      <c r="B73" s="556">
        <v>553500</v>
      </c>
      <c r="C73" s="565">
        <f t="shared" si="3"/>
        <v>725085</v>
      </c>
      <c r="D73" s="566">
        <f t="shared" si="2"/>
        <v>60423.75</v>
      </c>
    </row>
    <row r="74" spans="1:4" s="559" customFormat="1" x14ac:dyDescent="0.25">
      <c r="A74" s="555">
        <v>61</v>
      </c>
      <c r="B74" s="556">
        <v>563500</v>
      </c>
      <c r="C74" s="565">
        <f t="shared" si="3"/>
        <v>738185</v>
      </c>
      <c r="D74" s="566">
        <f t="shared" si="2"/>
        <v>61515.416666666664</v>
      </c>
    </row>
    <row r="75" spans="1:4" s="559" customFormat="1" x14ac:dyDescent="0.25">
      <c r="A75" s="555">
        <v>62</v>
      </c>
      <c r="B75" s="556">
        <v>573900</v>
      </c>
      <c r="C75" s="565">
        <f t="shared" si="3"/>
        <v>751809</v>
      </c>
      <c r="D75" s="566">
        <f t="shared" si="2"/>
        <v>62650.75</v>
      </c>
    </row>
    <row r="76" spans="1:4" s="559" customFormat="1" x14ac:dyDescent="0.25">
      <c r="A76" s="555">
        <v>63</v>
      </c>
      <c r="B76" s="556">
        <v>584700</v>
      </c>
      <c r="C76" s="565">
        <f t="shared" si="3"/>
        <v>765957</v>
      </c>
      <c r="D76" s="566">
        <f t="shared" si="2"/>
        <v>63829.75</v>
      </c>
    </row>
    <row r="77" spans="1:4" s="559" customFormat="1" x14ac:dyDescent="0.25">
      <c r="A77" s="555">
        <v>64</v>
      </c>
      <c r="B77" s="556">
        <v>593500</v>
      </c>
      <c r="C77" s="565">
        <f t="shared" si="3"/>
        <v>777485</v>
      </c>
      <c r="D77" s="566">
        <f t="shared" si="2"/>
        <v>64790.416666666664</v>
      </c>
    </row>
    <row r="78" spans="1:4" s="559" customFormat="1" x14ac:dyDescent="0.25">
      <c r="A78" s="555">
        <v>65</v>
      </c>
      <c r="B78" s="556">
        <v>604400</v>
      </c>
      <c r="C78" s="565">
        <f t="shared" ref="C78:C109" si="4">B78*(1+$F$4)</f>
        <v>791764</v>
      </c>
      <c r="D78" s="566">
        <f t="shared" si="2"/>
        <v>65980.333333333328</v>
      </c>
    </row>
    <row r="79" spans="1:4" s="559" customFormat="1" x14ac:dyDescent="0.25">
      <c r="A79" s="555">
        <v>66</v>
      </c>
      <c r="B79" s="556">
        <v>615000</v>
      </c>
      <c r="C79" s="565">
        <f t="shared" si="4"/>
        <v>805650</v>
      </c>
      <c r="D79" s="566">
        <f t="shared" si="2"/>
        <v>67137.5</v>
      </c>
    </row>
    <row r="80" spans="1:4" s="559" customFormat="1" x14ac:dyDescent="0.25">
      <c r="A80" s="555">
        <v>67</v>
      </c>
      <c r="B80" s="556">
        <v>626300</v>
      </c>
      <c r="C80" s="565">
        <f t="shared" si="4"/>
        <v>820453</v>
      </c>
      <c r="D80" s="566">
        <f t="shared" si="2"/>
        <v>68371.083333333328</v>
      </c>
    </row>
    <row r="81" spans="1:4" s="559" customFormat="1" x14ac:dyDescent="0.25">
      <c r="A81" s="555">
        <v>68</v>
      </c>
      <c r="B81" s="556">
        <v>636700</v>
      </c>
      <c r="C81" s="565">
        <f t="shared" si="4"/>
        <v>834077</v>
      </c>
      <c r="D81" s="566">
        <f t="shared" si="2"/>
        <v>69506.416666666672</v>
      </c>
    </row>
    <row r="82" spans="1:4" s="559" customFormat="1" x14ac:dyDescent="0.25">
      <c r="A82" s="555">
        <v>69</v>
      </c>
      <c r="B82" s="556">
        <v>648700</v>
      </c>
      <c r="C82" s="565">
        <f t="shared" si="4"/>
        <v>849797</v>
      </c>
      <c r="D82" s="566">
        <f t="shared" si="2"/>
        <v>70816.416666666672</v>
      </c>
    </row>
    <row r="83" spans="1:4" s="559" customFormat="1" x14ac:dyDescent="0.25">
      <c r="A83" s="555">
        <v>70</v>
      </c>
      <c r="B83" s="556">
        <v>661400</v>
      </c>
      <c r="C83" s="565">
        <f t="shared" si="4"/>
        <v>866434</v>
      </c>
      <c r="D83" s="566">
        <f t="shared" si="2"/>
        <v>72202.833333333328</v>
      </c>
    </row>
    <row r="84" spans="1:4" s="559" customFormat="1" x14ac:dyDescent="0.25">
      <c r="A84" s="555">
        <v>71</v>
      </c>
      <c r="B84" s="556">
        <v>677000</v>
      </c>
      <c r="C84" s="565">
        <f t="shared" si="4"/>
        <v>886870</v>
      </c>
      <c r="D84" s="566">
        <f t="shared" si="2"/>
        <v>73905.833333333328</v>
      </c>
    </row>
    <row r="85" spans="1:4" s="559" customFormat="1" x14ac:dyDescent="0.25">
      <c r="A85" s="555">
        <v>72</v>
      </c>
      <c r="B85" s="556">
        <v>689100</v>
      </c>
      <c r="C85" s="565">
        <f t="shared" si="4"/>
        <v>902721</v>
      </c>
      <c r="D85" s="566">
        <f t="shared" si="2"/>
        <v>75226.75</v>
      </c>
    </row>
    <row r="86" spans="1:4" s="559" customFormat="1" x14ac:dyDescent="0.25">
      <c r="A86" s="555">
        <v>73</v>
      </c>
      <c r="B86" s="556">
        <v>701300</v>
      </c>
      <c r="C86" s="565">
        <f t="shared" si="4"/>
        <v>918703</v>
      </c>
      <c r="D86" s="566">
        <f t="shared" si="2"/>
        <v>76558.583333333328</v>
      </c>
    </row>
    <row r="87" spans="1:4" s="559" customFormat="1" x14ac:dyDescent="0.25">
      <c r="A87" s="555">
        <v>74</v>
      </c>
      <c r="B87" s="556">
        <v>714000</v>
      </c>
      <c r="C87" s="565">
        <f t="shared" si="4"/>
        <v>935340</v>
      </c>
      <c r="D87" s="566">
        <f t="shared" si="2"/>
        <v>77945</v>
      </c>
    </row>
    <row r="88" spans="1:4" s="559" customFormat="1" x14ac:dyDescent="0.25">
      <c r="A88" s="555">
        <v>75</v>
      </c>
      <c r="B88" s="556">
        <v>728100</v>
      </c>
      <c r="C88" s="565">
        <f t="shared" si="4"/>
        <v>953811</v>
      </c>
      <c r="D88" s="566">
        <f t="shared" si="2"/>
        <v>79484.25</v>
      </c>
    </row>
    <row r="89" spans="1:4" s="559" customFormat="1" x14ac:dyDescent="0.25">
      <c r="A89" s="555">
        <v>76</v>
      </c>
      <c r="B89" s="556">
        <v>746900</v>
      </c>
      <c r="C89" s="565">
        <f t="shared" si="4"/>
        <v>978439</v>
      </c>
      <c r="D89" s="566">
        <f t="shared" si="2"/>
        <v>81536.583333333328</v>
      </c>
    </row>
    <row r="90" spans="1:4" s="559" customFormat="1" x14ac:dyDescent="0.25">
      <c r="A90" s="555">
        <v>77</v>
      </c>
      <c r="B90" s="556">
        <v>765600</v>
      </c>
      <c r="C90" s="565">
        <f t="shared" si="4"/>
        <v>1002936</v>
      </c>
      <c r="D90" s="566">
        <f t="shared" si="2"/>
        <v>83578</v>
      </c>
    </row>
    <row r="91" spans="1:4" s="559" customFormat="1" x14ac:dyDescent="0.25">
      <c r="A91" s="555">
        <v>78</v>
      </c>
      <c r="B91" s="556">
        <v>790100</v>
      </c>
      <c r="C91" s="565">
        <f t="shared" si="4"/>
        <v>1035031</v>
      </c>
      <c r="D91" s="566">
        <f t="shared" si="2"/>
        <v>86252.583333333328</v>
      </c>
    </row>
    <row r="92" spans="1:4" s="559" customFormat="1" x14ac:dyDescent="0.25">
      <c r="A92" s="555">
        <v>79</v>
      </c>
      <c r="B92" s="556">
        <v>814900</v>
      </c>
      <c r="C92" s="565">
        <f t="shared" si="4"/>
        <v>1067519</v>
      </c>
      <c r="D92" s="566">
        <f t="shared" si="2"/>
        <v>88959.916666666672</v>
      </c>
    </row>
    <row r="93" spans="1:4" s="559" customFormat="1" x14ac:dyDescent="0.25">
      <c r="A93" s="555">
        <v>80</v>
      </c>
      <c r="B93" s="556">
        <v>839900</v>
      </c>
      <c r="C93" s="565">
        <f t="shared" si="4"/>
        <v>1100269</v>
      </c>
      <c r="D93" s="566">
        <f t="shared" si="2"/>
        <v>91689.083333333328</v>
      </c>
    </row>
    <row r="94" spans="1:4" s="559" customFormat="1" x14ac:dyDescent="0.25">
      <c r="A94" s="555">
        <v>81</v>
      </c>
      <c r="B94" s="556">
        <v>864500</v>
      </c>
      <c r="C94" s="565">
        <f t="shared" si="4"/>
        <v>1132495</v>
      </c>
      <c r="D94" s="566">
        <f t="shared" si="2"/>
        <v>94374.583333333328</v>
      </c>
    </row>
    <row r="95" spans="1:4" s="559" customFormat="1" x14ac:dyDescent="0.25">
      <c r="A95" s="555">
        <v>82</v>
      </c>
      <c r="B95" s="556">
        <v>888200</v>
      </c>
      <c r="C95" s="565">
        <f t="shared" si="4"/>
        <v>1163542</v>
      </c>
      <c r="D95" s="566">
        <f t="shared" si="2"/>
        <v>96961.833333333328</v>
      </c>
    </row>
    <row r="96" spans="1:4" s="559" customFormat="1" x14ac:dyDescent="0.25">
      <c r="A96" s="555">
        <v>83</v>
      </c>
      <c r="B96" s="556">
        <v>911700</v>
      </c>
      <c r="C96" s="565">
        <f t="shared" si="4"/>
        <v>1194327</v>
      </c>
      <c r="D96" s="566">
        <f t="shared" si="2"/>
        <v>99527.25</v>
      </c>
    </row>
    <row r="97" spans="1:4" s="559" customFormat="1" x14ac:dyDescent="0.25">
      <c r="A97" s="555">
        <v>84</v>
      </c>
      <c r="B97" s="556">
        <v>935300</v>
      </c>
      <c r="C97" s="565">
        <f t="shared" si="4"/>
        <v>1225243</v>
      </c>
      <c r="D97" s="566">
        <f t="shared" ref="D97:D114" si="5">C97/12</f>
        <v>102103.58333333333</v>
      </c>
    </row>
    <row r="98" spans="1:4" s="559" customFormat="1" x14ac:dyDescent="0.25">
      <c r="A98" s="555">
        <v>85</v>
      </c>
      <c r="B98" s="556">
        <v>965000</v>
      </c>
      <c r="C98" s="565">
        <f t="shared" si="4"/>
        <v>1264150</v>
      </c>
      <c r="D98" s="566">
        <f t="shared" si="5"/>
        <v>105345.83333333333</v>
      </c>
    </row>
    <row r="99" spans="1:4" s="559" customFormat="1" x14ac:dyDescent="0.25">
      <c r="A99" s="555">
        <v>86</v>
      </c>
      <c r="B99" s="556">
        <v>994200</v>
      </c>
      <c r="C99" s="565">
        <f t="shared" si="4"/>
        <v>1302402</v>
      </c>
      <c r="D99" s="566">
        <f t="shared" si="5"/>
        <v>108533.5</v>
      </c>
    </row>
    <row r="100" spans="1:4" s="559" customFormat="1" x14ac:dyDescent="0.25">
      <c r="A100" s="555">
        <v>87</v>
      </c>
      <c r="B100" s="556">
        <v>1024200</v>
      </c>
      <c r="C100" s="565">
        <f t="shared" si="4"/>
        <v>1341702</v>
      </c>
      <c r="D100" s="566">
        <f t="shared" si="5"/>
        <v>111808.5</v>
      </c>
    </row>
    <row r="101" spans="1:4" s="559" customFormat="1" x14ac:dyDescent="0.25">
      <c r="A101" s="555">
        <v>88</v>
      </c>
      <c r="B101" s="556">
        <v>1047600</v>
      </c>
      <c r="C101" s="565">
        <f t="shared" si="4"/>
        <v>1372356</v>
      </c>
      <c r="D101" s="566">
        <f t="shared" si="5"/>
        <v>114363</v>
      </c>
    </row>
    <row r="102" spans="1:4" s="559" customFormat="1" x14ac:dyDescent="0.25">
      <c r="A102" s="555">
        <v>89</v>
      </c>
      <c r="B102" s="556">
        <v>1071200</v>
      </c>
      <c r="C102" s="565">
        <f t="shared" si="4"/>
        <v>1403272</v>
      </c>
      <c r="D102" s="566">
        <f t="shared" si="5"/>
        <v>116939.33333333333</v>
      </c>
    </row>
    <row r="103" spans="1:4" s="559" customFormat="1" x14ac:dyDescent="0.25">
      <c r="A103" s="555">
        <v>90</v>
      </c>
      <c r="B103" s="556">
        <v>1094800</v>
      </c>
      <c r="C103" s="565">
        <f t="shared" si="4"/>
        <v>1434188</v>
      </c>
      <c r="D103" s="566">
        <f t="shared" si="5"/>
        <v>119515.66666666667</v>
      </c>
    </row>
    <row r="104" spans="1:4" s="559" customFormat="1" x14ac:dyDescent="0.25">
      <c r="A104" s="555">
        <v>91</v>
      </c>
      <c r="B104" s="556">
        <v>1118700</v>
      </c>
      <c r="C104" s="565">
        <f t="shared" si="4"/>
        <v>1465497</v>
      </c>
      <c r="D104" s="566">
        <f t="shared" si="5"/>
        <v>122124.75</v>
      </c>
    </row>
    <row r="105" spans="1:4" s="559" customFormat="1" x14ac:dyDescent="0.25">
      <c r="A105" s="555">
        <v>92</v>
      </c>
      <c r="B105" s="556">
        <v>1142100</v>
      </c>
      <c r="C105" s="565">
        <f t="shared" si="4"/>
        <v>1496151</v>
      </c>
      <c r="D105" s="566">
        <f t="shared" si="5"/>
        <v>124679.25</v>
      </c>
    </row>
    <row r="106" spans="1:4" s="559" customFormat="1" x14ac:dyDescent="0.25">
      <c r="A106" s="555">
        <v>93</v>
      </c>
      <c r="B106" s="556">
        <v>1165800</v>
      </c>
      <c r="C106" s="565">
        <f t="shared" si="4"/>
        <v>1527198</v>
      </c>
      <c r="D106" s="566">
        <f t="shared" si="5"/>
        <v>127266.5</v>
      </c>
    </row>
    <row r="107" spans="1:4" s="559" customFormat="1" x14ac:dyDescent="0.25">
      <c r="A107" s="555">
        <v>94</v>
      </c>
      <c r="B107" s="556">
        <v>1189400</v>
      </c>
      <c r="C107" s="565">
        <f t="shared" si="4"/>
        <v>1558114</v>
      </c>
      <c r="D107" s="566">
        <f t="shared" si="5"/>
        <v>129842.83333333333</v>
      </c>
    </row>
    <row r="108" spans="1:4" s="559" customFormat="1" x14ac:dyDescent="0.25">
      <c r="A108" s="555">
        <v>95</v>
      </c>
      <c r="B108" s="556">
        <v>1213200</v>
      </c>
      <c r="C108" s="565">
        <f t="shared" si="4"/>
        <v>1589292</v>
      </c>
      <c r="D108" s="566">
        <f t="shared" si="5"/>
        <v>132441</v>
      </c>
    </row>
    <row r="109" spans="1:4" s="559" customFormat="1" x14ac:dyDescent="0.25">
      <c r="A109" s="555">
        <v>96</v>
      </c>
      <c r="B109" s="556">
        <v>1236300</v>
      </c>
      <c r="C109" s="565">
        <f t="shared" si="4"/>
        <v>1619553</v>
      </c>
      <c r="D109" s="566">
        <f t="shared" si="5"/>
        <v>134962.75</v>
      </c>
    </row>
    <row r="110" spans="1:4" s="559" customFormat="1" x14ac:dyDescent="0.25">
      <c r="A110" s="555">
        <v>97</v>
      </c>
      <c r="B110" s="556">
        <v>1259500</v>
      </c>
      <c r="C110" s="565">
        <f t="shared" ref="C110:C114" si="6">B110*(1+$F$4)</f>
        <v>1649945</v>
      </c>
      <c r="D110" s="566">
        <f t="shared" si="5"/>
        <v>137495.41666666666</v>
      </c>
    </row>
    <row r="111" spans="1:4" s="559" customFormat="1" x14ac:dyDescent="0.25">
      <c r="A111" s="555">
        <v>98</v>
      </c>
      <c r="B111" s="556">
        <v>1282600</v>
      </c>
      <c r="C111" s="565">
        <f t="shared" si="6"/>
        <v>1680206</v>
      </c>
      <c r="D111" s="566">
        <f t="shared" si="5"/>
        <v>140017.16666666666</v>
      </c>
    </row>
    <row r="112" spans="1:4" s="559" customFormat="1" x14ac:dyDescent="0.25">
      <c r="A112" s="555">
        <v>99</v>
      </c>
      <c r="B112" s="556">
        <v>1304800</v>
      </c>
      <c r="C112" s="565">
        <f t="shared" si="6"/>
        <v>1709288</v>
      </c>
      <c r="D112" s="566">
        <f t="shared" si="5"/>
        <v>142440.66666666666</v>
      </c>
    </row>
    <row r="113" spans="1:4" s="559" customFormat="1" x14ac:dyDescent="0.25">
      <c r="A113" s="555">
        <v>100</v>
      </c>
      <c r="B113" s="556">
        <v>1326900</v>
      </c>
      <c r="C113" s="565">
        <f t="shared" si="6"/>
        <v>1738239</v>
      </c>
      <c r="D113" s="566">
        <f t="shared" si="5"/>
        <v>144853.25</v>
      </c>
    </row>
    <row r="114" spans="1:4" s="559" customFormat="1" ht="13.8" thickBot="1" x14ac:dyDescent="0.3">
      <c r="A114" s="578">
        <v>101</v>
      </c>
      <c r="B114" s="579">
        <v>1349100</v>
      </c>
      <c r="C114" s="580">
        <f t="shared" si="6"/>
        <v>1767321</v>
      </c>
      <c r="D114" s="581">
        <f t="shared" si="5"/>
        <v>147276.75</v>
      </c>
    </row>
  </sheetData>
  <sheetProtection algorithmName="SHA-512" hashValue="r2WXzlJeoJc7nXEjYqXRtcmmdXIL4BWQaT9QAREQMU+71KvnIuJM8gTGkqOAE/myXsQEmIHTncEfPlBTgLow+g==" saltValue="Og58iLtNsRQEpY4D2ekHmg==" spinCount="100000" sheet="1" objects="1" scenarios="1"/>
  <phoneticPr fontId="3" type="noConversion"/>
  <dataValidations disablePrompts="1" count="1">
    <dataValidation type="list" allowBlank="1" showInputMessage="1" showErrorMessage="1" sqref="G14:G24" xr:uid="{00000000-0002-0000-0A00-000000000000}">
      <formula1>"Yes,No"</formula1>
    </dataValidation>
  </dataValidations>
  <pageMargins left="0.78740157480314965" right="0.78740157480314965" top="0.78740157480314965" bottom="0.59055118110236227" header="0.51181102362204722" footer="0.31496062992125984"/>
  <pageSetup paperSize="407" scale="79" fitToHeight="2" orientation="portrait" r:id="rId1"/>
  <headerFooter alignWithMargins="0">
    <oddFooter>&amp;L&amp;"ar,Normal"&amp;8&amp;F   -   &amp;A&amp;R&amp;"Arial,Normal"&amp;8Side &amp;P av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G89"/>
  <sheetViews>
    <sheetView zoomScaleNormal="100" workbookViewId="0"/>
  </sheetViews>
  <sheetFormatPr defaultColWidth="11.44140625" defaultRowHeight="13.8" x14ac:dyDescent="0.3"/>
  <cols>
    <col min="1" max="1" width="5.5546875" style="327" customWidth="1"/>
    <col min="2" max="2" width="63.44140625" style="327" bestFit="1" customWidth="1"/>
    <col min="3" max="3" width="9.44140625" style="327" customWidth="1"/>
    <col min="4" max="4" width="10" style="327" bestFit="1" customWidth="1"/>
    <col min="5" max="5" width="2.5546875" style="327" customWidth="1"/>
    <col min="6" max="16384" width="11.44140625" style="327"/>
  </cols>
  <sheetData>
    <row r="1" spans="1:7" s="330" customFormat="1" x14ac:dyDescent="0.3"/>
    <row r="2" spans="1:7" s="330" customFormat="1" ht="14.4" thickBot="1" x14ac:dyDescent="0.35"/>
    <row r="3" spans="1:7" s="331" customFormat="1" ht="28.2" thickBot="1" x14ac:dyDescent="0.35">
      <c r="A3" s="331" t="s">
        <v>362</v>
      </c>
      <c r="B3" s="331" t="s">
        <v>363</v>
      </c>
      <c r="C3" s="332" t="s">
        <v>364</v>
      </c>
      <c r="D3" s="332" t="s">
        <v>365</v>
      </c>
      <c r="F3" s="333" t="s">
        <v>366</v>
      </c>
      <c r="G3" s="334" t="s">
        <v>367</v>
      </c>
    </row>
    <row r="4" spans="1:7" s="330" customFormat="1" x14ac:dyDescent="0.3">
      <c r="C4" s="335"/>
      <c r="D4" s="335"/>
      <c r="F4" s="336" t="s">
        <v>368</v>
      </c>
      <c r="G4" s="337" t="s">
        <v>369</v>
      </c>
    </row>
    <row r="5" spans="1:7" s="330" customFormat="1" x14ac:dyDescent="0.3">
      <c r="A5" s="325" t="s">
        <v>370</v>
      </c>
      <c r="B5" s="325"/>
      <c r="C5" s="326" t="s">
        <v>371</v>
      </c>
      <c r="D5" s="326"/>
      <c r="F5" s="338" t="s">
        <v>372</v>
      </c>
      <c r="G5" s="339" t="s">
        <v>373</v>
      </c>
    </row>
    <row r="6" spans="1:7" x14ac:dyDescent="0.3">
      <c r="B6" s="327" t="s">
        <v>374</v>
      </c>
      <c r="C6" s="328"/>
      <c r="D6" s="329" t="s">
        <v>371</v>
      </c>
      <c r="F6" s="338" t="s">
        <v>375</v>
      </c>
      <c r="G6" s="339" t="s">
        <v>376</v>
      </c>
    </row>
    <row r="7" spans="1:7" s="330" customFormat="1" x14ac:dyDescent="0.3">
      <c r="A7" s="325" t="s">
        <v>377</v>
      </c>
      <c r="B7" s="325"/>
      <c r="C7" s="326" t="s">
        <v>368</v>
      </c>
      <c r="D7" s="326"/>
      <c r="F7" s="338" t="s">
        <v>150</v>
      </c>
      <c r="G7" s="339" t="s">
        <v>378</v>
      </c>
    </row>
    <row r="8" spans="1:7" s="330" customFormat="1" ht="14.4" x14ac:dyDescent="0.3">
      <c r="A8" s="327"/>
      <c r="B8" s="327" t="s">
        <v>379</v>
      </c>
      <c r="C8" s="215"/>
      <c r="D8" s="329" t="s">
        <v>369</v>
      </c>
      <c r="F8" s="338" t="s">
        <v>380</v>
      </c>
      <c r="G8" s="339" t="s">
        <v>381</v>
      </c>
    </row>
    <row r="9" spans="1:7" ht="14.4" x14ac:dyDescent="0.3">
      <c r="B9" s="327" t="s">
        <v>382</v>
      </c>
      <c r="C9" s="215"/>
      <c r="D9" s="329" t="s">
        <v>373</v>
      </c>
      <c r="F9" s="338" t="s">
        <v>383</v>
      </c>
      <c r="G9" s="339" t="s">
        <v>384</v>
      </c>
    </row>
    <row r="10" spans="1:7" ht="14.4" x14ac:dyDescent="0.3">
      <c r="B10" s="327" t="s">
        <v>385</v>
      </c>
      <c r="C10" s="215"/>
      <c r="D10" s="329" t="s">
        <v>376</v>
      </c>
      <c r="F10" s="338" t="s">
        <v>386</v>
      </c>
      <c r="G10" s="339" t="s">
        <v>387</v>
      </c>
    </row>
    <row r="11" spans="1:7" ht="14.4" x14ac:dyDescent="0.3">
      <c r="B11" s="327" t="s">
        <v>388</v>
      </c>
      <c r="C11" s="215"/>
      <c r="D11" s="329" t="s">
        <v>378</v>
      </c>
      <c r="F11" s="338" t="s">
        <v>389</v>
      </c>
      <c r="G11" s="339" t="s">
        <v>390</v>
      </c>
    </row>
    <row r="12" spans="1:7" x14ac:dyDescent="0.3">
      <c r="A12" s="325" t="s">
        <v>391</v>
      </c>
      <c r="B12" s="325"/>
      <c r="C12" s="326" t="s">
        <v>372</v>
      </c>
      <c r="D12" s="326"/>
      <c r="F12" s="338" t="s">
        <v>392</v>
      </c>
      <c r="G12" s="339" t="s">
        <v>393</v>
      </c>
    </row>
    <row r="13" spans="1:7" ht="14.4" x14ac:dyDescent="0.3">
      <c r="B13" s="327" t="s">
        <v>394</v>
      </c>
      <c r="C13" s="215"/>
      <c r="D13" s="329" t="s">
        <v>381</v>
      </c>
      <c r="F13" s="340" t="s">
        <v>395</v>
      </c>
      <c r="G13" s="339" t="s">
        <v>396</v>
      </c>
    </row>
    <row r="14" spans="1:7" ht="14.4" x14ac:dyDescent="0.3">
      <c r="B14" s="327" t="s">
        <v>397</v>
      </c>
      <c r="C14" s="215"/>
      <c r="D14" s="329" t="s">
        <v>384</v>
      </c>
      <c r="F14" s="341" t="s">
        <v>371</v>
      </c>
      <c r="G14" s="339" t="s">
        <v>398</v>
      </c>
    </row>
    <row r="15" spans="1:7" ht="14.4" x14ac:dyDescent="0.3">
      <c r="B15" s="327" t="s">
        <v>399</v>
      </c>
      <c r="C15" s="215"/>
      <c r="D15" s="329" t="s">
        <v>387</v>
      </c>
      <c r="F15" s="338"/>
      <c r="G15" s="339" t="s">
        <v>400</v>
      </c>
    </row>
    <row r="16" spans="1:7" ht="14.4" x14ac:dyDescent="0.3">
      <c r="B16" s="327" t="s">
        <v>401</v>
      </c>
      <c r="C16" s="215"/>
      <c r="D16" s="329" t="s">
        <v>390</v>
      </c>
      <c r="F16" s="338"/>
      <c r="G16" s="339" t="s">
        <v>402</v>
      </c>
    </row>
    <row r="17" spans="1:7" s="330" customFormat="1" ht="14.4" x14ac:dyDescent="0.3">
      <c r="A17" s="327"/>
      <c r="B17" s="327" t="s">
        <v>403</v>
      </c>
      <c r="C17" s="215"/>
      <c r="D17" s="329" t="s">
        <v>393</v>
      </c>
      <c r="F17" s="338"/>
      <c r="G17" s="339" t="s">
        <v>404</v>
      </c>
    </row>
    <row r="18" spans="1:7" ht="14.4" x14ac:dyDescent="0.3">
      <c r="B18" s="327" t="s">
        <v>405</v>
      </c>
      <c r="C18" s="215"/>
      <c r="D18" s="329" t="s">
        <v>396</v>
      </c>
      <c r="F18" s="338"/>
      <c r="G18" s="339" t="s">
        <v>406</v>
      </c>
    </row>
    <row r="19" spans="1:7" ht="14.4" x14ac:dyDescent="0.3">
      <c r="B19" s="327" t="s">
        <v>407</v>
      </c>
      <c r="C19" s="215"/>
      <c r="D19" s="329" t="s">
        <v>398</v>
      </c>
      <c r="F19" s="338"/>
      <c r="G19" s="339" t="s">
        <v>408</v>
      </c>
    </row>
    <row r="20" spans="1:7" x14ac:dyDescent="0.3">
      <c r="A20" s="325" t="s">
        <v>409</v>
      </c>
      <c r="B20" s="325"/>
      <c r="C20" s="326" t="s">
        <v>375</v>
      </c>
      <c r="D20" s="326"/>
      <c r="F20" s="338"/>
      <c r="G20" s="339" t="s">
        <v>410</v>
      </c>
    </row>
    <row r="21" spans="1:7" ht="14.4" x14ac:dyDescent="0.3">
      <c r="B21" s="327" t="s">
        <v>411</v>
      </c>
      <c r="C21" s="215"/>
      <c r="D21" s="329" t="s">
        <v>400</v>
      </c>
      <c r="F21" s="338"/>
      <c r="G21" s="339" t="s">
        <v>412</v>
      </c>
    </row>
    <row r="22" spans="1:7" ht="14.4" x14ac:dyDescent="0.3">
      <c r="B22" s="327" t="s">
        <v>413</v>
      </c>
      <c r="C22" s="215"/>
      <c r="D22" s="329" t="s">
        <v>402</v>
      </c>
      <c r="F22" s="338"/>
      <c r="G22" s="339" t="s">
        <v>237</v>
      </c>
    </row>
    <row r="23" spans="1:7" ht="14.4" x14ac:dyDescent="0.3">
      <c r="B23" s="327" t="s">
        <v>414</v>
      </c>
      <c r="C23" s="215"/>
      <c r="D23" s="329" t="s">
        <v>404</v>
      </c>
      <c r="F23" s="341"/>
      <c r="G23" s="339" t="s">
        <v>415</v>
      </c>
    </row>
    <row r="24" spans="1:7" ht="14.4" x14ac:dyDescent="0.3">
      <c r="B24" s="327" t="s">
        <v>416</v>
      </c>
      <c r="C24" s="215"/>
      <c r="D24" s="329" t="s">
        <v>406</v>
      </c>
      <c r="F24" s="338"/>
      <c r="G24" s="339" t="s">
        <v>417</v>
      </c>
    </row>
    <row r="25" spans="1:7" ht="14.4" x14ac:dyDescent="0.3">
      <c r="B25" s="327" t="s">
        <v>418</v>
      </c>
      <c r="C25" s="215"/>
      <c r="D25" s="329" t="s">
        <v>408</v>
      </c>
      <c r="F25" s="338"/>
      <c r="G25" s="339" t="s">
        <v>151</v>
      </c>
    </row>
    <row r="26" spans="1:7" ht="14.4" x14ac:dyDescent="0.3">
      <c r="B26" s="327" t="s">
        <v>419</v>
      </c>
      <c r="C26" s="215"/>
      <c r="D26" s="329" t="s">
        <v>410</v>
      </c>
      <c r="F26" s="338"/>
      <c r="G26" s="339" t="s">
        <v>420</v>
      </c>
    </row>
    <row r="27" spans="1:7" s="330" customFormat="1" ht="14.4" x14ac:dyDescent="0.3">
      <c r="A27" s="327"/>
      <c r="B27" s="327" t="s">
        <v>421</v>
      </c>
      <c r="C27" s="215"/>
      <c r="D27" s="329" t="s">
        <v>412</v>
      </c>
      <c r="F27" s="338"/>
      <c r="G27" s="339" t="s">
        <v>422</v>
      </c>
    </row>
    <row r="28" spans="1:7" x14ac:dyDescent="0.3">
      <c r="A28" s="325" t="s">
        <v>423</v>
      </c>
      <c r="B28" s="325"/>
      <c r="C28" s="326" t="s">
        <v>150</v>
      </c>
      <c r="D28" s="326"/>
      <c r="F28" s="338"/>
      <c r="G28" s="339" t="s">
        <v>424</v>
      </c>
    </row>
    <row r="29" spans="1:7" ht="14.4" x14ac:dyDescent="0.3">
      <c r="B29" s="327" t="s">
        <v>425</v>
      </c>
      <c r="C29" s="215"/>
      <c r="D29" s="329" t="s">
        <v>237</v>
      </c>
      <c r="F29" s="338"/>
      <c r="G29" s="339" t="s">
        <v>426</v>
      </c>
    </row>
    <row r="30" spans="1:7" ht="14.4" x14ac:dyDescent="0.3">
      <c r="B30" s="327" t="s">
        <v>427</v>
      </c>
      <c r="C30" s="215"/>
      <c r="D30" s="329" t="s">
        <v>415</v>
      </c>
      <c r="F30" s="338"/>
      <c r="G30" s="339" t="s">
        <v>428</v>
      </c>
    </row>
    <row r="31" spans="1:7" ht="14.4" x14ac:dyDescent="0.3">
      <c r="B31" s="327" t="s">
        <v>429</v>
      </c>
      <c r="C31" s="215"/>
      <c r="D31" s="329" t="s">
        <v>417</v>
      </c>
      <c r="F31" s="341"/>
      <c r="G31" s="339" t="s">
        <v>430</v>
      </c>
    </row>
    <row r="32" spans="1:7" ht="14.4" x14ac:dyDescent="0.3">
      <c r="B32" s="327" t="s">
        <v>431</v>
      </c>
      <c r="C32" s="215"/>
      <c r="D32" s="329" t="s">
        <v>151</v>
      </c>
      <c r="F32" s="338"/>
      <c r="G32" s="339" t="s">
        <v>432</v>
      </c>
    </row>
    <row r="33" spans="1:7" ht="14.4" x14ac:dyDescent="0.3">
      <c r="B33" s="327" t="s">
        <v>433</v>
      </c>
      <c r="C33" s="215"/>
      <c r="D33" s="329" t="s">
        <v>420</v>
      </c>
      <c r="F33" s="338"/>
      <c r="G33" s="339" t="s">
        <v>434</v>
      </c>
    </row>
    <row r="34" spans="1:7" ht="14.4" x14ac:dyDescent="0.3">
      <c r="B34" s="327" t="s">
        <v>435</v>
      </c>
      <c r="C34" s="215"/>
      <c r="D34" s="329" t="s">
        <v>422</v>
      </c>
      <c r="F34" s="338"/>
      <c r="G34" s="339" t="s">
        <v>436</v>
      </c>
    </row>
    <row r="35" spans="1:7" s="330" customFormat="1" ht="14.4" x14ac:dyDescent="0.3">
      <c r="A35" s="327"/>
      <c r="B35" s="327" t="s">
        <v>437</v>
      </c>
      <c r="C35" s="215"/>
      <c r="D35" s="329" t="s">
        <v>424</v>
      </c>
      <c r="F35" s="338"/>
      <c r="G35" s="339" t="s">
        <v>438</v>
      </c>
    </row>
    <row r="36" spans="1:7" ht="14.4" x14ac:dyDescent="0.3">
      <c r="B36" s="327" t="s">
        <v>439</v>
      </c>
      <c r="C36" s="215"/>
      <c r="D36" s="329" t="s">
        <v>426</v>
      </c>
      <c r="F36" s="338"/>
      <c r="G36" s="339" t="s">
        <v>440</v>
      </c>
    </row>
    <row r="37" spans="1:7" x14ac:dyDescent="0.3">
      <c r="A37" s="325" t="s">
        <v>441</v>
      </c>
      <c r="B37" s="325"/>
      <c r="C37" s="326" t="s">
        <v>380</v>
      </c>
      <c r="D37" s="326"/>
      <c r="F37" s="338"/>
      <c r="G37" s="339" t="s">
        <v>442</v>
      </c>
    </row>
    <row r="38" spans="1:7" ht="14.4" x14ac:dyDescent="0.3">
      <c r="B38" s="327" t="s">
        <v>443</v>
      </c>
      <c r="C38" s="215"/>
      <c r="D38" s="329" t="s">
        <v>428</v>
      </c>
      <c r="F38" s="338"/>
      <c r="G38" s="339" t="s">
        <v>444</v>
      </c>
    </row>
    <row r="39" spans="1:7" ht="14.4" x14ac:dyDescent="0.3">
      <c r="B39" s="327" t="s">
        <v>445</v>
      </c>
      <c r="C39" s="215"/>
      <c r="D39" s="329" t="s">
        <v>430</v>
      </c>
      <c r="F39" s="338"/>
      <c r="G39" s="339" t="s">
        <v>446</v>
      </c>
    </row>
    <row r="40" spans="1:7" ht="14.4" x14ac:dyDescent="0.3">
      <c r="B40" s="327" t="s">
        <v>447</v>
      </c>
      <c r="C40" s="215"/>
      <c r="D40" s="329" t="s">
        <v>432</v>
      </c>
      <c r="F40" s="341"/>
      <c r="G40" s="339" t="s">
        <v>448</v>
      </c>
    </row>
    <row r="41" spans="1:7" ht="14.4" x14ac:dyDescent="0.3">
      <c r="B41" s="327" t="s">
        <v>449</v>
      </c>
      <c r="C41" s="215"/>
      <c r="D41" s="329" t="s">
        <v>434</v>
      </c>
      <c r="F41" s="338"/>
      <c r="G41" s="339" t="s">
        <v>450</v>
      </c>
    </row>
    <row r="42" spans="1:7" ht="14.4" x14ac:dyDescent="0.3">
      <c r="B42" s="327" t="s">
        <v>451</v>
      </c>
      <c r="C42" s="215"/>
      <c r="D42" s="329" t="s">
        <v>436</v>
      </c>
      <c r="F42" s="338"/>
      <c r="G42" s="339" t="s">
        <v>452</v>
      </c>
    </row>
    <row r="43" spans="1:7" ht="14.4" x14ac:dyDescent="0.3">
      <c r="B43" s="327" t="s">
        <v>453</v>
      </c>
      <c r="C43" s="215"/>
      <c r="D43" s="329" t="s">
        <v>438</v>
      </c>
      <c r="F43" s="338"/>
      <c r="G43" s="339" t="s">
        <v>454</v>
      </c>
    </row>
    <row r="44" spans="1:7" s="330" customFormat="1" ht="14.4" x14ac:dyDescent="0.3">
      <c r="A44" s="327"/>
      <c r="B44" s="327" t="s">
        <v>455</v>
      </c>
      <c r="C44" s="215"/>
      <c r="D44" s="329" t="s">
        <v>440</v>
      </c>
      <c r="F44" s="338"/>
      <c r="G44" s="339" t="s">
        <v>456</v>
      </c>
    </row>
    <row r="45" spans="1:7" ht="14.4" x14ac:dyDescent="0.3">
      <c r="B45" s="327" t="s">
        <v>457</v>
      </c>
      <c r="C45" s="215"/>
      <c r="D45" s="329" t="s">
        <v>442</v>
      </c>
      <c r="F45" s="338"/>
      <c r="G45" s="339" t="s">
        <v>458</v>
      </c>
    </row>
    <row r="46" spans="1:7" x14ac:dyDescent="0.3">
      <c r="A46" s="325" t="s">
        <v>459</v>
      </c>
      <c r="B46" s="325"/>
      <c r="C46" s="326" t="s">
        <v>383</v>
      </c>
      <c r="D46" s="326"/>
      <c r="F46" s="338"/>
      <c r="G46" s="339" t="s">
        <v>460</v>
      </c>
    </row>
    <row r="47" spans="1:7" ht="14.4" x14ac:dyDescent="0.3">
      <c r="B47" s="327" t="s">
        <v>461</v>
      </c>
      <c r="C47" s="215"/>
      <c r="D47" s="329" t="s">
        <v>444</v>
      </c>
      <c r="F47" s="338"/>
      <c r="G47" s="339" t="s">
        <v>462</v>
      </c>
    </row>
    <row r="48" spans="1:7" ht="14.4" x14ac:dyDescent="0.3">
      <c r="B48" s="327" t="s">
        <v>463</v>
      </c>
      <c r="C48" s="215"/>
      <c r="D48" s="329" t="s">
        <v>446</v>
      </c>
      <c r="F48" s="338"/>
      <c r="G48" s="339" t="s">
        <v>464</v>
      </c>
    </row>
    <row r="49" spans="1:7" ht="14.4" x14ac:dyDescent="0.3">
      <c r="B49" s="327" t="s">
        <v>465</v>
      </c>
      <c r="C49" s="215"/>
      <c r="D49" s="329" t="s">
        <v>448</v>
      </c>
      <c r="F49" s="338"/>
      <c r="G49" s="339" t="s">
        <v>466</v>
      </c>
    </row>
    <row r="50" spans="1:7" ht="14.4" x14ac:dyDescent="0.3">
      <c r="B50" s="327" t="s">
        <v>467</v>
      </c>
      <c r="C50" s="215"/>
      <c r="D50" s="329" t="s">
        <v>450</v>
      </c>
      <c r="F50" s="338"/>
      <c r="G50" s="339" t="s">
        <v>468</v>
      </c>
    </row>
    <row r="51" spans="1:7" ht="14.4" x14ac:dyDescent="0.3">
      <c r="B51" s="327" t="s">
        <v>469</v>
      </c>
      <c r="C51" s="215"/>
      <c r="D51" s="329" t="s">
        <v>452</v>
      </c>
      <c r="F51" s="338"/>
      <c r="G51" s="339" t="s">
        <v>470</v>
      </c>
    </row>
    <row r="52" spans="1:7" ht="14.4" x14ac:dyDescent="0.3">
      <c r="B52" s="327" t="s">
        <v>471</v>
      </c>
      <c r="C52" s="215"/>
      <c r="D52" s="329" t="s">
        <v>454</v>
      </c>
      <c r="F52" s="338"/>
      <c r="G52" s="339" t="s">
        <v>472</v>
      </c>
    </row>
    <row r="53" spans="1:7" ht="14.4" x14ac:dyDescent="0.3">
      <c r="B53" s="327" t="s">
        <v>473</v>
      </c>
      <c r="C53" s="215"/>
      <c r="D53" s="329" t="s">
        <v>456</v>
      </c>
      <c r="F53" s="341"/>
      <c r="G53" s="339" t="s">
        <v>474</v>
      </c>
    </row>
    <row r="54" spans="1:7" ht="14.4" x14ac:dyDescent="0.3">
      <c r="B54" s="327" t="s">
        <v>475</v>
      </c>
      <c r="C54" s="215"/>
      <c r="D54" s="329" t="s">
        <v>458</v>
      </c>
      <c r="F54" s="341"/>
      <c r="G54" s="339" t="s">
        <v>476</v>
      </c>
    </row>
    <row r="55" spans="1:7" ht="14.4" x14ac:dyDescent="0.3">
      <c r="B55" s="327" t="s">
        <v>477</v>
      </c>
      <c r="C55" s="215"/>
      <c r="D55" s="329" t="s">
        <v>478</v>
      </c>
      <c r="F55" s="338"/>
      <c r="G55" s="339" t="s">
        <v>478</v>
      </c>
    </row>
    <row r="56" spans="1:7" x14ac:dyDescent="0.3">
      <c r="A56" s="325" t="s">
        <v>479</v>
      </c>
      <c r="B56" s="325"/>
      <c r="C56" s="326" t="s">
        <v>386</v>
      </c>
      <c r="D56" s="326"/>
      <c r="F56" s="338"/>
      <c r="G56" s="339" t="s">
        <v>480</v>
      </c>
    </row>
    <row r="57" spans="1:7" ht="14.4" x14ac:dyDescent="0.3">
      <c r="B57" s="327" t="s">
        <v>481</v>
      </c>
      <c r="C57" s="215"/>
      <c r="D57" s="329" t="s">
        <v>460</v>
      </c>
      <c r="F57" s="338"/>
      <c r="G57" s="339" t="s">
        <v>482</v>
      </c>
    </row>
    <row r="58" spans="1:7" s="330" customFormat="1" ht="14.4" x14ac:dyDescent="0.3">
      <c r="A58" s="327"/>
      <c r="B58" s="327" t="s">
        <v>483</v>
      </c>
      <c r="C58" s="215"/>
      <c r="D58" s="329" t="s">
        <v>462</v>
      </c>
      <c r="F58" s="338"/>
      <c r="G58" s="339" t="s">
        <v>484</v>
      </c>
    </row>
    <row r="59" spans="1:7" ht="14.4" x14ac:dyDescent="0.3">
      <c r="B59" s="327" t="s">
        <v>485</v>
      </c>
      <c r="C59" s="215"/>
      <c r="D59" s="329" t="s">
        <v>464</v>
      </c>
      <c r="F59" s="338"/>
      <c r="G59" s="339" t="s">
        <v>486</v>
      </c>
    </row>
    <row r="60" spans="1:7" ht="15" thickBot="1" x14ac:dyDescent="0.35">
      <c r="B60" s="327" t="s">
        <v>487</v>
      </c>
      <c r="C60" s="215"/>
      <c r="D60" s="329" t="s">
        <v>466</v>
      </c>
      <c r="F60" s="342"/>
      <c r="G60" s="339" t="s">
        <v>371</v>
      </c>
    </row>
    <row r="61" spans="1:7" ht="15" thickBot="1" x14ac:dyDescent="0.35">
      <c r="B61" s="327" t="s">
        <v>488</v>
      </c>
      <c r="C61" s="215"/>
      <c r="D61" s="329" t="s">
        <v>468</v>
      </c>
      <c r="G61" s="343"/>
    </row>
    <row r="62" spans="1:7" ht="14.4" x14ac:dyDescent="0.3">
      <c r="B62" s="327" t="s">
        <v>489</v>
      </c>
      <c r="C62" s="215"/>
      <c r="D62" s="329" t="s">
        <v>470</v>
      </c>
    </row>
    <row r="63" spans="1:7" ht="14.4" x14ac:dyDescent="0.3">
      <c r="B63" s="327" t="s">
        <v>490</v>
      </c>
      <c r="C63" s="215"/>
      <c r="D63" s="329" t="s">
        <v>472</v>
      </c>
      <c r="F63" s="330"/>
    </row>
    <row r="64" spans="1:7" x14ac:dyDescent="0.3">
      <c r="A64" s="325" t="s">
        <v>491</v>
      </c>
      <c r="B64" s="325"/>
      <c r="C64" s="326" t="s">
        <v>389</v>
      </c>
      <c r="D64" s="326"/>
    </row>
    <row r="65" spans="1:7" ht="14.4" x14ac:dyDescent="0.3">
      <c r="B65" s="327" t="s">
        <v>492</v>
      </c>
      <c r="C65" s="215"/>
      <c r="D65" s="329" t="s">
        <v>474</v>
      </c>
      <c r="G65" s="330"/>
    </row>
    <row r="66" spans="1:7" ht="14.4" x14ac:dyDescent="0.3">
      <c r="B66" s="327" t="s">
        <v>493</v>
      </c>
      <c r="C66" s="215"/>
      <c r="D66" s="329" t="s">
        <v>476</v>
      </c>
    </row>
    <row r="67" spans="1:7" s="330" customFormat="1" ht="14.4" x14ac:dyDescent="0.3">
      <c r="A67" s="327"/>
      <c r="B67" s="327" t="s">
        <v>494</v>
      </c>
      <c r="C67" s="215"/>
      <c r="D67" s="329" t="s">
        <v>480</v>
      </c>
      <c r="F67" s="327"/>
      <c r="G67" s="327"/>
    </row>
    <row r="68" spans="1:7" ht="14.4" x14ac:dyDescent="0.3">
      <c r="B68" s="327" t="s">
        <v>495</v>
      </c>
      <c r="C68" s="215"/>
      <c r="D68" s="329" t="s">
        <v>482</v>
      </c>
    </row>
    <row r="69" spans="1:7" x14ac:dyDescent="0.3">
      <c r="A69" s="325" t="s">
        <v>496</v>
      </c>
      <c r="B69" s="325"/>
      <c r="C69" s="326" t="s">
        <v>392</v>
      </c>
      <c r="D69" s="326"/>
    </row>
    <row r="70" spans="1:7" ht="14.4" x14ac:dyDescent="0.3">
      <c r="B70" s="327" t="s">
        <v>497</v>
      </c>
      <c r="C70" s="215"/>
      <c r="D70" s="329" t="s">
        <v>484</v>
      </c>
    </row>
    <row r="71" spans="1:7" ht="14.4" x14ac:dyDescent="0.3">
      <c r="B71" s="327" t="s">
        <v>498</v>
      </c>
      <c r="C71" s="215"/>
      <c r="D71" s="329" t="s">
        <v>486</v>
      </c>
    </row>
    <row r="72" spans="1:7" x14ac:dyDescent="0.3">
      <c r="A72" s="325" t="s">
        <v>499</v>
      </c>
      <c r="B72" s="325"/>
      <c r="C72" s="326" t="s">
        <v>395</v>
      </c>
      <c r="D72" s="326"/>
    </row>
    <row r="73" spans="1:7" ht="14.4" x14ac:dyDescent="0.3">
      <c r="B73" s="327" t="s">
        <v>500</v>
      </c>
      <c r="C73" s="215"/>
      <c r="D73" s="329"/>
    </row>
    <row r="74" spans="1:7" ht="14.4" x14ac:dyDescent="0.3">
      <c r="B74" s="327" t="s">
        <v>501</v>
      </c>
      <c r="C74" s="215"/>
      <c r="D74" s="329"/>
    </row>
    <row r="75" spans="1:7" ht="14.4" x14ac:dyDescent="0.3">
      <c r="B75" s="327" t="s">
        <v>502</v>
      </c>
      <c r="C75" s="215"/>
      <c r="D75" s="329"/>
    </row>
    <row r="76" spans="1:7" ht="14.4" x14ac:dyDescent="0.3">
      <c r="B76" s="327" t="s">
        <v>503</v>
      </c>
      <c r="C76" s="215"/>
      <c r="D76" s="329"/>
    </row>
    <row r="77" spans="1:7" ht="14.4" x14ac:dyDescent="0.3">
      <c r="B77" s="327" t="s">
        <v>504</v>
      </c>
      <c r="C77" s="215"/>
      <c r="D77" s="329"/>
    </row>
    <row r="78" spans="1:7" ht="14.4" x14ac:dyDescent="0.3">
      <c r="B78" s="327" t="s">
        <v>505</v>
      </c>
      <c r="C78" s="215"/>
      <c r="D78" s="329"/>
      <c r="F78" s="330"/>
    </row>
    <row r="79" spans="1:7" ht="14.4" x14ac:dyDescent="0.3">
      <c r="B79" s="327" t="s">
        <v>506</v>
      </c>
      <c r="C79" s="215"/>
      <c r="D79" s="329"/>
    </row>
    <row r="80" spans="1:7" ht="14.4" x14ac:dyDescent="0.3">
      <c r="B80" s="327" t="s">
        <v>507</v>
      </c>
      <c r="C80" s="215"/>
      <c r="D80" s="329"/>
      <c r="G80" s="330"/>
    </row>
    <row r="81" spans="1:7" ht="14.4" x14ac:dyDescent="0.3">
      <c r="B81" s="327" t="s">
        <v>508</v>
      </c>
      <c r="C81" s="215"/>
      <c r="D81" s="329"/>
    </row>
    <row r="82" spans="1:7" s="330" customFormat="1" ht="14.4" x14ac:dyDescent="0.3">
      <c r="A82" s="327"/>
      <c r="B82" s="327" t="s">
        <v>509</v>
      </c>
      <c r="C82" s="215"/>
      <c r="D82" s="329"/>
      <c r="F82" s="327"/>
      <c r="G82" s="327"/>
    </row>
    <row r="83" spans="1:7" ht="14.4" x14ac:dyDescent="0.3">
      <c r="B83" s="327" t="s">
        <v>510</v>
      </c>
      <c r="C83" s="215"/>
      <c r="D83" s="329"/>
    </row>
    <row r="84" spans="1:7" ht="14.4" x14ac:dyDescent="0.3">
      <c r="B84" s="327" t="s">
        <v>511</v>
      </c>
      <c r="C84" s="215"/>
      <c r="D84" s="329"/>
    </row>
    <row r="85" spans="1:7" ht="14.4" x14ac:dyDescent="0.3">
      <c r="B85" s="327" t="s">
        <v>512</v>
      </c>
      <c r="C85" s="215"/>
      <c r="D85" s="329"/>
    </row>
    <row r="86" spans="1:7" x14ac:dyDescent="0.3">
      <c r="C86" s="344"/>
    </row>
    <row r="87" spans="1:7" x14ac:dyDescent="0.3">
      <c r="C87" s="344"/>
    </row>
    <row r="88" spans="1:7" x14ac:dyDescent="0.3">
      <c r="A88" s="345"/>
      <c r="B88" s="345"/>
      <c r="C88" s="346"/>
      <c r="D88" s="345"/>
    </row>
    <row r="89" spans="1:7" x14ac:dyDescent="0.3">
      <c r="A89" s="345"/>
      <c r="B89" s="345"/>
      <c r="C89" s="346"/>
      <c r="D89" s="345"/>
    </row>
  </sheetData>
  <sheetProtection algorithmName="SHA-512" hashValue="rr3Z6/8UrzBYa/DzDrnIy49MAwj4DvRZrUPSXBn9SzIywrXtVH3PsOb8Bg0cEVzS4eEqC4V/je5m6KaNQkuNfg==" saltValue="YFJQqVmueDyLJM5XyX66Hw==" spinCount="100000" sheet="1" objects="1" scenarios="1"/>
  <pageMargins left="0.70866141732283472" right="0.70866141732283472" top="0.74803149606299213" bottom="0.74803149606299213" header="0.31496062992125984" footer="0.31496062992125984"/>
  <pageSetup paperSize="9" scale="78" fitToHeight="2" orientation="portrait" r:id="rId1"/>
  <headerFooter>
    <oddFooter>&amp;L&amp;F   ---   &amp;A&amp;RPage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33"/>
  <sheetViews>
    <sheetView zoomScaleNormal="100" workbookViewId="0">
      <selection activeCell="A34" sqref="A34"/>
    </sheetView>
  </sheetViews>
  <sheetFormatPr defaultColWidth="9.44140625" defaultRowHeight="13.2" x14ac:dyDescent="0.25"/>
  <cols>
    <col min="1" max="1" width="95.44140625" bestFit="1" customWidth="1"/>
    <col min="2" max="2" width="46.44140625" bestFit="1" customWidth="1"/>
  </cols>
  <sheetData>
    <row r="4" spans="1:2" x14ac:dyDescent="0.25">
      <c r="A4" s="246" t="s">
        <v>513</v>
      </c>
    </row>
    <row r="5" spans="1:2" x14ac:dyDescent="0.25">
      <c r="A5" s="221" t="str">
        <f>'HE Application Form A3 - Budget'!$H$7</f>
        <v>Subcontracting costs</v>
      </c>
    </row>
    <row r="6" spans="1:2" x14ac:dyDescent="0.25">
      <c r="A6" s="221" t="str">
        <f>'HE Application Form A3 - Budget'!$I$7</f>
        <v>Travel and subsistence</v>
      </c>
    </row>
    <row r="7" spans="1:2" x14ac:dyDescent="0.25">
      <c r="A7" s="221" t="str">
        <f>'HE Application Form A3 - Budget'!$J$7</f>
        <v>Equipment - including major equipment</v>
      </c>
    </row>
    <row r="8" spans="1:2" x14ac:dyDescent="0.25">
      <c r="A8" s="221" t="str">
        <f>'HE Application Form A3 - Budget'!$K$7</f>
        <v>Consumables incl. Fieldwork and animal costs</v>
      </c>
    </row>
    <row r="9" spans="1:2" x14ac:dyDescent="0.25">
      <c r="A9" s="221" t="str">
        <f>'HE Application Form A3 - Budget'!$L$7</f>
        <v>Publications (incl. Open Access fees) and dissemniation</v>
      </c>
    </row>
    <row r="10" spans="1:2" x14ac:dyDescent="0.25">
      <c r="A10" s="221" t="str">
        <f>'HE Application Form A3 - Budget'!$M$7</f>
        <v>Other additional direct costs</v>
      </c>
    </row>
    <row r="11" spans="1:2" x14ac:dyDescent="0.25">
      <c r="A11" s="221" t="str">
        <f>'HE Application Form A3 - Budget'!$P$7</f>
        <v>Internally invoiced goods and services</v>
      </c>
    </row>
    <row r="12" spans="1:2" x14ac:dyDescent="0.25">
      <c r="A12" s="221"/>
    </row>
    <row r="13" spans="1:2" x14ac:dyDescent="0.25">
      <c r="A13" s="376" t="s">
        <v>514</v>
      </c>
      <c r="B13" s="376" t="s">
        <v>515</v>
      </c>
    </row>
    <row r="16" spans="1:2" x14ac:dyDescent="0.25">
      <c r="A16" s="245" t="s">
        <v>134</v>
      </c>
    </row>
    <row r="17" spans="1:1" x14ac:dyDescent="0.25">
      <c r="A17" s="219" t="s">
        <v>147</v>
      </c>
    </row>
    <row r="18" spans="1:1" x14ac:dyDescent="0.25">
      <c r="A18" s="219" t="s">
        <v>188</v>
      </c>
    </row>
    <row r="19" spans="1:1" x14ac:dyDescent="0.25">
      <c r="A19" s="219" t="s">
        <v>516</v>
      </c>
    </row>
    <row r="20" spans="1:1" x14ac:dyDescent="0.25">
      <c r="A20" s="219" t="s">
        <v>157</v>
      </c>
    </row>
    <row r="21" spans="1:1" x14ac:dyDescent="0.25">
      <c r="A21" s="219" t="s">
        <v>517</v>
      </c>
    </row>
    <row r="24" spans="1:1" x14ac:dyDescent="0.25">
      <c r="A24" s="245" t="s">
        <v>131</v>
      </c>
    </row>
    <row r="25" spans="1:1" x14ac:dyDescent="0.25">
      <c r="A25" s="277" t="s">
        <v>344</v>
      </c>
    </row>
    <row r="26" spans="1:1" x14ac:dyDescent="0.25">
      <c r="A26" s="277" t="s">
        <v>109</v>
      </c>
    </row>
    <row r="29" spans="1:1" x14ac:dyDescent="0.25">
      <c r="A29" s="245" t="s">
        <v>518</v>
      </c>
    </row>
    <row r="30" spans="1:1" x14ac:dyDescent="0.25">
      <c r="A30" s="219" t="s">
        <v>112</v>
      </c>
    </row>
    <row r="31" spans="1:1" x14ac:dyDescent="0.25">
      <c r="A31" s="219" t="s">
        <v>114</v>
      </c>
    </row>
    <row r="32" spans="1:1" x14ac:dyDescent="0.25">
      <c r="A32" s="219" t="s">
        <v>49</v>
      </c>
    </row>
    <row r="33" spans="1:1" x14ac:dyDescent="0.25">
      <c r="A33" s="219" t="s">
        <v>51</v>
      </c>
    </row>
  </sheetData>
  <sheetProtection algorithmName="SHA-512" hashValue="PUDy0SqdwrdfpAWMyKaaUpSJpmtDhDeoMlhLOMWjoBRbGV83BSw3f9Z7TGbz74QpQloCsb8Jhaos4vO1rwSlGA==" saltValue="SVj6mYTgKCOSymwsprVe9A==" spinCount="100000" sheet="1" objects="1" scenarios="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3014c508-4e74-4dbf-b58f-1de79292923c">
      <UserInfo>
        <DisplayName>Quoc Anh Tran</DisplayName>
        <AccountId>123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34DC2D6CA79544A813D03BFC3AD9309" ma:contentTypeVersion="12" ma:contentTypeDescription="Opprett et nytt dokument." ma:contentTypeScope="" ma:versionID="946b56f358377ab344bc827422b14285">
  <xsd:schema xmlns:xsd="http://www.w3.org/2001/XMLSchema" xmlns:xs="http://www.w3.org/2001/XMLSchema" xmlns:p="http://schemas.microsoft.com/office/2006/metadata/properties" xmlns:ns2="277cb4d0-94c3-4f27-8e7d-ccc1d35c28d1" xmlns:ns3="3014c508-4e74-4dbf-b58f-1de79292923c" targetNamespace="http://schemas.microsoft.com/office/2006/metadata/properties" ma:root="true" ma:fieldsID="4b1d582367ac5e31252d130aa573bdd2" ns2:_="" ns3:_="">
    <xsd:import namespace="277cb4d0-94c3-4f27-8e7d-ccc1d35c28d1"/>
    <xsd:import namespace="3014c508-4e74-4dbf-b58f-1de79292923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cb4d0-94c3-4f27-8e7d-ccc1d35c2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14c508-4e74-4dbf-b58f-1de79292923c" elementFormDefault="qualified">
    <xsd:import namespace="http://schemas.microsoft.com/office/2006/documentManagement/types"/>
    <xsd:import namespace="http://schemas.microsoft.com/office/infopath/2007/PartnerControls"/>
    <xsd:element name="SharedWithUsers" ma:index="10"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474EFD-51B4-45C0-A4FA-EFC17EFCF2EE}">
  <ds:schemaRefs>
    <ds:schemaRef ds:uri="http://schemas.microsoft.com/office/2006/metadata/properties"/>
    <ds:schemaRef ds:uri="http://schemas.microsoft.com/office/infopath/2007/PartnerControls"/>
    <ds:schemaRef ds:uri="3014c508-4e74-4dbf-b58f-1de79292923c"/>
  </ds:schemaRefs>
</ds:datastoreItem>
</file>

<file path=customXml/itemProps2.xml><?xml version="1.0" encoding="utf-8"?>
<ds:datastoreItem xmlns:ds="http://schemas.openxmlformats.org/officeDocument/2006/customXml" ds:itemID="{1A3BEB5D-EC8E-46BB-AB47-980957C705B1}">
  <ds:schemaRefs>
    <ds:schemaRef ds:uri="http://schemas.microsoft.com/sharepoint/v3/contenttype/forms"/>
  </ds:schemaRefs>
</ds:datastoreItem>
</file>

<file path=customXml/itemProps3.xml><?xml version="1.0" encoding="utf-8"?>
<ds:datastoreItem xmlns:ds="http://schemas.openxmlformats.org/officeDocument/2006/customXml" ds:itemID="{99283B9C-6327-4218-8471-FD3E50063F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7cb4d0-94c3-4f27-8e7d-ccc1d35c28d1"/>
    <ds:schemaRef ds:uri="3014c508-4e74-4dbf-b58f-1de7929292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Instructions</vt:lpstr>
      <vt:lpstr>Project data &amp; personnel </vt:lpstr>
      <vt:lpstr>Non-personnel costs</vt:lpstr>
      <vt:lpstr>HE Application Form A3 - Budget</vt:lpstr>
      <vt:lpstr>HE Section C - Resources</vt:lpstr>
      <vt:lpstr>Internal NTNU budget</vt:lpstr>
      <vt:lpstr>Hovedtall pr. org'enhet</vt:lpstr>
      <vt:lpstr>Overføringer BOA-BFV</vt:lpstr>
      <vt:lpstr>Beregning OH-sats BOA</vt:lpstr>
      <vt:lpstr>Salary scale &amp; Incentives</vt:lpstr>
      <vt:lpstr>Org'enheter</vt:lpstr>
      <vt:lpstr>Categories</vt:lpstr>
      <vt:lpstr>'Salary scale &amp; Incentives'!Print_Titles</vt:lpstr>
    </vt:vector>
  </TitlesOfParts>
  <Manager/>
  <Company>NTNU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Miriam Kilano Khider</dc:creator>
  <cp:keywords/>
  <dc:description/>
  <cp:lastModifiedBy>Quoc Anh Tran</cp:lastModifiedBy>
  <cp:revision/>
  <dcterms:created xsi:type="dcterms:W3CDTF">2003-01-22T11:30:42Z</dcterms:created>
  <dcterms:modified xsi:type="dcterms:W3CDTF">2023-04-30T15:28:52Z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0x010100934DC2D6CA79544A813D03BFC3AD9309</vt:lpwstr>
  </property>
</Properties>
</file>