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CHUYÊN NGÀNH - FPT\Chuyên ngành 7\"/>
    </mc:Choice>
  </mc:AlternateContent>
  <xr:revisionPtr revIDLastSave="0" documentId="13_ncr:1_{69A048AA-ACED-4B68-B1ED-2B624BB8C1CC}" xr6:coauthVersionLast="47" xr6:coauthVersionMax="47" xr10:uidLastSave="{00000000-0000-0000-0000-000000000000}"/>
  <bookViews>
    <workbookView xWindow="-108" yWindow="-108" windowWidth="23256" windowHeight="13176" tabRatio="641" xr2:uid="{00000000-000D-0000-FFFF-FFFF00000000}"/>
  </bookViews>
  <sheets>
    <sheet name="Financial statement" sheetId="1" r:id="rId1"/>
    <sheet name="COGS" sheetId="8" r:id="rId2"/>
    <sheet name="Monthly new users" sheetId="2" r:id="rId3"/>
    <sheet name="Sheet4" sheetId="5" r:id="rId4"/>
    <sheet name="Marketing expenses" sheetId="4" r:id="rId5"/>
    <sheet name="Sell materials" sheetId="6" r:id="rId6"/>
    <sheet name="Loa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6" l="1"/>
  <c r="D7" i="2"/>
  <c r="E7" i="2"/>
  <c r="F7" i="2"/>
  <c r="G7" i="2"/>
  <c r="H7" i="2"/>
  <c r="I7" i="2"/>
  <c r="J7" i="2"/>
  <c r="K7" i="2"/>
  <c r="L7" i="2"/>
  <c r="M7" i="2"/>
  <c r="N7" i="2"/>
  <c r="F3" i="1"/>
  <c r="E3" i="1"/>
  <c r="D3" i="1"/>
  <c r="C7" i="2"/>
  <c r="C1" i="8"/>
  <c r="C17" i="1" s="1"/>
  <c r="C6" i="8"/>
  <c r="C2" i="8"/>
  <c r="B5" i="7"/>
  <c r="C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F13" i="6"/>
  <c r="F10" i="6"/>
  <c r="F7" i="6"/>
  <c r="F4" i="6"/>
  <c r="D5" i="6"/>
  <c r="G4" i="4"/>
  <c r="G3" i="4"/>
  <c r="G2" i="4"/>
  <c r="G6" i="4" s="1"/>
  <c r="N14" i="2"/>
  <c r="M14" i="2"/>
  <c r="L14" i="2"/>
  <c r="K14" i="2"/>
  <c r="J14" i="2"/>
  <c r="I14" i="2"/>
  <c r="H14" i="2"/>
  <c r="G14" i="2"/>
  <c r="F14" i="2"/>
  <c r="E14" i="2"/>
  <c r="D14" i="2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C3" i="2"/>
  <c r="D2" i="2"/>
  <c r="D3" i="2" s="1"/>
  <c r="D48" i="1"/>
  <c r="F47" i="1"/>
  <c r="E47" i="1"/>
  <c r="D47" i="1"/>
  <c r="D33" i="1"/>
  <c r="E33" i="1" s="1"/>
  <c r="O31" i="1"/>
  <c r="C28" i="1"/>
  <c r="D27" i="1"/>
  <c r="O26" i="1"/>
  <c r="J25" i="1"/>
  <c r="K25" i="1" s="1"/>
  <c r="L25" i="1" s="1"/>
  <c r="M25" i="1" s="1"/>
  <c r="N25" i="1" s="1"/>
  <c r="I25" i="1"/>
  <c r="H25" i="1"/>
  <c r="G25" i="1"/>
  <c r="O24" i="1"/>
  <c r="D23" i="1"/>
  <c r="D22" i="1"/>
  <c r="E22" i="1" s="1"/>
  <c r="F22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0" i="1"/>
  <c r="D7" i="1"/>
  <c r="E7" i="1" s="1"/>
  <c r="F7" i="1" s="1"/>
  <c r="G7" i="1" s="1"/>
  <c r="J6" i="1"/>
  <c r="K6" i="1" s="1"/>
  <c r="L6" i="1" s="1"/>
  <c r="M6" i="1" s="1"/>
  <c r="N6" i="1" s="1"/>
  <c r="I6" i="1"/>
  <c r="H6" i="1"/>
  <c r="G6" i="1"/>
  <c r="F5" i="1"/>
  <c r="G5" i="1" s="1"/>
  <c r="H5" i="1" s="1"/>
  <c r="E5" i="1"/>
  <c r="D5" i="1"/>
  <c r="C5" i="1"/>
  <c r="C6" i="7" l="1"/>
  <c r="C7" i="7" s="1"/>
  <c r="D4" i="2"/>
  <c r="D6" i="2" s="1"/>
  <c r="C9" i="2"/>
  <c r="D9" i="2"/>
  <c r="E2" i="2"/>
  <c r="F2" i="2" s="1"/>
  <c r="O14" i="2"/>
  <c r="D10" i="2"/>
  <c r="D28" i="1"/>
  <c r="O25" i="1"/>
  <c r="O18" i="1"/>
  <c r="E48" i="1"/>
  <c r="H7" i="1"/>
  <c r="I7" i="1" s="1"/>
  <c r="J7" i="1" s="1"/>
  <c r="K7" i="1" s="1"/>
  <c r="O6" i="1"/>
  <c r="I5" i="1"/>
  <c r="D45" i="1"/>
  <c r="F33" i="1"/>
  <c r="G33" i="1" s="1"/>
  <c r="H33" i="1" s="1"/>
  <c r="I33" i="1" s="1"/>
  <c r="J33" i="1" s="1"/>
  <c r="K33" i="1" s="1"/>
  <c r="L33" i="1" s="1"/>
  <c r="M33" i="1" s="1"/>
  <c r="N33" i="1" s="1"/>
  <c r="B6" i="5"/>
  <c r="G22" i="1"/>
  <c r="E45" i="1" s="1"/>
  <c r="E23" i="1"/>
  <c r="D5" i="7"/>
  <c r="C2" i="7"/>
  <c r="D17" i="1"/>
  <c r="E17" i="1" s="1"/>
  <c r="F17" i="1" s="1"/>
  <c r="G17" i="1" s="1"/>
  <c r="F48" i="1"/>
  <c r="E27" i="1"/>
  <c r="F27" i="1" s="1"/>
  <c r="G27" i="1" s="1"/>
  <c r="C6" i="2"/>
  <c r="C10" i="2"/>
  <c r="E3" i="2" l="1"/>
  <c r="E9" i="2"/>
  <c r="E4" i="2"/>
  <c r="E6" i="2" s="1"/>
  <c r="C3" i="1"/>
  <c r="D11" i="2"/>
  <c r="D13" i="2" s="1"/>
  <c r="D15" i="2" s="1"/>
  <c r="O33" i="1"/>
  <c r="H17" i="1"/>
  <c r="E10" i="2"/>
  <c r="E11" i="2" s="1"/>
  <c r="E13" i="2" s="1"/>
  <c r="E15" i="2" s="1"/>
  <c r="C11" i="2"/>
  <c r="D49" i="1"/>
  <c r="D41" i="1"/>
  <c r="F23" i="1"/>
  <c r="D46" i="1" s="1"/>
  <c r="D50" i="1" s="1"/>
  <c r="L7" i="1"/>
  <c r="G2" i="2"/>
  <c r="F3" i="2"/>
  <c r="H27" i="1"/>
  <c r="I27" i="1" s="1"/>
  <c r="J27" i="1" s="1"/>
  <c r="K27" i="1" s="1"/>
  <c r="H22" i="1"/>
  <c r="J5" i="1"/>
  <c r="D6" i="7"/>
  <c r="D2" i="7"/>
  <c r="E5" i="7"/>
  <c r="D7" i="7"/>
  <c r="F4" i="2"/>
  <c r="F6" i="2" s="1"/>
  <c r="E28" i="1"/>
  <c r="C9" i="1" l="1"/>
  <c r="C12" i="1" s="1"/>
  <c r="C8" i="1" s="1"/>
  <c r="C15" i="1"/>
  <c r="C14" i="1" s="1"/>
  <c r="K5" i="1"/>
  <c r="C6" i="5"/>
  <c r="L27" i="1"/>
  <c r="M27" i="1" s="1"/>
  <c r="N27" i="1" s="1"/>
  <c r="O27" i="1" s="1"/>
  <c r="G23" i="1"/>
  <c r="F28" i="1"/>
  <c r="C13" i="2"/>
  <c r="E49" i="1"/>
  <c r="I17" i="1"/>
  <c r="J17" i="1" s="1"/>
  <c r="K17" i="1" s="1"/>
  <c r="L17" i="1" s="1"/>
  <c r="M17" i="1" s="1"/>
  <c r="N17" i="1" s="1"/>
  <c r="F5" i="7"/>
  <c r="I22" i="1"/>
  <c r="F45" i="1"/>
  <c r="F10" i="2"/>
  <c r="H2" i="2"/>
  <c r="G3" i="2"/>
  <c r="E2" i="7"/>
  <c r="E6" i="7"/>
  <c r="E7" i="7" s="1"/>
  <c r="C32" i="1"/>
  <c r="M7" i="1"/>
  <c r="G4" i="2"/>
  <c r="G6" i="2" s="1"/>
  <c r="C4" i="1" l="1"/>
  <c r="C19" i="1" s="1"/>
  <c r="D9" i="1"/>
  <c r="D15" i="1"/>
  <c r="D14" i="1" s="1"/>
  <c r="O17" i="1"/>
  <c r="F49" i="1"/>
  <c r="H23" i="1"/>
  <c r="G28" i="1"/>
  <c r="F9" i="2"/>
  <c r="C15" i="2"/>
  <c r="F2" i="7"/>
  <c r="F6" i="7"/>
  <c r="F41" i="1"/>
  <c r="F7" i="7"/>
  <c r="G5" i="7"/>
  <c r="I2" i="2"/>
  <c r="H3" i="2"/>
  <c r="H4" i="2"/>
  <c r="J22" i="1"/>
  <c r="E46" i="1"/>
  <c r="E50" i="1" s="1"/>
  <c r="L5" i="1"/>
  <c r="E41" i="1"/>
  <c r="N7" i="1"/>
  <c r="O7" i="1" s="1"/>
  <c r="G9" i="2"/>
  <c r="C29" i="1" l="1"/>
  <c r="C20" i="1"/>
  <c r="D12" i="1"/>
  <c r="D8" i="1" s="1"/>
  <c r="E9" i="1"/>
  <c r="E12" i="1" s="1"/>
  <c r="E8" i="1" s="1"/>
  <c r="E15" i="1"/>
  <c r="E14" i="1" s="1"/>
  <c r="I4" i="2"/>
  <c r="I6" i="2" s="1"/>
  <c r="H6" i="2"/>
  <c r="G10" i="2"/>
  <c r="K22" i="1"/>
  <c r="I23" i="1"/>
  <c r="H28" i="1"/>
  <c r="M5" i="1"/>
  <c r="F46" i="1"/>
  <c r="F50" i="1" s="1"/>
  <c r="H9" i="2"/>
  <c r="H10" i="2"/>
  <c r="I3" i="2"/>
  <c r="J2" i="2"/>
  <c r="F11" i="2"/>
  <c r="H5" i="7"/>
  <c r="G2" i="7"/>
  <c r="G6" i="7"/>
  <c r="G7" i="7" s="1"/>
  <c r="C30" i="1" l="1"/>
  <c r="C34" i="1"/>
  <c r="C35" i="1" s="1"/>
  <c r="B2" i="5"/>
  <c r="F9" i="1"/>
  <c r="F12" i="1" s="1"/>
  <c r="F8" i="1" s="1"/>
  <c r="B4" i="5" s="1"/>
  <c r="F15" i="1"/>
  <c r="F14" i="1" s="1"/>
  <c r="B5" i="5" s="1"/>
  <c r="G3" i="1"/>
  <c r="B3" i="5"/>
  <c r="E4" i="1"/>
  <c r="E19" i="1" s="1"/>
  <c r="D4" i="1"/>
  <c r="I10" i="2"/>
  <c r="H11" i="2"/>
  <c r="H13" i="2" s="1"/>
  <c r="H15" i="2" s="1"/>
  <c r="I5" i="7"/>
  <c r="N5" i="1"/>
  <c r="H2" i="7"/>
  <c r="H6" i="7"/>
  <c r="D32" i="1" s="1"/>
  <c r="J23" i="1"/>
  <c r="I28" i="1"/>
  <c r="J3" i="2"/>
  <c r="K2" i="2"/>
  <c r="J4" i="2"/>
  <c r="J6" i="2" s="1"/>
  <c r="F13" i="2"/>
  <c r="L22" i="1"/>
  <c r="G11" i="2"/>
  <c r="G13" i="2" s="1"/>
  <c r="G15" i="2" s="1"/>
  <c r="H7" i="7" l="1"/>
  <c r="E20" i="1"/>
  <c r="E29" i="1"/>
  <c r="E30" i="1" s="1"/>
  <c r="F4" i="1"/>
  <c r="F19" i="1" s="1"/>
  <c r="G9" i="1"/>
  <c r="G12" i="1" s="1"/>
  <c r="G8" i="1" s="1"/>
  <c r="G15" i="1"/>
  <c r="G14" i="1" s="1"/>
  <c r="H3" i="1"/>
  <c r="D19" i="1"/>
  <c r="D39" i="1"/>
  <c r="B7" i="5"/>
  <c r="K3" i="2"/>
  <c r="L2" i="2"/>
  <c r="K4" i="2"/>
  <c r="K6" i="2" s="1"/>
  <c r="J5" i="7"/>
  <c r="I9" i="2"/>
  <c r="I11" i="2" s="1"/>
  <c r="I13" i="2" s="1"/>
  <c r="I15" i="2" s="1"/>
  <c r="F15" i="2"/>
  <c r="J9" i="2"/>
  <c r="K23" i="1"/>
  <c r="J28" i="1"/>
  <c r="D6" i="5"/>
  <c r="O5" i="1"/>
  <c r="M22" i="1"/>
  <c r="I6" i="7"/>
  <c r="I2" i="7"/>
  <c r="D29" i="1" l="1"/>
  <c r="D20" i="1"/>
  <c r="D42" i="1"/>
  <c r="G4" i="1"/>
  <c r="G19" i="1" s="1"/>
  <c r="H9" i="1"/>
  <c r="H12" i="1" s="1"/>
  <c r="H8" i="1" s="1"/>
  <c r="H15" i="1"/>
  <c r="H14" i="1" s="1"/>
  <c r="I3" i="1"/>
  <c r="F29" i="1"/>
  <c r="F30" i="1" s="1"/>
  <c r="F20" i="1"/>
  <c r="J6" i="7"/>
  <c r="J7" i="7" s="1"/>
  <c r="J2" i="7"/>
  <c r="L3" i="2"/>
  <c r="M2" i="2"/>
  <c r="L4" i="2"/>
  <c r="L6" i="2" s="1"/>
  <c r="K5" i="7"/>
  <c r="I7" i="7"/>
  <c r="N22" i="1"/>
  <c r="J10" i="2"/>
  <c r="J11" i="2" s="1"/>
  <c r="J13" i="2" s="1"/>
  <c r="L23" i="1"/>
  <c r="K28" i="1"/>
  <c r="K9" i="2"/>
  <c r="I15" i="1" l="1"/>
  <c r="I14" i="1" s="1"/>
  <c r="J3" i="1"/>
  <c r="I9" i="1"/>
  <c r="I12" i="1" s="1"/>
  <c r="I8" i="1" s="1"/>
  <c r="I4" i="1" s="1"/>
  <c r="I19" i="1" s="1"/>
  <c r="G20" i="1"/>
  <c r="E43" i="1" s="1"/>
  <c r="G29" i="1"/>
  <c r="H4" i="1"/>
  <c r="H19" i="1" s="1"/>
  <c r="E42" i="1"/>
  <c r="M4" i="2"/>
  <c r="M6" i="2" s="1"/>
  <c r="D43" i="1"/>
  <c r="D30" i="1"/>
  <c r="D52" i="1" s="1"/>
  <c r="D34" i="1"/>
  <c r="D35" i="1" s="1"/>
  <c r="D51" i="1"/>
  <c r="L5" i="7"/>
  <c r="K2" i="7"/>
  <c r="K6" i="7"/>
  <c r="K7" i="7" s="1"/>
  <c r="E32" i="1"/>
  <c r="M23" i="1"/>
  <c r="L28" i="1"/>
  <c r="N2" i="2"/>
  <c r="N9" i="2" s="1"/>
  <c r="M3" i="2"/>
  <c r="J15" i="2"/>
  <c r="I29" i="1"/>
  <c r="I20" i="1"/>
  <c r="O22" i="1"/>
  <c r="K10" i="2"/>
  <c r="K11" i="2" s="1"/>
  <c r="K13" i="2" s="1"/>
  <c r="L9" i="2"/>
  <c r="H20" i="1" l="1"/>
  <c r="F43" i="1" s="1"/>
  <c r="H29" i="1"/>
  <c r="H30" i="1" s="1"/>
  <c r="F42" i="1"/>
  <c r="G30" i="1"/>
  <c r="E52" i="1" s="1"/>
  <c r="E51" i="1"/>
  <c r="F51" i="1"/>
  <c r="J15" i="1"/>
  <c r="J14" i="1" s="1"/>
  <c r="C5" i="5" s="1"/>
  <c r="K3" i="1"/>
  <c r="J9" i="1"/>
  <c r="C2" i="5"/>
  <c r="K15" i="2"/>
  <c r="E34" i="1"/>
  <c r="N23" i="1"/>
  <c r="M28" i="1"/>
  <c r="I30" i="1"/>
  <c r="L10" i="2"/>
  <c r="L11" i="2" s="1"/>
  <c r="L13" i="2" s="1"/>
  <c r="L15" i="2" s="1"/>
  <c r="L6" i="7"/>
  <c r="L2" i="7"/>
  <c r="N3" i="2"/>
  <c r="O2" i="2"/>
  <c r="N4" i="2"/>
  <c r="M5" i="7"/>
  <c r="L7" i="7"/>
  <c r="K9" i="1" l="1"/>
  <c r="K12" i="1" s="1"/>
  <c r="K8" i="1" s="1"/>
  <c r="K15" i="1"/>
  <c r="K14" i="1" s="1"/>
  <c r="L3" i="1"/>
  <c r="F52" i="1"/>
  <c r="J12" i="1"/>
  <c r="C3" i="5" s="1"/>
  <c r="N6" i="2"/>
  <c r="O4" i="2"/>
  <c r="E35" i="1"/>
  <c r="N10" i="2"/>
  <c r="O3" i="2"/>
  <c r="O23" i="1"/>
  <c r="N28" i="1"/>
  <c r="O28" i="1" s="1"/>
  <c r="M9" i="2"/>
  <c r="O7" i="2"/>
  <c r="M10" i="2"/>
  <c r="M2" i="7"/>
  <c r="M6" i="7"/>
  <c r="N5" i="7"/>
  <c r="M7" i="7"/>
  <c r="K4" i="1" l="1"/>
  <c r="K19" i="1" s="1"/>
  <c r="J8" i="1"/>
  <c r="L15" i="1"/>
  <c r="M3" i="1"/>
  <c r="L9" i="1"/>
  <c r="N11" i="2"/>
  <c r="O6" i="2"/>
  <c r="O9" i="2"/>
  <c r="M11" i="2"/>
  <c r="M13" i="2" s="1"/>
  <c r="M15" i="2" s="1"/>
  <c r="N2" i="7"/>
  <c r="N6" i="7"/>
  <c r="F32" i="1" s="1"/>
  <c r="O10" i="2"/>
  <c r="O5" i="7"/>
  <c r="N7" i="7" l="1"/>
  <c r="K29" i="1"/>
  <c r="K30" i="1" s="1"/>
  <c r="K20" i="1"/>
  <c r="M15" i="1"/>
  <c r="M14" i="1" s="1"/>
  <c r="N3" i="1"/>
  <c r="O3" i="1" s="1"/>
  <c r="M9" i="1"/>
  <c r="D2" i="5"/>
  <c r="L12" i="1"/>
  <c r="L8" i="1" s="1"/>
  <c r="L14" i="1"/>
  <c r="J4" i="1"/>
  <c r="C4" i="5"/>
  <c r="C7" i="5" s="1"/>
  <c r="F34" i="1"/>
  <c r="D53" i="1"/>
  <c r="D61" i="1" s="1"/>
  <c r="P5" i="7"/>
  <c r="N13" i="2"/>
  <c r="O11" i="2"/>
  <c r="O2" i="7"/>
  <c r="O6" i="7"/>
  <c r="L4" i="1" l="1"/>
  <c r="L19" i="1" s="1"/>
  <c r="L29" i="1" s="1"/>
  <c r="L30" i="1" s="1"/>
  <c r="M12" i="1"/>
  <c r="M8" i="1" s="1"/>
  <c r="J19" i="1"/>
  <c r="E39" i="1"/>
  <c r="E40" i="1" s="1"/>
  <c r="N9" i="1"/>
  <c r="N15" i="1"/>
  <c r="O13" i="2"/>
  <c r="N15" i="2"/>
  <c r="O15" i="2" s="1"/>
  <c r="O7" i="7"/>
  <c r="D62" i="1"/>
  <c r="D63" i="1" s="1"/>
  <c r="P2" i="7"/>
  <c r="P6" i="7"/>
  <c r="P7" i="7" s="1"/>
  <c r="Q5" i="7"/>
  <c r="F35" i="1"/>
  <c r="D54" i="1"/>
  <c r="L20" i="1" l="1"/>
  <c r="J29" i="1"/>
  <c r="J30" i="1" s="1"/>
  <c r="J20" i="1"/>
  <c r="M4" i="1"/>
  <c r="N14" i="1"/>
  <c r="O15" i="1"/>
  <c r="N12" i="1"/>
  <c r="N8" i="1" s="1"/>
  <c r="O9" i="1"/>
  <c r="D64" i="1"/>
  <c r="D56" i="1" s="1"/>
  <c r="D55" i="1"/>
  <c r="R5" i="7"/>
  <c r="Q6" i="7"/>
  <c r="G32" i="1" s="1"/>
  <c r="Q2" i="7"/>
  <c r="Q7" i="7" l="1"/>
  <c r="N4" i="1"/>
  <c r="N19" i="1" s="1"/>
  <c r="O8" i="1"/>
  <c r="D4" i="5"/>
  <c r="M19" i="1"/>
  <c r="O12" i="1"/>
  <c r="D3" i="5"/>
  <c r="D5" i="5"/>
  <c r="O14" i="1"/>
  <c r="G34" i="1"/>
  <c r="E53" i="1"/>
  <c r="E61" i="1" s="1"/>
  <c r="R6" i="7"/>
  <c r="R2" i="7"/>
  <c r="S5" i="7"/>
  <c r="F39" i="1" l="1"/>
  <c r="F40" i="1" s="1"/>
  <c r="O4" i="1"/>
  <c r="D7" i="5"/>
  <c r="M29" i="1"/>
  <c r="M20" i="1"/>
  <c r="O19" i="1"/>
  <c r="N20" i="1"/>
  <c r="N29" i="1"/>
  <c r="N30" i="1" s="1"/>
  <c r="E62" i="1"/>
  <c r="E63" i="1" s="1"/>
  <c r="R7" i="7"/>
  <c r="T5" i="7"/>
  <c r="S2" i="7"/>
  <c r="S6" i="7"/>
  <c r="S7" i="7" s="1"/>
  <c r="G35" i="1"/>
  <c r="E54" i="1"/>
  <c r="O20" i="1" l="1"/>
  <c r="M30" i="1"/>
  <c r="O30" i="1" s="1"/>
  <c r="O29" i="1"/>
  <c r="E64" i="1"/>
  <c r="E56" i="1" s="1"/>
  <c r="T6" i="7"/>
  <c r="H32" i="1" s="1"/>
  <c r="T2" i="7"/>
  <c r="U5" i="7"/>
  <c r="T7" i="7"/>
  <c r="E55" i="1"/>
  <c r="U2" i="7" l="1"/>
  <c r="U6" i="7"/>
  <c r="U7" i="7" s="1"/>
  <c r="V5" i="7"/>
  <c r="H34" i="1"/>
  <c r="F53" i="1"/>
  <c r="F61" i="1" s="1"/>
  <c r="F62" i="1" l="1"/>
  <c r="F63" i="1" s="1"/>
  <c r="H35" i="1"/>
  <c r="F55" i="1" s="1"/>
  <c r="F54" i="1"/>
  <c r="V7" i="7"/>
  <c r="W5" i="7"/>
  <c r="V2" i="7"/>
  <c r="V6" i="7"/>
  <c r="F64" i="1" l="1"/>
  <c r="F56" i="1" s="1"/>
  <c r="W2" i="7"/>
  <c r="W6" i="7"/>
  <c r="I32" i="1" s="1"/>
  <c r="I34" i="1" s="1"/>
  <c r="I35" i="1" s="1"/>
  <c r="X5" i="7"/>
  <c r="W7" i="7" l="1"/>
  <c r="Y5" i="7"/>
  <c r="X2" i="7"/>
  <c r="X6" i="7"/>
  <c r="Z5" i="7" l="1"/>
  <c r="Y6" i="7"/>
  <c r="Y7" i="7" s="1"/>
  <c r="Y2" i="7"/>
  <c r="X7" i="7"/>
  <c r="AA5" i="7" l="1"/>
  <c r="Z6" i="7"/>
  <c r="Z7" i="7" s="1"/>
  <c r="Z2" i="7"/>
  <c r="J32" i="1"/>
  <c r="J34" i="1" s="1"/>
  <c r="J35" i="1" s="1"/>
  <c r="AA2" i="7" l="1"/>
  <c r="AA6" i="7"/>
  <c r="AA7" i="7" s="1"/>
  <c r="AB5" i="7"/>
  <c r="AC5" i="7" l="1"/>
  <c r="AB6" i="7"/>
  <c r="AB7" i="7" s="1"/>
  <c r="AB2" i="7"/>
  <c r="AC2" i="7" l="1"/>
  <c r="AC6" i="7"/>
  <c r="K32" i="1" s="1"/>
  <c r="K34" i="1" s="1"/>
  <c r="K35" i="1" s="1"/>
  <c r="AD5" i="7"/>
  <c r="AC7" i="7"/>
  <c r="AE5" i="7" l="1"/>
  <c r="AD2" i="7"/>
  <c r="AD6" i="7"/>
  <c r="AE2" i="7" l="1"/>
  <c r="AE6" i="7"/>
  <c r="AE7" i="7" s="1"/>
  <c r="AF5" i="7"/>
  <c r="AD7" i="7"/>
  <c r="AF2" i="7" l="1"/>
  <c r="AF6" i="7"/>
  <c r="L32" i="1" s="1"/>
  <c r="L34" i="1" s="1"/>
  <c r="L35" i="1" s="1"/>
  <c r="AG5" i="7"/>
  <c r="AF7" i="7"/>
  <c r="AH5" i="7" l="1"/>
  <c r="AG6" i="7"/>
  <c r="AG2" i="7"/>
  <c r="AI5" i="7" l="1"/>
  <c r="AH6" i="7"/>
  <c r="AH7" i="7" s="1"/>
  <c r="AH2" i="7"/>
  <c r="AG7" i="7"/>
  <c r="AI2" i="7" l="1"/>
  <c r="AI6" i="7"/>
  <c r="M32" i="1" s="1"/>
  <c r="M34" i="1" s="1"/>
  <c r="M35" i="1" s="1"/>
  <c r="AJ5" i="7"/>
  <c r="AI7" i="7"/>
  <c r="AK5" i="7" l="1"/>
  <c r="AJ6" i="7"/>
  <c r="AJ7" i="7" s="1"/>
  <c r="AJ2" i="7"/>
  <c r="AK2" i="7" l="1"/>
  <c r="AK6" i="7"/>
  <c r="AL5" i="7"/>
  <c r="AK7" i="7"/>
  <c r="AM5" i="7" l="1"/>
  <c r="AL2" i="7"/>
  <c r="AL6" i="7"/>
  <c r="N32" i="1" s="1"/>
  <c r="N34" i="1" l="1"/>
  <c r="O32" i="1"/>
  <c r="AM2" i="7"/>
  <c r="AM6" i="7"/>
  <c r="AM7" i="7" s="1"/>
  <c r="AN5" i="7"/>
  <c r="AL7" i="7"/>
  <c r="AO5" i="7" l="1"/>
  <c r="AN2" i="7"/>
  <c r="AN6" i="7"/>
  <c r="AN7" i="7" s="1"/>
  <c r="N35" i="1"/>
  <c r="O35" i="1" s="1"/>
  <c r="O34" i="1"/>
  <c r="AO6" i="7" l="1"/>
  <c r="AO2" i="7"/>
  <c r="AO7" i="7"/>
  <c r="AP5" i="7"/>
  <c r="AP6" i="7" l="1"/>
  <c r="AP2" i="7"/>
  <c r="AQ5" i="7"/>
  <c r="AP7" i="7"/>
  <c r="AQ2" i="7" l="1"/>
  <c r="AQ6" i="7"/>
  <c r="AR5" i="7"/>
  <c r="AQ7" i="7"/>
  <c r="AS5" i="7" l="1"/>
  <c r="AR6" i="7"/>
  <c r="AR7" i="7" s="1"/>
  <c r="AR2" i="7"/>
  <c r="AS2" i="7" l="1"/>
  <c r="AS6" i="7"/>
  <c r="AT5" i="7"/>
  <c r="AS7" i="7"/>
  <c r="AU5" i="7" l="1"/>
  <c r="AT2" i="7"/>
  <c r="AT6" i="7"/>
  <c r="AT7" i="7" s="1"/>
  <c r="AU2" i="7" l="1"/>
  <c r="AU6" i="7"/>
  <c r="AV5" i="7"/>
  <c r="AU7" i="7"/>
  <c r="AV2" i="7" l="1"/>
  <c r="AV6" i="7"/>
  <c r="AW5" i="7"/>
  <c r="AV7" i="7"/>
  <c r="AX5" i="7" l="1"/>
  <c r="AW6" i="7"/>
  <c r="AW7" i="7" s="1"/>
  <c r="AW2" i="7"/>
  <c r="AX6" i="7" l="1"/>
  <c r="AX2" i="7"/>
  <c r="AY5" i="7"/>
  <c r="AX7" i="7"/>
  <c r="AZ5" i="7" l="1"/>
  <c r="AY2" i="7"/>
  <c r="AY6" i="7"/>
  <c r="AY7" i="7" s="1"/>
  <c r="AZ6" i="7" l="1"/>
  <c r="AZ7" i="7" s="1"/>
  <c r="AZ2" i="7"/>
  <c r="BA5" i="7"/>
  <c r="BB5" i="7" l="1"/>
  <c r="BA2" i="7"/>
  <c r="BA6" i="7"/>
  <c r="BA7" i="7" s="1"/>
  <c r="BC5" i="7" l="1"/>
  <c r="BB2" i="7"/>
  <c r="BB6" i="7"/>
  <c r="BB7" i="7" s="1"/>
  <c r="BD5" i="7" l="1"/>
  <c r="BC2" i="7"/>
  <c r="BC6" i="7"/>
  <c r="BC7" i="7" s="1"/>
  <c r="BD2" i="7" l="1"/>
  <c r="BD6" i="7"/>
  <c r="BE5" i="7"/>
  <c r="BD7" i="7"/>
  <c r="BF5" i="7" l="1"/>
  <c r="BE6" i="7"/>
  <c r="BE7" i="7" s="1"/>
  <c r="BE2" i="7"/>
  <c r="BG5" i="7" l="1"/>
  <c r="BF6" i="7"/>
  <c r="BF7" i="7" s="1"/>
  <c r="BF2" i="7"/>
  <c r="BG2" i="7" l="1"/>
  <c r="BG6" i="7"/>
  <c r="BH5" i="7"/>
  <c r="BG7" i="7"/>
  <c r="BI5" i="7" l="1"/>
  <c r="BH6" i="7"/>
  <c r="BH7" i="7" s="1"/>
  <c r="BH2" i="7"/>
  <c r="BI2" i="7" l="1"/>
  <c r="BI6" i="7"/>
  <c r="BJ5" i="7"/>
  <c r="BI7" i="7"/>
  <c r="BJ2" i="7" l="1"/>
  <c r="BJ6" i="7"/>
  <c r="BJ7" i="7" s="1"/>
</calcChain>
</file>

<file path=xl/sharedStrings.xml><?xml version="1.0" encoding="utf-8"?>
<sst xmlns="http://schemas.openxmlformats.org/spreadsheetml/2006/main" count="199" uniqueCount="133">
  <si>
    <t>Item</t>
  </si>
  <si>
    <t>Unit</t>
  </si>
  <si>
    <r>
      <rPr>
        <b/>
        <sz val="11"/>
        <color theme="1"/>
        <rFont val="Calibri"/>
        <charset val="134"/>
      </rPr>
      <t>Revenue</t>
    </r>
  </si>
  <si>
    <t>1. Sell materials</t>
  </si>
  <si>
    <t>Number of products sold</t>
  </si>
  <si>
    <t>Subscription fee per month</t>
  </si>
  <si>
    <t>Manager user</t>
  </si>
  <si>
    <t>unit</t>
  </si>
  <si>
    <t xml:space="preserve">Subscription fee per year </t>
  </si>
  <si>
    <t>VNĐ</t>
  </si>
  <si>
    <t>3.Combined with psychologists</t>
  </si>
  <si>
    <t>manager user</t>
  </si>
  <si>
    <t>Fee combined with psychologists</t>
  </si>
  <si>
    <r>
      <rPr>
        <b/>
        <sz val="11"/>
        <color theme="1"/>
        <rFont val="Calibri"/>
        <charset val="134"/>
      </rPr>
      <t>COGS</t>
    </r>
  </si>
  <si>
    <t>Depreciation</t>
  </si>
  <si>
    <t>Web upgrade, IT support,etc</t>
  </si>
  <si>
    <t xml:space="preserve">Hosting and Domain </t>
  </si>
  <si>
    <r>
      <rPr>
        <sz val="11"/>
        <color theme="1"/>
        <rFont val="Calibri"/>
        <charset val="134"/>
      </rPr>
      <t>Salaries</t>
    </r>
  </si>
  <si>
    <t>CH play, App store</t>
  </si>
  <si>
    <t>Other expenses</t>
  </si>
  <si>
    <t>Total Expenses</t>
  </si>
  <si>
    <t>EBIT margin</t>
  </si>
  <si>
    <t xml:space="preserve">Interest rate </t>
  </si>
  <si>
    <t>%</t>
  </si>
  <si>
    <t>Net profit margin</t>
  </si>
  <si>
    <r>
      <rPr>
        <b/>
        <sz val="11"/>
        <color theme="1"/>
        <rFont val="Calibri"/>
        <charset val="134"/>
      </rPr>
      <t>Gross Profit</t>
    </r>
  </si>
  <si>
    <r>
      <rPr>
        <b/>
        <sz val="11"/>
        <color theme="1"/>
        <rFont val="Calibri"/>
        <charset val="134"/>
      </rPr>
      <t>Gross profit margin (%)</t>
    </r>
  </si>
  <si>
    <r>
      <rPr>
        <b/>
        <sz val="11"/>
        <color theme="1"/>
        <rFont val="Calibri"/>
        <charset val="134"/>
      </rPr>
      <t>Less Expenses, in which</t>
    </r>
  </si>
  <si>
    <t>Net income</t>
  </si>
  <si>
    <t>Tax</t>
  </si>
  <si>
    <r>
      <rPr>
        <sz val="11"/>
        <color theme="1"/>
        <rFont val="Calibri"/>
        <charset val="134"/>
      </rPr>
      <t>Sales &amp; marketing</t>
    </r>
  </si>
  <si>
    <t xml:space="preserve">After-Tax cash flow </t>
  </si>
  <si>
    <t>NPV (10%)</t>
  </si>
  <si>
    <r>
      <rPr>
        <b/>
        <sz val="11"/>
        <color theme="1"/>
        <rFont val="Calibri"/>
        <charset val="134"/>
      </rPr>
      <t>Total expenses</t>
    </r>
  </si>
  <si>
    <r>
      <rPr>
        <b/>
        <sz val="11"/>
        <color theme="1"/>
        <rFont val="Calibri"/>
        <charset val="134"/>
      </rPr>
      <t>Earning before interest and tax (EBIT)</t>
    </r>
  </si>
  <si>
    <r>
      <rPr>
        <b/>
        <sz val="11"/>
        <color theme="1"/>
        <rFont val="Calibri"/>
        <charset val="134"/>
      </rPr>
      <t>EBIT margin (%)</t>
    </r>
  </si>
  <si>
    <r>
      <rPr>
        <b/>
        <sz val="11"/>
        <color theme="1"/>
        <rFont val="Calibri"/>
        <charset val="134"/>
      </rPr>
      <t>Interest expenses</t>
    </r>
  </si>
  <si>
    <t>Net Income=Revenue−Operating Expenses−Depreciation−Interest Expenses</t>
  </si>
  <si>
    <r>
      <rPr>
        <b/>
        <sz val="11"/>
        <color theme="1"/>
        <rFont val="Calibri"/>
        <charset val="134"/>
      </rPr>
      <t>Net profit</t>
    </r>
  </si>
  <si>
    <t>Tax=Net Income×Tax Rate</t>
  </si>
  <si>
    <r>
      <rPr>
        <b/>
        <sz val="11"/>
        <color theme="1"/>
        <rFont val="Calibri"/>
        <charset val="134"/>
      </rPr>
      <t>Net profit margin (%)</t>
    </r>
  </si>
  <si>
    <t>After-Tax Cash Flow=Net Income−Tax+Depreciation</t>
  </si>
  <si>
    <r>
      <rPr>
        <b/>
        <sz val="11"/>
        <color theme="1"/>
        <rFont val="Calibri"/>
        <charset val="134"/>
      </rPr>
      <t>NPV</t>
    </r>
    <r>
      <rPr>
        <b/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(10%)</t>
    </r>
  </si>
  <si>
    <t>Salaries</t>
  </si>
  <si>
    <t>Marketing</t>
  </si>
  <si>
    <t>Total</t>
  </si>
  <si>
    <t>Monthly new users</t>
  </si>
  <si>
    <t>Net accumulative users</t>
  </si>
  <si>
    <t>Monthly fees/users</t>
  </si>
  <si>
    <t>Monthly subscription revenue</t>
  </si>
  <si>
    <t>Yearly fees/ users</t>
  </si>
  <si>
    <t>Yearly subcription revenue</t>
  </si>
  <si>
    <t>Number of transactions per month</t>
  </si>
  <si>
    <t>Average transaction value</t>
  </si>
  <si>
    <t>Commission rate</t>
  </si>
  <si>
    <t>Monthly commission revenue</t>
  </si>
  <si>
    <t>Other revenues (if any)</t>
  </si>
  <si>
    <t>Total revenue</t>
  </si>
  <si>
    <t>Total commission revenue</t>
  </si>
  <si>
    <r>
      <rPr>
        <b/>
        <sz val="11"/>
        <color theme="1"/>
        <rFont val="Arial"/>
        <charset val="134"/>
      </rPr>
      <t>Title</t>
    </r>
  </si>
  <si>
    <r>
      <rPr>
        <b/>
        <sz val="11"/>
        <color theme="1"/>
        <rFont val="Arial"/>
        <charset val="134"/>
      </rPr>
      <t>Amount</t>
    </r>
  </si>
  <si>
    <r>
      <rPr>
        <b/>
        <sz val="11"/>
        <color theme="1"/>
        <rFont val="Arial"/>
        <charset val="134"/>
      </rPr>
      <t>Unit</t>
    </r>
  </si>
  <si>
    <r>
      <rPr>
        <b/>
        <sz val="11"/>
        <color theme="1"/>
        <rFont val="Arial"/>
        <charset val="134"/>
      </rPr>
      <t>Tổng (VND)</t>
    </r>
  </si>
  <si>
    <r>
      <rPr>
        <b/>
        <sz val="10"/>
        <color theme="1"/>
        <rFont val="Arial"/>
        <charset val="134"/>
      </rPr>
      <t>Online Marketing</t>
    </r>
  </si>
  <si>
    <r>
      <rPr>
        <sz val="10"/>
        <color theme="1"/>
        <rFont val="Arial"/>
        <charset val="134"/>
      </rPr>
      <t>Lượt hiển thị</t>
    </r>
  </si>
  <si>
    <r>
      <rPr>
        <b/>
        <sz val="10"/>
        <color theme="1"/>
        <rFont val="Arial"/>
        <charset val="134"/>
      </rPr>
      <t>Email marketing</t>
    </r>
  </si>
  <si>
    <r>
      <rPr>
        <sz val="10"/>
        <color theme="1"/>
        <rFont val="Arial"/>
        <charset val="134"/>
      </rPr>
      <t>Email</t>
    </r>
  </si>
  <si>
    <r>
      <rPr>
        <b/>
        <sz val="12"/>
        <color theme="1"/>
        <rFont val="Arial"/>
        <charset val="134"/>
      </rPr>
      <t>TOTAL</t>
    </r>
  </si>
  <si>
    <r>
      <rPr>
        <b/>
        <sz val="10"/>
        <color theme="1"/>
        <rFont val="Arial"/>
        <charset val="134"/>
      </rPr>
      <t>Turnover</t>
    </r>
  </si>
  <si>
    <r>
      <rPr>
        <sz val="10"/>
        <color theme="1"/>
        <rFont val="Arial"/>
        <charset val="134"/>
      </rPr>
      <t>THÁNG 1</t>
    </r>
  </si>
  <si>
    <r>
      <rPr>
        <sz val="10"/>
        <color theme="1"/>
        <rFont val="Arial"/>
        <charset val="134"/>
      </rPr>
      <t>THÁNG 2</t>
    </r>
  </si>
  <si>
    <r>
      <rPr>
        <sz val="10"/>
        <color theme="1"/>
        <rFont val="Arial"/>
        <charset val="134"/>
      </rPr>
      <t>THÁNG 3</t>
    </r>
  </si>
  <si>
    <r>
      <rPr>
        <sz val="10"/>
        <color theme="1"/>
        <rFont val="Arial"/>
        <charset val="134"/>
      </rPr>
      <t>THÁNG 4</t>
    </r>
  </si>
  <si>
    <r>
      <rPr>
        <sz val="10"/>
        <color theme="1"/>
        <rFont val="Arial"/>
        <charset val="134"/>
      </rPr>
      <t>THÁNG 5</t>
    </r>
  </si>
  <si>
    <r>
      <rPr>
        <sz val="10"/>
        <color theme="1"/>
        <rFont val="Arial"/>
        <charset val="134"/>
      </rPr>
      <t>THÁNG 6</t>
    </r>
  </si>
  <si>
    <r>
      <rPr>
        <sz val="10"/>
        <color theme="1"/>
        <rFont val="Arial"/>
        <charset val="134"/>
      </rPr>
      <t>THÁNG 7</t>
    </r>
  </si>
  <si>
    <r>
      <rPr>
        <sz val="10"/>
        <color theme="1"/>
        <rFont val="Arial"/>
        <charset val="134"/>
      </rPr>
      <t>THÁNG 8</t>
    </r>
  </si>
  <si>
    <r>
      <rPr>
        <sz val="10"/>
        <color theme="1"/>
        <rFont val="Arial"/>
        <charset val="134"/>
      </rPr>
      <t>THÁNG 9</t>
    </r>
  </si>
  <si>
    <r>
      <rPr>
        <sz val="10"/>
        <color theme="1"/>
        <rFont val="Arial"/>
        <charset val="134"/>
      </rPr>
      <t>THÁNG 10</t>
    </r>
  </si>
  <si>
    <r>
      <rPr>
        <sz val="10"/>
        <color theme="1"/>
        <rFont val="Arial"/>
        <charset val="134"/>
      </rPr>
      <t>THÁNG 11</t>
    </r>
  </si>
  <si>
    <r>
      <rPr>
        <sz val="10"/>
        <color theme="1"/>
        <rFont val="Arial"/>
        <charset val="134"/>
      </rPr>
      <t>THÁNG 12</t>
    </r>
  </si>
  <si>
    <r>
      <rPr>
        <b/>
        <sz val="10"/>
        <color theme="1"/>
        <rFont val="Arial"/>
        <charset val="134"/>
      </rPr>
      <t>TOTAL</t>
    </r>
  </si>
  <si>
    <t xml:space="preserve">Tiền gốc trả hàng tháng </t>
  </si>
  <si>
    <t>Tiền lãi</t>
  </si>
  <si>
    <t>Users</t>
  </si>
  <si>
    <t>Revenue</t>
  </si>
  <si>
    <t>2. Subscription</t>
  </si>
  <si>
    <t>Freemium conversion rate</t>
  </si>
  <si>
    <t>COGS</t>
  </si>
  <si>
    <t>Gross profit</t>
  </si>
  <si>
    <t>Gross margin</t>
  </si>
  <si>
    <t>Operating expenses</t>
  </si>
  <si>
    <t>EBIT</t>
  </si>
  <si>
    <t>Tax rate</t>
  </si>
  <si>
    <t>Interest expenses</t>
  </si>
  <si>
    <t>Net profit before tax</t>
  </si>
  <si>
    <t>Q1</t>
  </si>
  <si>
    <t>Q2</t>
  </si>
  <si>
    <t>Q3</t>
  </si>
  <si>
    <t>Q4</t>
  </si>
  <si>
    <r>
      <rPr>
        <b/>
        <sz val="11"/>
        <color rgb="FFFFFFFF"/>
        <rFont val="Calibri"/>
        <family val="2"/>
      </rPr>
      <t>Total</t>
    </r>
  </si>
  <si>
    <t>Year</t>
  </si>
  <si>
    <t>Growth rate(%)</t>
  </si>
  <si>
    <t>Rates</t>
  </si>
  <si>
    <t>mua gói freemium</t>
  </si>
  <si>
    <t>chi phí phần mềm hosting and domain</t>
  </si>
  <si>
    <t>Chi phí hỗ trợ và quản lý</t>
  </si>
  <si>
    <t>Sell materials</t>
  </si>
  <si>
    <t>Số lượng sản phẩm</t>
  </si>
  <si>
    <t>Giá mua hàng</t>
  </si>
  <si>
    <t>Chi phí vận chuyển</t>
  </si>
  <si>
    <t>Cost of good sold (COGS)</t>
  </si>
  <si>
    <t>Chi phí sản xuất 
(bao gồm chi phí thiết kế website, nội dung,...)</t>
  </si>
  <si>
    <t>Chi phí xử lý đơn hàng</t>
  </si>
  <si>
    <t>Chi phí đóng gói</t>
  </si>
  <si>
    <t>VND</t>
  </si>
  <si>
    <t>Subscribers to a one-year package</t>
  </si>
  <si>
    <t>Number of monthly subscribers</t>
  </si>
  <si>
    <r>
      <rPr>
        <b/>
        <sz val="12"/>
        <color theme="1"/>
        <rFont val="Calibri"/>
        <family val="2"/>
      </rPr>
      <t xml:space="preserve">Total users  </t>
    </r>
  </si>
  <si>
    <r>
      <rPr>
        <b/>
        <sz val="12"/>
        <color theme="1"/>
        <rFont val="Calibri"/>
        <family val="2"/>
      </rPr>
      <t>Total subscription revenue</t>
    </r>
  </si>
  <si>
    <r>
      <rPr>
        <b/>
        <sz val="12"/>
        <color theme="1"/>
        <rFont val="Calibri"/>
        <family val="2"/>
      </rPr>
      <t>Other revenues (if any)</t>
    </r>
  </si>
  <si>
    <r>
      <rPr>
        <b/>
        <sz val="12"/>
        <color theme="1"/>
        <rFont val="Calibri"/>
        <family val="2"/>
      </rPr>
      <t>Total revenue</t>
    </r>
  </si>
  <si>
    <t>Number of transactions/orders</t>
  </si>
  <si>
    <t>Giá (VND/unit)</t>
  </si>
  <si>
    <t>Facebook Marketing to Website (dựa trên số lần hiển thị)</t>
  </si>
  <si>
    <t>Zalo Marketing to Website (dựa trên số lần hiện thị)</t>
  </si>
  <si>
    <t>BẢNG DOANH THU SELL RAW MATERIALS</t>
  </si>
  <si>
    <t>THỜI GIAN</t>
  </si>
  <si>
    <t>SỐ MĂT HÀNG BÁN RA</t>
  </si>
  <si>
    <t>Begining balance</t>
  </si>
  <si>
    <t>Lãi suất ( năm)</t>
  </si>
  <si>
    <t xml:space="preserve">Lãi suất tháng </t>
  </si>
  <si>
    <t>Tổng tiền phải trả hàng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</si>
</sst>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 * #,##0.00_ ;_ * \-#,##0.00_ ;_ * &quot;-&quot;??_ ;_ @_ "/>
    <numFmt numFmtId="166" formatCode="[$-409]mmm\-yy;@"/>
    <numFmt numFmtId="167" formatCode="_ * #,##0_ ;_ * \-#,##0_ ;_ * &quot;-&quot;??_ ;_ @_ "/>
    <numFmt numFmtId="168" formatCode="0.000%"/>
    <numFmt numFmtId="169" formatCode="0_ "/>
    <numFmt numFmtId="170" formatCode="_ * #,##0.0_ ;_ * \-#,##0.0_ ;_ * &quot;-&quot;??_ ;_ @_ "/>
  </numFmts>
  <fonts count="3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1"/>
      <name val="Arial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 style="medium">
        <color auto="1"/>
      </right>
      <top style="thick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 style="thick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/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/>
      <top/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16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8">
    <xf numFmtId="0" fontId="0" fillId="0" borderId="0" xfId="0"/>
    <xf numFmtId="167" fontId="0" fillId="0" borderId="1" xfId="0" applyNumberFormat="1" applyBorder="1"/>
    <xf numFmtId="0" fontId="0" fillId="0" borderId="1" xfId="0" applyBorder="1"/>
    <xf numFmtId="167" fontId="0" fillId="0" borderId="0" xfId="0" applyNumberFormat="1"/>
    <xf numFmtId="0" fontId="3" fillId="0" borderId="3" xfId="0" applyFont="1" applyBorder="1" applyAlignment="1">
      <alignment horizontal="center" wrapText="1" readingOrder="1"/>
    </xf>
    <xf numFmtId="0" fontId="3" fillId="0" borderId="3" xfId="0" applyFont="1" applyBorder="1" applyAlignment="1">
      <alignment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3" fillId="0" borderId="6" xfId="0" applyNumberFormat="1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3" fontId="3" fillId="0" borderId="3" xfId="0" applyNumberFormat="1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169" fontId="0" fillId="0" borderId="0" xfId="0" applyNumberFormat="1"/>
    <xf numFmtId="3" fontId="0" fillId="7" borderId="1" xfId="0" applyNumberFormat="1" applyFill="1" applyBorder="1" applyAlignment="1">
      <alignment horizontal="right" wrapText="1" readingOrder="1"/>
    </xf>
    <xf numFmtId="4" fontId="0" fillId="0" borderId="0" xfId="0" applyNumberFormat="1"/>
    <xf numFmtId="9" fontId="0" fillId="0" borderId="0" xfId="0" applyNumberFormat="1"/>
    <xf numFmtId="3" fontId="0" fillId="0" borderId="1" xfId="0" applyNumberFormat="1" applyBorder="1"/>
    <xf numFmtId="0" fontId="11" fillId="0" borderId="0" xfId="4" applyAlignment="1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0" xfId="0" applyFont="1"/>
    <xf numFmtId="3" fontId="0" fillId="0" borderId="1" xfId="0" applyNumberFormat="1" applyFill="1" applyBorder="1" applyAlignment="1">
      <alignment horizontal="right" wrapText="1" readingOrder="1"/>
    </xf>
    <xf numFmtId="0" fontId="0" fillId="0" borderId="1" xfId="0" applyFill="1" applyBorder="1" applyAlignment="1">
      <alignment horizontal="right" wrapText="1" readingOrder="1"/>
    </xf>
    <xf numFmtId="169" fontId="0" fillId="0" borderId="1" xfId="0" applyNumberFormat="1" applyFill="1" applyBorder="1" applyAlignment="1">
      <alignment horizontal="right" wrapText="1" readingOrder="1"/>
    </xf>
    <xf numFmtId="9" fontId="0" fillId="0" borderId="1" xfId="0" applyNumberFormat="1" applyFill="1" applyBorder="1" applyAlignment="1">
      <alignment horizontal="right" wrapText="1" readingOrder="1"/>
    </xf>
    <xf numFmtId="3" fontId="10" fillId="0" borderId="1" xfId="0" applyNumberFormat="1" applyFont="1" applyFill="1" applyBorder="1" applyAlignment="1">
      <alignment horizontal="right" wrapText="1" readingOrder="1"/>
    </xf>
    <xf numFmtId="3" fontId="10" fillId="0" borderId="1" xfId="0" applyNumberFormat="1" applyFont="1" applyFill="1" applyBorder="1" applyAlignment="1">
      <alignment horizontal="right" wrapText="1"/>
    </xf>
    <xf numFmtId="170" fontId="0" fillId="0" borderId="1" xfId="1" applyNumberFormat="1" applyFont="1" applyFill="1" applyBorder="1" applyAlignment="1">
      <alignment horizontal="right" wrapText="1" readingOrder="1"/>
    </xf>
    <xf numFmtId="3" fontId="0" fillId="0" borderId="12" xfId="0" applyNumberFormat="1" applyFill="1" applyBorder="1" applyAlignment="1">
      <alignment horizontal="right" wrapText="1" readingOrder="1"/>
    </xf>
    <xf numFmtId="169" fontId="0" fillId="0" borderId="12" xfId="0" applyNumberFormat="1" applyFill="1" applyBorder="1" applyAlignment="1">
      <alignment horizontal="right" wrapText="1" readingOrder="1"/>
    </xf>
    <xf numFmtId="3" fontId="10" fillId="0" borderId="12" xfId="0" applyNumberFormat="1" applyFont="1" applyFill="1" applyBorder="1" applyAlignment="1">
      <alignment horizontal="right" wrapText="1" readingOrder="1"/>
    </xf>
    <xf numFmtId="9" fontId="0" fillId="0" borderId="12" xfId="0" applyNumberFormat="1" applyFill="1" applyBorder="1" applyAlignment="1">
      <alignment horizontal="right" wrapText="1" readingOrder="1"/>
    </xf>
    <xf numFmtId="170" fontId="0" fillId="0" borderId="12" xfId="1" applyNumberFormat="1" applyFont="1" applyFill="1" applyBorder="1" applyAlignment="1">
      <alignment horizontal="right" wrapText="1" readingOrder="1"/>
    </xf>
    <xf numFmtId="0" fontId="1" fillId="0" borderId="26" xfId="0" applyFont="1" applyFill="1" applyBorder="1" applyAlignment="1">
      <alignment horizontal="center" wrapText="1" readingOrder="1"/>
    </xf>
    <xf numFmtId="0" fontId="0" fillId="0" borderId="25" xfId="0" applyFill="1" applyBorder="1" applyAlignment="1">
      <alignment horizontal="right" wrapText="1" readingOrder="1"/>
    </xf>
    <xf numFmtId="0" fontId="1" fillId="0" borderId="25" xfId="0" applyFont="1" applyFill="1" applyBorder="1" applyAlignment="1">
      <alignment horizontal="right" wrapText="1" readingOrder="1"/>
    </xf>
    <xf numFmtId="3" fontId="0" fillId="0" borderId="25" xfId="0" applyNumberFormat="1" applyFill="1" applyBorder="1" applyAlignment="1">
      <alignment horizontal="right" wrapText="1" readingOrder="1"/>
    </xf>
    <xf numFmtId="3" fontId="0" fillId="0" borderId="26" xfId="0" applyNumberFormat="1" applyFill="1" applyBorder="1" applyAlignment="1">
      <alignment horizontal="right" wrapText="1" readingOrder="1"/>
    </xf>
    <xf numFmtId="169" fontId="0" fillId="0" borderId="25" xfId="0" applyNumberFormat="1" applyFill="1" applyBorder="1" applyAlignment="1">
      <alignment horizontal="right" wrapText="1" readingOrder="1"/>
    </xf>
    <xf numFmtId="169" fontId="0" fillId="0" borderId="26" xfId="0" applyNumberFormat="1" applyFill="1" applyBorder="1" applyAlignment="1">
      <alignment horizontal="right" wrapText="1" readingOrder="1"/>
    </xf>
    <xf numFmtId="0" fontId="0" fillId="0" borderId="26" xfId="0" applyFill="1" applyBorder="1" applyAlignment="1">
      <alignment horizontal="right" wrapText="1" readingOrder="1"/>
    </xf>
    <xf numFmtId="3" fontId="10" fillId="0" borderId="25" xfId="0" applyNumberFormat="1" applyFont="1" applyFill="1" applyBorder="1" applyAlignment="1">
      <alignment horizontal="right" wrapText="1" readingOrder="1"/>
    </xf>
    <xf numFmtId="3" fontId="10" fillId="0" borderId="26" xfId="0" applyNumberFormat="1" applyFont="1" applyFill="1" applyBorder="1" applyAlignment="1">
      <alignment horizontal="right" wrapText="1" readingOrder="1"/>
    </xf>
    <xf numFmtId="164" fontId="0" fillId="0" borderId="25" xfId="1" applyFont="1" applyFill="1" applyBorder="1" applyAlignment="1">
      <alignment horizontal="right" wrapText="1" readingOrder="1"/>
    </xf>
    <xf numFmtId="170" fontId="0" fillId="0" borderId="26" xfId="1" applyNumberFormat="1" applyFont="1" applyFill="1" applyBorder="1" applyAlignment="1">
      <alignment horizontal="right" wrapText="1" readingOrder="1"/>
    </xf>
    <xf numFmtId="164" fontId="0" fillId="0" borderId="27" xfId="1" applyFont="1" applyFill="1" applyBorder="1" applyAlignment="1">
      <alignment wrapText="1" readingOrder="1"/>
    </xf>
    <xf numFmtId="164" fontId="0" fillId="0" borderId="30" xfId="1" applyFont="1" applyFill="1" applyBorder="1" applyAlignment="1">
      <alignment wrapText="1" readingOrder="1"/>
    </xf>
    <xf numFmtId="164" fontId="0" fillId="0" borderId="28" xfId="1" applyFont="1" applyFill="1" applyBorder="1" applyAlignment="1">
      <alignment wrapText="1" readingOrder="1"/>
    </xf>
    <xf numFmtId="3" fontId="0" fillId="0" borderId="31" xfId="0" applyNumberFormat="1" applyFill="1" applyBorder="1" applyAlignment="1">
      <alignment horizontal="right" wrapText="1" readingOrder="1"/>
    </xf>
    <xf numFmtId="169" fontId="0" fillId="0" borderId="31" xfId="0" applyNumberFormat="1" applyFill="1" applyBorder="1" applyAlignment="1">
      <alignment horizontal="right" wrapText="1" readingOrder="1"/>
    </xf>
    <xf numFmtId="9" fontId="0" fillId="0" borderId="31" xfId="0" applyNumberFormat="1" applyFill="1" applyBorder="1" applyAlignment="1">
      <alignment horizontal="right" wrapText="1" readingOrder="1"/>
    </xf>
    <xf numFmtId="3" fontId="10" fillId="0" borderId="31" xfId="0" applyNumberFormat="1" applyFont="1" applyFill="1" applyBorder="1" applyAlignment="1">
      <alignment horizontal="right" wrapText="1" readingOrder="1"/>
    </xf>
    <xf numFmtId="3" fontId="10" fillId="0" borderId="31" xfId="0" applyNumberFormat="1" applyFont="1" applyFill="1" applyBorder="1" applyAlignment="1">
      <alignment horizontal="right" wrapText="1"/>
    </xf>
    <xf numFmtId="170" fontId="0" fillId="0" borderId="31" xfId="1" applyNumberFormat="1" applyFont="1" applyFill="1" applyBorder="1" applyAlignment="1">
      <alignment horizontal="right" wrapText="1" readingOrder="1"/>
    </xf>
    <xf numFmtId="9" fontId="0" fillId="0" borderId="25" xfId="0" applyNumberFormat="1" applyFill="1" applyBorder="1" applyAlignment="1">
      <alignment horizontal="right" wrapText="1" readingOrder="1"/>
    </xf>
    <xf numFmtId="9" fontId="0" fillId="0" borderId="26" xfId="0" applyNumberFormat="1" applyFill="1" applyBorder="1" applyAlignment="1">
      <alignment horizontal="right" wrapText="1" readingOrder="1"/>
    </xf>
    <xf numFmtId="3" fontId="10" fillId="0" borderId="25" xfId="0" applyNumberFormat="1" applyFont="1" applyFill="1" applyBorder="1" applyAlignment="1">
      <alignment horizontal="right" wrapText="1"/>
    </xf>
    <xf numFmtId="3" fontId="10" fillId="0" borderId="26" xfId="0" applyNumberFormat="1" applyFont="1" applyFill="1" applyBorder="1" applyAlignment="1">
      <alignment horizontal="right" wrapText="1"/>
    </xf>
    <xf numFmtId="170" fontId="0" fillId="0" borderId="25" xfId="1" applyNumberFormat="1" applyFont="1" applyFill="1" applyBorder="1" applyAlignment="1">
      <alignment horizontal="right" wrapText="1" readingOrder="1"/>
    </xf>
    <xf numFmtId="3" fontId="0" fillId="0" borderId="35" xfId="0" applyNumberFormat="1" applyFill="1" applyBorder="1" applyAlignment="1">
      <alignment horizontal="right" wrapText="1" readingOrder="1"/>
    </xf>
    <xf numFmtId="3" fontId="0" fillId="0" borderId="36" xfId="0" applyNumberFormat="1" applyFill="1" applyBorder="1" applyAlignment="1">
      <alignment horizontal="right" wrapText="1" readingOrder="1"/>
    </xf>
    <xf numFmtId="3" fontId="0" fillId="0" borderId="41" xfId="0" applyNumberFormat="1" applyFill="1" applyBorder="1" applyAlignment="1">
      <alignment horizontal="right" wrapText="1" readingOrder="1"/>
    </xf>
    <xf numFmtId="3" fontId="0" fillId="0" borderId="43" xfId="0" applyNumberFormat="1" applyFill="1" applyBorder="1" applyAlignment="1">
      <alignment horizontal="right" wrapText="1" readingOrder="1"/>
    </xf>
    <xf numFmtId="3" fontId="0" fillId="0" borderId="42" xfId="0" applyNumberFormat="1" applyFill="1" applyBorder="1" applyAlignment="1">
      <alignment horizontal="right" wrapText="1" readingOrder="1"/>
    </xf>
    <xf numFmtId="3" fontId="0" fillId="0" borderId="33" xfId="0" applyNumberFormat="1" applyFill="1" applyBorder="1" applyAlignment="1">
      <alignment horizontal="right" wrapText="1" readingOrder="1"/>
    </xf>
    <xf numFmtId="3" fontId="0" fillId="0" borderId="44" xfId="0" applyNumberFormat="1" applyFill="1" applyBorder="1" applyAlignment="1">
      <alignment horizontal="right" wrapText="1" readingOrder="1"/>
    </xf>
    <xf numFmtId="0" fontId="0" fillId="0" borderId="37" xfId="0" applyFill="1" applyBorder="1" applyAlignment="1">
      <alignment horizontal="right" wrapText="1" readingOrder="1"/>
    </xf>
    <xf numFmtId="3" fontId="0" fillId="0" borderId="37" xfId="0" applyNumberFormat="1" applyFill="1" applyBorder="1" applyAlignment="1">
      <alignment horizontal="right" wrapText="1" readingOrder="1"/>
    </xf>
    <xf numFmtId="3" fontId="0" fillId="0" borderId="39" xfId="0" applyNumberFormat="1" applyFill="1" applyBorder="1" applyAlignment="1">
      <alignment horizontal="right" wrapText="1" readingOrder="1"/>
    </xf>
    <xf numFmtId="3" fontId="0" fillId="0" borderId="38" xfId="0" applyNumberFormat="1" applyFill="1" applyBorder="1" applyAlignment="1">
      <alignment horizontal="right" wrapText="1" readingOrder="1"/>
    </xf>
    <xf numFmtId="3" fontId="0" fillId="0" borderId="32" xfId="0" applyNumberFormat="1" applyFill="1" applyBorder="1" applyAlignment="1">
      <alignment horizontal="right" wrapText="1" readingOrder="1"/>
    </xf>
    <xf numFmtId="3" fontId="0" fillId="0" borderId="40" xfId="0" applyNumberFormat="1" applyFill="1" applyBorder="1" applyAlignment="1">
      <alignment horizontal="right" wrapText="1" readingOrder="1"/>
    </xf>
    <xf numFmtId="3" fontId="0" fillId="0" borderId="50" xfId="0" applyNumberFormat="1" applyFill="1" applyBorder="1" applyAlignment="1">
      <alignment horizontal="right" wrapText="1" readingOrder="1"/>
    </xf>
    <xf numFmtId="164" fontId="0" fillId="0" borderId="27" xfId="1" applyFont="1" applyFill="1" applyBorder="1" applyAlignment="1">
      <alignment horizontal="right" wrapText="1" readingOrder="1"/>
    </xf>
    <xf numFmtId="164" fontId="0" fillId="0" borderId="30" xfId="1" applyFont="1" applyFill="1" applyBorder="1" applyAlignment="1">
      <alignment horizontal="right" wrapText="1" readingOrder="1"/>
    </xf>
    <xf numFmtId="164" fontId="0" fillId="0" borderId="28" xfId="1" applyFont="1" applyFill="1" applyBorder="1" applyAlignment="1">
      <alignment horizontal="right" wrapText="1" readingOrder="1"/>
    </xf>
    <xf numFmtId="3" fontId="0" fillId="0" borderId="27" xfId="0" applyNumberFormat="1" applyFill="1" applyBorder="1" applyAlignment="1">
      <alignment horizontal="right" wrapText="1" readingOrder="1"/>
    </xf>
    <xf numFmtId="3" fontId="0" fillId="0" borderId="30" xfId="0" applyNumberFormat="1" applyFill="1" applyBorder="1" applyAlignment="1">
      <alignment horizontal="right" wrapText="1" readingOrder="1"/>
    </xf>
    <xf numFmtId="3" fontId="0" fillId="0" borderId="28" xfId="0" applyNumberFormat="1" applyFill="1" applyBorder="1" applyAlignment="1">
      <alignment horizontal="right" wrapText="1" readingOrder="1"/>
    </xf>
    <xf numFmtId="3" fontId="0" fillId="0" borderId="51" xfId="0" applyNumberFormat="1" applyFill="1" applyBorder="1" applyAlignment="1">
      <alignment horizontal="right" wrapText="1" readingOrder="1"/>
    </xf>
    <xf numFmtId="3" fontId="0" fillId="0" borderId="52" xfId="0" applyNumberFormat="1" applyFill="1" applyBorder="1" applyAlignment="1">
      <alignment horizontal="right" wrapText="1" readingOrder="1"/>
    </xf>
    <xf numFmtId="0" fontId="14" fillId="0" borderId="25" xfId="0" applyFont="1" applyFill="1" applyBorder="1" applyAlignment="1">
      <alignment horizontal="right" wrapText="1" readingOrder="1"/>
    </xf>
    <xf numFmtId="0" fontId="1" fillId="0" borderId="27" xfId="0" applyFont="1" applyFill="1" applyBorder="1" applyAlignment="1">
      <alignment horizontal="right" wrapText="1" readingOrder="1"/>
    </xf>
    <xf numFmtId="0" fontId="13" fillId="0" borderId="37" xfId="0" applyFont="1" applyFill="1" applyBorder="1" applyAlignment="1">
      <alignment wrapText="1" readingOrder="1"/>
    </xf>
    <xf numFmtId="0" fontId="14" fillId="0" borderId="26" xfId="0" applyFont="1" applyFill="1" applyBorder="1" applyAlignment="1">
      <alignment horizontal="center" wrapText="1" readingOrder="1"/>
    </xf>
    <xf numFmtId="0" fontId="14" fillId="0" borderId="28" xfId="0" applyFont="1" applyFill="1" applyBorder="1" applyAlignment="1">
      <alignment horizontal="center" wrapText="1" readingOrder="1"/>
    </xf>
    <xf numFmtId="0" fontId="1" fillId="0" borderId="38" xfId="0" applyFont="1" applyFill="1" applyBorder="1" applyAlignment="1">
      <alignment horizontal="center" wrapText="1" readingOrder="1"/>
    </xf>
    <xf numFmtId="0" fontId="1" fillId="0" borderId="28" xfId="0" applyFont="1" applyFill="1" applyBorder="1" applyAlignment="1">
      <alignment horizontal="center" wrapText="1" readingOrder="1"/>
    </xf>
    <xf numFmtId="0" fontId="0" fillId="0" borderId="39" xfId="0" applyFill="1" applyBorder="1" applyAlignment="1">
      <alignment horizontal="right" wrapText="1" readingOrder="1"/>
    </xf>
    <xf numFmtId="0" fontId="0" fillId="0" borderId="38" xfId="0" applyFill="1" applyBorder="1" applyAlignment="1">
      <alignment horizontal="right" wrapText="1" readingOrder="1"/>
    </xf>
    <xf numFmtId="4" fontId="0" fillId="0" borderId="27" xfId="0" applyNumberFormat="1" applyFill="1" applyBorder="1" applyAlignment="1">
      <alignment horizontal="right" wrapText="1" readingOrder="1"/>
    </xf>
    <xf numFmtId="4" fontId="0" fillId="0" borderId="30" xfId="0" applyNumberFormat="1" applyFill="1" applyBorder="1" applyAlignment="1">
      <alignment horizontal="right" wrapText="1" readingOrder="1"/>
    </xf>
    <xf numFmtId="4" fontId="0" fillId="0" borderId="28" xfId="0" applyNumberFormat="1" applyFill="1" applyBorder="1" applyAlignment="1">
      <alignment horizontal="right" wrapText="1" readingOrder="1"/>
    </xf>
    <xf numFmtId="0" fontId="0" fillId="0" borderId="32" xfId="0" applyFill="1" applyBorder="1" applyAlignment="1">
      <alignment horizontal="right" wrapText="1" readingOrder="1"/>
    </xf>
    <xf numFmtId="0" fontId="0" fillId="0" borderId="40" xfId="0" applyFill="1" applyBorder="1" applyAlignment="1">
      <alignment horizontal="right" wrapText="1" readingOrder="1"/>
    </xf>
    <xf numFmtId="0" fontId="17" fillId="0" borderId="27" xfId="0" applyFont="1" applyFill="1" applyBorder="1" applyAlignment="1">
      <alignment horizontal="right" wrapText="1" readingOrder="1"/>
    </xf>
    <xf numFmtId="0" fontId="19" fillId="0" borderId="23" xfId="0" applyFont="1" applyFill="1" applyBorder="1" applyAlignment="1">
      <alignment horizontal="center" wrapText="1" readingOrder="1"/>
    </xf>
    <xf numFmtId="0" fontId="19" fillId="0" borderId="29" xfId="0" applyFont="1" applyFill="1" applyBorder="1" applyAlignment="1">
      <alignment horizontal="center" wrapText="1" readingOrder="1"/>
    </xf>
    <xf numFmtId="0" fontId="19" fillId="0" borderId="24" xfId="0" applyFont="1" applyFill="1" applyBorder="1" applyAlignment="1">
      <alignment horizontal="center" wrapText="1" readingOrder="1"/>
    </xf>
    <xf numFmtId="0" fontId="20" fillId="14" borderId="34" xfId="0" applyFont="1" applyFill="1" applyBorder="1" applyAlignment="1">
      <alignment horizontal="center" vertical="center" wrapText="1"/>
    </xf>
    <xf numFmtId="0" fontId="20" fillId="14" borderId="36" xfId="0" applyFont="1" applyFill="1" applyBorder="1" applyAlignment="1">
      <alignment horizontal="center" vertical="center" wrapText="1"/>
    </xf>
    <xf numFmtId="0" fontId="22" fillId="14" borderId="23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22" fillId="14" borderId="27" xfId="0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wrapText="1" readingOrder="1"/>
    </xf>
    <xf numFmtId="0" fontId="18" fillId="14" borderId="30" xfId="0" applyFont="1" applyFill="1" applyBorder="1" applyAlignment="1">
      <alignment horizontal="center" wrapText="1" readingOrder="1"/>
    </xf>
    <xf numFmtId="0" fontId="18" fillId="14" borderId="28" xfId="0" applyFont="1" applyFill="1" applyBorder="1" applyAlignment="1">
      <alignment horizontal="center" wrapText="1" readingOrder="1"/>
    </xf>
    <xf numFmtId="0" fontId="13" fillId="13" borderId="41" xfId="0" applyFont="1" applyFill="1" applyBorder="1" applyAlignment="1">
      <alignment wrapText="1" readingOrder="1"/>
    </xf>
    <xf numFmtId="0" fontId="1" fillId="13" borderId="42" xfId="0" applyFont="1" applyFill="1" applyBorder="1" applyAlignment="1">
      <alignment horizontal="center" wrapText="1" readingOrder="1"/>
    </xf>
    <xf numFmtId="3" fontId="0" fillId="13" borderId="41" xfId="0" applyNumberFormat="1" applyFill="1" applyBorder="1" applyAlignment="1">
      <alignment horizontal="right" wrapText="1" readingOrder="1"/>
    </xf>
    <xf numFmtId="3" fontId="0" fillId="13" borderId="43" xfId="0" applyNumberFormat="1" applyFill="1" applyBorder="1" applyAlignment="1">
      <alignment horizontal="right" wrapText="1" readingOrder="1"/>
    </xf>
    <xf numFmtId="3" fontId="0" fillId="13" borderId="42" xfId="0" applyNumberFormat="1" applyFill="1" applyBorder="1" applyAlignment="1">
      <alignment horizontal="right" wrapText="1" readingOrder="1"/>
    </xf>
    <xf numFmtId="3" fontId="0" fillId="13" borderId="33" xfId="0" applyNumberFormat="1" applyFill="1" applyBorder="1" applyAlignment="1">
      <alignment horizontal="right" wrapText="1" readingOrder="1"/>
    </xf>
    <xf numFmtId="3" fontId="0" fillId="13" borderId="44" xfId="0" applyNumberFormat="1" applyFill="1" applyBorder="1" applyAlignment="1">
      <alignment horizontal="right" wrapText="1" readingOrder="1"/>
    </xf>
    <xf numFmtId="3" fontId="0" fillId="13" borderId="48" xfId="0" applyNumberFormat="1" applyFill="1" applyBorder="1" applyAlignment="1">
      <alignment horizontal="right" wrapText="1" readingOrder="1"/>
    </xf>
    <xf numFmtId="3" fontId="0" fillId="13" borderId="45" xfId="0" applyNumberFormat="1" applyFill="1" applyBorder="1" applyAlignment="1">
      <alignment horizontal="right" wrapText="1" readingOrder="1"/>
    </xf>
    <xf numFmtId="3" fontId="0" fillId="13" borderId="47" xfId="0" applyNumberFormat="1" applyFill="1" applyBorder="1" applyAlignment="1">
      <alignment horizontal="right" wrapText="1" readingOrder="1"/>
    </xf>
    <xf numFmtId="3" fontId="0" fillId="13" borderId="46" xfId="0" applyNumberFormat="1" applyFill="1" applyBorder="1" applyAlignment="1">
      <alignment horizontal="right" wrapText="1" readingOrder="1"/>
    </xf>
    <xf numFmtId="0" fontId="1" fillId="13" borderId="37" xfId="0" applyFont="1" applyFill="1" applyBorder="1" applyAlignment="1">
      <alignment horizontal="right" wrapText="1" readingOrder="1"/>
    </xf>
    <xf numFmtId="0" fontId="1" fillId="13" borderId="38" xfId="0" applyFont="1" applyFill="1" applyBorder="1" applyAlignment="1">
      <alignment horizontal="center" wrapText="1" readingOrder="1"/>
    </xf>
    <xf numFmtId="0" fontId="13" fillId="13" borderId="23" xfId="0" applyFont="1" applyFill="1" applyBorder="1" applyAlignment="1">
      <alignment wrapText="1" readingOrder="1"/>
    </xf>
    <xf numFmtId="0" fontId="1" fillId="13" borderId="24" xfId="0" applyFont="1" applyFill="1" applyBorder="1" applyAlignment="1">
      <alignment horizontal="center" wrapText="1" readingOrder="1"/>
    </xf>
    <xf numFmtId="3" fontId="0" fillId="13" borderId="25" xfId="0" applyNumberFormat="1" applyFill="1" applyBorder="1" applyAlignment="1">
      <alignment horizontal="right" wrapText="1" readingOrder="1"/>
    </xf>
    <xf numFmtId="3" fontId="0" fillId="13" borderId="1" xfId="0" applyNumberFormat="1" applyFill="1" applyBorder="1" applyAlignment="1">
      <alignment horizontal="right" wrapText="1" readingOrder="1"/>
    </xf>
    <xf numFmtId="3" fontId="0" fillId="13" borderId="26" xfId="0" applyNumberFormat="1" applyFill="1" applyBorder="1" applyAlignment="1">
      <alignment horizontal="right" wrapText="1" readingOrder="1"/>
    </xf>
    <xf numFmtId="3" fontId="0" fillId="13" borderId="12" xfId="0" applyNumberFormat="1" applyFill="1" applyBorder="1" applyAlignment="1">
      <alignment horizontal="right" wrapText="1" readingOrder="1"/>
    </xf>
    <xf numFmtId="3" fontId="0" fillId="13" borderId="31" xfId="0" applyNumberFormat="1" applyFill="1" applyBorder="1" applyAlignment="1">
      <alignment horizontal="right" wrapText="1" readingOrder="1"/>
    </xf>
    <xf numFmtId="3" fontId="0" fillId="13" borderId="34" xfId="0" applyNumberFormat="1" applyFill="1" applyBorder="1" applyAlignment="1">
      <alignment horizontal="right" wrapText="1" readingOrder="1"/>
    </xf>
    <xf numFmtId="0" fontId="13" fillId="13" borderId="45" xfId="0" applyFont="1" applyFill="1" applyBorder="1" applyAlignment="1">
      <alignment wrapText="1" readingOrder="1"/>
    </xf>
    <xf numFmtId="0" fontId="1" fillId="13" borderId="46" xfId="0" applyFont="1" applyFill="1" applyBorder="1" applyAlignment="1">
      <alignment horizontal="center" wrapText="1" readingOrder="1"/>
    </xf>
    <xf numFmtId="3" fontId="0" fillId="13" borderId="27" xfId="0" applyNumberFormat="1" applyFill="1" applyBorder="1" applyAlignment="1">
      <alignment horizontal="right" wrapText="1" readingOrder="1"/>
    </xf>
    <xf numFmtId="3" fontId="0" fillId="13" borderId="30" xfId="0" applyNumberFormat="1" applyFill="1" applyBorder="1" applyAlignment="1">
      <alignment horizontal="right" wrapText="1" readingOrder="1"/>
    </xf>
    <xf numFmtId="3" fontId="0" fillId="13" borderId="28" xfId="0" applyNumberFormat="1" applyFill="1" applyBorder="1" applyAlignment="1">
      <alignment horizontal="right" wrapText="1" readingOrder="1"/>
    </xf>
    <xf numFmtId="3" fontId="0" fillId="13" borderId="41" xfId="0" applyNumberFormat="1" applyFill="1" applyBorder="1"/>
    <xf numFmtId="3" fontId="0" fillId="13" borderId="43" xfId="0" applyNumberFormat="1" applyFill="1" applyBorder="1"/>
    <xf numFmtId="3" fontId="0" fillId="13" borderId="42" xfId="0" applyNumberFormat="1" applyFill="1" applyBorder="1"/>
    <xf numFmtId="3" fontId="0" fillId="13" borderId="33" xfId="0" applyNumberFormat="1" applyFill="1" applyBorder="1"/>
    <xf numFmtId="3" fontId="0" fillId="13" borderId="44" xfId="0" applyNumberFormat="1" applyFill="1" applyBorder="1"/>
    <xf numFmtId="0" fontId="15" fillId="13" borderId="41" xfId="0" applyFont="1" applyFill="1" applyBorder="1" applyAlignment="1">
      <alignment wrapText="1" readingOrder="1"/>
    </xf>
    <xf numFmtId="167" fontId="0" fillId="13" borderId="23" xfId="0" applyNumberFormat="1" applyFill="1" applyBorder="1"/>
    <xf numFmtId="167" fontId="0" fillId="13" borderId="29" xfId="0" applyNumberFormat="1" applyFill="1" applyBorder="1"/>
    <xf numFmtId="167" fontId="0" fillId="13" borderId="24" xfId="0" applyNumberFormat="1" applyFill="1" applyBorder="1"/>
    <xf numFmtId="0" fontId="0" fillId="0" borderId="0" xfId="0" applyBorder="1"/>
    <xf numFmtId="3" fontId="0" fillId="0" borderId="0" xfId="0" applyNumberFormat="1" applyBorder="1" applyAlignment="1">
      <alignment horizontal="right" wrapText="1" readingOrder="1"/>
    </xf>
    <xf numFmtId="3" fontId="13" fillId="12" borderId="48" xfId="0" applyNumberFormat="1" applyFont="1" applyFill="1" applyBorder="1" applyAlignment="1">
      <alignment horizontal="right" wrapText="1" readingOrder="1"/>
    </xf>
    <xf numFmtId="169" fontId="13" fillId="12" borderId="10" xfId="0" applyNumberFormat="1" applyFont="1" applyFill="1" applyBorder="1" applyAlignment="1">
      <alignment wrapText="1" readingOrder="1"/>
    </xf>
    <xf numFmtId="3" fontId="13" fillId="12" borderId="35" xfId="0" applyNumberFormat="1" applyFont="1" applyFill="1" applyBorder="1" applyAlignment="1">
      <alignment horizontal="right" wrapText="1" readingOrder="1"/>
    </xf>
    <xf numFmtId="3" fontId="13" fillId="12" borderId="10" xfId="0" applyNumberFormat="1" applyFont="1" applyFill="1" applyBorder="1" applyAlignment="1">
      <alignment horizontal="right" wrapText="1" readingOrder="1"/>
    </xf>
    <xf numFmtId="3" fontId="13" fillId="12" borderId="53" xfId="0" applyNumberFormat="1" applyFont="1" applyFill="1" applyBorder="1" applyAlignment="1">
      <alignment horizontal="right" wrapText="1" readingOrder="1"/>
    </xf>
    <xf numFmtId="3" fontId="13" fillId="12" borderId="34" xfId="0" applyNumberFormat="1" applyFont="1" applyFill="1" applyBorder="1" applyAlignment="1">
      <alignment horizontal="right" wrapText="1" readingOrder="1"/>
    </xf>
    <xf numFmtId="0" fontId="13" fillId="7" borderId="25" xfId="0" applyFont="1" applyFill="1" applyBorder="1" applyAlignment="1">
      <alignment horizontal="right" wrapText="1" readingOrder="1"/>
    </xf>
    <xf numFmtId="0" fontId="1" fillId="7" borderId="26" xfId="0" applyFont="1" applyFill="1" applyBorder="1" applyAlignment="1">
      <alignment horizontal="center" wrapText="1" readingOrder="1"/>
    </xf>
    <xf numFmtId="3" fontId="0" fillId="7" borderId="25" xfId="0" applyNumberFormat="1" applyFill="1" applyBorder="1" applyAlignment="1">
      <alignment horizontal="right" wrapText="1" readingOrder="1"/>
    </xf>
    <xf numFmtId="3" fontId="0" fillId="7" borderId="26" xfId="0" applyNumberFormat="1" applyFill="1" applyBorder="1" applyAlignment="1">
      <alignment horizontal="right" wrapText="1" readingOrder="1"/>
    </xf>
    <xf numFmtId="3" fontId="0" fillId="7" borderId="12" xfId="0" applyNumberFormat="1" applyFill="1" applyBorder="1" applyAlignment="1">
      <alignment horizontal="right" wrapText="1" readingOrder="1"/>
    </xf>
    <xf numFmtId="3" fontId="0" fillId="7" borderId="31" xfId="0" applyNumberFormat="1" applyFill="1" applyBorder="1" applyAlignment="1">
      <alignment horizontal="right" wrapText="1" readingOrder="1"/>
    </xf>
    <xf numFmtId="0" fontId="14" fillId="7" borderId="26" xfId="0" applyFont="1" applyFill="1" applyBorder="1" applyAlignment="1">
      <alignment horizontal="center" wrapText="1" readingOrder="1"/>
    </xf>
    <xf numFmtId="3" fontId="13" fillId="3" borderId="35" xfId="0" applyNumberFormat="1" applyFont="1" applyFill="1" applyBorder="1" applyAlignment="1">
      <alignment horizontal="right" wrapText="1" readingOrder="1"/>
    </xf>
    <xf numFmtId="169" fontId="1" fillId="13" borderId="45" xfId="0" applyNumberFormat="1" applyFont="1" applyFill="1" applyBorder="1" applyAlignment="1">
      <alignment horizontal="right" wrapText="1" readingOrder="1"/>
    </xf>
    <xf numFmtId="169" fontId="1" fillId="13" borderId="47" xfId="0" applyNumberFormat="1" applyFont="1" applyFill="1" applyBorder="1" applyAlignment="1">
      <alignment horizontal="right" wrapText="1" readingOrder="1"/>
    </xf>
    <xf numFmtId="169" fontId="1" fillId="13" borderId="49" xfId="0" applyNumberFormat="1" applyFont="1" applyFill="1" applyBorder="1" applyAlignment="1">
      <alignment horizontal="right" wrapText="1" readingOrder="1"/>
    </xf>
    <xf numFmtId="169" fontId="1" fillId="13" borderId="46" xfId="0" applyNumberFormat="1" applyFont="1" applyFill="1" applyBorder="1" applyAlignment="1">
      <alignment horizontal="right" wrapText="1" readingOrder="1"/>
    </xf>
    <xf numFmtId="3" fontId="0" fillId="0" borderId="0" xfId="0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59" xfId="0" applyFont="1" applyFill="1" applyBorder="1" applyAlignment="1">
      <alignment horizontal="left" vertical="top" wrapText="1"/>
    </xf>
    <xf numFmtId="0" fontId="7" fillId="0" borderId="60" xfId="0" applyFont="1" applyFill="1" applyBorder="1" applyAlignment="1">
      <alignment horizontal="left" vertical="top" wrapText="1"/>
    </xf>
    <xf numFmtId="0" fontId="9" fillId="0" borderId="59" xfId="0" applyFont="1" applyFill="1" applyBorder="1" applyAlignment="1">
      <alignment horizontal="right" wrapText="1" readingOrder="1"/>
    </xf>
    <xf numFmtId="0" fontId="9" fillId="0" borderId="60" xfId="0" applyFont="1" applyFill="1" applyBorder="1" applyAlignment="1">
      <alignment horizontal="right" wrapText="1" readingOrder="1"/>
    </xf>
    <xf numFmtId="0" fontId="0" fillId="0" borderId="59" xfId="0" applyFill="1" applyBorder="1" applyAlignment="1">
      <alignment horizontal="right" wrapText="1" readingOrder="1"/>
    </xf>
    <xf numFmtId="0" fontId="0" fillId="0" borderId="60" xfId="0" applyFill="1" applyBorder="1" applyAlignment="1">
      <alignment horizontal="right" wrapText="1" readingOrder="1"/>
    </xf>
    <xf numFmtId="0" fontId="7" fillId="0" borderId="61" xfId="0" applyFont="1" applyFill="1" applyBorder="1" applyAlignment="1">
      <alignment horizontal="left" vertical="top" wrapText="1"/>
    </xf>
    <xf numFmtId="0" fontId="7" fillId="0" borderId="56" xfId="0" applyFont="1" applyFill="1" applyBorder="1" applyAlignment="1">
      <alignment horizontal="left" vertical="top" wrapText="1"/>
    </xf>
    <xf numFmtId="3" fontId="0" fillId="0" borderId="60" xfId="0" applyNumberFormat="1" applyFill="1" applyBorder="1" applyAlignment="1">
      <alignment vertical="top" wrapText="1"/>
    </xf>
    <xf numFmtId="0" fontId="0" fillId="0" borderId="60" xfId="0" applyFill="1" applyBorder="1" applyAlignment="1">
      <alignment vertical="top" wrapText="1"/>
    </xf>
    <xf numFmtId="0" fontId="16" fillId="6" borderId="62" xfId="0" applyFont="1" applyFill="1" applyBorder="1" applyAlignment="1">
      <alignment horizontal="center" vertical="top" wrapText="1"/>
    </xf>
    <xf numFmtId="0" fontId="16" fillId="6" borderId="57" xfId="0" applyFont="1" applyFill="1" applyBorder="1" applyAlignment="1">
      <alignment horizontal="center" vertical="top" wrapText="1"/>
    </xf>
    <xf numFmtId="0" fontId="1" fillId="0" borderId="59" xfId="0" applyFont="1" applyFill="1" applyBorder="1" applyAlignment="1">
      <alignment horizontal="right" vertical="top" wrapText="1"/>
    </xf>
    <xf numFmtId="0" fontId="1" fillId="0" borderId="60" xfId="0" applyFont="1" applyFill="1" applyBorder="1" applyAlignment="1">
      <alignment horizontal="right" vertical="top" wrapText="1"/>
    </xf>
    <xf numFmtId="0" fontId="0" fillId="0" borderId="59" xfId="0" applyBorder="1"/>
    <xf numFmtId="0" fontId="16" fillId="6" borderId="58" xfId="0" applyFont="1" applyFill="1" applyBorder="1" applyAlignment="1">
      <alignment horizontal="left"/>
    </xf>
    <xf numFmtId="0" fontId="16" fillId="6" borderId="54" xfId="0" applyFont="1" applyFill="1" applyBorder="1" applyAlignment="1">
      <alignment horizontal="left"/>
    </xf>
    <xf numFmtId="0" fontId="7" fillId="0" borderId="58" xfId="0" applyFont="1" applyFill="1" applyBorder="1" applyAlignment="1">
      <alignment horizontal="left" vertical="top" wrapText="1"/>
    </xf>
    <xf numFmtId="0" fontId="7" fillId="0" borderId="54" xfId="0" applyFont="1" applyFill="1" applyBorder="1" applyAlignment="1">
      <alignment horizontal="left" vertical="top" wrapText="1"/>
    </xf>
    <xf numFmtId="3" fontId="0" fillId="3" borderId="0" xfId="0" applyNumberFormat="1" applyFill="1" applyBorder="1" applyAlignment="1">
      <alignment vertical="top" wrapText="1"/>
    </xf>
    <xf numFmtId="3" fontId="0" fillId="3" borderId="60" xfId="0" applyNumberFormat="1" applyFill="1" applyBorder="1" applyAlignment="1">
      <alignment vertical="top" wrapText="1"/>
    </xf>
    <xf numFmtId="164" fontId="0" fillId="3" borderId="0" xfId="0" applyNumberFormat="1" applyFill="1" applyBorder="1" applyAlignment="1">
      <alignment vertical="top" wrapText="1"/>
    </xf>
    <xf numFmtId="164" fontId="0" fillId="3" borderId="60" xfId="0" applyNumberFormat="1" applyFill="1" applyBorder="1" applyAlignment="1">
      <alignment vertical="top" wrapText="1"/>
    </xf>
    <xf numFmtId="3" fontId="0" fillId="3" borderId="55" xfId="0" applyNumberFormat="1" applyFill="1" applyBorder="1" applyAlignment="1">
      <alignment vertical="top" wrapText="1"/>
    </xf>
    <xf numFmtId="3" fontId="0" fillId="3" borderId="56" xfId="0" applyNumberFormat="1" applyFill="1" applyBorder="1" applyAlignment="1">
      <alignment vertical="top" wrapText="1"/>
    </xf>
    <xf numFmtId="0" fontId="16" fillId="6" borderId="10" xfId="0" applyFont="1" applyFill="1" applyBorder="1" applyAlignment="1">
      <alignment horizontal="center"/>
    </xf>
    <xf numFmtId="0" fontId="0" fillId="0" borderId="63" xfId="0" applyFill="1" applyBorder="1"/>
    <xf numFmtId="0" fontId="0" fillId="0" borderId="64" xfId="0" applyFill="1" applyBorder="1"/>
    <xf numFmtId="167" fontId="0" fillId="0" borderId="63" xfId="1" applyNumberFormat="1" applyFont="1" applyFill="1" applyBorder="1" applyAlignment="1"/>
    <xf numFmtId="9" fontId="0" fillId="0" borderId="1" xfId="0" applyNumberFormat="1" applyBorder="1"/>
    <xf numFmtId="0" fontId="6" fillId="10" borderId="1" xfId="0" applyFont="1" applyFill="1" applyBorder="1" applyAlignment="1">
      <alignment horizontal="center"/>
    </xf>
    <xf numFmtId="0" fontId="6" fillId="10" borderId="65" xfId="0" applyFont="1" applyFill="1" applyBorder="1" applyAlignment="1">
      <alignment horizontal="center"/>
    </xf>
    <xf numFmtId="0" fontId="6" fillId="10" borderId="66" xfId="0" applyFont="1" applyFill="1" applyBorder="1" applyAlignment="1">
      <alignment horizontal="center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3" xfId="0" applyBorder="1" applyAlignment="1">
      <alignment horizontal="left"/>
    </xf>
    <xf numFmtId="0" fontId="25" fillId="0" borderId="0" xfId="0" applyFont="1"/>
    <xf numFmtId="167" fontId="26" fillId="0" borderId="60" xfId="1" applyNumberFormat="1" applyFont="1" applyBorder="1" applyAlignment="1">
      <alignment horizontal="right" wrapText="1" readingOrder="1"/>
    </xf>
    <xf numFmtId="0" fontId="26" fillId="0" borderId="59" xfId="0" applyFont="1" applyBorder="1" applyAlignment="1">
      <alignment horizontal="right" wrapText="1" readingOrder="1"/>
    </xf>
    <xf numFmtId="0" fontId="26" fillId="0" borderId="59" xfId="0" applyFont="1" applyBorder="1" applyAlignment="1">
      <alignment horizontal="right" wrapText="1"/>
    </xf>
    <xf numFmtId="0" fontId="26" fillId="0" borderId="61" xfId="0" applyFont="1" applyBorder="1" applyAlignment="1">
      <alignment horizontal="right" wrapText="1" readingOrder="1"/>
    </xf>
    <xf numFmtId="167" fontId="26" fillId="0" borderId="56" xfId="1" applyNumberFormat="1" applyFont="1" applyBorder="1" applyAlignment="1">
      <alignment horizontal="right" wrapText="1" readingOrder="1"/>
    </xf>
    <xf numFmtId="167" fontId="25" fillId="0" borderId="0" xfId="0" applyNumberFormat="1" applyFont="1"/>
    <xf numFmtId="0" fontId="24" fillId="11" borderId="10" xfId="0" applyFont="1" applyFill="1" applyBorder="1" applyAlignment="1">
      <alignment horizontal="center" wrapText="1" readingOrder="1"/>
    </xf>
    <xf numFmtId="167" fontId="24" fillId="11" borderId="10" xfId="1" applyNumberFormat="1" applyFont="1" applyFill="1" applyBorder="1" applyAlignment="1">
      <alignment horizontal="right" wrapText="1" readingOrder="1"/>
    </xf>
    <xf numFmtId="0" fontId="26" fillId="11" borderId="10" xfId="0" applyFont="1" applyFill="1" applyBorder="1" applyAlignment="1">
      <alignment horizontal="center" wrapText="1" readingOrder="1"/>
    </xf>
    <xf numFmtId="0" fontId="26" fillId="11" borderId="63" xfId="0" applyFont="1" applyFill="1" applyBorder="1" applyAlignment="1">
      <alignment horizontal="center" wrapText="1" readingOrder="1"/>
    </xf>
    <xf numFmtId="0" fontId="26" fillId="11" borderId="64" xfId="0" applyFont="1" applyFill="1" applyBorder="1" applyAlignment="1">
      <alignment horizontal="center" wrapText="1" readingOrder="1"/>
    </xf>
    <xf numFmtId="0" fontId="24" fillId="12" borderId="11" xfId="0" applyFont="1" applyFill="1" applyBorder="1" applyAlignment="1">
      <alignment horizontal="left" wrapText="1" readingOrder="1"/>
    </xf>
    <xf numFmtId="0" fontId="26" fillId="12" borderId="10" xfId="0" applyFont="1" applyFill="1" applyBorder="1" applyAlignment="1">
      <alignment horizontal="center" wrapText="1" readingOrder="1"/>
    </xf>
    <xf numFmtId="167" fontId="26" fillId="12" borderId="57" xfId="1" applyNumberFormat="1" applyFont="1" applyFill="1" applyBorder="1" applyAlignment="1">
      <alignment horizontal="right" wrapText="1" readingOrder="1"/>
    </xf>
    <xf numFmtId="0" fontId="0" fillId="9" borderId="0" xfId="0" applyFill="1"/>
    <xf numFmtId="167" fontId="27" fillId="6" borderId="7" xfId="1" applyNumberFormat="1" applyFont="1" applyFill="1" applyBorder="1" applyAlignment="1"/>
    <xf numFmtId="167" fontId="28" fillId="7" borderId="8" xfId="1" applyNumberFormat="1" applyFont="1" applyFill="1" applyBorder="1" applyAlignment="1">
      <alignment horizontal="left" vertical="top" wrapText="1"/>
    </xf>
    <xf numFmtId="167" fontId="27" fillId="7" borderId="8" xfId="1" applyNumberFormat="1" applyFont="1" applyFill="1" applyBorder="1" applyAlignment="1">
      <alignment vertical="top" wrapText="1"/>
    </xf>
    <xf numFmtId="167" fontId="27" fillId="9" borderId="8" xfId="1" applyNumberFormat="1" applyFont="1" applyFill="1" applyBorder="1" applyAlignment="1">
      <alignment horizontal="right" vertical="top" wrapText="1"/>
    </xf>
    <xf numFmtId="167" fontId="27" fillId="9" borderId="8" xfId="1" applyNumberFormat="1" applyFont="1" applyFill="1" applyBorder="1" applyAlignment="1">
      <alignment vertical="top" wrapText="1"/>
    </xf>
    <xf numFmtId="167" fontId="29" fillId="7" borderId="8" xfId="1" applyNumberFormat="1" applyFont="1" applyFill="1" applyBorder="1" applyAlignment="1">
      <alignment horizontal="left" vertical="top" wrapText="1"/>
    </xf>
    <xf numFmtId="9" fontId="27" fillId="7" borderId="8" xfId="3" applyFont="1" applyFill="1" applyBorder="1" applyAlignment="1">
      <alignment vertical="top" wrapText="1"/>
    </xf>
    <xf numFmtId="167" fontId="30" fillId="9" borderId="8" xfId="1" applyNumberFormat="1" applyFont="1" applyFill="1" applyBorder="1" applyAlignment="1">
      <alignment horizontal="right" vertical="top" wrapText="1"/>
    </xf>
    <xf numFmtId="167" fontId="27" fillId="6" borderId="13" xfId="1" applyNumberFormat="1" applyFont="1" applyFill="1" applyBorder="1" applyAlignment="1"/>
    <xf numFmtId="166" fontId="28" fillId="6" borderId="67" xfId="1" applyNumberFormat="1" applyFont="1" applyFill="1" applyBorder="1" applyAlignment="1">
      <alignment vertical="top" wrapText="1"/>
    </xf>
    <xf numFmtId="166" fontId="28" fillId="6" borderId="68" xfId="1" applyNumberFormat="1" applyFont="1" applyFill="1" applyBorder="1" applyAlignment="1">
      <alignment vertical="top" wrapText="1"/>
    </xf>
    <xf numFmtId="166" fontId="28" fillId="6" borderId="69" xfId="1" applyNumberFormat="1" applyFont="1" applyFill="1" applyBorder="1" applyAlignment="1">
      <alignment vertical="top" wrapText="1"/>
    </xf>
    <xf numFmtId="167" fontId="27" fillId="7" borderId="70" xfId="1" applyNumberFormat="1" applyFont="1" applyFill="1" applyBorder="1" applyAlignment="1">
      <alignment vertical="top" wrapText="1"/>
    </xf>
    <xf numFmtId="167" fontId="27" fillId="7" borderId="71" xfId="1" applyNumberFormat="1" applyFont="1" applyFill="1" applyBorder="1" applyAlignment="1">
      <alignment vertical="top" wrapText="1"/>
    </xf>
    <xf numFmtId="167" fontId="27" fillId="9" borderId="70" xfId="1" applyNumberFormat="1" applyFont="1" applyFill="1" applyBorder="1" applyAlignment="1">
      <alignment vertical="top" wrapText="1"/>
    </xf>
    <xf numFmtId="167" fontId="27" fillId="9" borderId="71" xfId="1" applyNumberFormat="1" applyFont="1" applyFill="1" applyBorder="1" applyAlignment="1">
      <alignment vertical="top" wrapText="1"/>
    </xf>
    <xf numFmtId="9" fontId="27" fillId="7" borderId="70" xfId="3" applyFont="1" applyFill="1" applyBorder="1" applyAlignment="1">
      <alignment vertical="top" wrapText="1"/>
    </xf>
    <xf numFmtId="9" fontId="27" fillId="7" borderId="71" xfId="3" applyFont="1" applyFill="1" applyBorder="1" applyAlignment="1">
      <alignment vertical="top" wrapText="1"/>
    </xf>
    <xf numFmtId="167" fontId="27" fillId="7" borderId="72" xfId="1" applyNumberFormat="1" applyFont="1" applyFill="1" applyBorder="1" applyAlignment="1">
      <alignment vertical="top" wrapText="1"/>
    </xf>
    <xf numFmtId="167" fontId="27" fillId="7" borderId="73" xfId="1" applyNumberFormat="1" applyFont="1" applyFill="1" applyBorder="1" applyAlignment="1">
      <alignment vertical="top" wrapText="1"/>
    </xf>
    <xf numFmtId="167" fontId="27" fillId="7" borderId="74" xfId="1" applyNumberFormat="1" applyFont="1" applyFill="1" applyBorder="1" applyAlignment="1">
      <alignment vertical="top" wrapText="1"/>
    </xf>
    <xf numFmtId="167" fontId="28" fillId="6" borderId="75" xfId="1" applyNumberFormat="1" applyFont="1" applyFill="1" applyBorder="1" applyAlignment="1">
      <alignment horizontal="center" vertical="top" wrapText="1"/>
    </xf>
    <xf numFmtId="167" fontId="27" fillId="7" borderId="76" xfId="1" applyNumberFormat="1" applyFont="1" applyFill="1" applyBorder="1" applyAlignment="1">
      <alignment vertical="top" wrapText="1"/>
    </xf>
    <xf numFmtId="167" fontId="27" fillId="9" borderId="76" xfId="1" applyNumberFormat="1" applyFont="1" applyFill="1" applyBorder="1" applyAlignment="1">
      <alignment vertical="top" wrapText="1"/>
    </xf>
    <xf numFmtId="167" fontId="27" fillId="7" borderId="64" xfId="1" applyNumberFormat="1" applyFont="1" applyFill="1" applyBorder="1" applyAlignment="1">
      <alignment vertical="top" wrapText="1"/>
    </xf>
    <xf numFmtId="1" fontId="1" fillId="13" borderId="45" xfId="0" applyNumberFormat="1" applyFont="1" applyFill="1" applyBorder="1" applyAlignment="1">
      <alignment horizontal="right" wrapText="1" readingOrder="1"/>
    </xf>
    <xf numFmtId="1" fontId="1" fillId="13" borderId="47" xfId="0" applyNumberFormat="1" applyFont="1" applyFill="1" applyBorder="1" applyAlignment="1">
      <alignment horizontal="right" wrapText="1" readingOrder="1"/>
    </xf>
    <xf numFmtId="1" fontId="1" fillId="13" borderId="46" xfId="0" applyNumberFormat="1" applyFont="1" applyFill="1" applyBorder="1" applyAlignment="1">
      <alignment horizontal="right" wrapText="1" readingOrder="1"/>
    </xf>
    <xf numFmtId="167" fontId="28" fillId="7" borderId="14" xfId="1" applyNumberFormat="1" applyFont="1" applyFill="1" applyBorder="1" applyAlignment="1">
      <alignment horizontal="center" vertical="top" wrapText="1"/>
    </xf>
    <xf numFmtId="167" fontId="28" fillId="9" borderId="14" xfId="1" applyNumberFormat="1" applyFont="1" applyFill="1" applyBorder="1" applyAlignment="1">
      <alignment horizontal="center" vertical="top" wrapText="1"/>
    </xf>
    <xf numFmtId="167" fontId="29" fillId="7" borderId="14" xfId="1" applyNumberFormat="1" applyFont="1" applyFill="1" applyBorder="1" applyAlignment="1">
      <alignment horizontal="center" vertical="top" wrapText="1"/>
    </xf>
    <xf numFmtId="167" fontId="29" fillId="9" borderId="14" xfId="1" applyNumberFormat="1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31" fillId="5" borderId="7" xfId="0" applyFont="1" applyFill="1" applyBorder="1"/>
    <xf numFmtId="0" fontId="27" fillId="0" borderId="0" xfId="0" applyFont="1"/>
    <xf numFmtId="0" fontId="28" fillId="3" borderId="8" xfId="0" applyFont="1" applyFill="1" applyBorder="1" applyAlignment="1">
      <alignment vertical="top" wrapText="1"/>
    </xf>
    <xf numFmtId="1" fontId="27" fillId="0" borderId="8" xfId="0" applyNumberFormat="1" applyFont="1" applyBorder="1" applyAlignment="1">
      <alignment vertical="top" wrapText="1"/>
    </xf>
    <xf numFmtId="169" fontId="27" fillId="0" borderId="8" xfId="0" applyNumberFormat="1" applyFont="1" applyBorder="1" applyAlignment="1">
      <alignment vertical="top" wrapText="1"/>
    </xf>
    <xf numFmtId="3" fontId="27" fillId="0" borderId="8" xfId="0" applyNumberFormat="1" applyFont="1" applyBorder="1" applyAlignment="1">
      <alignment vertical="top" wrapText="1"/>
    </xf>
    <xf numFmtId="3" fontId="27" fillId="0" borderId="0" xfId="0" applyNumberFormat="1" applyFont="1"/>
    <xf numFmtId="0" fontId="29" fillId="3" borderId="8" xfId="0" applyFont="1" applyFill="1" applyBorder="1" applyAlignment="1">
      <alignment vertical="top" wrapText="1"/>
    </xf>
    <xf numFmtId="3" fontId="27" fillId="0" borderId="7" xfId="0" applyNumberFormat="1" applyFont="1" applyBorder="1" applyAlignment="1">
      <alignment vertical="top" wrapText="1"/>
    </xf>
    <xf numFmtId="0" fontId="32" fillId="5" borderId="7" xfId="0" applyFont="1" applyFill="1" applyBorder="1" applyAlignment="1">
      <alignment horizontal="center" vertical="top" wrapText="1"/>
    </xf>
    <xf numFmtId="0" fontId="2" fillId="0" borderId="77" xfId="0" applyFont="1" applyBorder="1" applyAlignment="1">
      <alignment horizontal="center" vertical="center" wrapText="1" readingOrder="1"/>
    </xf>
    <xf numFmtId="0" fontId="2" fillId="0" borderId="7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 readingOrder="1"/>
    </xf>
    <xf numFmtId="3" fontId="3" fillId="0" borderId="3" xfId="0" applyNumberFormat="1" applyFont="1" applyBorder="1" applyAlignment="1">
      <alignment horizontal="right" wrapText="1" readingOrder="1"/>
    </xf>
    <xf numFmtId="3" fontId="3" fillId="0" borderId="3" xfId="0" applyNumberFormat="1" applyFont="1" applyBorder="1" applyAlignment="1">
      <alignment horizontal="right" vertical="center" wrapText="1" readingOrder="1"/>
    </xf>
    <xf numFmtId="0" fontId="34" fillId="0" borderId="3" xfId="0" applyFont="1" applyBorder="1" applyAlignment="1">
      <alignment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3" fontId="5" fillId="6" borderId="3" xfId="0" applyNumberFormat="1" applyFont="1" applyFill="1" applyBorder="1" applyAlignment="1">
      <alignment horizontal="center" vertical="center" wrapText="1" readingOrder="1"/>
    </xf>
    <xf numFmtId="0" fontId="4" fillId="8" borderId="5" xfId="0" applyFont="1" applyFill="1" applyBorder="1" applyAlignment="1">
      <alignment horizontal="center" vertical="center" wrapText="1" readingOrder="1"/>
    </xf>
    <xf numFmtId="0" fontId="33" fillId="8" borderId="6" xfId="0" applyFont="1" applyFill="1" applyBorder="1" applyAlignment="1">
      <alignment horizontal="center" vertical="center" wrapText="1" readingOrder="1"/>
    </xf>
    <xf numFmtId="0" fontId="4" fillId="8" borderId="6" xfId="0" applyFont="1" applyFill="1" applyBorder="1" applyAlignment="1">
      <alignment horizontal="center" vertical="center" wrapText="1" readingOrder="1"/>
    </xf>
    <xf numFmtId="0" fontId="3" fillId="0" borderId="80" xfId="0" applyFont="1" applyBorder="1" applyAlignment="1">
      <alignment horizontal="center" wrapText="1" readingOrder="1"/>
    </xf>
    <xf numFmtId="0" fontId="3" fillId="0" borderId="81" xfId="0" applyFont="1" applyBorder="1" applyAlignment="1">
      <alignment horizontal="center" wrapText="1" readingOrder="1"/>
    </xf>
    <xf numFmtId="0" fontId="3" fillId="0" borderId="84" xfId="0" applyFont="1" applyBorder="1" applyAlignment="1">
      <alignment horizontal="center" wrapText="1" readingOrder="1"/>
    </xf>
    <xf numFmtId="0" fontId="3" fillId="0" borderId="86" xfId="0" applyFont="1" applyBorder="1" applyAlignment="1">
      <alignment horizontal="center" wrapText="1" readingOrder="1"/>
    </xf>
    <xf numFmtId="0" fontId="3" fillId="0" borderId="87" xfId="0" applyFont="1" applyBorder="1" applyAlignment="1">
      <alignment horizontal="center" wrapText="1" readingOrder="1"/>
    </xf>
    <xf numFmtId="0" fontId="2" fillId="4" borderId="90" xfId="0" applyFont="1" applyFill="1" applyBorder="1" applyAlignment="1">
      <alignment horizontal="center" wrapText="1" readingOrder="1"/>
    </xf>
    <xf numFmtId="0" fontId="0" fillId="0" borderId="57" xfId="0" applyBorder="1"/>
    <xf numFmtId="0" fontId="0" fillId="0" borderId="92" xfId="0" applyBorder="1" applyAlignment="1">
      <alignment horizontal="right"/>
    </xf>
    <xf numFmtId="0" fontId="35" fillId="0" borderId="79" xfId="0" applyFont="1" applyBorder="1" applyAlignment="1">
      <alignment horizontal="center" wrapText="1" readingOrder="1"/>
    </xf>
    <xf numFmtId="0" fontId="35" fillId="0" borderId="0" xfId="0" applyFont="1" applyBorder="1" applyAlignment="1">
      <alignment horizontal="center" wrapText="1" readingOrder="1"/>
    </xf>
    <xf numFmtId="0" fontId="35" fillId="0" borderId="93" xfId="0" applyFont="1" applyBorder="1" applyAlignment="1">
      <alignment horizontal="center" wrapText="1" readingOrder="1"/>
    </xf>
    <xf numFmtId="0" fontId="35" fillId="0" borderId="55" xfId="0" applyFont="1" applyBorder="1" applyAlignment="1">
      <alignment horizontal="center" wrapText="1" readingOrder="1"/>
    </xf>
    <xf numFmtId="0" fontId="2" fillId="4" borderId="94" xfId="0" applyFont="1" applyFill="1" applyBorder="1" applyAlignment="1">
      <alignment horizontal="center" wrapText="1" readingOrder="1"/>
    </xf>
    <xf numFmtId="0" fontId="23" fillId="4" borderId="11" xfId="0" applyFont="1" applyFill="1" applyBorder="1" applyAlignment="1">
      <alignment horizontal="center" wrapText="1" readingOrder="1"/>
    </xf>
    <xf numFmtId="0" fontId="23" fillId="4" borderId="90" xfId="0" applyFont="1" applyFill="1" applyBorder="1" applyAlignment="1">
      <alignment horizontal="center" wrapText="1" readingOrder="1"/>
    </xf>
    <xf numFmtId="0" fontId="2" fillId="6" borderId="11" xfId="0" applyFont="1" applyFill="1" applyBorder="1" applyAlignment="1">
      <alignment horizontal="center" wrapText="1" readingOrder="1"/>
    </xf>
    <xf numFmtId="0" fontId="2" fillId="6" borderId="94" xfId="0" applyFont="1" applyFill="1" applyBorder="1" applyAlignment="1">
      <alignment horizontal="center" wrapText="1" readingOrder="1"/>
    </xf>
    <xf numFmtId="167" fontId="3" fillId="12" borderId="81" xfId="1" applyNumberFormat="1" applyFont="1" applyFill="1" applyBorder="1" applyAlignment="1">
      <alignment horizontal="center" wrapText="1" readingOrder="1"/>
    </xf>
    <xf numFmtId="167" fontId="3" fillId="12" borderId="3" xfId="1" applyNumberFormat="1" applyFont="1" applyFill="1" applyBorder="1" applyAlignment="1">
      <alignment horizontal="center" wrapText="1" readingOrder="1"/>
    </xf>
    <xf numFmtId="167" fontId="3" fillId="12" borderId="87" xfId="1" applyNumberFormat="1" applyFont="1" applyFill="1" applyBorder="1" applyAlignment="1">
      <alignment horizontal="center" wrapText="1" readingOrder="1"/>
    </xf>
    <xf numFmtId="167" fontId="0" fillId="12" borderId="83" xfId="1" applyNumberFormat="1" applyFont="1" applyFill="1" applyBorder="1" applyAlignment="1">
      <alignment horizontal="center" vertical="center"/>
    </xf>
    <xf numFmtId="167" fontId="0" fillId="12" borderId="85" xfId="1" applyNumberFormat="1" applyFont="1" applyFill="1" applyBorder="1" applyAlignment="1">
      <alignment horizontal="center" vertical="center"/>
    </xf>
    <xf numFmtId="167" fontId="0" fillId="12" borderId="89" xfId="1" applyNumberFormat="1" applyFont="1" applyFill="1" applyBorder="1" applyAlignment="1">
      <alignment horizontal="center" vertical="center"/>
    </xf>
    <xf numFmtId="167" fontId="3" fillId="11" borderId="82" xfId="1" applyNumberFormat="1" applyFont="1" applyFill="1" applyBorder="1" applyAlignment="1">
      <alignment horizontal="right" wrapText="1" readingOrder="1"/>
    </xf>
    <xf numFmtId="167" fontId="3" fillId="11" borderId="4" xfId="1" applyNumberFormat="1" applyFont="1" applyFill="1" applyBorder="1" applyAlignment="1">
      <alignment horizontal="right" wrapText="1" readingOrder="1"/>
    </xf>
    <xf numFmtId="167" fontId="3" fillId="11" borderId="88" xfId="1" applyNumberFormat="1" applyFont="1" applyFill="1" applyBorder="1" applyAlignment="1">
      <alignment horizontal="right" wrapText="1" readingOrder="1"/>
    </xf>
    <xf numFmtId="0" fontId="23" fillId="6" borderId="90" xfId="0" applyFont="1" applyFill="1" applyBorder="1" applyAlignment="1">
      <alignment horizontal="center" wrapText="1" readingOrder="1"/>
    </xf>
    <xf numFmtId="167" fontId="23" fillId="6" borderId="90" xfId="1" applyNumberFormat="1" applyFont="1" applyFill="1" applyBorder="1" applyAlignment="1">
      <alignment horizontal="center" wrapText="1" readingOrder="1"/>
    </xf>
    <xf numFmtId="167" fontId="23" fillId="6" borderId="91" xfId="1" applyNumberFormat="1" applyFont="1" applyFill="1" applyBorder="1" applyAlignment="1">
      <alignment horizontal="center" readingOrder="1"/>
    </xf>
    <xf numFmtId="167" fontId="23" fillId="6" borderId="57" xfId="1" applyNumberFormat="1" applyFont="1" applyFill="1" applyBorder="1" applyAlignment="1">
      <alignment horizontal="center" readingOrder="1"/>
    </xf>
    <xf numFmtId="0" fontId="13" fillId="0" borderId="0" xfId="0" applyFont="1"/>
    <xf numFmtId="166" fontId="13" fillId="2" borderId="15" xfId="2" applyNumberFormat="1" applyFont="1" applyFill="1" applyBorder="1" applyAlignment="1"/>
    <xf numFmtId="166" fontId="13" fillId="2" borderId="21" xfId="2" applyNumberFormat="1" applyFont="1" applyFill="1" applyBorder="1" applyAlignment="1"/>
    <xf numFmtId="166" fontId="13" fillId="2" borderId="16" xfId="2" applyNumberFormat="1" applyFont="1" applyFill="1" applyBorder="1" applyAlignment="1"/>
    <xf numFmtId="167" fontId="0" fillId="0" borderId="17" xfId="0" applyNumberFormat="1" applyBorder="1"/>
    <xf numFmtId="167" fontId="0" fillId="0" borderId="18" xfId="0" applyNumberFormat="1" applyBorder="1"/>
    <xf numFmtId="0" fontId="0" fillId="0" borderId="17" xfId="0" applyBorder="1"/>
    <xf numFmtId="0" fontId="0" fillId="0" borderId="18" xfId="0" applyBorder="1"/>
    <xf numFmtId="168" fontId="0" fillId="0" borderId="17" xfId="3" applyNumberFormat="1" applyFont="1" applyBorder="1" applyAlignment="1"/>
    <xf numFmtId="168" fontId="0" fillId="0" borderId="1" xfId="3" applyNumberFormat="1" applyFont="1" applyBorder="1" applyAlignment="1"/>
    <xf numFmtId="168" fontId="0" fillId="0" borderId="18" xfId="3" applyNumberFormat="1" applyFont="1" applyBorder="1" applyAlignment="1"/>
    <xf numFmtId="167" fontId="0" fillId="0" borderId="19" xfId="0" applyNumberFormat="1" applyBorder="1"/>
    <xf numFmtId="167" fontId="0" fillId="0" borderId="22" xfId="0" applyNumberFormat="1" applyBorder="1"/>
    <xf numFmtId="167" fontId="0" fillId="0" borderId="20" xfId="0" applyNumberFormat="1" applyBorder="1"/>
    <xf numFmtId="0" fontId="36" fillId="2" borderId="15" xfId="0" applyFont="1" applyFill="1" applyBorder="1"/>
    <xf numFmtId="0" fontId="36" fillId="3" borderId="17" xfId="0" applyFont="1" applyFill="1" applyBorder="1"/>
    <xf numFmtId="167" fontId="0" fillId="0" borderId="18" xfId="1" applyNumberFormat="1" applyFont="1" applyBorder="1" applyAlignment="1"/>
    <xf numFmtId="10" fontId="0" fillId="0" borderId="18" xfId="0" applyNumberFormat="1" applyBorder="1"/>
    <xf numFmtId="0" fontId="13" fillId="3" borderId="17" xfId="0" applyFont="1" applyFill="1" applyBorder="1"/>
    <xf numFmtId="0" fontId="13" fillId="3" borderId="19" xfId="0" applyFont="1" applyFill="1" applyBorder="1"/>
    <xf numFmtId="0" fontId="0" fillId="0" borderId="20" xfId="0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"/>
  <sheetViews>
    <sheetView tabSelected="1" zoomScale="99" zoomScaleNormal="99" workbookViewId="0">
      <selection activeCell="C23" sqref="C23"/>
    </sheetView>
  </sheetViews>
  <sheetFormatPr defaultColWidth="9" defaultRowHeight="14.4"/>
  <cols>
    <col min="1" max="1" width="26.44140625" customWidth="1"/>
    <col min="2" max="2" width="12.33203125" customWidth="1"/>
    <col min="3" max="15" width="13" customWidth="1"/>
    <col min="16" max="16" width="17" customWidth="1"/>
    <col min="17" max="20" width="43.88671875" customWidth="1"/>
  </cols>
  <sheetData>
    <row r="1" spans="1:15" ht="16.05" customHeight="1" thickTop="1">
      <c r="A1" s="102" t="s">
        <v>0</v>
      </c>
      <c r="B1" s="103" t="s">
        <v>1</v>
      </c>
      <c r="C1" s="97">
        <v>2025</v>
      </c>
      <c r="D1" s="98"/>
      <c r="E1" s="98"/>
      <c r="F1" s="99"/>
      <c r="G1" s="97">
        <v>2026</v>
      </c>
      <c r="H1" s="98"/>
      <c r="I1" s="98"/>
      <c r="J1" s="99"/>
      <c r="K1" s="97">
        <v>2027</v>
      </c>
      <c r="L1" s="98"/>
      <c r="M1" s="98"/>
      <c r="N1" s="99"/>
      <c r="O1" s="100" t="s">
        <v>100</v>
      </c>
    </row>
    <row r="2" spans="1:15" ht="15" thickBot="1">
      <c r="A2" s="104"/>
      <c r="B2" s="105"/>
      <c r="C2" s="106" t="s">
        <v>96</v>
      </c>
      <c r="D2" s="107" t="s">
        <v>97</v>
      </c>
      <c r="E2" s="107" t="s">
        <v>98</v>
      </c>
      <c r="F2" s="108" t="s">
        <v>99</v>
      </c>
      <c r="G2" s="106" t="s">
        <v>96</v>
      </c>
      <c r="H2" s="107" t="s">
        <v>97</v>
      </c>
      <c r="I2" s="107" t="s">
        <v>98</v>
      </c>
      <c r="J2" s="108" t="s">
        <v>99</v>
      </c>
      <c r="K2" s="106" t="s">
        <v>96</v>
      </c>
      <c r="L2" s="107" t="s">
        <v>97</v>
      </c>
      <c r="M2" s="107" t="s">
        <v>98</v>
      </c>
      <c r="N2" s="108" t="s">
        <v>99</v>
      </c>
      <c r="O2" s="101"/>
    </row>
    <row r="3" spans="1:15" s="21" customFormat="1" ht="15.6" thickTop="1" thickBot="1">
      <c r="A3" s="130" t="s">
        <v>84</v>
      </c>
      <c r="B3" s="131" t="s">
        <v>1</v>
      </c>
      <c r="C3" s="246">
        <f>SUM('Monthly new users'!C2:E2)</f>
        <v>5001.4100000000008</v>
      </c>
      <c r="D3" s="247">
        <f>SUM('Monthly new users'!F2:H2)</f>
        <v>6656.8767100000023</v>
      </c>
      <c r="E3" s="247">
        <f>SUM('Monthly new users'!I2:K2)</f>
        <v>8860.3029010100036</v>
      </c>
      <c r="F3" s="248">
        <f>SUM('Monthly new users'!L2:N2)</f>
        <v>11793.063161244318</v>
      </c>
      <c r="G3" s="160">
        <f t="shared" ref="E3:N3" si="0">F3*1.1</f>
        <v>12972.369477368751</v>
      </c>
      <c r="H3" s="161">
        <f t="shared" si="0"/>
        <v>14269.606425105627</v>
      </c>
      <c r="I3" s="161">
        <f t="shared" si="0"/>
        <v>15696.56706761619</v>
      </c>
      <c r="J3" s="162">
        <f t="shared" si="0"/>
        <v>17266.22377437781</v>
      </c>
      <c r="K3" s="160">
        <f t="shared" si="0"/>
        <v>18992.846151815593</v>
      </c>
      <c r="L3" s="161">
        <f t="shared" si="0"/>
        <v>20892.130766997154</v>
      </c>
      <c r="M3" s="161">
        <f t="shared" si="0"/>
        <v>22981.343843696872</v>
      </c>
      <c r="N3" s="163">
        <f t="shared" si="0"/>
        <v>25279.47822806656</v>
      </c>
      <c r="O3" s="147">
        <f>SUM(C3:N3)</f>
        <v>180662.21850729888</v>
      </c>
    </row>
    <row r="4" spans="1:15" ht="15" thickTop="1">
      <c r="A4" s="109" t="s">
        <v>85</v>
      </c>
      <c r="B4" s="110" t="s">
        <v>9</v>
      </c>
      <c r="C4" s="111">
        <f>C5+C8+C14</f>
        <v>240462036.70000002</v>
      </c>
      <c r="D4" s="112">
        <f>D5+D8+D14</f>
        <v>323404996.16770005</v>
      </c>
      <c r="E4" s="112">
        <f>E5+E8+E14</f>
        <v>398495949.25720888</v>
      </c>
      <c r="F4" s="113">
        <f>F5+F8+F14</f>
        <v>540580009.27134502</v>
      </c>
      <c r="G4" s="114">
        <f t="shared" ref="G4:N4" si="1">G5+G8+G14</f>
        <v>594638010.19847965</v>
      </c>
      <c r="H4" s="112">
        <f t="shared" si="1"/>
        <v>654101811.21832764</v>
      </c>
      <c r="I4" s="112">
        <f t="shared" si="1"/>
        <v>719511992.34016037</v>
      </c>
      <c r="J4" s="115">
        <f t="shared" si="1"/>
        <v>791463191.57417643</v>
      </c>
      <c r="K4" s="111">
        <f t="shared" si="1"/>
        <v>870609510.7315942</v>
      </c>
      <c r="L4" s="112">
        <f t="shared" si="1"/>
        <v>957670461.8047539</v>
      </c>
      <c r="M4" s="112">
        <f t="shared" si="1"/>
        <v>1053437507.9852293</v>
      </c>
      <c r="N4" s="113">
        <f t="shared" si="1"/>
        <v>1158781258.7837524</v>
      </c>
      <c r="O4" s="146">
        <f>SUM(C4:N4)</f>
        <v>8303156736.0327282</v>
      </c>
    </row>
    <row r="5" spans="1:15">
      <c r="A5" s="152" t="s">
        <v>3</v>
      </c>
      <c r="B5" s="153" t="s">
        <v>9</v>
      </c>
      <c r="C5" s="154">
        <f>'Sell materials'!F4</f>
        <v>71064280</v>
      </c>
      <c r="D5" s="13">
        <f>'Sell materials'!F7</f>
        <v>97936582</v>
      </c>
      <c r="E5" s="13">
        <f>'Sell materials'!F10</f>
        <v>98397490</v>
      </c>
      <c r="F5" s="155">
        <f>'Sell materials'!F13</f>
        <v>141148960</v>
      </c>
      <c r="G5" s="156">
        <f>F5*(1+10%)</f>
        <v>155263856</v>
      </c>
      <c r="H5" s="13">
        <f t="shared" ref="H5:N5" si="2">G5*(1+10%)</f>
        <v>170790241.60000002</v>
      </c>
      <c r="I5" s="13">
        <f t="shared" si="2"/>
        <v>187869265.76000005</v>
      </c>
      <c r="J5" s="157">
        <f t="shared" si="2"/>
        <v>206656192.33600008</v>
      </c>
      <c r="K5" s="154">
        <f t="shared" si="2"/>
        <v>227321811.56960011</v>
      </c>
      <c r="L5" s="13">
        <f t="shared" si="2"/>
        <v>250053992.72656015</v>
      </c>
      <c r="M5" s="13">
        <f t="shared" si="2"/>
        <v>275059391.9992162</v>
      </c>
      <c r="N5" s="155">
        <f t="shared" si="2"/>
        <v>302565331.19913787</v>
      </c>
      <c r="O5" s="159">
        <f>SUM(C5:N5)</f>
        <v>2184127395.1905141</v>
      </c>
    </row>
    <row r="6" spans="1:15" hidden="1">
      <c r="A6" s="36"/>
      <c r="B6" s="34" t="s">
        <v>9</v>
      </c>
      <c r="C6" s="37">
        <v>58085890</v>
      </c>
      <c r="D6" s="22">
        <v>61828500</v>
      </c>
      <c r="E6" s="22">
        <v>66638340</v>
      </c>
      <c r="F6" s="38">
        <v>81682200</v>
      </c>
      <c r="G6" s="29">
        <f>C6*(1+3%)</f>
        <v>59828466.700000003</v>
      </c>
      <c r="H6" s="22">
        <f>D6*(1+3%)</f>
        <v>63683355</v>
      </c>
      <c r="I6" s="22">
        <f>E6*(1+3%)</f>
        <v>68637490.200000003</v>
      </c>
      <c r="J6" s="49">
        <f>F6*(1+3%)</f>
        <v>84132666</v>
      </c>
      <c r="K6" s="37">
        <f>J6*(1+3%)</f>
        <v>86656645.980000004</v>
      </c>
      <c r="L6" s="22">
        <f>K6*(1+3%)</f>
        <v>89256345.359400004</v>
      </c>
      <c r="M6" s="22">
        <f>L6*(1+3%)</f>
        <v>91934035.720182002</v>
      </c>
      <c r="N6" s="38">
        <f>M6*(1+3%)</f>
        <v>94692056.79178746</v>
      </c>
      <c r="O6" s="60">
        <f t="shared" ref="O6:O35" si="3">SUM(C6:N6)</f>
        <v>907055991.7513696</v>
      </c>
    </row>
    <row r="7" spans="1:15">
      <c r="A7" s="36" t="s">
        <v>4</v>
      </c>
      <c r="B7" s="34" t="s">
        <v>1</v>
      </c>
      <c r="C7" s="37">
        <v>1500</v>
      </c>
      <c r="D7" s="22">
        <f>C7*1.2</f>
        <v>1800</v>
      </c>
      <c r="E7" s="22">
        <f t="shared" ref="E7:N7" si="4">D7*1.2</f>
        <v>2160</v>
      </c>
      <c r="F7" s="38">
        <f t="shared" si="4"/>
        <v>2592</v>
      </c>
      <c r="G7" s="29">
        <f t="shared" si="4"/>
        <v>3110.4</v>
      </c>
      <c r="H7" s="22">
        <f t="shared" si="4"/>
        <v>3732.48</v>
      </c>
      <c r="I7" s="22">
        <f t="shared" si="4"/>
        <v>4478.9759999999997</v>
      </c>
      <c r="J7" s="49">
        <f t="shared" si="4"/>
        <v>5374.7711999999992</v>
      </c>
      <c r="K7" s="37">
        <f t="shared" si="4"/>
        <v>6449.7254399999993</v>
      </c>
      <c r="L7" s="22">
        <f t="shared" si="4"/>
        <v>7739.6705279999987</v>
      </c>
      <c r="M7" s="22">
        <f t="shared" si="4"/>
        <v>9287.6046335999981</v>
      </c>
      <c r="N7" s="38">
        <f t="shared" si="4"/>
        <v>11145.125560319997</v>
      </c>
      <c r="O7" s="60">
        <f t="shared" si="3"/>
        <v>59370.753361919997</v>
      </c>
    </row>
    <row r="8" spans="1:15">
      <c r="A8" s="152" t="s">
        <v>86</v>
      </c>
      <c r="B8" s="153" t="s">
        <v>9</v>
      </c>
      <c r="C8" s="154">
        <f>C9*C11+C12*C13</f>
        <v>139389296.70000002</v>
      </c>
      <c r="D8" s="13">
        <f t="shared" ref="D8:N8" si="5">D9*D11+D12*D13</f>
        <v>185527153.90770006</v>
      </c>
      <c r="E8" s="13">
        <f t="shared" si="5"/>
        <v>246936641.85114881</v>
      </c>
      <c r="F8" s="155">
        <f t="shared" si="5"/>
        <v>328672670.30387908</v>
      </c>
      <c r="G8" s="156">
        <f t="shared" si="5"/>
        <v>361539937.33426714</v>
      </c>
      <c r="H8" s="13">
        <f t="shared" si="5"/>
        <v>397693931.06769383</v>
      </c>
      <c r="I8" s="13">
        <f t="shared" si="5"/>
        <v>437463324.17446321</v>
      </c>
      <c r="J8" s="157">
        <f t="shared" si="5"/>
        <v>481209656.59190953</v>
      </c>
      <c r="K8" s="154">
        <f t="shared" si="5"/>
        <v>529330622.25110054</v>
      </c>
      <c r="L8" s="13">
        <f t="shared" si="5"/>
        <v>582263684.47621083</v>
      </c>
      <c r="M8" s="13">
        <f t="shared" si="5"/>
        <v>640490052.92383182</v>
      </c>
      <c r="N8" s="155">
        <f t="shared" si="5"/>
        <v>704539058.21621513</v>
      </c>
      <c r="O8" s="159">
        <f t="shared" si="3"/>
        <v>5035056029.79842</v>
      </c>
    </row>
    <row r="9" spans="1:15">
      <c r="A9" s="36" t="s">
        <v>6</v>
      </c>
      <c r="B9" s="34" t="s">
        <v>1</v>
      </c>
      <c r="C9" s="39">
        <f>C3*10%</f>
        <v>500.14100000000008</v>
      </c>
      <c r="D9" s="24">
        <f t="shared" ref="D9:N9" si="6">D3*10%</f>
        <v>665.68767100000025</v>
      </c>
      <c r="E9" s="24">
        <f t="shared" si="6"/>
        <v>886.03029010100045</v>
      </c>
      <c r="F9" s="40">
        <f t="shared" si="6"/>
        <v>1179.3063161244318</v>
      </c>
      <c r="G9" s="30">
        <f t="shared" si="6"/>
        <v>1297.2369477368752</v>
      </c>
      <c r="H9" s="24">
        <f t="shared" si="6"/>
        <v>1426.9606425105628</v>
      </c>
      <c r="I9" s="24">
        <f t="shared" si="6"/>
        <v>1569.656706761619</v>
      </c>
      <c r="J9" s="50">
        <f t="shared" si="6"/>
        <v>1726.6223774377811</v>
      </c>
      <c r="K9" s="39">
        <f t="shared" si="6"/>
        <v>1899.2846151815593</v>
      </c>
      <c r="L9" s="24">
        <f t="shared" si="6"/>
        <v>2089.2130766997157</v>
      </c>
      <c r="M9" s="24">
        <f t="shared" si="6"/>
        <v>2298.1343843696873</v>
      </c>
      <c r="N9" s="40">
        <f t="shared" si="6"/>
        <v>2527.9478228066564</v>
      </c>
      <c r="O9" s="60">
        <f t="shared" si="3"/>
        <v>18066.221850729889</v>
      </c>
    </row>
    <row r="10" spans="1:15" ht="16.8" hidden="1">
      <c r="A10" s="36" t="s">
        <v>87</v>
      </c>
      <c r="B10" s="34" t="s">
        <v>23</v>
      </c>
      <c r="C10" s="35"/>
      <c r="D10" s="23"/>
      <c r="E10" s="23"/>
      <c r="F10" s="41"/>
      <c r="G10" s="32"/>
      <c r="H10" s="25"/>
      <c r="I10" s="25"/>
      <c r="J10" s="51"/>
      <c r="K10" s="55"/>
      <c r="L10" s="25"/>
      <c r="M10" s="25"/>
      <c r="N10" s="56"/>
      <c r="O10" s="60">
        <f t="shared" si="3"/>
        <v>0</v>
      </c>
    </row>
    <row r="11" spans="1:15">
      <c r="A11" s="36" t="s">
        <v>5</v>
      </c>
      <c r="B11" s="34" t="s">
        <v>9</v>
      </c>
      <c r="C11" s="37">
        <v>69000</v>
      </c>
      <c r="D11" s="22">
        <f>C11</f>
        <v>69000</v>
      </c>
      <c r="E11" s="22">
        <f t="shared" ref="E11:N11" si="7">D11</f>
        <v>69000</v>
      </c>
      <c r="F11" s="38">
        <f t="shared" si="7"/>
        <v>69000</v>
      </c>
      <c r="G11" s="29">
        <f t="shared" si="7"/>
        <v>69000</v>
      </c>
      <c r="H11" s="22">
        <f t="shared" si="7"/>
        <v>69000</v>
      </c>
      <c r="I11" s="22">
        <f t="shared" si="7"/>
        <v>69000</v>
      </c>
      <c r="J11" s="49">
        <f t="shared" si="7"/>
        <v>69000</v>
      </c>
      <c r="K11" s="37">
        <f t="shared" si="7"/>
        <v>69000</v>
      </c>
      <c r="L11" s="22">
        <f t="shared" si="7"/>
        <v>69000</v>
      </c>
      <c r="M11" s="22">
        <f t="shared" si="7"/>
        <v>69000</v>
      </c>
      <c r="N11" s="38">
        <f t="shared" si="7"/>
        <v>69000</v>
      </c>
      <c r="O11" s="60"/>
    </row>
    <row r="12" spans="1:15">
      <c r="A12" s="82" t="s">
        <v>6</v>
      </c>
      <c r="B12" s="85" t="s">
        <v>7</v>
      </c>
      <c r="C12" s="42">
        <f>C9*30%</f>
        <v>150.04230000000001</v>
      </c>
      <c r="D12" s="26">
        <f t="shared" ref="D12:N12" si="8">D9*30%</f>
        <v>199.70630130000006</v>
      </c>
      <c r="E12" s="26">
        <f t="shared" si="8"/>
        <v>265.80908703030013</v>
      </c>
      <c r="F12" s="43">
        <f t="shared" si="8"/>
        <v>353.79189483732949</v>
      </c>
      <c r="G12" s="31">
        <f t="shared" si="8"/>
        <v>389.17108432106255</v>
      </c>
      <c r="H12" s="26">
        <f t="shared" si="8"/>
        <v>428.08819275316881</v>
      </c>
      <c r="I12" s="26">
        <f t="shared" si="8"/>
        <v>470.89701202848568</v>
      </c>
      <c r="J12" s="52">
        <f t="shared" si="8"/>
        <v>517.98671323133431</v>
      </c>
      <c r="K12" s="42">
        <f t="shared" si="8"/>
        <v>569.78538455446778</v>
      </c>
      <c r="L12" s="26">
        <f t="shared" si="8"/>
        <v>626.76392300991472</v>
      </c>
      <c r="M12" s="26">
        <f t="shared" si="8"/>
        <v>689.44031531090616</v>
      </c>
      <c r="N12" s="43">
        <f t="shared" si="8"/>
        <v>758.38434684199694</v>
      </c>
      <c r="O12" s="60">
        <f t="shared" si="3"/>
        <v>5419.8665552189668</v>
      </c>
    </row>
    <row r="13" spans="1:15">
      <c r="A13" s="82" t="s">
        <v>8</v>
      </c>
      <c r="B13" s="85" t="s">
        <v>9</v>
      </c>
      <c r="C13" s="42">
        <v>699000</v>
      </c>
      <c r="D13" s="26">
        <v>699000</v>
      </c>
      <c r="E13" s="26">
        <v>699000</v>
      </c>
      <c r="F13" s="43">
        <v>699000</v>
      </c>
      <c r="G13" s="31">
        <v>699000</v>
      </c>
      <c r="H13" s="27">
        <v>699000</v>
      </c>
      <c r="I13" s="27">
        <v>699000</v>
      </c>
      <c r="J13" s="53">
        <v>699000</v>
      </c>
      <c r="K13" s="57">
        <v>699000</v>
      </c>
      <c r="L13" s="27">
        <v>699000</v>
      </c>
      <c r="M13" s="27">
        <v>699000</v>
      </c>
      <c r="N13" s="58">
        <v>699000</v>
      </c>
      <c r="O13" s="60"/>
    </row>
    <row r="14" spans="1:15" ht="28.8">
      <c r="A14" s="152" t="s">
        <v>10</v>
      </c>
      <c r="B14" s="158" t="s">
        <v>9</v>
      </c>
      <c r="C14" s="154">
        <f>15%*C15*C16</f>
        <v>30008460.000000004</v>
      </c>
      <c r="D14" s="13">
        <f t="shared" ref="D14:N14" si="9">15%*D15*D16</f>
        <v>39941260.260000013</v>
      </c>
      <c r="E14" s="13">
        <f t="shared" si="9"/>
        <v>53161817.406060025</v>
      </c>
      <c r="F14" s="155">
        <f t="shared" si="9"/>
        <v>70758378.967465892</v>
      </c>
      <c r="G14" s="156">
        <f t="shared" si="9"/>
        <v>77834216.864212513</v>
      </c>
      <c r="H14" s="13">
        <f t="shared" si="9"/>
        <v>85617638.550633758</v>
      </c>
      <c r="I14" s="13">
        <f t="shared" si="9"/>
        <v>94179402.405697137</v>
      </c>
      <c r="J14" s="157">
        <f t="shared" si="9"/>
        <v>103597342.64626686</v>
      </c>
      <c r="K14" s="154">
        <f t="shared" si="9"/>
        <v>113957076.91089356</v>
      </c>
      <c r="L14" s="13">
        <f t="shared" si="9"/>
        <v>125352784.60198295</v>
      </c>
      <c r="M14" s="13">
        <f t="shared" si="9"/>
        <v>137888063.06218123</v>
      </c>
      <c r="N14" s="155">
        <f t="shared" si="9"/>
        <v>151676869.36839938</v>
      </c>
      <c r="O14" s="159">
        <f t="shared" si="3"/>
        <v>1083973311.0437932</v>
      </c>
    </row>
    <row r="15" spans="1:15">
      <c r="A15" s="36" t="s">
        <v>11</v>
      </c>
      <c r="B15" s="85" t="s">
        <v>7</v>
      </c>
      <c r="C15" s="37">
        <f>C3*10%</f>
        <v>500.14100000000008</v>
      </c>
      <c r="D15" s="22">
        <f t="shared" ref="D15:N15" si="10">D3*10%</f>
        <v>665.68767100000025</v>
      </c>
      <c r="E15" s="22">
        <f t="shared" si="10"/>
        <v>886.03029010100045</v>
      </c>
      <c r="F15" s="38">
        <f t="shared" si="10"/>
        <v>1179.3063161244318</v>
      </c>
      <c r="G15" s="29">
        <f t="shared" si="10"/>
        <v>1297.2369477368752</v>
      </c>
      <c r="H15" s="22">
        <f t="shared" si="10"/>
        <v>1426.9606425105628</v>
      </c>
      <c r="I15" s="22">
        <f t="shared" si="10"/>
        <v>1569.656706761619</v>
      </c>
      <c r="J15" s="49">
        <f t="shared" si="10"/>
        <v>1726.6223774377811</v>
      </c>
      <c r="K15" s="37">
        <f t="shared" si="10"/>
        <v>1899.2846151815593</v>
      </c>
      <c r="L15" s="22">
        <f t="shared" si="10"/>
        <v>2089.2130766997157</v>
      </c>
      <c r="M15" s="22">
        <f t="shared" si="10"/>
        <v>2298.1343843696873</v>
      </c>
      <c r="N15" s="38">
        <f t="shared" si="10"/>
        <v>2527.9478228066564</v>
      </c>
      <c r="O15" s="60">
        <f>SUM(C15:N15)</f>
        <v>18066.221850729889</v>
      </c>
    </row>
    <row r="16" spans="1:15" ht="29.4" thickBot="1">
      <c r="A16" s="83" t="s">
        <v>12</v>
      </c>
      <c r="B16" s="86" t="s">
        <v>9</v>
      </c>
      <c r="C16" s="68">
        <v>400000</v>
      </c>
      <c r="D16" s="69">
        <f>C16</f>
        <v>400000</v>
      </c>
      <c r="E16" s="69">
        <f t="shared" ref="E16:N16" si="11">D16</f>
        <v>400000</v>
      </c>
      <c r="F16" s="70">
        <f t="shared" si="11"/>
        <v>400000</v>
      </c>
      <c r="G16" s="71">
        <f t="shared" si="11"/>
        <v>400000</v>
      </c>
      <c r="H16" s="69">
        <f t="shared" si="11"/>
        <v>400000</v>
      </c>
      <c r="I16" s="69">
        <f t="shared" si="11"/>
        <v>400000</v>
      </c>
      <c r="J16" s="72">
        <f t="shared" si="11"/>
        <v>400000</v>
      </c>
      <c r="K16" s="68">
        <f t="shared" si="11"/>
        <v>400000</v>
      </c>
      <c r="L16" s="69">
        <f t="shared" si="11"/>
        <v>400000</v>
      </c>
      <c r="M16" s="69">
        <f t="shared" si="11"/>
        <v>400000</v>
      </c>
      <c r="N16" s="70">
        <f t="shared" si="11"/>
        <v>400000</v>
      </c>
      <c r="O16" s="73"/>
    </row>
    <row r="17" spans="1:31" ht="15.6" thickTop="1" thickBot="1">
      <c r="A17" s="109" t="s">
        <v>88</v>
      </c>
      <c r="B17" s="110" t="s">
        <v>9</v>
      </c>
      <c r="C17" s="117">
        <f>COGS!C1</f>
        <v>17570130</v>
      </c>
      <c r="D17" s="118">
        <f>C17*1.1</f>
        <v>19327143</v>
      </c>
      <c r="E17" s="118">
        <f t="shared" ref="E17:N17" si="12">D17*1.1</f>
        <v>21259857.300000001</v>
      </c>
      <c r="F17" s="119">
        <f t="shared" si="12"/>
        <v>23385843.030000001</v>
      </c>
      <c r="G17" s="117">
        <f t="shared" si="12"/>
        <v>25724427.333000004</v>
      </c>
      <c r="H17" s="118">
        <f t="shared" si="12"/>
        <v>28296870.066300008</v>
      </c>
      <c r="I17" s="118">
        <f t="shared" si="12"/>
        <v>31126557.072930012</v>
      </c>
      <c r="J17" s="119">
        <f t="shared" si="12"/>
        <v>34239212.780223019</v>
      </c>
      <c r="K17" s="117">
        <f t="shared" si="12"/>
        <v>37663134.058245324</v>
      </c>
      <c r="L17" s="118">
        <f t="shared" si="12"/>
        <v>41429447.464069858</v>
      </c>
      <c r="M17" s="118">
        <f t="shared" si="12"/>
        <v>45572392.210476846</v>
      </c>
      <c r="N17" s="119">
        <f t="shared" si="12"/>
        <v>50129631.431524538</v>
      </c>
      <c r="O17" s="149">
        <f t="shared" si="3"/>
        <v>375724645.74676955</v>
      </c>
    </row>
    <row r="18" spans="1:31" hidden="1">
      <c r="A18" s="120" t="s">
        <v>14</v>
      </c>
      <c r="B18" s="121" t="s">
        <v>9</v>
      </c>
      <c r="C18" s="111">
        <v>23500000</v>
      </c>
      <c r="D18" s="112">
        <f>C18</f>
        <v>23500000</v>
      </c>
      <c r="E18" s="112">
        <f t="shared" ref="E18:N18" si="13">D18</f>
        <v>23500000</v>
      </c>
      <c r="F18" s="113">
        <f t="shared" si="13"/>
        <v>23500000</v>
      </c>
      <c r="G18" s="114">
        <f t="shared" si="13"/>
        <v>23500000</v>
      </c>
      <c r="H18" s="112">
        <f t="shared" si="13"/>
        <v>23500000</v>
      </c>
      <c r="I18" s="112">
        <f t="shared" si="13"/>
        <v>23500000</v>
      </c>
      <c r="J18" s="115">
        <f t="shared" si="13"/>
        <v>23500000</v>
      </c>
      <c r="K18" s="111">
        <f t="shared" si="13"/>
        <v>23500000</v>
      </c>
      <c r="L18" s="112">
        <f t="shared" si="13"/>
        <v>23500000</v>
      </c>
      <c r="M18" s="112">
        <f t="shared" si="13"/>
        <v>23500000</v>
      </c>
      <c r="N18" s="113">
        <f t="shared" si="13"/>
        <v>23500000</v>
      </c>
      <c r="O18" s="116">
        <f t="shared" si="3"/>
        <v>282000000</v>
      </c>
    </row>
    <row r="19" spans="1:31" ht="15" thickTop="1">
      <c r="A19" s="122" t="s">
        <v>89</v>
      </c>
      <c r="B19" s="123" t="s">
        <v>9</v>
      </c>
      <c r="C19" s="124">
        <f>C4-C17</f>
        <v>222891906.70000002</v>
      </c>
      <c r="D19" s="125">
        <f t="shared" ref="D19:N19" si="14">D4-D17</f>
        <v>304077853.16770005</v>
      </c>
      <c r="E19" s="125">
        <f t="shared" si="14"/>
        <v>377236091.95720887</v>
      </c>
      <c r="F19" s="126">
        <f t="shared" si="14"/>
        <v>517194166.24134505</v>
      </c>
      <c r="G19" s="127">
        <f t="shared" si="14"/>
        <v>568913582.86547971</v>
      </c>
      <c r="H19" s="125">
        <f t="shared" si="14"/>
        <v>625804941.15202761</v>
      </c>
      <c r="I19" s="125">
        <f t="shared" si="14"/>
        <v>688385435.26723039</v>
      </c>
      <c r="J19" s="128">
        <f t="shared" si="14"/>
        <v>757223978.79395342</v>
      </c>
      <c r="K19" s="124">
        <f t="shared" si="14"/>
        <v>832946376.6733489</v>
      </c>
      <c r="L19" s="125">
        <f t="shared" si="14"/>
        <v>916241014.34068406</v>
      </c>
      <c r="M19" s="125">
        <f t="shared" si="14"/>
        <v>1007865115.7747524</v>
      </c>
      <c r="N19" s="126">
        <f t="shared" si="14"/>
        <v>1108651627.3522279</v>
      </c>
      <c r="O19" s="148">
        <f t="shared" si="3"/>
        <v>7927432090.2859592</v>
      </c>
    </row>
    <row r="20" spans="1:31" ht="15" thickBot="1">
      <c r="A20" s="83" t="s">
        <v>90</v>
      </c>
      <c r="B20" s="88" t="s">
        <v>23</v>
      </c>
      <c r="C20" s="74">
        <f>(C19/C4)*100</f>
        <v>92.693179247283652</v>
      </c>
      <c r="D20" s="75">
        <f t="shared" ref="D20:N20" si="15">(D19/D4)*100</f>
        <v>94.023857630827081</v>
      </c>
      <c r="E20" s="75">
        <f t="shared" si="15"/>
        <v>94.664975305363058</v>
      </c>
      <c r="F20" s="76">
        <f t="shared" si="15"/>
        <v>95.67393491640172</v>
      </c>
      <c r="G20" s="74">
        <f t="shared" si="15"/>
        <v>95.67393491640172</v>
      </c>
      <c r="H20" s="75">
        <f t="shared" si="15"/>
        <v>95.67393491640172</v>
      </c>
      <c r="I20" s="75">
        <f t="shared" si="15"/>
        <v>95.67393491640172</v>
      </c>
      <c r="J20" s="76">
        <f t="shared" si="15"/>
        <v>95.67393491640172</v>
      </c>
      <c r="K20" s="74">
        <f t="shared" si="15"/>
        <v>95.67393491640172</v>
      </c>
      <c r="L20" s="75">
        <f t="shared" si="15"/>
        <v>95.67393491640172</v>
      </c>
      <c r="M20" s="75">
        <f t="shared" si="15"/>
        <v>95.67393491640172</v>
      </c>
      <c r="N20" s="76">
        <f t="shared" si="15"/>
        <v>95.67393491640172</v>
      </c>
      <c r="O20" s="73">
        <f t="shared" si="3"/>
        <v>1142.4474264310895</v>
      </c>
    </row>
    <row r="21" spans="1:31" ht="15" thickTop="1">
      <c r="A21" s="109" t="s">
        <v>91</v>
      </c>
      <c r="B21" s="110"/>
      <c r="C21" s="111"/>
      <c r="D21" s="112"/>
      <c r="E21" s="112"/>
      <c r="F21" s="113"/>
      <c r="G21" s="114"/>
      <c r="H21" s="112"/>
      <c r="I21" s="112"/>
      <c r="J21" s="115"/>
      <c r="K21" s="111"/>
      <c r="L21" s="112"/>
      <c r="M21" s="112"/>
      <c r="N21" s="113"/>
      <c r="O21" s="129"/>
    </row>
    <row r="22" spans="1:31">
      <c r="A22" s="36" t="s">
        <v>15</v>
      </c>
      <c r="B22" s="34" t="s">
        <v>9</v>
      </c>
      <c r="C22" s="37">
        <v>15000000</v>
      </c>
      <c r="D22" s="22">
        <f>C22</f>
        <v>15000000</v>
      </c>
      <c r="E22" s="22">
        <f t="shared" ref="E22:N22" si="16">D22</f>
        <v>15000000</v>
      </c>
      <c r="F22" s="38">
        <f t="shared" si="16"/>
        <v>15000000</v>
      </c>
      <c r="G22" s="29">
        <f t="shared" si="16"/>
        <v>15000000</v>
      </c>
      <c r="H22" s="22">
        <f t="shared" si="16"/>
        <v>15000000</v>
      </c>
      <c r="I22" s="22">
        <f t="shared" si="16"/>
        <v>15000000</v>
      </c>
      <c r="J22" s="49">
        <f t="shared" si="16"/>
        <v>15000000</v>
      </c>
      <c r="K22" s="37">
        <f t="shared" si="16"/>
        <v>15000000</v>
      </c>
      <c r="L22" s="22">
        <f t="shared" si="16"/>
        <v>15000000</v>
      </c>
      <c r="M22" s="22">
        <f t="shared" si="16"/>
        <v>15000000</v>
      </c>
      <c r="N22" s="38">
        <f t="shared" si="16"/>
        <v>15000000</v>
      </c>
      <c r="O22" s="60">
        <f t="shared" si="3"/>
        <v>180000000</v>
      </c>
    </row>
    <row r="23" spans="1:31">
      <c r="A23" s="36" t="s">
        <v>44</v>
      </c>
      <c r="B23" s="34" t="s">
        <v>9</v>
      </c>
      <c r="C23" s="37">
        <v>200000000</v>
      </c>
      <c r="D23" s="22">
        <f>C23</f>
        <v>200000000</v>
      </c>
      <c r="E23" s="22">
        <f t="shared" ref="E23:N23" si="17">D23</f>
        <v>200000000</v>
      </c>
      <c r="F23" s="38">
        <f t="shared" si="17"/>
        <v>200000000</v>
      </c>
      <c r="G23" s="29">
        <f t="shared" si="17"/>
        <v>200000000</v>
      </c>
      <c r="H23" s="22">
        <f t="shared" si="17"/>
        <v>200000000</v>
      </c>
      <c r="I23" s="22">
        <f t="shared" si="17"/>
        <v>200000000</v>
      </c>
      <c r="J23" s="49">
        <f t="shared" si="17"/>
        <v>200000000</v>
      </c>
      <c r="K23" s="37">
        <f t="shared" si="17"/>
        <v>200000000</v>
      </c>
      <c r="L23" s="22">
        <f t="shared" si="17"/>
        <v>200000000</v>
      </c>
      <c r="M23" s="22">
        <f t="shared" si="17"/>
        <v>200000000</v>
      </c>
      <c r="N23" s="38">
        <f t="shared" si="17"/>
        <v>200000000</v>
      </c>
      <c r="O23" s="60">
        <f t="shared" si="3"/>
        <v>2400000000</v>
      </c>
    </row>
    <row r="24" spans="1:31">
      <c r="A24" s="36" t="s">
        <v>16</v>
      </c>
      <c r="B24" s="34" t="s">
        <v>9</v>
      </c>
      <c r="C24" s="37">
        <v>20000000</v>
      </c>
      <c r="D24" s="22"/>
      <c r="E24" s="22"/>
      <c r="F24" s="38"/>
      <c r="G24" s="29">
        <v>20000000</v>
      </c>
      <c r="H24" s="22"/>
      <c r="I24" s="22"/>
      <c r="J24" s="49"/>
      <c r="K24" s="37">
        <v>20000000</v>
      </c>
      <c r="L24" s="22"/>
      <c r="M24" s="22"/>
      <c r="N24" s="38"/>
      <c r="O24" s="60">
        <f t="shared" si="3"/>
        <v>60000000</v>
      </c>
    </row>
    <row r="25" spans="1:31" ht="15" thickBot="1">
      <c r="A25" s="36" t="s">
        <v>43</v>
      </c>
      <c r="B25" s="34" t="s">
        <v>9</v>
      </c>
      <c r="C25" s="77"/>
      <c r="D25" s="78"/>
      <c r="E25" s="78"/>
      <c r="F25" s="79"/>
      <c r="G25" s="80">
        <f>6*3*7000000</f>
        <v>126000000</v>
      </c>
      <c r="H25" s="78">
        <f>6*3*7000000</f>
        <v>126000000</v>
      </c>
      <c r="I25" s="78">
        <f>6*3*7000000</f>
        <v>126000000</v>
      </c>
      <c r="J25" s="81">
        <f>6*3*7000000</f>
        <v>126000000</v>
      </c>
      <c r="K25" s="77">
        <f>J25*1.1</f>
        <v>138600000</v>
      </c>
      <c r="L25" s="78">
        <f>K25</f>
        <v>138600000</v>
      </c>
      <c r="M25" s="78">
        <f>L25</f>
        <v>138600000</v>
      </c>
      <c r="N25" s="79">
        <f>M25</f>
        <v>138600000</v>
      </c>
      <c r="O25" s="60">
        <f t="shared" si="3"/>
        <v>1058400000</v>
      </c>
    </row>
    <row r="26" spans="1:31" hidden="1">
      <c r="A26" s="84" t="s">
        <v>18</v>
      </c>
      <c r="B26" s="87" t="s">
        <v>9</v>
      </c>
      <c r="C26" s="62"/>
      <c r="D26" s="63"/>
      <c r="E26" s="63"/>
      <c r="F26" s="64"/>
      <c r="G26" s="65"/>
      <c r="H26" s="63"/>
      <c r="I26" s="63"/>
      <c r="J26" s="66"/>
      <c r="K26" s="62"/>
      <c r="L26" s="63"/>
      <c r="M26" s="63"/>
      <c r="N26" s="64"/>
      <c r="O26" s="73">
        <f t="shared" si="3"/>
        <v>0</v>
      </c>
      <c r="Q26" s="19"/>
    </row>
    <row r="27" spans="1:31" ht="15.6" thickTop="1" thickBot="1">
      <c r="A27" s="130" t="s">
        <v>19</v>
      </c>
      <c r="B27" s="131" t="s">
        <v>9</v>
      </c>
      <c r="C27" s="132">
        <v>20000000</v>
      </c>
      <c r="D27" s="133">
        <f>C27</f>
        <v>20000000</v>
      </c>
      <c r="E27" s="133">
        <f t="shared" ref="E27:N27" si="18">D27</f>
        <v>20000000</v>
      </c>
      <c r="F27" s="134">
        <f t="shared" si="18"/>
        <v>20000000</v>
      </c>
      <c r="G27" s="132">
        <f t="shared" si="18"/>
        <v>20000000</v>
      </c>
      <c r="H27" s="133">
        <f t="shared" si="18"/>
        <v>20000000</v>
      </c>
      <c r="I27" s="133">
        <f t="shared" si="18"/>
        <v>20000000</v>
      </c>
      <c r="J27" s="134">
        <f t="shared" si="18"/>
        <v>20000000</v>
      </c>
      <c r="K27" s="132">
        <f t="shared" si="18"/>
        <v>20000000</v>
      </c>
      <c r="L27" s="133">
        <f t="shared" si="18"/>
        <v>20000000</v>
      </c>
      <c r="M27" s="133">
        <f t="shared" si="18"/>
        <v>20000000</v>
      </c>
      <c r="N27" s="134">
        <f t="shared" si="18"/>
        <v>20000000</v>
      </c>
      <c r="O27" s="150">
        <f t="shared" si="3"/>
        <v>240000000</v>
      </c>
      <c r="Q27" s="19"/>
    </row>
    <row r="28" spans="1:31" ht="15.6" thickTop="1" thickBot="1">
      <c r="A28" s="130" t="s">
        <v>20</v>
      </c>
      <c r="B28" s="131" t="s">
        <v>9</v>
      </c>
      <c r="C28" s="117">
        <f>SUM(C22:C25)</f>
        <v>235000000</v>
      </c>
      <c r="D28" s="118">
        <f>SUM(D22:D25)</f>
        <v>215000000</v>
      </c>
      <c r="E28" s="118">
        <f t="shared" ref="E28:N28" si="19">SUM(E22:E25)</f>
        <v>215000000</v>
      </c>
      <c r="F28" s="119">
        <f t="shared" si="19"/>
        <v>215000000</v>
      </c>
      <c r="G28" s="117">
        <f t="shared" si="19"/>
        <v>361000000</v>
      </c>
      <c r="H28" s="118">
        <f t="shared" si="19"/>
        <v>341000000</v>
      </c>
      <c r="I28" s="118">
        <f t="shared" si="19"/>
        <v>341000000</v>
      </c>
      <c r="J28" s="119">
        <f t="shared" si="19"/>
        <v>341000000</v>
      </c>
      <c r="K28" s="117">
        <f t="shared" si="19"/>
        <v>373600000</v>
      </c>
      <c r="L28" s="118">
        <f t="shared" si="19"/>
        <v>353600000</v>
      </c>
      <c r="M28" s="118">
        <f t="shared" si="19"/>
        <v>353600000</v>
      </c>
      <c r="N28" s="119">
        <f t="shared" si="19"/>
        <v>353600000</v>
      </c>
      <c r="O28" s="150">
        <f t="shared" si="3"/>
        <v>3698400000</v>
      </c>
      <c r="Q28" s="145"/>
    </row>
    <row r="29" spans="1:31" ht="15" thickTop="1">
      <c r="A29" s="109" t="s">
        <v>92</v>
      </c>
      <c r="B29" s="110" t="s">
        <v>9</v>
      </c>
      <c r="C29" s="135">
        <f>C19-C28</f>
        <v>-12108093.299999982</v>
      </c>
      <c r="D29" s="136">
        <f>D19-D28</f>
        <v>89077853.167700052</v>
      </c>
      <c r="E29" s="136">
        <f t="shared" ref="E29:N29" si="20">E19-E28</f>
        <v>162236091.95720887</v>
      </c>
      <c r="F29" s="137">
        <f t="shared" si="20"/>
        <v>302194166.24134505</v>
      </c>
      <c r="G29" s="138">
        <f t="shared" si="20"/>
        <v>207913582.86547971</v>
      </c>
      <c r="H29" s="136">
        <f t="shared" si="20"/>
        <v>284804941.15202761</v>
      </c>
      <c r="I29" s="136">
        <f t="shared" si="20"/>
        <v>347385435.26723039</v>
      </c>
      <c r="J29" s="139">
        <f t="shared" si="20"/>
        <v>416223978.79395342</v>
      </c>
      <c r="K29" s="135">
        <f t="shared" si="20"/>
        <v>459346376.6733489</v>
      </c>
      <c r="L29" s="136">
        <f t="shared" si="20"/>
        <v>562641014.34068406</v>
      </c>
      <c r="M29" s="136">
        <f t="shared" si="20"/>
        <v>654265115.77475238</v>
      </c>
      <c r="N29" s="137">
        <f t="shared" si="20"/>
        <v>755051627.35222793</v>
      </c>
      <c r="O29" s="151">
        <f t="shared" si="3"/>
        <v>4229032090.2859583</v>
      </c>
    </row>
    <row r="30" spans="1:31">
      <c r="A30" s="36" t="s">
        <v>21</v>
      </c>
      <c r="B30" s="34" t="s">
        <v>23</v>
      </c>
      <c r="C30" s="44">
        <f>(C29/C4)*100</f>
        <v>-5.0353450657602208</v>
      </c>
      <c r="D30" s="28">
        <f t="shared" ref="D30:N30" si="21">D29/D4*100</f>
        <v>27.543746764353997</v>
      </c>
      <c r="E30" s="28">
        <f t="shared" si="21"/>
        <v>40.712105671240764</v>
      </c>
      <c r="F30" s="45">
        <f t="shared" si="21"/>
        <v>55.901838961576956</v>
      </c>
      <c r="G30" s="33">
        <f t="shared" si="21"/>
        <v>34.964731365908115</v>
      </c>
      <c r="H30" s="28">
        <f t="shared" si="21"/>
        <v>43.541377850880885</v>
      </c>
      <c r="I30" s="28">
        <f t="shared" si="21"/>
        <v>48.280701220473695</v>
      </c>
      <c r="J30" s="54">
        <f t="shared" si="21"/>
        <v>52.589177011012602</v>
      </c>
      <c r="K30" s="59">
        <f t="shared" si="21"/>
        <v>52.761470097811028</v>
      </c>
      <c r="L30" s="28">
        <f t="shared" si="21"/>
        <v>58.751004315239399</v>
      </c>
      <c r="M30" s="28">
        <f t="shared" si="21"/>
        <v>62.107634369890519</v>
      </c>
      <c r="N30" s="45">
        <f t="shared" si="21"/>
        <v>65.159116237755171</v>
      </c>
      <c r="O30" s="60">
        <f t="shared" si="3"/>
        <v>537.27755880038285</v>
      </c>
    </row>
    <row r="31" spans="1:31" ht="15" thickBot="1">
      <c r="A31" s="83" t="s">
        <v>93</v>
      </c>
      <c r="B31" s="88" t="s">
        <v>23</v>
      </c>
      <c r="C31" s="67">
        <v>20</v>
      </c>
      <c r="D31" s="89">
        <v>20</v>
      </c>
      <c r="E31" s="89">
        <v>20</v>
      </c>
      <c r="F31" s="90">
        <v>20</v>
      </c>
      <c r="G31" s="94">
        <v>20</v>
      </c>
      <c r="H31" s="89">
        <v>20</v>
      </c>
      <c r="I31" s="89">
        <v>20</v>
      </c>
      <c r="J31" s="95">
        <v>20</v>
      </c>
      <c r="K31" s="67">
        <v>20</v>
      </c>
      <c r="L31" s="89">
        <v>20</v>
      </c>
      <c r="M31" s="89">
        <v>20</v>
      </c>
      <c r="N31" s="90">
        <v>20</v>
      </c>
      <c r="O31" s="73">
        <f t="shared" si="3"/>
        <v>240</v>
      </c>
    </row>
    <row r="32" spans="1:31" ht="15" thickTop="1">
      <c r="A32" s="140" t="s">
        <v>94</v>
      </c>
      <c r="B32" s="110" t="s">
        <v>9</v>
      </c>
      <c r="C32" s="141">
        <f>Loan!C6+Loan!D6+Loan!E6</f>
        <v>16962500.000000004</v>
      </c>
      <c r="D32" s="142">
        <f>Loan!F6+Loan!G6+Loan!H6</f>
        <v>16100000.000000004</v>
      </c>
      <c r="E32" s="142">
        <f>Loan!I6+Loan!J6+Loan!K6</f>
        <v>15237500.000000007</v>
      </c>
      <c r="F32" s="143">
        <f>Loan!L6+Loan!M6+Loan!N6</f>
        <v>14375000.000000007</v>
      </c>
      <c r="G32" s="141">
        <f>Loan!O6+Loan!P6+Loan!Q6</f>
        <v>13512500.000000011</v>
      </c>
      <c r="H32" s="142">
        <f>Loan!R6+Loan!S6+Loan!T6</f>
        <v>12650000.000000013</v>
      </c>
      <c r="I32" s="142">
        <f>Loan!U6+Loan!V6+Loan!W6</f>
        <v>11787500.000000015</v>
      </c>
      <c r="J32" s="143">
        <f>Loan!X6+Loan!Y6+Loan!Z6</f>
        <v>10925000.000000017</v>
      </c>
      <c r="K32" s="141">
        <f>Loan!AA6+Loan!AB6+Loan!AC6</f>
        <v>10062500.000000019</v>
      </c>
      <c r="L32" s="142">
        <f>Loan!AD6+Loan!AE6+Loan!AF6</f>
        <v>9200000.0000000186</v>
      </c>
      <c r="M32" s="142">
        <f>Loan!AG6+Loan!AH6+Loan!AI6</f>
        <v>8337500.0000000186</v>
      </c>
      <c r="N32" s="143">
        <f>Loan!AJ6+Loan!AK6+Loan!AL6</f>
        <v>7475000.0000000186</v>
      </c>
      <c r="O32" s="151">
        <f t="shared" si="3"/>
        <v>146625000.00000015</v>
      </c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</row>
    <row r="33" spans="1:31" ht="15" thickBot="1">
      <c r="A33" s="96" t="s">
        <v>22</v>
      </c>
      <c r="B33" s="88" t="s">
        <v>23</v>
      </c>
      <c r="C33" s="91">
        <v>6.9</v>
      </c>
      <c r="D33" s="92">
        <f>C33</f>
        <v>6.9</v>
      </c>
      <c r="E33" s="92">
        <f t="shared" ref="E33:N33" si="22">D33</f>
        <v>6.9</v>
      </c>
      <c r="F33" s="93">
        <f t="shared" si="22"/>
        <v>6.9</v>
      </c>
      <c r="G33" s="91">
        <f t="shared" si="22"/>
        <v>6.9</v>
      </c>
      <c r="H33" s="92">
        <f t="shared" si="22"/>
        <v>6.9</v>
      </c>
      <c r="I33" s="92">
        <f t="shared" si="22"/>
        <v>6.9</v>
      </c>
      <c r="J33" s="93">
        <f t="shared" si="22"/>
        <v>6.9</v>
      </c>
      <c r="K33" s="91">
        <f t="shared" si="22"/>
        <v>6.9</v>
      </c>
      <c r="L33" s="92">
        <f t="shared" si="22"/>
        <v>6.9</v>
      </c>
      <c r="M33" s="92">
        <f t="shared" si="22"/>
        <v>6.9</v>
      </c>
      <c r="N33" s="93">
        <f t="shared" si="22"/>
        <v>6.9</v>
      </c>
      <c r="O33" s="61">
        <f t="shared" si="3"/>
        <v>82.800000000000011</v>
      </c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</row>
    <row r="34" spans="1:31" ht="15" thickTop="1">
      <c r="A34" s="140" t="s">
        <v>95</v>
      </c>
      <c r="B34" s="110" t="s">
        <v>9</v>
      </c>
      <c r="C34" s="111">
        <f>C29-C32</f>
        <v>-29070593.299999986</v>
      </c>
      <c r="D34" s="112">
        <f>D29-D32</f>
        <v>72977853.167700052</v>
      </c>
      <c r="E34" s="112">
        <f t="shared" ref="E34:N34" si="23">E29-E32</f>
        <v>146998591.95720887</v>
      </c>
      <c r="F34" s="113">
        <f t="shared" si="23"/>
        <v>287819166.24134505</v>
      </c>
      <c r="G34" s="114">
        <f t="shared" si="23"/>
        <v>194401082.86547971</v>
      </c>
      <c r="H34" s="112">
        <f t="shared" si="23"/>
        <v>272154941.15202761</v>
      </c>
      <c r="I34" s="112">
        <f t="shared" si="23"/>
        <v>335597935.26723039</v>
      </c>
      <c r="J34" s="115">
        <f t="shared" si="23"/>
        <v>405298978.79395342</v>
      </c>
      <c r="K34" s="111">
        <f t="shared" si="23"/>
        <v>449283876.6733489</v>
      </c>
      <c r="L34" s="112">
        <f t="shared" si="23"/>
        <v>553441014.34068406</v>
      </c>
      <c r="M34" s="112">
        <f t="shared" si="23"/>
        <v>645927615.77475238</v>
      </c>
      <c r="N34" s="113">
        <f t="shared" si="23"/>
        <v>747576627.35222793</v>
      </c>
      <c r="O34" s="146">
        <f t="shared" si="3"/>
        <v>4082407090.2859583</v>
      </c>
    </row>
    <row r="35" spans="1:31" ht="15" thickBot="1">
      <c r="A35" s="83" t="s">
        <v>24</v>
      </c>
      <c r="B35" s="88" t="s">
        <v>23</v>
      </c>
      <c r="C35" s="46">
        <f>C34/C4*100</f>
        <v>-12.08947312388791</v>
      </c>
      <c r="D35" s="47">
        <f t="shared" ref="D35:N35" si="24">D34/D4*100</f>
        <v>22.565468694818104</v>
      </c>
      <c r="E35" s="47">
        <f t="shared" si="24"/>
        <v>36.888352875659656</v>
      </c>
      <c r="F35" s="48">
        <f t="shared" si="24"/>
        <v>53.24265812738809</v>
      </c>
      <c r="G35" s="46">
        <f t="shared" si="24"/>
        <v>32.692340471237628</v>
      </c>
      <c r="H35" s="47">
        <f t="shared" si="24"/>
        <v>41.607428153288986</v>
      </c>
      <c r="I35" s="47">
        <f t="shared" si="24"/>
        <v>46.642438046893773</v>
      </c>
      <c r="J35" s="48">
        <f t="shared" si="24"/>
        <v>51.208822230612668</v>
      </c>
      <c r="K35" s="46">
        <f t="shared" si="24"/>
        <v>51.605670640538349</v>
      </c>
      <c r="L35" s="47">
        <f t="shared" si="24"/>
        <v>57.790339831272505</v>
      </c>
      <c r="M35" s="47">
        <f t="shared" si="24"/>
        <v>61.316177834804151</v>
      </c>
      <c r="N35" s="48">
        <f t="shared" si="24"/>
        <v>64.51404194583526</v>
      </c>
      <c r="O35" s="61">
        <f t="shared" si="3"/>
        <v>507.9842657284612</v>
      </c>
    </row>
    <row r="36" spans="1:31" ht="15" thickTop="1"/>
    <row r="37" spans="1:31" ht="15" thickBot="1"/>
    <row r="38" spans="1:31" ht="15.6" thickTop="1" thickBot="1">
      <c r="A38" s="181" t="s">
        <v>101</v>
      </c>
      <c r="B38" s="182"/>
      <c r="C38" s="191">
        <v>2024</v>
      </c>
      <c r="D38" s="176">
        <v>2025</v>
      </c>
      <c r="E38" s="176">
        <v>2026</v>
      </c>
      <c r="F38" s="177">
        <v>2027</v>
      </c>
    </row>
    <row r="39" spans="1:31" ht="15" thickTop="1">
      <c r="A39" s="183" t="s">
        <v>2</v>
      </c>
      <c r="B39" s="184"/>
      <c r="C39" s="192"/>
      <c r="D39" s="185">
        <f>SUM(C4:F4)</f>
        <v>1502942991.3962541</v>
      </c>
      <c r="E39" s="185">
        <f>SUM(G4:J4)</f>
        <v>2759715005.3311439</v>
      </c>
      <c r="F39" s="186">
        <f>SUM(K4:N4)</f>
        <v>4040498739.3053298</v>
      </c>
    </row>
    <row r="40" spans="1:31">
      <c r="A40" s="178" t="s">
        <v>102</v>
      </c>
      <c r="B40" s="179"/>
      <c r="C40" s="192"/>
      <c r="D40" s="164"/>
      <c r="E40" s="14">
        <f>E39/D39</f>
        <v>1.8362073752160963</v>
      </c>
      <c r="F40">
        <f>F39/E39</f>
        <v>1.4641000000000008</v>
      </c>
      <c r="G40" s="180"/>
      <c r="O40" s="17"/>
    </row>
    <row r="41" spans="1:31">
      <c r="A41" s="166" t="s">
        <v>13</v>
      </c>
      <c r="B41" s="167"/>
      <c r="C41" s="192"/>
      <c r="D41" s="185">
        <f>SUM(C17:F17)</f>
        <v>81542973.329999998</v>
      </c>
      <c r="E41" s="185">
        <f>SUM(G17:J17)</f>
        <v>119387067.25245303</v>
      </c>
      <c r="F41" s="186">
        <f>SUM(H17:K17)</f>
        <v>131325773.97769836</v>
      </c>
    </row>
    <row r="42" spans="1:31">
      <c r="A42" s="166" t="s">
        <v>25</v>
      </c>
      <c r="B42" s="167"/>
      <c r="C42" s="192"/>
      <c r="D42" s="185">
        <f>SUM(C19:F19)</f>
        <v>1421400018.0662541</v>
      </c>
      <c r="E42" s="185">
        <f>SUM(D19:G19)</f>
        <v>1767421694.2317336</v>
      </c>
      <c r="F42" s="186">
        <f>SUM(E19:H19)</f>
        <v>2089148782.2160611</v>
      </c>
      <c r="L42" s="18"/>
    </row>
    <row r="43" spans="1:31">
      <c r="A43" s="166" t="s">
        <v>26</v>
      </c>
      <c r="B43" s="167"/>
      <c r="C43" s="192"/>
      <c r="D43" s="187">
        <f>SUM(C20:F20)</f>
        <v>377.05594709987548</v>
      </c>
      <c r="E43" s="187">
        <f>SUM(D20:G20)</f>
        <v>380.03670276899356</v>
      </c>
      <c r="F43" s="188">
        <f>SUM(E20:H20)</f>
        <v>381.6867800545682</v>
      </c>
    </row>
    <row r="44" spans="1:31">
      <c r="A44" s="166" t="s">
        <v>27</v>
      </c>
      <c r="B44" s="167"/>
      <c r="C44" s="192"/>
      <c r="D44" s="165"/>
      <c r="E44" s="165"/>
      <c r="F44" s="175"/>
      <c r="M44" s="12"/>
    </row>
    <row r="45" spans="1:31">
      <c r="A45" s="168" t="s">
        <v>15</v>
      </c>
      <c r="B45" s="169"/>
      <c r="C45" s="192"/>
      <c r="D45" s="164">
        <f>SUM(C22:F22)</f>
        <v>60000000</v>
      </c>
      <c r="E45" s="164">
        <f>SUM(D22:G22)</f>
        <v>60000000</v>
      </c>
      <c r="F45" s="174">
        <f>SUM(E22:H22)</f>
        <v>60000000</v>
      </c>
    </row>
    <row r="46" spans="1:31">
      <c r="A46" s="170" t="s">
        <v>30</v>
      </c>
      <c r="B46" s="171"/>
      <c r="C46" s="192"/>
      <c r="D46" s="164">
        <f>SUM(C23:F23)</f>
        <v>800000000</v>
      </c>
      <c r="E46" s="164">
        <f>SUM(D23:G23)</f>
        <v>800000000</v>
      </c>
      <c r="F46" s="174">
        <f>SUM(E23:H23)</f>
        <v>800000000</v>
      </c>
    </row>
    <row r="47" spans="1:31">
      <c r="A47" s="168" t="s">
        <v>16</v>
      </c>
      <c r="B47" s="169"/>
      <c r="C47" s="192"/>
      <c r="D47" s="164">
        <f>SUM(C24:F24)</f>
        <v>20000000</v>
      </c>
      <c r="E47" s="164">
        <f>SUM(D24:G24)</f>
        <v>20000000</v>
      </c>
      <c r="F47" s="174">
        <f>SUM(E24:H24)</f>
        <v>20000000</v>
      </c>
      <c r="O47" s="12"/>
      <c r="P47" s="12"/>
      <c r="Q47" s="12"/>
    </row>
    <row r="48" spans="1:31">
      <c r="A48" s="170" t="s">
        <v>17</v>
      </c>
      <c r="B48" s="171"/>
      <c r="C48" s="192"/>
      <c r="D48" s="164">
        <f>SUM(C25:F25)</f>
        <v>0</v>
      </c>
      <c r="E48" s="164">
        <f>SUM(G25:J25)</f>
        <v>504000000</v>
      </c>
      <c r="F48" s="174">
        <f>SUM(H25:K25)</f>
        <v>516600000</v>
      </c>
      <c r="N48" s="12"/>
      <c r="O48" s="12"/>
      <c r="P48" s="12"/>
      <c r="Q48" s="12"/>
    </row>
    <row r="49" spans="1:17">
      <c r="A49" s="166" t="s">
        <v>19</v>
      </c>
      <c r="B49" s="167"/>
      <c r="C49" s="192"/>
      <c r="D49" s="185">
        <f>SUM(C27:F27)</f>
        <v>80000000</v>
      </c>
      <c r="E49" s="185">
        <f>SUM(G27:J27)</f>
        <v>80000000</v>
      </c>
      <c r="F49" s="186">
        <f>SUM(K27:N27)</f>
        <v>80000000</v>
      </c>
      <c r="N49" s="12"/>
      <c r="O49" s="12"/>
      <c r="P49" s="12"/>
      <c r="Q49" s="12"/>
    </row>
    <row r="50" spans="1:17">
      <c r="A50" s="166" t="s">
        <v>33</v>
      </c>
      <c r="B50" s="167"/>
      <c r="C50" s="192"/>
      <c r="D50" s="185">
        <f>SUM(D45:D48)</f>
        <v>880000000</v>
      </c>
      <c r="E50" s="185">
        <f>SUM(E45:E48)</f>
        <v>1384000000</v>
      </c>
      <c r="F50" s="186">
        <f>SUM(F45:F48)</f>
        <v>1396600000</v>
      </c>
      <c r="N50" s="12"/>
      <c r="O50" s="12"/>
      <c r="P50" s="12"/>
      <c r="Q50" s="12"/>
    </row>
    <row r="51" spans="1:17">
      <c r="A51" s="166" t="s">
        <v>34</v>
      </c>
      <c r="B51" s="167"/>
      <c r="C51" s="192"/>
      <c r="D51" s="185">
        <f>SUM(C29:F29)</f>
        <v>541400018.06625402</v>
      </c>
      <c r="E51" s="185">
        <f>SUM(D29:G29)</f>
        <v>761421694.23173368</v>
      </c>
      <c r="F51" s="186">
        <f>SUM(E29:H29)</f>
        <v>957148782.21606123</v>
      </c>
      <c r="N51" s="12"/>
      <c r="O51" s="12"/>
      <c r="P51" s="12"/>
      <c r="Q51" s="12"/>
    </row>
    <row r="52" spans="1:17">
      <c r="A52" s="166" t="s">
        <v>35</v>
      </c>
      <c r="B52" s="167"/>
      <c r="C52" s="192"/>
      <c r="D52" s="187">
        <f>SUM(C30:F30)</f>
        <v>119.12234633141149</v>
      </c>
      <c r="E52" s="187">
        <f>SUM(D30:G30)</f>
        <v>159.12242276307984</v>
      </c>
      <c r="F52" s="188">
        <f>SUM(E30:H30)</f>
        <v>175.12005384960671</v>
      </c>
      <c r="N52" s="12"/>
      <c r="O52" s="12"/>
      <c r="P52" s="12"/>
      <c r="Q52" s="12"/>
    </row>
    <row r="53" spans="1:17">
      <c r="A53" s="166" t="s">
        <v>36</v>
      </c>
      <c r="B53" s="167"/>
      <c r="C53" s="192"/>
      <c r="D53" s="185">
        <f>SUM(C32:F32)</f>
        <v>62675000.000000022</v>
      </c>
      <c r="E53" s="185">
        <f>SUM(D32:G32)</f>
        <v>59225000.00000003</v>
      </c>
      <c r="F53" s="186">
        <f>SUM(E32:H32)</f>
        <v>55775000.000000045</v>
      </c>
      <c r="N53" s="12"/>
      <c r="O53" s="12"/>
      <c r="P53" s="12"/>
      <c r="Q53" s="12"/>
    </row>
    <row r="54" spans="1:17">
      <c r="A54" s="166" t="s">
        <v>38</v>
      </c>
      <c r="B54" s="167"/>
      <c r="C54" s="194">
        <v>-200000000</v>
      </c>
      <c r="D54" s="185">
        <f>SUM(C34:F34)</f>
        <v>478725018.06625402</v>
      </c>
      <c r="E54" s="185">
        <f>SUM(D34:G34)</f>
        <v>702196694.23173368</v>
      </c>
      <c r="F54" s="186">
        <f>SUM(E34:H34)</f>
        <v>901373782.21606123</v>
      </c>
      <c r="N54" s="12"/>
      <c r="O54" s="12"/>
      <c r="P54" s="12"/>
      <c r="Q54" s="12"/>
    </row>
    <row r="55" spans="1:17">
      <c r="A55" s="166" t="s">
        <v>40</v>
      </c>
      <c r="B55" s="167"/>
      <c r="C55" s="192"/>
      <c r="D55" s="187">
        <f>SUM(C35:F35)</f>
        <v>100.60700657397794</v>
      </c>
      <c r="E55" s="187">
        <f>SUM(D35:G35)</f>
        <v>145.38882016910347</v>
      </c>
      <c r="F55" s="188">
        <f>SUM(E35:H35)</f>
        <v>164.43077962757437</v>
      </c>
      <c r="N55" s="12"/>
      <c r="O55" s="12"/>
      <c r="P55" s="12"/>
      <c r="Q55" s="12"/>
    </row>
    <row r="56" spans="1:17" ht="15" thickBot="1">
      <c r="A56" s="172" t="s">
        <v>42</v>
      </c>
      <c r="B56" s="173"/>
      <c r="C56" s="193"/>
      <c r="D56" s="189">
        <f>D64</f>
        <v>407467630.10636657</v>
      </c>
      <c r="E56" s="189">
        <f>E64</f>
        <v>1277874245.2013376</v>
      </c>
      <c r="F56" s="190">
        <f>F64</f>
        <v>2833470782.7252021</v>
      </c>
      <c r="N56" s="12"/>
      <c r="O56" s="12"/>
      <c r="P56" s="12"/>
      <c r="Q56" s="12"/>
    </row>
    <row r="57" spans="1:17" ht="15" thickTop="1">
      <c r="N57" s="12"/>
      <c r="O57" s="12"/>
      <c r="P57" s="12"/>
      <c r="Q57" s="12"/>
    </row>
    <row r="58" spans="1:17">
      <c r="A58" s="21"/>
      <c r="B58" s="15"/>
    </row>
    <row r="59" spans="1:17">
      <c r="B59" s="197"/>
      <c r="C59" s="198"/>
      <c r="D59" s="196">
        <v>2025</v>
      </c>
      <c r="E59" s="196">
        <v>2026</v>
      </c>
      <c r="F59" s="196">
        <v>2027</v>
      </c>
    </row>
    <row r="60" spans="1:17">
      <c r="B60" s="201" t="s">
        <v>103</v>
      </c>
      <c r="C60" s="202"/>
      <c r="D60" s="195">
        <v>0.1</v>
      </c>
      <c r="E60" s="195">
        <v>0.1</v>
      </c>
      <c r="F60" s="195">
        <v>0.1</v>
      </c>
    </row>
    <row r="61" spans="1:17">
      <c r="B61" s="199" t="s">
        <v>28</v>
      </c>
      <c r="C61" s="200"/>
      <c r="D61" s="16">
        <f>D39-D50-D53</f>
        <v>560267991.39625406</v>
      </c>
      <c r="E61" s="16">
        <f>E39-E50-E53</f>
        <v>1316490005.3311439</v>
      </c>
      <c r="F61" s="16">
        <f>F39-F50-F53</f>
        <v>2588123739.3053298</v>
      </c>
    </row>
    <row r="62" spans="1:17">
      <c r="B62" s="199" t="s">
        <v>29</v>
      </c>
      <c r="C62" s="200"/>
      <c r="D62" s="16">
        <f>D61*20%</f>
        <v>112053598.27925082</v>
      </c>
      <c r="E62" s="16">
        <f>E61*20%</f>
        <v>263298001.06622878</v>
      </c>
      <c r="F62" s="16">
        <f>F61*20%</f>
        <v>517624747.86106598</v>
      </c>
    </row>
    <row r="63" spans="1:17">
      <c r="B63" s="199" t="s">
        <v>31</v>
      </c>
      <c r="C63" s="200"/>
      <c r="D63" s="16">
        <f>D61-D62</f>
        <v>448214393.11700326</v>
      </c>
      <c r="E63" s="16">
        <f>E61-E62</f>
        <v>1053192004.2649151</v>
      </c>
      <c r="F63" s="16">
        <f>F61-F62</f>
        <v>2070498991.4442639</v>
      </c>
    </row>
    <row r="64" spans="1:17">
      <c r="B64" s="203" t="s">
        <v>32</v>
      </c>
      <c r="C64" s="204"/>
      <c r="D64" s="16">
        <f>NPV(D60,D63:D63)</f>
        <v>407467630.10636657</v>
      </c>
      <c r="E64" s="16">
        <f>NPV(E60,D63:E63)</f>
        <v>1277874245.2013376</v>
      </c>
      <c r="F64" s="16">
        <f>NPV(F60,D63:F63)</f>
        <v>2833470782.7252021</v>
      </c>
    </row>
    <row r="65" spans="1:4">
      <c r="A65" s="144"/>
      <c r="B65" s="144"/>
      <c r="C65" s="144"/>
      <c r="D65" s="144"/>
    </row>
    <row r="66" spans="1:4">
      <c r="B66" t="s">
        <v>37</v>
      </c>
    </row>
    <row r="67" spans="1:4">
      <c r="B67" t="s">
        <v>39</v>
      </c>
    </row>
    <row r="68" spans="1:4">
      <c r="B68" t="s">
        <v>41</v>
      </c>
    </row>
    <row r="77" spans="1:4">
      <c r="A77" s="18"/>
    </row>
  </sheetData>
  <mergeCells count="31">
    <mergeCell ref="B64:C64"/>
    <mergeCell ref="B59:C59"/>
    <mergeCell ref="B60:C60"/>
    <mergeCell ref="B61:C61"/>
    <mergeCell ref="B62:C62"/>
    <mergeCell ref="B63:C63"/>
    <mergeCell ref="A53:B53"/>
    <mergeCell ref="A54:B54"/>
    <mergeCell ref="A55:B55"/>
    <mergeCell ref="A56:B56"/>
    <mergeCell ref="A40:B40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O1:O2"/>
    <mergeCell ref="A38:B38"/>
    <mergeCell ref="A39:B39"/>
    <mergeCell ref="A41:B41"/>
    <mergeCell ref="A42:B42"/>
    <mergeCell ref="C1:F1"/>
    <mergeCell ref="G1:J1"/>
    <mergeCell ref="K1:N1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7" sqref="C17"/>
    </sheetView>
  </sheetViews>
  <sheetFormatPr defaultColWidth="8.77734375" defaultRowHeight="17.399999999999999"/>
  <cols>
    <col min="1" max="1" width="52.88671875" style="205" customWidth="1"/>
    <col min="2" max="2" width="13" style="205" customWidth="1"/>
    <col min="3" max="3" width="44.5546875" style="205" customWidth="1"/>
    <col min="4" max="16384" width="8.77734375" style="205"/>
  </cols>
  <sheetData>
    <row r="1" spans="1:3" ht="18.600000000000001" thickTop="1" thickBot="1">
      <c r="A1" s="212" t="s">
        <v>111</v>
      </c>
      <c r="B1" s="214" t="s">
        <v>115</v>
      </c>
      <c r="C1" s="213">
        <f>C2+C6</f>
        <v>17570130</v>
      </c>
    </row>
    <row r="2" spans="1:3" ht="18.600000000000001" thickTop="1" thickBot="1">
      <c r="A2" s="217" t="s">
        <v>104</v>
      </c>
      <c r="B2" s="218" t="s">
        <v>115</v>
      </c>
      <c r="C2" s="219">
        <f>SUM(C3:C5)</f>
        <v>11613930</v>
      </c>
    </row>
    <row r="3" spans="1:3" ht="18" thickTop="1">
      <c r="A3" s="207" t="s">
        <v>105</v>
      </c>
      <c r="B3" s="215" t="s">
        <v>115</v>
      </c>
      <c r="C3" s="206">
        <v>4218720</v>
      </c>
    </row>
    <row r="4" spans="1:3" ht="35.4" customHeight="1">
      <c r="A4" s="208" t="s">
        <v>112</v>
      </c>
      <c r="B4" s="215" t="s">
        <v>115</v>
      </c>
      <c r="C4" s="206">
        <v>4930140</v>
      </c>
    </row>
    <row r="5" spans="1:3" ht="18" thickBot="1">
      <c r="A5" s="209" t="s">
        <v>106</v>
      </c>
      <c r="B5" s="216" t="s">
        <v>115</v>
      </c>
      <c r="C5" s="210">
        <v>2465070</v>
      </c>
    </row>
    <row r="6" spans="1:3" ht="18.600000000000001" thickTop="1" thickBot="1">
      <c r="A6" s="217" t="s">
        <v>107</v>
      </c>
      <c r="B6" s="218" t="s">
        <v>115</v>
      </c>
      <c r="C6" s="219">
        <f>(SUM(C8:C11)*C7)</f>
        <v>5956200</v>
      </c>
    </row>
    <row r="7" spans="1:3" ht="18" thickTop="1">
      <c r="A7" s="207" t="s">
        <v>108</v>
      </c>
      <c r="B7" s="215" t="s">
        <v>1</v>
      </c>
      <c r="C7" s="206">
        <v>100</v>
      </c>
    </row>
    <row r="8" spans="1:3">
      <c r="A8" s="207" t="s">
        <v>109</v>
      </c>
      <c r="B8" s="215" t="s">
        <v>115</v>
      </c>
      <c r="C8" s="206">
        <v>19800</v>
      </c>
    </row>
    <row r="9" spans="1:3">
      <c r="A9" s="207" t="s">
        <v>110</v>
      </c>
      <c r="B9" s="215" t="s">
        <v>115</v>
      </c>
      <c r="C9" s="206">
        <v>18000</v>
      </c>
    </row>
    <row r="10" spans="1:3">
      <c r="A10" s="207" t="s">
        <v>113</v>
      </c>
      <c r="B10" s="215" t="s">
        <v>115</v>
      </c>
      <c r="C10" s="206">
        <v>11762</v>
      </c>
    </row>
    <row r="11" spans="1:3" ht="18" thickBot="1">
      <c r="A11" s="209" t="s">
        <v>114</v>
      </c>
      <c r="B11" s="216" t="s">
        <v>115</v>
      </c>
      <c r="C11" s="210">
        <v>10000</v>
      </c>
    </row>
    <row r="12" spans="1:3" ht="18" thickTop="1">
      <c r="C12" s="2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activeCell="C21" sqref="C21"/>
    </sheetView>
  </sheetViews>
  <sheetFormatPr defaultColWidth="8.77734375" defaultRowHeight="14.4"/>
  <cols>
    <col min="1" max="1" width="36.6640625" customWidth="1"/>
    <col min="2" max="2" width="16.33203125" customWidth="1"/>
    <col min="3" max="3" width="15.6640625" bestFit="1" customWidth="1"/>
    <col min="4" max="4" width="13.33203125" bestFit="1" customWidth="1"/>
    <col min="5" max="8" width="14.5546875" bestFit="1" customWidth="1"/>
    <col min="9" max="14" width="15" bestFit="1" customWidth="1"/>
    <col min="15" max="15" width="20.77734375" customWidth="1"/>
  </cols>
  <sheetData>
    <row r="1" spans="1:15" ht="16.8" thickTop="1" thickBot="1">
      <c r="A1" s="221"/>
      <c r="B1" s="229"/>
      <c r="C1" s="230">
        <v>45682</v>
      </c>
      <c r="D1" s="231">
        <v>45714</v>
      </c>
      <c r="E1" s="232">
        <v>45746</v>
      </c>
      <c r="F1" s="230">
        <v>45748</v>
      </c>
      <c r="G1" s="231">
        <v>45779</v>
      </c>
      <c r="H1" s="232">
        <v>45812</v>
      </c>
      <c r="I1" s="230">
        <v>45843</v>
      </c>
      <c r="J1" s="231">
        <v>45875</v>
      </c>
      <c r="K1" s="232">
        <v>45908</v>
      </c>
      <c r="L1" s="230">
        <v>45939</v>
      </c>
      <c r="M1" s="231">
        <v>45972</v>
      </c>
      <c r="N1" s="232">
        <v>46003</v>
      </c>
      <c r="O1" s="242" t="s">
        <v>45</v>
      </c>
    </row>
    <row r="2" spans="1:15" ht="14.4" customHeight="1" thickBot="1">
      <c r="A2" s="222" t="s">
        <v>46</v>
      </c>
      <c r="B2" s="249" t="s">
        <v>1</v>
      </c>
      <c r="C2" s="233">
        <v>1511</v>
      </c>
      <c r="D2" s="223">
        <f>C2*1.1</f>
        <v>1662.1000000000001</v>
      </c>
      <c r="E2" s="234">
        <f>D2*1.1</f>
        <v>1828.3100000000004</v>
      </c>
      <c r="F2" s="233">
        <f>E2*1.1</f>
        <v>2011.1410000000005</v>
      </c>
      <c r="G2" s="223">
        <f>F2*1.1</f>
        <v>2212.2551000000008</v>
      </c>
      <c r="H2" s="234">
        <f t="shared" ref="H2:N2" si="0">G2*1.1</f>
        <v>2433.480610000001</v>
      </c>
      <c r="I2" s="233">
        <f t="shared" si="0"/>
        <v>2676.8286710000011</v>
      </c>
      <c r="J2" s="223">
        <f t="shared" si="0"/>
        <v>2944.5115381000014</v>
      </c>
      <c r="K2" s="234">
        <f t="shared" si="0"/>
        <v>3238.9626919100019</v>
      </c>
      <c r="L2" s="233">
        <f t="shared" si="0"/>
        <v>3562.8589611010025</v>
      </c>
      <c r="M2" s="223">
        <f t="shared" si="0"/>
        <v>3919.144857211103</v>
      </c>
      <c r="N2" s="234">
        <f t="shared" si="0"/>
        <v>4311.0593429322134</v>
      </c>
      <c r="O2" s="243">
        <f>SUM(C2:N2)</f>
        <v>32311.652772254325</v>
      </c>
    </row>
    <row r="3" spans="1:15" s="220" customFormat="1" ht="14.4" customHeight="1" thickBot="1">
      <c r="A3" s="224" t="s">
        <v>117</v>
      </c>
      <c r="B3" s="250" t="s">
        <v>1</v>
      </c>
      <c r="C3" s="235">
        <f>10%*C2</f>
        <v>151.1</v>
      </c>
      <c r="D3" s="225">
        <f t="shared" ref="D3:N3" si="1">10%*D2</f>
        <v>166.21000000000004</v>
      </c>
      <c r="E3" s="236">
        <f t="shared" si="1"/>
        <v>182.83100000000005</v>
      </c>
      <c r="F3" s="235">
        <f t="shared" si="1"/>
        <v>201.11410000000006</v>
      </c>
      <c r="G3" s="225">
        <f t="shared" si="1"/>
        <v>221.2255100000001</v>
      </c>
      <c r="H3" s="236">
        <f t="shared" si="1"/>
        <v>243.34806100000011</v>
      </c>
      <c r="I3" s="235">
        <f t="shared" si="1"/>
        <v>267.68286710000012</v>
      </c>
      <c r="J3" s="225">
        <f t="shared" si="1"/>
        <v>294.45115381000016</v>
      </c>
      <c r="K3" s="236">
        <f t="shared" si="1"/>
        <v>323.89626919100021</v>
      </c>
      <c r="L3" s="235">
        <f t="shared" si="1"/>
        <v>356.28589611010028</v>
      </c>
      <c r="M3" s="225">
        <f t="shared" si="1"/>
        <v>391.91448572111034</v>
      </c>
      <c r="N3" s="236">
        <f t="shared" si="1"/>
        <v>431.10593429322137</v>
      </c>
      <c r="O3" s="244">
        <f>SUM(C3:N3)</f>
        <v>3231.1652772254324</v>
      </c>
    </row>
    <row r="4" spans="1:15" ht="16.2" thickBot="1">
      <c r="A4" s="222" t="s">
        <v>47</v>
      </c>
      <c r="B4" s="249" t="s">
        <v>1</v>
      </c>
      <c r="C4" s="233"/>
      <c r="D4" s="223">
        <f>C2+D2</f>
        <v>3173.1000000000004</v>
      </c>
      <c r="E4" s="234">
        <f>SUM(C2:E2)</f>
        <v>5001.4100000000008</v>
      </c>
      <c r="F4" s="233">
        <f>SUM(C2:F2)</f>
        <v>7012.5510000000013</v>
      </c>
      <c r="G4" s="223">
        <f>SUM(C2:G2)</f>
        <v>9224.8061000000016</v>
      </c>
      <c r="H4" s="234">
        <f>SUM(C2:H2)</f>
        <v>11658.286710000002</v>
      </c>
      <c r="I4" s="233">
        <f>SUM(C2:I2)</f>
        <v>14335.115381000003</v>
      </c>
      <c r="J4" s="223">
        <f>SUM(C2:J2)</f>
        <v>17279.626919100003</v>
      </c>
      <c r="K4" s="234">
        <f>SUM(C2:K2)</f>
        <v>20518.589611010004</v>
      </c>
      <c r="L4" s="233">
        <f>SUM(C2:L2)</f>
        <v>24081.448572111007</v>
      </c>
      <c r="M4" s="223">
        <f>SUM(C2:M2)</f>
        <v>28000.593429322111</v>
      </c>
      <c r="N4" s="234">
        <f>SUM(C2:N2)</f>
        <v>32311.652772254325</v>
      </c>
      <c r="O4" s="243">
        <f>SUM(C4:N4)</f>
        <v>172597.18049479747</v>
      </c>
    </row>
    <row r="5" spans="1:15" ht="16.2" thickBot="1">
      <c r="A5" s="222" t="s">
        <v>48</v>
      </c>
      <c r="B5" s="249" t="s">
        <v>115</v>
      </c>
      <c r="C5" s="233">
        <v>69000</v>
      </c>
      <c r="D5" s="223">
        <f>C5</f>
        <v>69000</v>
      </c>
      <c r="E5" s="234">
        <f t="shared" ref="E5:N5" si="2">D5</f>
        <v>69000</v>
      </c>
      <c r="F5" s="233">
        <f t="shared" si="2"/>
        <v>69000</v>
      </c>
      <c r="G5" s="223">
        <f t="shared" si="2"/>
        <v>69000</v>
      </c>
      <c r="H5" s="234">
        <f t="shared" si="2"/>
        <v>69000</v>
      </c>
      <c r="I5" s="233">
        <f t="shared" si="2"/>
        <v>69000</v>
      </c>
      <c r="J5" s="223">
        <f t="shared" si="2"/>
        <v>69000</v>
      </c>
      <c r="K5" s="234">
        <f t="shared" si="2"/>
        <v>69000</v>
      </c>
      <c r="L5" s="233">
        <f t="shared" si="2"/>
        <v>69000</v>
      </c>
      <c r="M5" s="223">
        <f t="shared" si="2"/>
        <v>69000</v>
      </c>
      <c r="N5" s="234">
        <f t="shared" si="2"/>
        <v>69000</v>
      </c>
      <c r="O5" s="243"/>
    </row>
    <row r="6" spans="1:15" ht="16.2" thickBot="1">
      <c r="A6" s="226" t="s">
        <v>49</v>
      </c>
      <c r="B6" s="249" t="s">
        <v>115</v>
      </c>
      <c r="C6" s="233">
        <f>C3*C5</f>
        <v>10425900</v>
      </c>
      <c r="D6" s="223">
        <f>D4*D5</f>
        <v>218943900.00000003</v>
      </c>
      <c r="E6" s="234">
        <f t="shared" ref="E6:N6" si="3">E4*E5</f>
        <v>345097290.00000006</v>
      </c>
      <c r="F6" s="233">
        <f t="shared" si="3"/>
        <v>483866019.00000006</v>
      </c>
      <c r="G6" s="223">
        <f t="shared" si="3"/>
        <v>636511620.9000001</v>
      </c>
      <c r="H6" s="234">
        <f t="shared" si="3"/>
        <v>804421782.99000013</v>
      </c>
      <c r="I6" s="233">
        <f t="shared" si="3"/>
        <v>989122961.28900027</v>
      </c>
      <c r="J6" s="223">
        <f t="shared" si="3"/>
        <v>1192294257.4179001</v>
      </c>
      <c r="K6" s="234">
        <f t="shared" si="3"/>
        <v>1415782683.1596904</v>
      </c>
      <c r="L6" s="233">
        <f t="shared" si="3"/>
        <v>1661619951.4756594</v>
      </c>
      <c r="M6" s="223">
        <f t="shared" si="3"/>
        <v>1932040946.6232257</v>
      </c>
      <c r="N6" s="234">
        <f t="shared" si="3"/>
        <v>2229504041.2855482</v>
      </c>
      <c r="O6" s="243">
        <f t="shared" ref="O6:O15" si="4">SUM(C6:N6)</f>
        <v>11919631354.141026</v>
      </c>
    </row>
    <row r="7" spans="1:15" s="220" customFormat="1" ht="14.4" customHeight="1" thickBot="1">
      <c r="A7" s="228" t="s">
        <v>116</v>
      </c>
      <c r="B7" s="252" t="s">
        <v>1</v>
      </c>
      <c r="C7" s="235">
        <f>C2*3%</f>
        <v>45.33</v>
      </c>
      <c r="D7" s="225">
        <f t="shared" ref="D7:N7" si="5">D2*3%</f>
        <v>49.863</v>
      </c>
      <c r="E7" s="236">
        <f t="shared" si="5"/>
        <v>54.849300000000007</v>
      </c>
      <c r="F7" s="235">
        <f t="shared" si="5"/>
        <v>60.334230000000012</v>
      </c>
      <c r="G7" s="225">
        <f t="shared" si="5"/>
        <v>66.367653000000018</v>
      </c>
      <c r="H7" s="236">
        <f t="shared" si="5"/>
        <v>73.004418300000026</v>
      </c>
      <c r="I7" s="235">
        <f t="shared" si="5"/>
        <v>80.304860130000037</v>
      </c>
      <c r="J7" s="225">
        <f t="shared" si="5"/>
        <v>88.335346143000038</v>
      </c>
      <c r="K7" s="236">
        <f t="shared" si="5"/>
        <v>97.168880757300059</v>
      </c>
      <c r="L7" s="235">
        <f t="shared" si="5"/>
        <v>106.88576883303007</v>
      </c>
      <c r="M7" s="225">
        <f t="shared" si="5"/>
        <v>117.57434571633308</v>
      </c>
      <c r="N7" s="236">
        <f t="shared" si="5"/>
        <v>129.33178028796641</v>
      </c>
      <c r="O7" s="244">
        <f t="shared" si="4"/>
        <v>969.34958316762982</v>
      </c>
    </row>
    <row r="8" spans="1:15" s="220" customFormat="1" ht="14.4" customHeight="1" thickBot="1">
      <c r="A8" s="228" t="s">
        <v>50</v>
      </c>
      <c r="B8" s="252" t="s">
        <v>115</v>
      </c>
      <c r="C8" s="235">
        <v>699000</v>
      </c>
      <c r="D8" s="225">
        <f>C8</f>
        <v>699000</v>
      </c>
      <c r="E8" s="236">
        <f t="shared" ref="E8:N8" si="6">D8</f>
        <v>699000</v>
      </c>
      <c r="F8" s="235">
        <f t="shared" si="6"/>
        <v>699000</v>
      </c>
      <c r="G8" s="225">
        <f t="shared" si="6"/>
        <v>699000</v>
      </c>
      <c r="H8" s="236">
        <f t="shared" si="6"/>
        <v>699000</v>
      </c>
      <c r="I8" s="235">
        <f t="shared" si="6"/>
        <v>699000</v>
      </c>
      <c r="J8" s="225">
        <f t="shared" si="6"/>
        <v>699000</v>
      </c>
      <c r="K8" s="236">
        <f t="shared" si="6"/>
        <v>699000</v>
      </c>
      <c r="L8" s="235">
        <f t="shared" si="6"/>
        <v>699000</v>
      </c>
      <c r="M8" s="225">
        <f t="shared" si="6"/>
        <v>699000</v>
      </c>
      <c r="N8" s="236">
        <f t="shared" si="6"/>
        <v>699000</v>
      </c>
      <c r="O8" s="244"/>
    </row>
    <row r="9" spans="1:15" s="220" customFormat="1" ht="14.4" customHeight="1" thickBot="1">
      <c r="A9" s="228" t="s">
        <v>51</v>
      </c>
      <c r="B9" s="252" t="s">
        <v>115</v>
      </c>
      <c r="C9" s="235">
        <f>C7*C8</f>
        <v>31685670</v>
      </c>
      <c r="D9" s="225">
        <f t="shared" ref="D9:N9" si="7">D7*D8</f>
        <v>34854237</v>
      </c>
      <c r="E9" s="236">
        <f t="shared" si="7"/>
        <v>38339660.700000003</v>
      </c>
      <c r="F9" s="235">
        <f t="shared" si="7"/>
        <v>42173626.770000011</v>
      </c>
      <c r="G9" s="225">
        <f t="shared" si="7"/>
        <v>46390989.447000012</v>
      </c>
      <c r="H9" s="236">
        <f t="shared" si="7"/>
        <v>51030088.391700014</v>
      </c>
      <c r="I9" s="235">
        <f t="shared" si="7"/>
        <v>56133097.230870023</v>
      </c>
      <c r="J9" s="225">
        <f t="shared" si="7"/>
        <v>61746406.953957029</v>
      </c>
      <c r="K9" s="236">
        <f t="shared" si="7"/>
        <v>67921047.649352744</v>
      </c>
      <c r="L9" s="235">
        <f t="shared" si="7"/>
        <v>74713152.414288014</v>
      </c>
      <c r="M9" s="225">
        <f t="shared" si="7"/>
        <v>82184467.655716822</v>
      </c>
      <c r="N9" s="236">
        <f t="shared" si="7"/>
        <v>90402914.42128852</v>
      </c>
      <c r="O9" s="244">
        <f t="shared" si="4"/>
        <v>677575358.63417315</v>
      </c>
    </row>
    <row r="10" spans="1:15" ht="16.2" thickBot="1">
      <c r="A10" s="226" t="s">
        <v>52</v>
      </c>
      <c r="B10" s="251" t="s">
        <v>1</v>
      </c>
      <c r="C10" s="233">
        <f>C3+C7</f>
        <v>196.43</v>
      </c>
      <c r="D10" s="223">
        <f t="shared" ref="D10:N10" si="8">D3+D7</f>
        <v>216.07300000000004</v>
      </c>
      <c r="E10" s="234">
        <f t="shared" si="8"/>
        <v>237.68030000000005</v>
      </c>
      <c r="F10" s="233">
        <f t="shared" si="8"/>
        <v>261.44833000000006</v>
      </c>
      <c r="G10" s="223">
        <f t="shared" si="8"/>
        <v>287.59316300000012</v>
      </c>
      <c r="H10" s="234">
        <f t="shared" si="8"/>
        <v>316.35247930000014</v>
      </c>
      <c r="I10" s="233">
        <f t="shared" si="8"/>
        <v>347.98772723000013</v>
      </c>
      <c r="J10" s="223">
        <f t="shared" si="8"/>
        <v>382.7864999530002</v>
      </c>
      <c r="K10" s="234">
        <f t="shared" si="8"/>
        <v>421.06514994830025</v>
      </c>
      <c r="L10" s="233">
        <f t="shared" si="8"/>
        <v>463.17166494313034</v>
      </c>
      <c r="M10" s="223">
        <f t="shared" si="8"/>
        <v>509.48883143744342</v>
      </c>
      <c r="N10" s="234">
        <f t="shared" si="8"/>
        <v>560.43771458118772</v>
      </c>
      <c r="O10" s="243">
        <f t="shared" si="4"/>
        <v>4200.5148603930629</v>
      </c>
    </row>
    <row r="11" spans="1:15" ht="16.2" thickBot="1">
      <c r="A11" s="226" t="s">
        <v>53</v>
      </c>
      <c r="B11" s="251" t="s">
        <v>115</v>
      </c>
      <c r="C11" s="233">
        <f t="shared" ref="C11:N11" si="9">(C6+C9)/C10</f>
        <v>214384.61538461538</v>
      </c>
      <c r="D11" s="223">
        <f t="shared" si="9"/>
        <v>1174594.4055944055</v>
      </c>
      <c r="E11" s="234">
        <f t="shared" si="9"/>
        <v>1613246.6624284806</v>
      </c>
      <c r="F11" s="233">
        <f t="shared" si="9"/>
        <v>2012021.4413685487</v>
      </c>
      <c r="G11" s="223">
        <f t="shared" si="9"/>
        <v>2374543.9676777013</v>
      </c>
      <c r="H11" s="234">
        <f t="shared" si="9"/>
        <v>2704109.9006860219</v>
      </c>
      <c r="I11" s="233">
        <f t="shared" si="9"/>
        <v>3003715.2943299501</v>
      </c>
      <c r="J11" s="223">
        <f t="shared" si="9"/>
        <v>3276083.8340062476</v>
      </c>
      <c r="K11" s="234">
        <f t="shared" si="9"/>
        <v>3523691.5973483371</v>
      </c>
      <c r="L11" s="233">
        <f t="shared" si="9"/>
        <v>3748789.5640229629</v>
      </c>
      <c r="M11" s="223">
        <f t="shared" si="9"/>
        <v>3953424.0791817144</v>
      </c>
      <c r="N11" s="234">
        <f t="shared" si="9"/>
        <v>4139455.4565987615</v>
      </c>
      <c r="O11" s="243">
        <f t="shared" si="4"/>
        <v>31738060.818627749</v>
      </c>
    </row>
    <row r="12" spans="1:15" ht="16.2" thickBot="1">
      <c r="A12" s="226" t="s">
        <v>54</v>
      </c>
      <c r="B12" s="251" t="s">
        <v>23</v>
      </c>
      <c r="C12" s="237">
        <v>0.1</v>
      </c>
      <c r="D12" s="227">
        <f>C12</f>
        <v>0.1</v>
      </c>
      <c r="E12" s="238">
        <f t="shared" ref="E12:N12" si="10">D12</f>
        <v>0.1</v>
      </c>
      <c r="F12" s="237">
        <f t="shared" si="10"/>
        <v>0.1</v>
      </c>
      <c r="G12" s="227">
        <f t="shared" si="10"/>
        <v>0.1</v>
      </c>
      <c r="H12" s="238">
        <f t="shared" si="10"/>
        <v>0.1</v>
      </c>
      <c r="I12" s="237">
        <f t="shared" si="10"/>
        <v>0.1</v>
      </c>
      <c r="J12" s="227">
        <f t="shared" si="10"/>
        <v>0.1</v>
      </c>
      <c r="K12" s="238">
        <f t="shared" si="10"/>
        <v>0.1</v>
      </c>
      <c r="L12" s="237">
        <f t="shared" si="10"/>
        <v>0.1</v>
      </c>
      <c r="M12" s="227">
        <f t="shared" si="10"/>
        <v>0.1</v>
      </c>
      <c r="N12" s="238">
        <f t="shared" si="10"/>
        <v>0.1</v>
      </c>
      <c r="O12" s="243"/>
    </row>
    <row r="13" spans="1:15" ht="16.2" thickBot="1">
      <c r="A13" s="222" t="s">
        <v>55</v>
      </c>
      <c r="B13" s="249" t="s">
        <v>115</v>
      </c>
      <c r="C13" s="233">
        <f>C11*C12*C10</f>
        <v>4211157</v>
      </c>
      <c r="D13" s="223">
        <f t="shared" ref="D13:N13" si="11">D11*D12*D10</f>
        <v>25379813.700000003</v>
      </c>
      <c r="E13" s="234">
        <f t="shared" si="11"/>
        <v>38343695.070000008</v>
      </c>
      <c r="F13" s="233">
        <f t="shared" si="11"/>
        <v>52603964.577000014</v>
      </c>
      <c r="G13" s="223">
        <f t="shared" si="11"/>
        <v>68290261.034700021</v>
      </c>
      <c r="H13" s="234">
        <f t="shared" si="11"/>
        <v>85545187.138170019</v>
      </c>
      <c r="I13" s="233">
        <f t="shared" si="11"/>
        <v>104525605.85198702</v>
      </c>
      <c r="J13" s="223">
        <f t="shared" si="11"/>
        <v>125404066.43718573</v>
      </c>
      <c r="K13" s="234">
        <f t="shared" si="11"/>
        <v>148370373.08090433</v>
      </c>
      <c r="L13" s="233">
        <f t="shared" si="11"/>
        <v>173633310.38899475</v>
      </c>
      <c r="M13" s="223">
        <f t="shared" si="11"/>
        <v>201422541.42789426</v>
      </c>
      <c r="N13" s="234">
        <f t="shared" si="11"/>
        <v>231990695.57068372</v>
      </c>
      <c r="O13" s="243">
        <f t="shared" si="4"/>
        <v>1259720671.2775197</v>
      </c>
    </row>
    <row r="14" spans="1:15" ht="16.2" thickBot="1">
      <c r="A14" s="222" t="s">
        <v>56</v>
      </c>
      <c r="B14" s="249" t="s">
        <v>115</v>
      </c>
      <c r="C14" s="233">
        <v>11020860</v>
      </c>
      <c r="D14" s="223">
        <f>'Sell materials'!D5</f>
        <v>22041720</v>
      </c>
      <c r="E14" s="234">
        <f>'Sell materials'!D6</f>
        <v>38001700</v>
      </c>
      <c r="F14" s="233">
        <f>'Sell materials'!D7</f>
        <v>45945900</v>
      </c>
      <c r="G14" s="223">
        <f>'Sell materials'!D8</f>
        <v>15882600</v>
      </c>
      <c r="H14" s="234">
        <f>'Sell materials'!D9</f>
        <v>36108082</v>
      </c>
      <c r="I14" s="233">
        <f>'Sell materials'!D10</f>
        <v>37617840</v>
      </c>
      <c r="J14" s="223">
        <f>'Sell materials'!D11</f>
        <v>34020500</v>
      </c>
      <c r="K14" s="234">
        <f>'Sell materials'!D12</f>
        <v>26759150</v>
      </c>
      <c r="L14" s="233">
        <f>'Sell materials'!D13</f>
        <v>36655200</v>
      </c>
      <c r="M14" s="223">
        <f>'Sell materials'!D14</f>
        <v>45027000</v>
      </c>
      <c r="N14" s="234">
        <f>'Sell materials'!D15+113650</f>
        <v>59580410</v>
      </c>
      <c r="O14" s="243">
        <f t="shared" si="4"/>
        <v>408660962</v>
      </c>
    </row>
    <row r="15" spans="1:15" ht="16.2" thickBot="1">
      <c r="A15" s="222" t="s">
        <v>57</v>
      </c>
      <c r="B15" s="249" t="s">
        <v>115</v>
      </c>
      <c r="C15" s="239">
        <f>C6+C13+C14</f>
        <v>25657917</v>
      </c>
      <c r="D15" s="240">
        <f t="shared" ref="D15:N15" si="12">D6+D13+D14</f>
        <v>266365433.70000005</v>
      </c>
      <c r="E15" s="241">
        <f t="shared" si="12"/>
        <v>421442685.07000005</v>
      </c>
      <c r="F15" s="239">
        <f t="shared" si="12"/>
        <v>582415883.57700014</v>
      </c>
      <c r="G15" s="240">
        <f t="shared" si="12"/>
        <v>720684481.93470013</v>
      </c>
      <c r="H15" s="241">
        <f t="shared" si="12"/>
        <v>926075052.12817013</v>
      </c>
      <c r="I15" s="239">
        <f t="shared" si="12"/>
        <v>1131266407.1409874</v>
      </c>
      <c r="J15" s="240">
        <f t="shared" si="12"/>
        <v>1351718823.8550858</v>
      </c>
      <c r="K15" s="241">
        <f t="shared" si="12"/>
        <v>1590912206.2405946</v>
      </c>
      <c r="L15" s="239">
        <f t="shared" si="12"/>
        <v>1871908461.8646541</v>
      </c>
      <c r="M15" s="240">
        <f t="shared" si="12"/>
        <v>2178490488.0511198</v>
      </c>
      <c r="N15" s="241">
        <f t="shared" si="12"/>
        <v>2521075146.8562317</v>
      </c>
      <c r="O15" s="245">
        <f t="shared" si="4"/>
        <v>13588012987.418545</v>
      </c>
    </row>
    <row r="16" spans="1:15">
      <c r="B16" s="253"/>
      <c r="E16" s="3"/>
    </row>
    <row r="17" spans="3:4">
      <c r="C17" s="3"/>
      <c r="D17" s="12"/>
    </row>
    <row r="18" spans="3:4">
      <c r="C18" s="12"/>
    </row>
    <row r="19" spans="3:4">
      <c r="C19" s="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F16" sqref="F16"/>
    </sheetView>
  </sheetViews>
  <sheetFormatPr defaultColWidth="8.77734375" defaultRowHeight="15.6"/>
  <cols>
    <col min="1" max="1" width="34.21875" style="255" customWidth="1"/>
    <col min="2" max="4" width="16.109375" style="255" customWidth="1"/>
    <col min="5" max="16384" width="8.77734375" style="255"/>
  </cols>
  <sheetData>
    <row r="1" spans="1:4">
      <c r="A1" s="254"/>
      <c r="B1" s="263">
        <v>2025</v>
      </c>
      <c r="C1" s="263">
        <v>2026</v>
      </c>
      <c r="D1" s="263">
        <v>2027</v>
      </c>
    </row>
    <row r="2" spans="1:4">
      <c r="A2" s="256" t="s">
        <v>118</v>
      </c>
      <c r="B2" s="257">
        <f>SUM('Financial statement'!C3:F3)</f>
        <v>32311.652772254325</v>
      </c>
      <c r="C2" s="258">
        <f>SUM('Financial statement'!G3:J3)</f>
        <v>60204.766744468376</v>
      </c>
      <c r="D2" s="258">
        <f>SUM('Financial statement'!K3:N3)</f>
        <v>88145.798990576179</v>
      </c>
    </row>
    <row r="3" spans="1:4">
      <c r="A3" s="261" t="s">
        <v>122</v>
      </c>
      <c r="B3" s="259">
        <f>SUM('Financial statement'!C7:F7)+SUM('Financial statement'!C9:F9)+SUM('Financial statement'!C12:F12)+SUM('Financial statement'!C15:F15)</f>
        <v>15483.680137618496</v>
      </c>
      <c r="C3" s="259">
        <f>SUM('Financial statement'!G7:J7)+SUM('Financial statement'!G9:J9)+SUM('Financial statement'!G12:J12)+SUM('Financial statement'!G15:J15)</f>
        <v>30543.723551227726</v>
      </c>
      <c r="D3" s="259">
        <f>SUM('Financial statement'!K7:N7)+SUM('Financial statement'!K9:N9)+SUM('Financial statement'!K12:N12)+SUM('Financial statement'!K15:N15)</f>
        <v>54895.65992975251</v>
      </c>
    </row>
    <row r="4" spans="1:4">
      <c r="A4" s="256" t="s">
        <v>119</v>
      </c>
      <c r="B4" s="260">
        <f>SUM('Financial statement'!C8:F8)</f>
        <v>900525762.76272798</v>
      </c>
      <c r="C4" s="259">
        <f>SUM('Financial statement'!G8:J8)</f>
        <v>1677906849.1683335</v>
      </c>
      <c r="D4" s="259">
        <f>SUM('Financial statement'!K8:N8)</f>
        <v>2456623417.8673582</v>
      </c>
    </row>
    <row r="5" spans="1:4">
      <c r="A5" s="261" t="s">
        <v>58</v>
      </c>
      <c r="B5" s="262">
        <f>SUM('Financial statement'!C14:'Financial statement'!F14)</f>
        <v>193869916.63352594</v>
      </c>
      <c r="C5" s="259">
        <f>SUM('Financial statement'!G14:J14)</f>
        <v>361228600.46681029</v>
      </c>
      <c r="D5" s="259">
        <f>SUM('Financial statement'!K14:N14)</f>
        <v>528874793.94345713</v>
      </c>
    </row>
    <row r="6" spans="1:4">
      <c r="A6" s="256" t="s">
        <v>120</v>
      </c>
      <c r="B6" s="259">
        <f>SUM('Financial statement'!C5:F5)</f>
        <v>408547312</v>
      </c>
      <c r="C6" s="259">
        <f>SUM('Financial statement'!G5:J5)</f>
        <v>720579555.6960001</v>
      </c>
      <c r="D6" s="259">
        <f>SUM('Financial statement'!K5:N5)</f>
        <v>1055000527.4945142</v>
      </c>
    </row>
    <row r="7" spans="1:4">
      <c r="A7" s="256" t="s">
        <v>121</v>
      </c>
      <c r="B7" s="259">
        <f>SUM(B4:B6)</f>
        <v>1502942991.3962538</v>
      </c>
      <c r="C7" s="259">
        <f>SUM(C4:C6)</f>
        <v>2759715005.3311439</v>
      </c>
      <c r="D7" s="259">
        <f>SUM(D4:D6)</f>
        <v>4040498739.3053293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J5" sqref="J5"/>
    </sheetView>
  </sheetViews>
  <sheetFormatPr defaultColWidth="8.77734375" defaultRowHeight="14.4"/>
  <cols>
    <col min="1" max="1" width="25.44140625" customWidth="1"/>
    <col min="3" max="3" width="23.21875" customWidth="1"/>
    <col min="4" max="4" width="13.33203125" customWidth="1"/>
    <col min="5" max="5" width="9.6640625"/>
    <col min="7" max="7" width="14.6640625" customWidth="1"/>
  </cols>
  <sheetData>
    <row r="1" spans="1:7" ht="43.5" customHeight="1" thickBot="1">
      <c r="A1" s="274" t="s">
        <v>59</v>
      </c>
      <c r="B1" s="274"/>
      <c r="C1" s="274"/>
      <c r="D1" s="275" t="s">
        <v>123</v>
      </c>
      <c r="E1" s="276" t="s">
        <v>60</v>
      </c>
      <c r="F1" s="276" t="s">
        <v>61</v>
      </c>
      <c r="G1" s="276" t="s">
        <v>62</v>
      </c>
    </row>
    <row r="2" spans="1:7" ht="34.049999999999997" customHeight="1" thickBot="1">
      <c r="A2" s="267" t="s">
        <v>63</v>
      </c>
      <c r="B2" s="271" t="s">
        <v>124</v>
      </c>
      <c r="C2" s="20"/>
      <c r="D2" s="6">
        <v>22080</v>
      </c>
      <c r="E2" s="7">
        <v>2000</v>
      </c>
      <c r="F2" s="8" t="s">
        <v>64</v>
      </c>
      <c r="G2" s="268">
        <f>D2*E2</f>
        <v>44160000</v>
      </c>
    </row>
    <row r="3" spans="1:7" ht="43.05" customHeight="1" thickBot="1">
      <c r="A3" s="267"/>
      <c r="B3" s="271" t="s">
        <v>125</v>
      </c>
      <c r="C3" s="20"/>
      <c r="D3" s="6">
        <v>2500</v>
      </c>
      <c r="E3" s="7">
        <v>2000</v>
      </c>
      <c r="F3" s="8" t="s">
        <v>64</v>
      </c>
      <c r="G3" s="269">
        <f>D3*E3</f>
        <v>5000000</v>
      </c>
    </row>
    <row r="4" spans="1:7" ht="39" customHeight="1" thickBot="1">
      <c r="A4" s="264" t="s">
        <v>65</v>
      </c>
      <c r="B4" s="265"/>
      <c r="C4" s="266"/>
      <c r="D4" s="9">
        <v>6</v>
      </c>
      <c r="E4" s="10">
        <v>1000000</v>
      </c>
      <c r="F4" s="9" t="s">
        <v>66</v>
      </c>
      <c r="G4" s="270">
        <f>D4*E4</f>
        <v>6000000</v>
      </c>
    </row>
    <row r="5" spans="1:7" ht="15" thickBot="1">
      <c r="A5" s="11"/>
      <c r="B5" s="20"/>
      <c r="C5" s="20"/>
      <c r="D5" s="9"/>
      <c r="E5" s="9"/>
      <c r="F5" s="9"/>
      <c r="G5" s="5"/>
    </row>
    <row r="6" spans="1:7" ht="32.549999999999997" customHeight="1">
      <c r="A6" s="272" t="s">
        <v>67</v>
      </c>
      <c r="B6" s="272"/>
      <c r="C6" s="272"/>
      <c r="D6" s="272"/>
      <c r="E6" s="272"/>
      <c r="F6" s="272"/>
      <c r="G6" s="273">
        <f>SUM(G2:G4)</f>
        <v>55160000</v>
      </c>
    </row>
  </sheetData>
  <mergeCells count="7">
    <mergeCell ref="A6:F6"/>
    <mergeCell ref="A2:A3"/>
    <mergeCell ref="A4:C4"/>
    <mergeCell ref="A1:C1"/>
    <mergeCell ref="B2:C2"/>
    <mergeCell ref="B3:C3"/>
    <mergeCell ref="B5: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activeCell="J12" sqref="J12"/>
    </sheetView>
  </sheetViews>
  <sheetFormatPr defaultColWidth="8.77734375" defaultRowHeight="14.4"/>
  <cols>
    <col min="1" max="1" width="18.109375" customWidth="1"/>
    <col min="2" max="3" width="12.44140625" customWidth="1"/>
    <col min="4" max="4" width="14" customWidth="1"/>
    <col min="5" max="5" width="13.88671875" bestFit="1" customWidth="1"/>
    <col min="6" max="6" width="13.33203125" customWidth="1"/>
    <col min="7" max="7" width="10.5546875"/>
    <col min="8" max="8" width="9.5546875"/>
  </cols>
  <sheetData>
    <row r="1" spans="1:7" ht="26.7" customHeight="1">
      <c r="A1" s="285" t="s">
        <v>126</v>
      </c>
      <c r="B1" s="286"/>
      <c r="C1" s="286"/>
      <c r="D1" s="286"/>
      <c r="E1" s="286"/>
      <c r="F1" s="286"/>
    </row>
    <row r="2" spans="1:7" ht="15" thickBot="1">
      <c r="A2" s="287"/>
      <c r="B2" s="288"/>
      <c r="C2" s="288"/>
      <c r="D2" s="288"/>
      <c r="E2" s="288"/>
      <c r="F2" s="288"/>
    </row>
    <row r="3" spans="1:7" ht="51" customHeight="1" thickTop="1" thickBot="1">
      <c r="A3" s="290" t="s">
        <v>127</v>
      </c>
      <c r="B3" s="289"/>
      <c r="C3" s="291" t="s">
        <v>128</v>
      </c>
      <c r="D3" s="282" t="s">
        <v>68</v>
      </c>
      <c r="E3" s="284"/>
      <c r="F3" s="283"/>
    </row>
    <row r="4" spans="1:7" ht="15.6" thickTop="1" thickBot="1">
      <c r="A4" s="277" t="s">
        <v>69</v>
      </c>
      <c r="B4" s="278">
        <v>2025</v>
      </c>
      <c r="C4" s="278">
        <v>60</v>
      </c>
      <c r="D4" s="294">
        <v>11020860</v>
      </c>
      <c r="E4" s="300">
        <v>1638129</v>
      </c>
      <c r="F4" s="297">
        <f>SUM(D4:D6)</f>
        <v>71064280</v>
      </c>
      <c r="G4" s="144"/>
    </row>
    <row r="5" spans="1:7" ht="15" thickBot="1">
      <c r="A5" s="279" t="s">
        <v>70</v>
      </c>
      <c r="B5" s="4">
        <v>2025</v>
      </c>
      <c r="C5" s="4">
        <v>130</v>
      </c>
      <c r="D5" s="295">
        <f>D4*2</f>
        <v>22041720</v>
      </c>
      <c r="E5" s="301">
        <v>1374499.5</v>
      </c>
      <c r="F5" s="298"/>
    </row>
    <row r="6" spans="1:7" ht="15" thickBot="1">
      <c r="A6" s="280" t="s">
        <v>71</v>
      </c>
      <c r="B6" s="281">
        <v>2025</v>
      </c>
      <c r="C6" s="281">
        <v>200</v>
      </c>
      <c r="D6" s="296">
        <v>38001700</v>
      </c>
      <c r="E6" s="302">
        <v>5700255</v>
      </c>
      <c r="F6" s="299"/>
    </row>
    <row r="7" spans="1:7" ht="15.6" thickTop="1" thickBot="1">
      <c r="A7" s="277" t="s">
        <v>72</v>
      </c>
      <c r="B7" s="278">
        <v>2025</v>
      </c>
      <c r="C7" s="278">
        <v>380</v>
      </c>
      <c r="D7" s="294">
        <v>45945900</v>
      </c>
      <c r="E7" s="300">
        <v>6891885</v>
      </c>
      <c r="F7" s="297">
        <f>SUM(D7:D9)</f>
        <v>97936582</v>
      </c>
    </row>
    <row r="8" spans="1:7" ht="15" thickBot="1">
      <c r="A8" s="279" t="s">
        <v>73</v>
      </c>
      <c r="B8" s="4">
        <v>2025</v>
      </c>
      <c r="C8" s="4">
        <v>250</v>
      </c>
      <c r="D8" s="295">
        <v>15882600</v>
      </c>
      <c r="E8" s="301">
        <v>2382390</v>
      </c>
      <c r="F8" s="298"/>
    </row>
    <row r="9" spans="1:7" ht="15" thickBot="1">
      <c r="A9" s="280" t="s">
        <v>74</v>
      </c>
      <c r="B9" s="281">
        <v>2025</v>
      </c>
      <c r="C9" s="281">
        <v>400</v>
      </c>
      <c r="D9" s="296">
        <v>36108082</v>
      </c>
      <c r="E9" s="302">
        <v>5416212.2999999998</v>
      </c>
      <c r="F9" s="299"/>
    </row>
    <row r="10" spans="1:7" ht="15.6" thickTop="1" thickBot="1">
      <c r="A10" s="277" t="s">
        <v>75</v>
      </c>
      <c r="B10" s="278">
        <v>2025</v>
      </c>
      <c r="C10" s="278">
        <v>580</v>
      </c>
      <c r="D10" s="294">
        <v>37617840</v>
      </c>
      <c r="E10" s="300">
        <v>5642676</v>
      </c>
      <c r="F10" s="297">
        <f>SUM(D10:D12)</f>
        <v>98397490</v>
      </c>
    </row>
    <row r="11" spans="1:7" ht="15" thickBot="1">
      <c r="A11" s="279" t="s">
        <v>76</v>
      </c>
      <c r="B11" s="4">
        <v>2025</v>
      </c>
      <c r="C11" s="4">
        <v>400</v>
      </c>
      <c r="D11" s="295">
        <v>34020500</v>
      </c>
      <c r="E11" s="301">
        <v>4353075</v>
      </c>
      <c r="F11" s="298"/>
    </row>
    <row r="12" spans="1:7" ht="15" thickBot="1">
      <c r="A12" s="280" t="s">
        <v>77</v>
      </c>
      <c r="B12" s="281">
        <v>2025</v>
      </c>
      <c r="C12" s="281">
        <v>200</v>
      </c>
      <c r="D12" s="296">
        <v>26759150</v>
      </c>
      <c r="E12" s="302">
        <v>4013872.5</v>
      </c>
      <c r="F12" s="299"/>
    </row>
    <row r="13" spans="1:7" ht="15.6" thickTop="1" thickBot="1">
      <c r="A13" s="277" t="s">
        <v>78</v>
      </c>
      <c r="B13" s="278">
        <v>2025</v>
      </c>
      <c r="C13" s="278">
        <v>350</v>
      </c>
      <c r="D13" s="294">
        <v>36655200</v>
      </c>
      <c r="E13" s="300">
        <v>5498280</v>
      </c>
      <c r="F13" s="297">
        <f>SUM(D13:D15)</f>
        <v>141148960</v>
      </c>
    </row>
    <row r="14" spans="1:7" ht="15" thickBot="1">
      <c r="A14" s="279" t="s">
        <v>79</v>
      </c>
      <c r="B14" s="4">
        <v>2025</v>
      </c>
      <c r="C14" s="4">
        <v>460</v>
      </c>
      <c r="D14" s="295">
        <v>45027000</v>
      </c>
      <c r="E14" s="301">
        <v>6754050</v>
      </c>
      <c r="F14" s="298"/>
    </row>
    <row r="15" spans="1:7" ht="15" thickBot="1">
      <c r="A15" s="280" t="s">
        <v>80</v>
      </c>
      <c r="B15" s="281">
        <v>2025</v>
      </c>
      <c r="C15" s="281">
        <v>590</v>
      </c>
      <c r="D15" s="296">
        <v>59466760</v>
      </c>
      <c r="E15" s="302">
        <v>4270014</v>
      </c>
      <c r="F15" s="299"/>
    </row>
    <row r="16" spans="1:7" ht="15.6" thickTop="1" thickBot="1">
      <c r="A16" s="292" t="s">
        <v>81</v>
      </c>
      <c r="B16" s="293"/>
      <c r="C16" s="303">
        <v>4000</v>
      </c>
      <c r="D16" s="304">
        <v>359568922</v>
      </c>
      <c r="E16" s="305">
        <f>SUM(E4:E15)</f>
        <v>53935338.299999997</v>
      </c>
      <c r="F16" s="306"/>
    </row>
    <row r="17" ht="15" thickTop="1"/>
  </sheetData>
  <mergeCells count="8">
    <mergeCell ref="E16:F16"/>
    <mergeCell ref="A1:F2"/>
    <mergeCell ref="A3:B3"/>
    <mergeCell ref="A16:B16"/>
    <mergeCell ref="F4:F6"/>
    <mergeCell ref="F7:F9"/>
    <mergeCell ref="F10:F12"/>
    <mergeCell ref="F13:F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7"/>
  <sheetViews>
    <sheetView zoomScaleNormal="100" workbookViewId="0">
      <pane xSplit="1" topLeftCell="B1" activePane="topRight" state="frozen"/>
      <selection pane="topRight"/>
    </sheetView>
  </sheetViews>
  <sheetFormatPr defaultColWidth="8.77734375" defaultRowHeight="14.4"/>
  <cols>
    <col min="1" max="1" width="27.5546875" customWidth="1"/>
    <col min="2" max="2" width="14.33203125" customWidth="1"/>
    <col min="3" max="56" width="12.77734375"/>
    <col min="57" max="62" width="11.6640625"/>
    <col min="63" max="63" width="13.33203125" bestFit="1" customWidth="1"/>
  </cols>
  <sheetData>
    <row r="1" spans="1:63" s="307" customFormat="1">
      <c r="A1" s="321"/>
      <c r="B1" s="310"/>
      <c r="C1" s="308">
        <v>45682</v>
      </c>
      <c r="D1" s="309">
        <v>45713</v>
      </c>
      <c r="E1" s="309">
        <v>45741</v>
      </c>
      <c r="F1" s="309">
        <v>45772</v>
      </c>
      <c r="G1" s="309">
        <v>45802</v>
      </c>
      <c r="H1" s="309">
        <v>45833</v>
      </c>
      <c r="I1" s="309">
        <v>45863</v>
      </c>
      <c r="J1" s="309">
        <v>45894</v>
      </c>
      <c r="K1" s="309">
        <v>45925</v>
      </c>
      <c r="L1" s="309">
        <v>45955</v>
      </c>
      <c r="M1" s="309">
        <v>45986</v>
      </c>
      <c r="N1" s="310">
        <v>46016</v>
      </c>
      <c r="O1" s="308">
        <v>46047</v>
      </c>
      <c r="P1" s="309">
        <v>46078</v>
      </c>
      <c r="Q1" s="309">
        <v>46106</v>
      </c>
      <c r="R1" s="309">
        <v>46137</v>
      </c>
      <c r="S1" s="309">
        <v>46167</v>
      </c>
      <c r="T1" s="309">
        <v>46198</v>
      </c>
      <c r="U1" s="309">
        <v>46228</v>
      </c>
      <c r="V1" s="309">
        <v>46259</v>
      </c>
      <c r="W1" s="309">
        <v>46290</v>
      </c>
      <c r="X1" s="309">
        <v>46320</v>
      </c>
      <c r="Y1" s="309">
        <v>46351</v>
      </c>
      <c r="Z1" s="310">
        <v>46381</v>
      </c>
      <c r="AA1" s="308">
        <v>46412</v>
      </c>
      <c r="AB1" s="309">
        <v>46443</v>
      </c>
      <c r="AC1" s="309">
        <v>46471</v>
      </c>
      <c r="AD1" s="309">
        <v>46502</v>
      </c>
      <c r="AE1" s="309">
        <v>46532</v>
      </c>
      <c r="AF1" s="309">
        <v>46563</v>
      </c>
      <c r="AG1" s="309">
        <v>46593</v>
      </c>
      <c r="AH1" s="309">
        <v>46624</v>
      </c>
      <c r="AI1" s="309">
        <v>46655</v>
      </c>
      <c r="AJ1" s="309">
        <v>46685</v>
      </c>
      <c r="AK1" s="309">
        <v>46716</v>
      </c>
      <c r="AL1" s="310">
        <v>46746</v>
      </c>
      <c r="AM1" s="308">
        <v>46777</v>
      </c>
      <c r="AN1" s="309">
        <v>46808</v>
      </c>
      <c r="AO1" s="309">
        <v>46837</v>
      </c>
      <c r="AP1" s="309">
        <v>46868</v>
      </c>
      <c r="AQ1" s="309">
        <v>46898</v>
      </c>
      <c r="AR1" s="309">
        <v>46929</v>
      </c>
      <c r="AS1" s="309">
        <v>46959</v>
      </c>
      <c r="AT1" s="309">
        <v>46990</v>
      </c>
      <c r="AU1" s="309">
        <v>47021</v>
      </c>
      <c r="AV1" s="309">
        <v>47051</v>
      </c>
      <c r="AW1" s="309">
        <v>47082</v>
      </c>
      <c r="AX1" s="310">
        <v>47112</v>
      </c>
      <c r="AY1" s="308">
        <v>47143</v>
      </c>
      <c r="AZ1" s="309">
        <v>47174</v>
      </c>
      <c r="BA1" s="309">
        <v>47202</v>
      </c>
      <c r="BB1" s="309">
        <v>47233</v>
      </c>
      <c r="BC1" s="309">
        <v>47263</v>
      </c>
      <c r="BD1" s="309">
        <v>47294</v>
      </c>
      <c r="BE1" s="309">
        <v>47324</v>
      </c>
      <c r="BF1" s="309">
        <v>47355</v>
      </c>
      <c r="BG1" s="309">
        <v>47386</v>
      </c>
      <c r="BH1" s="309">
        <v>47416</v>
      </c>
      <c r="BI1" s="309">
        <v>47447</v>
      </c>
      <c r="BJ1" s="310">
        <v>47477</v>
      </c>
    </row>
    <row r="2" spans="1:63">
      <c r="A2" s="322" t="s">
        <v>129</v>
      </c>
      <c r="B2" s="323">
        <v>1000000000</v>
      </c>
      <c r="C2" s="311">
        <f t="shared" ref="C2:J2" si="0">B2-C5</f>
        <v>983333333.33333337</v>
      </c>
      <c r="D2" s="1">
        <f t="shared" si="0"/>
        <v>966666666.66666675</v>
      </c>
      <c r="E2" s="1">
        <f t="shared" si="0"/>
        <v>950000000.00000012</v>
      </c>
      <c r="F2" s="1">
        <f t="shared" si="0"/>
        <v>933333333.33333349</v>
      </c>
      <c r="G2" s="1">
        <f t="shared" si="0"/>
        <v>916666666.66666687</v>
      </c>
      <c r="H2" s="1">
        <f t="shared" si="0"/>
        <v>900000000.00000024</v>
      </c>
      <c r="I2" s="1">
        <f t="shared" si="0"/>
        <v>883333333.33333361</v>
      </c>
      <c r="J2" s="1">
        <f t="shared" si="0"/>
        <v>866666666.66666698</v>
      </c>
      <c r="K2" s="1">
        <f t="shared" ref="K2:AP2" si="1">J2-K5</f>
        <v>850000000.00000036</v>
      </c>
      <c r="L2" s="1">
        <f t="shared" si="1"/>
        <v>833333333.33333373</v>
      </c>
      <c r="M2" s="1">
        <f t="shared" si="1"/>
        <v>816666666.6666671</v>
      </c>
      <c r="N2" s="312">
        <f t="shared" si="1"/>
        <v>800000000.00000048</v>
      </c>
      <c r="O2" s="311">
        <f>N2-O5</f>
        <v>783333333.33333385</v>
      </c>
      <c r="P2" s="1">
        <f>O2-P5</f>
        <v>766666666.66666722</v>
      </c>
      <c r="Q2" s="1">
        <f>P2-Q5</f>
        <v>750000000.0000006</v>
      </c>
      <c r="R2" s="1">
        <f>Q2-R5</f>
        <v>733333333.33333397</v>
      </c>
      <c r="S2" s="1">
        <f>R2-S5</f>
        <v>716666666.66666734</v>
      </c>
      <c r="T2" s="1">
        <f>S2-T5</f>
        <v>700000000.00000072</v>
      </c>
      <c r="U2" s="1">
        <f>T2-U5</f>
        <v>683333333.33333409</v>
      </c>
      <c r="V2" s="1">
        <f>U2-V5</f>
        <v>666666666.66666746</v>
      </c>
      <c r="W2" s="1">
        <f>V2-W5</f>
        <v>650000000.00000083</v>
      </c>
      <c r="X2" s="1">
        <f>W2-X5</f>
        <v>633333333.33333421</v>
      </c>
      <c r="Y2" s="1">
        <f>X2-Y5</f>
        <v>616666666.66666758</v>
      </c>
      <c r="Z2" s="312">
        <f>Y2-Z5</f>
        <v>600000000.00000095</v>
      </c>
      <c r="AA2" s="311">
        <f>Z2-AA5</f>
        <v>583333333.33333433</v>
      </c>
      <c r="AB2" s="1">
        <f t="shared" si="1"/>
        <v>566666666.6666677</v>
      </c>
      <c r="AC2" s="1">
        <f t="shared" si="1"/>
        <v>550000000.00000107</v>
      </c>
      <c r="AD2" s="1">
        <f t="shared" si="1"/>
        <v>533333333.33333439</v>
      </c>
      <c r="AE2" s="1">
        <f t="shared" si="1"/>
        <v>516666666.6666677</v>
      </c>
      <c r="AF2" s="1">
        <f t="shared" si="1"/>
        <v>500000000.00000101</v>
      </c>
      <c r="AG2" s="1">
        <f t="shared" si="1"/>
        <v>483333333.33333433</v>
      </c>
      <c r="AH2" s="1">
        <f t="shared" si="1"/>
        <v>466666666.66666764</v>
      </c>
      <c r="AI2" s="1">
        <f t="shared" si="1"/>
        <v>450000000.00000095</v>
      </c>
      <c r="AJ2" s="1">
        <f t="shared" si="1"/>
        <v>433333333.33333427</v>
      </c>
      <c r="AK2" s="1">
        <f t="shared" si="1"/>
        <v>416666666.66666758</v>
      </c>
      <c r="AL2" s="312">
        <f t="shared" si="1"/>
        <v>400000000.00000089</v>
      </c>
      <c r="AM2" s="311">
        <f t="shared" si="1"/>
        <v>383333333.33333421</v>
      </c>
      <c r="AN2" s="1">
        <f t="shared" si="1"/>
        <v>366666666.66666752</v>
      </c>
      <c r="AO2" s="1">
        <f t="shared" si="1"/>
        <v>350000000.00000083</v>
      </c>
      <c r="AP2" s="1">
        <f t="shared" si="1"/>
        <v>333333333.33333415</v>
      </c>
      <c r="AQ2" s="1">
        <f t="shared" ref="AQ2:BJ2" si="2">AP2-AQ5</f>
        <v>316666666.66666746</v>
      </c>
      <c r="AR2" s="1">
        <f t="shared" si="2"/>
        <v>300000000.00000077</v>
      </c>
      <c r="AS2" s="1">
        <f t="shared" si="2"/>
        <v>283333333.33333409</v>
      </c>
      <c r="AT2" s="1">
        <f t="shared" si="2"/>
        <v>266666666.66666743</v>
      </c>
      <c r="AU2" s="1">
        <f t="shared" si="2"/>
        <v>250000000.00000077</v>
      </c>
      <c r="AV2" s="1">
        <f t="shared" si="2"/>
        <v>233333333.33333412</v>
      </c>
      <c r="AW2" s="1">
        <f t="shared" si="2"/>
        <v>216666666.66666746</v>
      </c>
      <c r="AX2" s="312">
        <f t="shared" si="2"/>
        <v>200000000.0000008</v>
      </c>
      <c r="AY2" s="311">
        <f t="shared" si="2"/>
        <v>183333333.33333415</v>
      </c>
      <c r="AZ2" s="1">
        <f t="shared" si="2"/>
        <v>166666666.66666749</v>
      </c>
      <c r="BA2" s="1">
        <f t="shared" si="2"/>
        <v>150000000.00000083</v>
      </c>
      <c r="BB2" s="1">
        <f t="shared" si="2"/>
        <v>133333333.33333416</v>
      </c>
      <c r="BC2" s="1">
        <f t="shared" si="2"/>
        <v>116666666.66666749</v>
      </c>
      <c r="BD2" s="1">
        <f t="shared" si="2"/>
        <v>100000000.00000082</v>
      </c>
      <c r="BE2" s="1">
        <f t="shared" si="2"/>
        <v>83333333.333334148</v>
      </c>
      <c r="BF2" s="1">
        <f t="shared" si="2"/>
        <v>66666666.666667484</v>
      </c>
      <c r="BG2" s="1">
        <f t="shared" si="2"/>
        <v>50000000.00000082</v>
      </c>
      <c r="BH2" s="1">
        <f t="shared" si="2"/>
        <v>33333333.333334155</v>
      </c>
      <c r="BI2" s="1">
        <f t="shared" si="2"/>
        <v>16666666.666667489</v>
      </c>
      <c r="BJ2" s="312">
        <f t="shared" si="2"/>
        <v>8.2328915596008301E-7</v>
      </c>
    </row>
    <row r="3" spans="1:63">
      <c r="A3" s="322" t="s">
        <v>130</v>
      </c>
      <c r="B3" s="324">
        <v>6.9000000000000006E-2</v>
      </c>
      <c r="C3" s="313"/>
      <c r="D3" s="2"/>
      <c r="E3" s="2"/>
      <c r="F3" s="2"/>
      <c r="G3" s="2"/>
      <c r="H3" s="2"/>
      <c r="I3" s="2"/>
      <c r="J3" s="2"/>
      <c r="K3" s="2"/>
      <c r="L3" s="2"/>
      <c r="M3" s="2"/>
      <c r="N3" s="314"/>
      <c r="O3" s="313"/>
      <c r="P3" s="2"/>
      <c r="Q3" s="2"/>
      <c r="R3" s="2"/>
      <c r="S3" s="2"/>
      <c r="T3" s="2"/>
      <c r="U3" s="2"/>
      <c r="V3" s="2"/>
      <c r="W3" s="2"/>
      <c r="X3" s="2"/>
      <c r="Y3" s="2"/>
      <c r="Z3" s="314"/>
      <c r="AA3" s="313"/>
      <c r="AB3" s="2"/>
      <c r="AC3" s="2"/>
      <c r="AD3" s="2"/>
      <c r="AE3" s="2"/>
      <c r="AF3" s="2"/>
      <c r="AG3" s="2"/>
      <c r="AH3" s="2"/>
      <c r="AI3" s="2"/>
      <c r="AJ3" s="2"/>
      <c r="AK3" s="2"/>
      <c r="AL3" s="314"/>
      <c r="AM3" s="313"/>
      <c r="AN3" s="2"/>
      <c r="AO3" s="2"/>
      <c r="AP3" s="2"/>
      <c r="AQ3" s="2"/>
      <c r="AR3" s="2"/>
      <c r="AS3" s="2"/>
      <c r="AT3" s="2"/>
      <c r="AU3" s="2"/>
      <c r="AV3" s="2"/>
      <c r="AW3" s="2"/>
      <c r="AX3" s="314"/>
      <c r="AY3" s="313"/>
      <c r="AZ3" s="2"/>
      <c r="BA3" s="2"/>
      <c r="BB3" s="2"/>
      <c r="BC3" s="2"/>
      <c r="BD3" s="2"/>
      <c r="BE3" s="2"/>
      <c r="BF3" s="2"/>
      <c r="BG3" s="2"/>
      <c r="BH3" s="2"/>
      <c r="BI3" s="2"/>
      <c r="BJ3" s="314"/>
    </row>
    <row r="4" spans="1:63">
      <c r="A4" s="322" t="s">
        <v>131</v>
      </c>
      <c r="B4" s="317">
        <f>B3/12</f>
        <v>5.7500000000000008E-3</v>
      </c>
      <c r="C4" s="315">
        <f>B4</f>
        <v>5.7500000000000008E-3</v>
      </c>
      <c r="D4" s="316">
        <f t="shared" ref="D4:AI4" si="3">C4</f>
        <v>5.7500000000000008E-3</v>
      </c>
      <c r="E4" s="316">
        <f t="shared" si="3"/>
        <v>5.7500000000000008E-3</v>
      </c>
      <c r="F4" s="316">
        <f t="shared" si="3"/>
        <v>5.7500000000000008E-3</v>
      </c>
      <c r="G4" s="316">
        <f t="shared" si="3"/>
        <v>5.7500000000000008E-3</v>
      </c>
      <c r="H4" s="316">
        <f t="shared" si="3"/>
        <v>5.7500000000000008E-3</v>
      </c>
      <c r="I4" s="316">
        <f t="shared" si="3"/>
        <v>5.7500000000000008E-3</v>
      </c>
      <c r="J4" s="316">
        <f t="shared" si="3"/>
        <v>5.7500000000000008E-3</v>
      </c>
      <c r="K4" s="316">
        <f t="shared" si="3"/>
        <v>5.7500000000000008E-3</v>
      </c>
      <c r="L4" s="316">
        <f t="shared" si="3"/>
        <v>5.7500000000000008E-3</v>
      </c>
      <c r="M4" s="316">
        <f t="shared" si="3"/>
        <v>5.7500000000000008E-3</v>
      </c>
      <c r="N4" s="317">
        <f t="shared" si="3"/>
        <v>5.7500000000000008E-3</v>
      </c>
      <c r="O4" s="315">
        <f>N4</f>
        <v>5.7500000000000008E-3</v>
      </c>
      <c r="P4" s="316">
        <f>O4</f>
        <v>5.7500000000000008E-3</v>
      </c>
      <c r="Q4" s="316">
        <f>P4</f>
        <v>5.7500000000000008E-3</v>
      </c>
      <c r="R4" s="316">
        <f>Q4</f>
        <v>5.7500000000000008E-3</v>
      </c>
      <c r="S4" s="316">
        <f>R4</f>
        <v>5.7500000000000008E-3</v>
      </c>
      <c r="T4" s="316">
        <f>S4</f>
        <v>5.7500000000000008E-3</v>
      </c>
      <c r="U4" s="316">
        <f>T4</f>
        <v>5.7500000000000008E-3</v>
      </c>
      <c r="V4" s="316">
        <f>U4</f>
        <v>5.7500000000000008E-3</v>
      </c>
      <c r="W4" s="316">
        <f>V4</f>
        <v>5.7500000000000008E-3</v>
      </c>
      <c r="X4" s="316">
        <f>W4</f>
        <v>5.7500000000000008E-3</v>
      </c>
      <c r="Y4" s="316">
        <f>X4</f>
        <v>5.7500000000000008E-3</v>
      </c>
      <c r="Z4" s="317">
        <f>Y4</f>
        <v>5.7500000000000008E-3</v>
      </c>
      <c r="AA4" s="315">
        <f>Z4</f>
        <v>5.7500000000000008E-3</v>
      </c>
      <c r="AB4" s="316">
        <f t="shared" si="3"/>
        <v>5.7500000000000008E-3</v>
      </c>
      <c r="AC4" s="316">
        <f t="shared" si="3"/>
        <v>5.7500000000000008E-3</v>
      </c>
      <c r="AD4" s="316">
        <f t="shared" si="3"/>
        <v>5.7500000000000008E-3</v>
      </c>
      <c r="AE4" s="316">
        <f t="shared" si="3"/>
        <v>5.7500000000000008E-3</v>
      </c>
      <c r="AF4" s="316">
        <f t="shared" si="3"/>
        <v>5.7500000000000008E-3</v>
      </c>
      <c r="AG4" s="316">
        <f t="shared" si="3"/>
        <v>5.7500000000000008E-3</v>
      </c>
      <c r="AH4" s="316">
        <f t="shared" si="3"/>
        <v>5.7500000000000008E-3</v>
      </c>
      <c r="AI4" s="316">
        <f t="shared" si="3"/>
        <v>5.7500000000000008E-3</v>
      </c>
      <c r="AJ4" s="316">
        <f t="shared" ref="AJ4:BJ4" si="4">AI4</f>
        <v>5.7500000000000008E-3</v>
      </c>
      <c r="AK4" s="316">
        <f t="shared" si="4"/>
        <v>5.7500000000000008E-3</v>
      </c>
      <c r="AL4" s="317">
        <f t="shared" si="4"/>
        <v>5.7500000000000008E-3</v>
      </c>
      <c r="AM4" s="315">
        <f t="shared" si="4"/>
        <v>5.7500000000000008E-3</v>
      </c>
      <c r="AN4" s="316">
        <f t="shared" si="4"/>
        <v>5.7500000000000008E-3</v>
      </c>
      <c r="AO4" s="316">
        <f t="shared" si="4"/>
        <v>5.7500000000000008E-3</v>
      </c>
      <c r="AP4" s="316">
        <f t="shared" si="4"/>
        <v>5.7500000000000008E-3</v>
      </c>
      <c r="AQ4" s="316">
        <f t="shared" si="4"/>
        <v>5.7500000000000008E-3</v>
      </c>
      <c r="AR4" s="316">
        <f t="shared" si="4"/>
        <v>5.7500000000000008E-3</v>
      </c>
      <c r="AS4" s="316">
        <f t="shared" si="4"/>
        <v>5.7500000000000008E-3</v>
      </c>
      <c r="AT4" s="316">
        <f t="shared" si="4"/>
        <v>5.7500000000000008E-3</v>
      </c>
      <c r="AU4" s="316">
        <f t="shared" si="4"/>
        <v>5.7500000000000008E-3</v>
      </c>
      <c r="AV4" s="316">
        <f t="shared" si="4"/>
        <v>5.7500000000000008E-3</v>
      </c>
      <c r="AW4" s="316">
        <f t="shared" si="4"/>
        <v>5.7500000000000008E-3</v>
      </c>
      <c r="AX4" s="317">
        <f t="shared" si="4"/>
        <v>5.7500000000000008E-3</v>
      </c>
      <c r="AY4" s="315">
        <f t="shared" si="4"/>
        <v>5.7500000000000008E-3</v>
      </c>
      <c r="AZ4" s="316">
        <f t="shared" si="4"/>
        <v>5.7500000000000008E-3</v>
      </c>
      <c r="BA4" s="316">
        <f t="shared" si="4"/>
        <v>5.7500000000000008E-3</v>
      </c>
      <c r="BB4" s="316">
        <f t="shared" si="4"/>
        <v>5.7500000000000008E-3</v>
      </c>
      <c r="BC4" s="316">
        <f t="shared" si="4"/>
        <v>5.7500000000000008E-3</v>
      </c>
      <c r="BD4" s="316">
        <f t="shared" si="4"/>
        <v>5.7500000000000008E-3</v>
      </c>
      <c r="BE4" s="316">
        <f t="shared" si="4"/>
        <v>5.7500000000000008E-3</v>
      </c>
      <c r="BF4" s="316">
        <f t="shared" si="4"/>
        <v>5.7500000000000008E-3</v>
      </c>
      <c r="BG4" s="316">
        <f t="shared" si="4"/>
        <v>5.7500000000000008E-3</v>
      </c>
      <c r="BH4" s="316">
        <f t="shared" si="4"/>
        <v>5.7500000000000008E-3</v>
      </c>
      <c r="BI4" s="316">
        <f t="shared" si="4"/>
        <v>5.7500000000000008E-3</v>
      </c>
      <c r="BJ4" s="317">
        <f t="shared" si="4"/>
        <v>5.7500000000000008E-3</v>
      </c>
    </row>
    <row r="5" spans="1:63">
      <c r="A5" s="325" t="s">
        <v>82</v>
      </c>
      <c r="B5" s="312">
        <f>B2/60</f>
        <v>16666666.666666666</v>
      </c>
      <c r="C5" s="311">
        <f>B5</f>
        <v>16666666.666666666</v>
      </c>
      <c r="D5" s="1">
        <f t="shared" ref="D5:AI5" si="5">C5</f>
        <v>16666666.666666666</v>
      </c>
      <c r="E5" s="1">
        <f t="shared" si="5"/>
        <v>16666666.666666666</v>
      </c>
      <c r="F5" s="1">
        <f t="shared" si="5"/>
        <v>16666666.666666666</v>
      </c>
      <c r="G5" s="1">
        <f t="shared" si="5"/>
        <v>16666666.666666666</v>
      </c>
      <c r="H5" s="1">
        <f t="shared" si="5"/>
        <v>16666666.666666666</v>
      </c>
      <c r="I5" s="1">
        <f t="shared" si="5"/>
        <v>16666666.666666666</v>
      </c>
      <c r="J5" s="1">
        <f t="shared" si="5"/>
        <v>16666666.666666666</v>
      </c>
      <c r="K5" s="1">
        <f t="shared" si="5"/>
        <v>16666666.666666666</v>
      </c>
      <c r="L5" s="1">
        <f t="shared" si="5"/>
        <v>16666666.666666666</v>
      </c>
      <c r="M5" s="1">
        <f t="shared" si="5"/>
        <v>16666666.666666666</v>
      </c>
      <c r="N5" s="312">
        <f t="shared" si="5"/>
        <v>16666666.666666666</v>
      </c>
      <c r="O5" s="311">
        <f>N5</f>
        <v>16666666.666666666</v>
      </c>
      <c r="P5" s="1">
        <f>O5</f>
        <v>16666666.666666666</v>
      </c>
      <c r="Q5" s="1">
        <f>P5</f>
        <v>16666666.666666666</v>
      </c>
      <c r="R5" s="1">
        <f>Q5</f>
        <v>16666666.666666666</v>
      </c>
      <c r="S5" s="1">
        <f>R5</f>
        <v>16666666.666666666</v>
      </c>
      <c r="T5" s="1">
        <f>S5</f>
        <v>16666666.666666666</v>
      </c>
      <c r="U5" s="1">
        <f>T5</f>
        <v>16666666.666666666</v>
      </c>
      <c r="V5" s="1">
        <f>U5</f>
        <v>16666666.666666666</v>
      </c>
      <c r="W5" s="1">
        <f>V5</f>
        <v>16666666.666666666</v>
      </c>
      <c r="X5" s="1">
        <f>W5</f>
        <v>16666666.666666666</v>
      </c>
      <c r="Y5" s="1">
        <f>X5</f>
        <v>16666666.666666666</v>
      </c>
      <c r="Z5" s="312">
        <f>Y5</f>
        <v>16666666.666666666</v>
      </c>
      <c r="AA5" s="311">
        <f>Z5</f>
        <v>16666666.666666666</v>
      </c>
      <c r="AB5" s="1">
        <f t="shared" si="5"/>
        <v>16666666.666666666</v>
      </c>
      <c r="AC5" s="1">
        <f t="shared" si="5"/>
        <v>16666666.666666666</v>
      </c>
      <c r="AD5" s="1">
        <f t="shared" si="5"/>
        <v>16666666.666666666</v>
      </c>
      <c r="AE5" s="1">
        <f t="shared" si="5"/>
        <v>16666666.666666666</v>
      </c>
      <c r="AF5" s="1">
        <f t="shared" si="5"/>
        <v>16666666.666666666</v>
      </c>
      <c r="AG5" s="1">
        <f t="shared" si="5"/>
        <v>16666666.666666666</v>
      </c>
      <c r="AH5" s="1">
        <f t="shared" si="5"/>
        <v>16666666.666666666</v>
      </c>
      <c r="AI5" s="1">
        <f t="shared" si="5"/>
        <v>16666666.666666666</v>
      </c>
      <c r="AJ5" s="1">
        <f t="shared" ref="AJ5:BJ5" si="6">AI5</f>
        <v>16666666.666666666</v>
      </c>
      <c r="AK5" s="1">
        <f t="shared" si="6"/>
        <v>16666666.666666666</v>
      </c>
      <c r="AL5" s="312">
        <f t="shared" si="6"/>
        <v>16666666.666666666</v>
      </c>
      <c r="AM5" s="311">
        <f t="shared" si="6"/>
        <v>16666666.666666666</v>
      </c>
      <c r="AN5" s="1">
        <f t="shared" si="6"/>
        <v>16666666.666666666</v>
      </c>
      <c r="AO5" s="1">
        <f t="shared" si="6"/>
        <v>16666666.666666666</v>
      </c>
      <c r="AP5" s="1">
        <f t="shared" si="6"/>
        <v>16666666.666666666</v>
      </c>
      <c r="AQ5" s="1">
        <f t="shared" si="6"/>
        <v>16666666.666666666</v>
      </c>
      <c r="AR5" s="1">
        <f t="shared" si="6"/>
        <v>16666666.666666666</v>
      </c>
      <c r="AS5" s="1">
        <f t="shared" si="6"/>
        <v>16666666.666666666</v>
      </c>
      <c r="AT5" s="1">
        <f t="shared" si="6"/>
        <v>16666666.666666666</v>
      </c>
      <c r="AU5" s="1">
        <f t="shared" si="6"/>
        <v>16666666.666666666</v>
      </c>
      <c r="AV5" s="1">
        <f t="shared" si="6"/>
        <v>16666666.666666666</v>
      </c>
      <c r="AW5" s="1">
        <f t="shared" si="6"/>
        <v>16666666.666666666</v>
      </c>
      <c r="AX5" s="312">
        <f t="shared" si="6"/>
        <v>16666666.666666666</v>
      </c>
      <c r="AY5" s="311">
        <f t="shared" si="6"/>
        <v>16666666.666666666</v>
      </c>
      <c r="AZ5" s="1">
        <f t="shared" si="6"/>
        <v>16666666.666666666</v>
      </c>
      <c r="BA5" s="1">
        <f t="shared" si="6"/>
        <v>16666666.666666666</v>
      </c>
      <c r="BB5" s="1">
        <f t="shared" si="6"/>
        <v>16666666.666666666</v>
      </c>
      <c r="BC5" s="1">
        <f t="shared" si="6"/>
        <v>16666666.666666666</v>
      </c>
      <c r="BD5" s="1">
        <f t="shared" si="6"/>
        <v>16666666.666666666</v>
      </c>
      <c r="BE5" s="1">
        <f t="shared" si="6"/>
        <v>16666666.666666666</v>
      </c>
      <c r="BF5" s="1">
        <f t="shared" si="6"/>
        <v>16666666.666666666</v>
      </c>
      <c r="BG5" s="1">
        <f t="shared" si="6"/>
        <v>16666666.666666666</v>
      </c>
      <c r="BH5" s="1">
        <f t="shared" si="6"/>
        <v>16666666.666666666</v>
      </c>
      <c r="BI5" s="1">
        <f t="shared" si="6"/>
        <v>16666666.666666666</v>
      </c>
      <c r="BJ5" s="312">
        <f t="shared" si="6"/>
        <v>16666666.666666666</v>
      </c>
    </row>
    <row r="6" spans="1:63">
      <c r="A6" s="325" t="s">
        <v>83</v>
      </c>
      <c r="B6" s="314"/>
      <c r="C6" s="311">
        <f>B2*B4</f>
        <v>5750000.0000000009</v>
      </c>
      <c r="D6" s="1">
        <f>C2*B4</f>
        <v>5654166.6666666679</v>
      </c>
      <c r="E6" s="1">
        <f>D2*B4</f>
        <v>5558333.3333333349</v>
      </c>
      <c r="F6" s="1">
        <f>E2*B4</f>
        <v>5462500.0000000019</v>
      </c>
      <c r="G6" s="1">
        <f>F2*B4</f>
        <v>5366666.6666666679</v>
      </c>
      <c r="H6" s="1">
        <f>G2*B4</f>
        <v>5270833.3333333349</v>
      </c>
      <c r="I6" s="1">
        <f>H2*I4</f>
        <v>5175000.0000000019</v>
      </c>
      <c r="J6" s="1">
        <f>I2*J4</f>
        <v>5079166.6666666688</v>
      </c>
      <c r="K6" s="1">
        <f>J2*K4</f>
        <v>4983333.3333333358</v>
      </c>
      <c r="L6" s="1">
        <f t="shared" ref="L6:AQ6" si="7">K2*L4</f>
        <v>4887500.0000000028</v>
      </c>
      <c r="M6" s="1">
        <f t="shared" si="7"/>
        <v>4791666.6666666698</v>
      </c>
      <c r="N6" s="312">
        <f t="shared" si="7"/>
        <v>4695833.3333333367</v>
      </c>
      <c r="O6" s="311">
        <f>N2*O4</f>
        <v>4600000.0000000037</v>
      </c>
      <c r="P6" s="1">
        <f>O2*P4</f>
        <v>4504166.6666666707</v>
      </c>
      <c r="Q6" s="1">
        <f>P2*Q4</f>
        <v>4408333.3333333367</v>
      </c>
      <c r="R6" s="1">
        <f>Q2*R4</f>
        <v>4312500.0000000037</v>
      </c>
      <c r="S6" s="1">
        <f>R2*S4</f>
        <v>4216666.6666666707</v>
      </c>
      <c r="T6" s="1">
        <f>S2*T4</f>
        <v>4120833.3333333377</v>
      </c>
      <c r="U6" s="1">
        <f>T2*U4</f>
        <v>4025000.0000000047</v>
      </c>
      <c r="V6" s="1">
        <f>U2*V4</f>
        <v>3929166.6666666716</v>
      </c>
      <c r="W6" s="1">
        <f>V2*W4</f>
        <v>3833333.3333333386</v>
      </c>
      <c r="X6" s="1">
        <f>W2*X4</f>
        <v>3737500.0000000051</v>
      </c>
      <c r="Y6" s="1">
        <f>X2*Y4</f>
        <v>3641666.6666666721</v>
      </c>
      <c r="Z6" s="312">
        <f>Y2*Z4</f>
        <v>3545833.3333333391</v>
      </c>
      <c r="AA6" s="311">
        <f>Z2*AA4</f>
        <v>3450000.0000000061</v>
      </c>
      <c r="AB6" s="1">
        <f t="shared" si="7"/>
        <v>3354166.666666673</v>
      </c>
      <c r="AC6" s="1">
        <f t="shared" si="7"/>
        <v>3258333.3333333395</v>
      </c>
      <c r="AD6" s="1">
        <f t="shared" si="7"/>
        <v>3162500.0000000065</v>
      </c>
      <c r="AE6" s="1">
        <f t="shared" si="7"/>
        <v>3066666.666666673</v>
      </c>
      <c r="AF6" s="1">
        <f t="shared" si="7"/>
        <v>2970833.3333333395</v>
      </c>
      <c r="AG6" s="1">
        <f t="shared" si="7"/>
        <v>2875000.0000000061</v>
      </c>
      <c r="AH6" s="1">
        <f t="shared" si="7"/>
        <v>2779166.6666666726</v>
      </c>
      <c r="AI6" s="1">
        <f t="shared" si="7"/>
        <v>2683333.3333333391</v>
      </c>
      <c r="AJ6" s="1">
        <f t="shared" si="7"/>
        <v>2587500.0000000061</v>
      </c>
      <c r="AK6" s="1">
        <f t="shared" si="7"/>
        <v>2491666.6666666726</v>
      </c>
      <c r="AL6" s="312">
        <f t="shared" si="7"/>
        <v>2395833.3333333391</v>
      </c>
      <c r="AM6" s="311">
        <f t="shared" si="7"/>
        <v>2300000.0000000056</v>
      </c>
      <c r="AN6" s="1">
        <f t="shared" si="7"/>
        <v>2204166.6666666721</v>
      </c>
      <c r="AO6" s="1">
        <f t="shared" si="7"/>
        <v>2108333.3333333386</v>
      </c>
      <c r="AP6" s="1">
        <f t="shared" si="7"/>
        <v>2012500.0000000051</v>
      </c>
      <c r="AQ6" s="1">
        <f t="shared" si="7"/>
        <v>1916666.6666666716</v>
      </c>
      <c r="AR6" s="1">
        <f t="shared" ref="AR6:BJ6" si="8">AQ2*AR4</f>
        <v>1820833.3333333381</v>
      </c>
      <c r="AS6" s="1">
        <f t="shared" si="8"/>
        <v>1725000.0000000047</v>
      </c>
      <c r="AT6" s="1">
        <f t="shared" si="8"/>
        <v>1629166.6666666712</v>
      </c>
      <c r="AU6" s="1">
        <f t="shared" si="8"/>
        <v>1533333.3333333379</v>
      </c>
      <c r="AV6" s="1">
        <f t="shared" si="8"/>
        <v>1437500.0000000047</v>
      </c>
      <c r="AW6" s="1">
        <f t="shared" si="8"/>
        <v>1341666.6666666714</v>
      </c>
      <c r="AX6" s="312">
        <f t="shared" si="8"/>
        <v>1245833.3333333381</v>
      </c>
      <c r="AY6" s="311">
        <f t="shared" si="8"/>
        <v>1150000.0000000049</v>
      </c>
      <c r="AZ6" s="1">
        <f t="shared" si="8"/>
        <v>1054166.6666666714</v>
      </c>
      <c r="BA6" s="1">
        <f t="shared" si="8"/>
        <v>958333.33333333815</v>
      </c>
      <c r="BB6" s="1">
        <f t="shared" si="8"/>
        <v>862500.00000000489</v>
      </c>
      <c r="BC6" s="1">
        <f t="shared" si="8"/>
        <v>766666.66666667152</v>
      </c>
      <c r="BD6" s="1">
        <f t="shared" si="8"/>
        <v>670833.33333333815</v>
      </c>
      <c r="BE6" s="1">
        <f t="shared" si="8"/>
        <v>575000.00000000477</v>
      </c>
      <c r="BF6" s="1">
        <f t="shared" si="8"/>
        <v>479166.6666666714</v>
      </c>
      <c r="BG6" s="1">
        <f t="shared" si="8"/>
        <v>383333.33333333809</v>
      </c>
      <c r="BH6" s="1">
        <f t="shared" si="8"/>
        <v>287500.00000000477</v>
      </c>
      <c r="BI6" s="1">
        <f t="shared" si="8"/>
        <v>191666.66666667143</v>
      </c>
      <c r="BJ6" s="312">
        <f t="shared" si="8"/>
        <v>95833.333333338072</v>
      </c>
      <c r="BK6" s="3"/>
    </row>
    <row r="7" spans="1:63" ht="15" thickBot="1">
      <c r="A7" s="326" t="s">
        <v>132</v>
      </c>
      <c r="B7" s="327"/>
      <c r="C7" s="318">
        <f>C5+C6</f>
        <v>22416666.666666668</v>
      </c>
      <c r="D7" s="319">
        <f>D5+D6</f>
        <v>22320833.333333336</v>
      </c>
      <c r="E7" s="319">
        <f t="shared" ref="E7:AJ7" si="9">E5+E6</f>
        <v>22225000</v>
      </c>
      <c r="F7" s="319">
        <f t="shared" si="9"/>
        <v>22129166.666666668</v>
      </c>
      <c r="G7" s="319">
        <f t="shared" si="9"/>
        <v>22033333.333333336</v>
      </c>
      <c r="H7" s="319">
        <f t="shared" si="9"/>
        <v>21937500</v>
      </c>
      <c r="I7" s="319">
        <f t="shared" si="9"/>
        <v>21841666.666666668</v>
      </c>
      <c r="J7" s="319">
        <f t="shared" si="9"/>
        <v>21745833.333333336</v>
      </c>
      <c r="K7" s="319">
        <f t="shared" si="9"/>
        <v>21650000</v>
      </c>
      <c r="L7" s="319">
        <f t="shared" si="9"/>
        <v>21554166.666666668</v>
      </c>
      <c r="M7" s="319">
        <f t="shared" si="9"/>
        <v>21458333.333333336</v>
      </c>
      <c r="N7" s="320">
        <f t="shared" si="9"/>
        <v>21362500.000000004</v>
      </c>
      <c r="O7" s="318">
        <f>O5+O6</f>
        <v>21266666.666666672</v>
      </c>
      <c r="P7" s="319">
        <f>P5+P6</f>
        <v>21170833.333333336</v>
      </c>
      <c r="Q7" s="319">
        <f>Q5+Q6</f>
        <v>21075000.000000004</v>
      </c>
      <c r="R7" s="319">
        <f>R5+R6</f>
        <v>20979166.666666672</v>
      </c>
      <c r="S7" s="319">
        <f>S5+S6</f>
        <v>20883333.333333336</v>
      </c>
      <c r="T7" s="319">
        <f>T5+T6</f>
        <v>20787500.000000004</v>
      </c>
      <c r="U7" s="319">
        <f>U5+U6</f>
        <v>20691666.666666672</v>
      </c>
      <c r="V7" s="319">
        <f>V5+V6</f>
        <v>20595833.333333336</v>
      </c>
      <c r="W7" s="319">
        <f>W5+W6</f>
        <v>20500000.000000004</v>
      </c>
      <c r="X7" s="319">
        <f>X5+X6</f>
        <v>20404166.666666672</v>
      </c>
      <c r="Y7" s="319">
        <f>Y5+Y6</f>
        <v>20308333.33333334</v>
      </c>
      <c r="Z7" s="320">
        <f>Z5+Z6</f>
        <v>20212500.000000004</v>
      </c>
      <c r="AA7" s="318">
        <f t="shared" si="9"/>
        <v>20116666.666666672</v>
      </c>
      <c r="AB7" s="319">
        <f t="shared" si="9"/>
        <v>20020833.33333334</v>
      </c>
      <c r="AC7" s="319">
        <f t="shared" si="9"/>
        <v>19925000.000000007</v>
      </c>
      <c r="AD7" s="319">
        <f t="shared" si="9"/>
        <v>19829166.666666672</v>
      </c>
      <c r="AE7" s="319">
        <f t="shared" si="9"/>
        <v>19733333.33333334</v>
      </c>
      <c r="AF7" s="319">
        <f t="shared" si="9"/>
        <v>19637500.000000007</v>
      </c>
      <c r="AG7" s="319">
        <f t="shared" si="9"/>
        <v>19541666.666666672</v>
      </c>
      <c r="AH7" s="319">
        <f t="shared" si="9"/>
        <v>19445833.33333334</v>
      </c>
      <c r="AI7" s="319">
        <f t="shared" si="9"/>
        <v>19350000.000000004</v>
      </c>
      <c r="AJ7" s="319">
        <f t="shared" si="9"/>
        <v>19254166.666666672</v>
      </c>
      <c r="AK7" s="319">
        <f t="shared" ref="AK7:BJ7" si="10">AK5+AK6</f>
        <v>19158333.33333334</v>
      </c>
      <c r="AL7" s="320">
        <f t="shared" si="10"/>
        <v>19062500.000000004</v>
      </c>
      <c r="AM7" s="318">
        <f t="shared" si="10"/>
        <v>18966666.666666672</v>
      </c>
      <c r="AN7" s="319">
        <f t="shared" si="10"/>
        <v>18870833.33333334</v>
      </c>
      <c r="AO7" s="319">
        <f t="shared" si="10"/>
        <v>18775000.000000004</v>
      </c>
      <c r="AP7" s="319">
        <f t="shared" si="10"/>
        <v>18679166.666666672</v>
      </c>
      <c r="AQ7" s="319">
        <f t="shared" si="10"/>
        <v>18583333.333333336</v>
      </c>
      <c r="AR7" s="319">
        <f t="shared" si="10"/>
        <v>18487500.000000004</v>
      </c>
      <c r="AS7" s="319">
        <f t="shared" si="10"/>
        <v>18391666.666666672</v>
      </c>
      <c r="AT7" s="319">
        <f t="shared" si="10"/>
        <v>18295833.333333336</v>
      </c>
      <c r="AU7" s="319">
        <f t="shared" si="10"/>
        <v>18200000.000000004</v>
      </c>
      <c r="AV7" s="319">
        <f t="shared" si="10"/>
        <v>18104166.666666672</v>
      </c>
      <c r="AW7" s="319">
        <f t="shared" si="10"/>
        <v>18008333.333333336</v>
      </c>
      <c r="AX7" s="320">
        <f t="shared" si="10"/>
        <v>17912500.000000004</v>
      </c>
      <c r="AY7" s="318">
        <f t="shared" si="10"/>
        <v>17816666.666666672</v>
      </c>
      <c r="AZ7" s="319">
        <f t="shared" si="10"/>
        <v>17720833.333333336</v>
      </c>
      <c r="BA7" s="319">
        <f t="shared" si="10"/>
        <v>17625000.000000004</v>
      </c>
      <c r="BB7" s="319">
        <f t="shared" si="10"/>
        <v>17529166.666666672</v>
      </c>
      <c r="BC7" s="319">
        <f t="shared" si="10"/>
        <v>17433333.333333336</v>
      </c>
      <c r="BD7" s="319">
        <f t="shared" si="10"/>
        <v>17337500.000000004</v>
      </c>
      <c r="BE7" s="319">
        <f t="shared" si="10"/>
        <v>17241666.666666672</v>
      </c>
      <c r="BF7" s="319">
        <f t="shared" si="10"/>
        <v>17145833.333333336</v>
      </c>
      <c r="BG7" s="319">
        <f t="shared" si="10"/>
        <v>17050000.000000004</v>
      </c>
      <c r="BH7" s="319">
        <f t="shared" si="10"/>
        <v>16954166.666666672</v>
      </c>
      <c r="BI7" s="319">
        <f t="shared" si="10"/>
        <v>16858333.333333336</v>
      </c>
      <c r="BJ7" s="320">
        <f t="shared" si="10"/>
        <v>16762500.000000004</v>
      </c>
      <c r="BK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 statement</vt:lpstr>
      <vt:lpstr>COGS</vt:lpstr>
      <vt:lpstr>Monthly new users</vt:lpstr>
      <vt:lpstr>Sheet4</vt:lpstr>
      <vt:lpstr>Marketing expenses</vt:lpstr>
      <vt:lpstr>Sell materials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Hữu Thượng</cp:lastModifiedBy>
  <dcterms:created xsi:type="dcterms:W3CDTF">2024-03-10T00:45:00Z</dcterms:created>
  <dcterms:modified xsi:type="dcterms:W3CDTF">2024-03-13T15:47:48Z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7F7C170851684A91BFC1010C0CFA7B79_12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2024-03-13T14:23:10Z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e23a925e-27e0-45b7-a12d-9e9dfb483680</vt:lpwstr>
  </property>
  <property fmtid="{D5CDD505-2E9C-101B-9397-08002B2CF9AE}" pid="9" name="MSIP_Label_defa4170-0d19-0005-0004-bc88714345d2_ActionId">
    <vt:lpwstr>b6fa56a0-2fae-4e70-8da6-a6d4ba3aff22</vt:lpwstr>
  </property>
  <property fmtid="{D5CDD505-2E9C-101B-9397-08002B2CF9AE}" pid="10" name="MSIP_Label_defa4170-0d19-0005-0004-bc88714345d2_ContentBits">
    <vt:lpwstr>0</vt:lpwstr>
  </property>
</Properties>
</file>